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RPS\Filings\_WA\2022\1. 2022 WUTC - RPS Report\_FINAL\Workpapers\WORKPAPERS 1 PacifiCorp Resource Cost Analysis\"/>
    </mc:Choice>
  </mc:AlternateContent>
  <xr:revisionPtr revIDLastSave="0" documentId="13_ncr:1_{40BBBD3B-E938-4EAF-9EB6-3271D5815F22}" xr6:coauthVersionLast="47" xr6:coauthVersionMax="47" xr10:uidLastSave="{00000000-0000-0000-0000-000000000000}"/>
  <bookViews>
    <workbookView xWindow="35025" yWindow="2295" windowWidth="17970" windowHeight="11385" tabRatio="766" activeTab="1" xr2:uid="{00000000-000D-0000-FFFF-FFFF00000000}"/>
  </bookViews>
  <sheets>
    <sheet name="Workpaper Index" sheetId="10" r:id="rId1"/>
    <sheet name="(1.1)_Summary" sheetId="23" r:id="rId2"/>
    <sheet name="(1.2)_Lvl_Resource_" sheetId="32" r:id="rId3"/>
    <sheet name="(2.1)_Proxy Resources" sheetId="4" r:id="rId4"/>
    <sheet name="(2.2)_Forward_Price_Curve" sheetId="5" r:id="rId5"/>
    <sheet name="Big Fork (2003IRP)" sheetId="75" r:id="rId6"/>
    <sheet name="Blundell 2" sheetId="69" r:id="rId7"/>
    <sheet name="Cambell Hill (PPA)" sheetId="40" r:id="rId8"/>
    <sheet name="Cedar Springs I (PPA)" sheetId="42" r:id="rId9"/>
    <sheet name="Cedar Springs II" sheetId="70" r:id="rId10"/>
    <sheet name="Cedar Springs III (PPA)" sheetId="43" r:id="rId11"/>
    <sheet name="Dunlap - Repower" sheetId="65" r:id="rId12"/>
    <sheet name="Ekola Flats Wind" sheetId="66" r:id="rId13"/>
    <sheet name="Glenrock I - Repower" sheetId="62" r:id="rId14"/>
    <sheet name="Glenrock III - Repower" sheetId="63" r:id="rId15"/>
    <sheet name="Goodnoe_Hills - Repower" sheetId="24" r:id="rId16"/>
    <sheet name="High Plains - Repower" sheetId="60" r:id="rId17"/>
    <sheet name="JC Boyle (2004 IRP)" sheetId="21" r:id="rId18"/>
    <sheet name="Latigo (PPA)" sheetId="54" r:id="rId19"/>
    <sheet name="Leaning Juniper -Repower" sheetId="30" r:id="rId20"/>
    <sheet name="Lemolo 1 (2003IRP)" sheetId="19" r:id="rId21"/>
    <sheet name="Lemolo 2 (2008 IRP)" sheetId="14" r:id="rId22"/>
    <sheet name="Marengo - Repower" sheetId="31" r:id="rId23"/>
    <sheet name="Marengo 2 - Repower" sheetId="57" r:id="rId24"/>
    <sheet name="McFadden Ridge - Repower" sheetId="61" r:id="rId25"/>
    <sheet name="Mountain Wind I (PPA)" sheetId="44" r:id="rId26"/>
    <sheet name="Mountain Wind II (PPA)" sheetId="45" r:id="rId27"/>
    <sheet name="Pavant II (PPA)" sheetId="55" r:id="rId28"/>
    <sheet name="Pioneer Wind (PPA)" sheetId="56" r:id="rId29"/>
    <sheet name="Prospect 2 (2003 IRP)" sheetId="20" r:id="rId30"/>
    <sheet name="Rock River (PPA)" sheetId="73" r:id="rId31"/>
    <sheet name="Rolling Hills - Repower" sheetId="74" r:id="rId32"/>
    <sheet name="Sage Solar I (PPA)" sheetId="47" r:id="rId33"/>
    <sheet name="Sage Solar II (PPA)" sheetId="48" r:id="rId34"/>
    <sheet name="Sage Solar III (PPA)" sheetId="49" r:id="rId35"/>
    <sheet name="Seven Mile Hill I- Repower" sheetId="58" r:id="rId36"/>
    <sheet name="Seven Mile Hill II- Repower" sheetId="59" r:id="rId37"/>
    <sheet name="Sweetwater (PPA)" sheetId="50" r:id="rId38"/>
    <sheet name="Top of World (PPA)" sheetId="51" r:id="rId39"/>
    <sheet name="TB Flats I Wind" sheetId="67" r:id="rId40"/>
    <sheet name="TB Flats II Wind" sheetId="68" r:id="rId41"/>
    <sheet name="Wolverine Creek PPA" sheetId="72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___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5" hidden="1">{#N/A,#N/A,FALSE,"Summary";#N/A,#N/A,FALSE,"SmPlants";#N/A,#N/A,FALSE,"Utah";#N/A,#N/A,FALSE,"Idaho";#N/A,#N/A,FALSE,"Lewis River";#N/A,#N/A,FALSE,"NrthUmpq";#N/A,#N/A,FALSE,"KlamRog"}</definedName>
    <definedName name="__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__OM1_5" hidden="1">{#N/A,#N/A,FALSE,"Summary";#N/A,#N/A,FALSE,"SmPlants";#N/A,#N/A,FALSE,"Utah";#N/A,#N/A,FALSE,"Idaho";#N/A,#N/A,FALSE,"Lewis River";#N/A,#N/A,FALSE,"NrthUmpq";#N/A,#N/A,FALSE,"KlamRog"}</definedName>
    <definedName name="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OM1_5" hidden="1">{#N/A,#N/A,FALSE,"Summary";#N/A,#N/A,FALSE,"SmPlants";#N/A,#N/A,FALSE,"Utah";#N/A,#N/A,FALSE,"Idaho";#N/A,#N/A,FALSE,"Lewis River";#N/A,#N/A,FALSE,"NrthUmpq";#N/A,#N/A,FALSE,"KlamRog"}</definedName>
    <definedName name="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OM1_1" hidden="1">{#N/A,#N/A,FALSE,"Summary";#N/A,#N/A,FALSE,"SmPlants";#N/A,#N/A,FALSE,"Utah";#N/A,#N/A,FALSE,"Idaho";#N/A,#N/A,FALSE,"Lewis River";#N/A,#N/A,FALSE,"NrthUmpq";#N/A,#N/A,FALSE,"KlamRog"}</definedName>
    <definedName name="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OM1_2" hidden="1">{#N/A,#N/A,FALSE,"Summary";#N/A,#N/A,FALSE,"SmPlants";#N/A,#N/A,FALSE,"Utah";#N/A,#N/A,FALSE,"Idaho";#N/A,#N/A,FALSE,"Lewis River";#N/A,#N/A,FALSE,"NrthUmpq";#N/A,#N/A,FALSE,"KlamRog"}</definedName>
    <definedName name="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OM1_3" hidden="1">{#N/A,#N/A,FALSE,"Summary";#N/A,#N/A,FALSE,"SmPlants";#N/A,#N/A,FALSE,"Utah";#N/A,#N/A,FALSE,"Idaho";#N/A,#N/A,FALSE,"Lewis River";#N/A,#N/A,FALSE,"NrthUmpq";#N/A,#N/A,FALSE,"KlamRog"}</definedName>
    <definedName name="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OM1_4" hidden="1">{#N/A,#N/A,FALSE,"Summary";#N/A,#N/A,FALSE,"SmPlants";#N/A,#N/A,FALSE,"Utah";#N/A,#N/A,FALSE,"Idaho";#N/A,#N/A,FALSE,"Lewis River";#N/A,#N/A,FALSE,"NrthUmpq";#N/A,#N/A,FALSE,"KlamRog"}</definedName>
    <definedName name="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OM1_5" hidden="1">{#N/A,#N/A,FALSE,"Summary";#N/A,#N/A,FALSE,"SmPlants";#N/A,#N/A,FALSE,"Utah";#N/A,#N/A,FALSE,"Idaho";#N/A,#N/A,FALSE,"Lewis River";#N/A,#N/A,FALSE,"NrthUmpq";#N/A,#N/A,FALSE,"KlamRog"}</definedName>
    <definedName name="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OM1_1" hidden="1">{#N/A,#N/A,FALSE,"Summary";#N/A,#N/A,FALSE,"SmPlants";#N/A,#N/A,FALSE,"Utah";#N/A,#N/A,FALSE,"Idaho";#N/A,#N/A,FALSE,"Lewis River";#N/A,#N/A,FALSE,"NrthUmpq";#N/A,#N/A,FALSE,"KlamRog"}</definedName>
    <definedName name="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OM1_2" hidden="1">{#N/A,#N/A,FALSE,"Summary";#N/A,#N/A,FALSE,"SmPlants";#N/A,#N/A,FALSE,"Utah";#N/A,#N/A,FALSE,"Idaho";#N/A,#N/A,FALSE,"Lewis River";#N/A,#N/A,FALSE,"NrthUmpq";#N/A,#N/A,FALSE,"KlamRog"}</definedName>
    <definedName name="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OM1_3" hidden="1">{#N/A,#N/A,FALSE,"Summary";#N/A,#N/A,FALSE,"SmPlants";#N/A,#N/A,FALSE,"Utah";#N/A,#N/A,FALSE,"Idaho";#N/A,#N/A,FALSE,"Lewis River";#N/A,#N/A,FALSE,"NrthUmpq";#N/A,#N/A,FALSE,"KlamRog"}</definedName>
    <definedName name="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OM1_4" hidden="1">{#N/A,#N/A,FALSE,"Summary";#N/A,#N/A,FALSE,"SmPlants";#N/A,#N/A,FALSE,"Utah";#N/A,#N/A,FALSE,"Idaho";#N/A,#N/A,FALSE,"Lewis River";#N/A,#N/A,FALSE,"NrthUmpq";#N/A,#N/A,FALSE,"KlamRog"}</definedName>
    <definedName name="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OM1_5" hidden="1">{#N/A,#N/A,FALSE,"Summary";#N/A,#N/A,FALSE,"SmPlants";#N/A,#N/A,FALSE,"Utah";#N/A,#N/A,FALSE,"Idaho";#N/A,#N/A,FALSE,"Lewis River";#N/A,#N/A,FALSE,"NrthUmpq";#N/A,#N/A,FALSE,"KlamRog"}</definedName>
    <definedName name="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OM1_1" hidden="1">{#N/A,#N/A,FALSE,"Summary";#N/A,#N/A,FALSE,"SmPlants";#N/A,#N/A,FALSE,"Utah";#N/A,#N/A,FALSE,"Idaho";#N/A,#N/A,FALSE,"Lewis River";#N/A,#N/A,FALSE,"NrthUmpq";#N/A,#N/A,FALSE,"KlamRog"}</definedName>
    <definedName name="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OM1_2" hidden="1">{#N/A,#N/A,FALSE,"Summary";#N/A,#N/A,FALSE,"SmPlants";#N/A,#N/A,FALSE,"Utah";#N/A,#N/A,FALSE,"Idaho";#N/A,#N/A,FALSE,"Lewis River";#N/A,#N/A,FALSE,"NrthUmpq";#N/A,#N/A,FALSE,"KlamRog"}</definedName>
    <definedName name="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OM1_3" hidden="1">{#N/A,#N/A,FALSE,"Summary";#N/A,#N/A,FALSE,"SmPlants";#N/A,#N/A,FALSE,"Utah";#N/A,#N/A,FALSE,"Idaho";#N/A,#N/A,FALSE,"Lewis River";#N/A,#N/A,FALSE,"NrthUmpq";#N/A,#N/A,FALSE,"KlamRog"}</definedName>
    <definedName name="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OM1_4" hidden="1">{#N/A,#N/A,FALSE,"Summary";#N/A,#N/A,FALSE,"SmPlants";#N/A,#N/A,FALSE,"Utah";#N/A,#N/A,FALSE,"Idaho";#N/A,#N/A,FALSE,"Lewis River";#N/A,#N/A,FALSE,"NrthUmpq";#N/A,#N/A,FALSE,"KlamRog"}</definedName>
    <definedName name="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OM1_5" hidden="1">{#N/A,#N/A,FALSE,"Summary";#N/A,#N/A,FALSE,"SmPlants";#N/A,#N/A,FALSE,"Utah";#N/A,#N/A,FALSE,"Idaho";#N/A,#N/A,FALSE,"Lewis River";#N/A,#N/A,FALSE,"NrthUmpq";#N/A,#N/A,FALSE,"KlamRog"}</definedName>
    <definedName name="____________OM1" localSheetId="1" hidden="1">{#N/A,#N/A,FALSE,"Summary";#N/A,#N/A,FALSE,"SmPlants";#N/A,#N/A,FALSE,"Utah";#N/A,#N/A,FALSE,"Idaho";#N/A,#N/A,FALSE,"Lewis River";#N/A,#N/A,FALSE,"NrthUmpq";#N/A,#N/A,FALSE,"KlamRog"}</definedName>
    <definedName name="____________OM1" localSheetId="3" hidden="1">{#N/A,#N/A,FALSE,"Summary";#N/A,#N/A,FALSE,"SmPlants";#N/A,#N/A,FALSE,"Utah";#N/A,#N/A,FALSE,"Idaho";#N/A,#N/A,FALSE,"Lewis River";#N/A,#N/A,FALSE,"NrthUmpq";#N/A,#N/A,FALSE,"KlamRog"}</definedName>
    <definedName name="____________OM1" localSheetId="4" hidden="1">{#N/A,#N/A,FALSE,"Summary";#N/A,#N/A,FALSE,"SmPlants";#N/A,#N/A,FALSE,"Utah";#N/A,#N/A,FALSE,"Idaho";#N/A,#N/A,FALSE,"Lewis River";#N/A,#N/A,FALSE,"NrthUmpq";#N/A,#N/A,FALSE,"KlamRog"}</definedName>
    <definedName name="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OM1" localSheetId="0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OM1_1" hidden="1">{#N/A,#N/A,FALSE,"Summary";#N/A,#N/A,FALSE,"SmPlants";#N/A,#N/A,FALSE,"Utah";#N/A,#N/A,FALSE,"Idaho";#N/A,#N/A,FALSE,"Lewis River";#N/A,#N/A,FALSE,"NrthUmpq";#N/A,#N/A,FALSE,"KlamRog"}</definedName>
    <definedName name="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OM1_2" hidden="1">{#N/A,#N/A,FALSE,"Summary";#N/A,#N/A,FALSE,"SmPlants";#N/A,#N/A,FALSE,"Utah";#N/A,#N/A,FALSE,"Idaho";#N/A,#N/A,FALSE,"Lewis River";#N/A,#N/A,FALSE,"NrthUmpq";#N/A,#N/A,FALSE,"KlamRog"}</definedName>
    <definedName name="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OM1_3" hidden="1">{#N/A,#N/A,FALSE,"Summary";#N/A,#N/A,FALSE,"SmPlants";#N/A,#N/A,FALSE,"Utah";#N/A,#N/A,FALSE,"Idaho";#N/A,#N/A,FALSE,"Lewis River";#N/A,#N/A,FALSE,"NrthUmpq";#N/A,#N/A,FALSE,"KlamRog"}</definedName>
    <definedName name="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OM1_4" hidden="1">{#N/A,#N/A,FALSE,"Summary";#N/A,#N/A,FALSE,"SmPlants";#N/A,#N/A,FALSE,"Utah";#N/A,#N/A,FALSE,"Idaho";#N/A,#N/A,FALSE,"Lewis River";#N/A,#N/A,FALSE,"NrthUmpq";#N/A,#N/A,FALSE,"KlamRog"}</definedName>
    <definedName name="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OM1_5" hidden="1">{#N/A,#N/A,FALSE,"Summary";#N/A,#N/A,FALSE,"SmPlants";#N/A,#N/A,FALSE,"Utah";#N/A,#N/A,FALSE,"Idaho";#N/A,#N/A,FALSE,"Lewis River";#N/A,#N/A,FALSE,"NrthUmpq";#N/A,#N/A,FALSE,"KlamRog"}</definedName>
    <definedName name="___________OM1" localSheetId="1" hidden="1">{#N/A,#N/A,FALSE,"Summary";#N/A,#N/A,FALSE,"SmPlants";#N/A,#N/A,FALSE,"Utah";#N/A,#N/A,FALSE,"Idaho";#N/A,#N/A,FALSE,"Lewis River";#N/A,#N/A,FALSE,"NrthUmpq";#N/A,#N/A,FALSE,"KlamRog"}</definedName>
    <definedName name="___________OM1" localSheetId="3" hidden="1">{#N/A,#N/A,FALSE,"Summary";#N/A,#N/A,FALSE,"SmPlants";#N/A,#N/A,FALSE,"Utah";#N/A,#N/A,FALSE,"Idaho";#N/A,#N/A,FALSE,"Lewis River";#N/A,#N/A,FALSE,"NrthUmpq";#N/A,#N/A,FALSE,"KlamRog"}</definedName>
    <definedName name="___________OM1" localSheetId="4" hidden="1">{#N/A,#N/A,FALSE,"Summary";#N/A,#N/A,FALSE,"SmPlants";#N/A,#N/A,FALSE,"Utah";#N/A,#N/A,FALSE,"Idaho";#N/A,#N/A,FALSE,"Lewis River";#N/A,#N/A,FALSE,"NrthUmpq";#N/A,#N/A,FALSE,"KlamRog"}</definedName>
    <definedName name="___________OM1" localSheetId="13" hidden="1">{#N/A,#N/A,FALSE,"Summary";#N/A,#N/A,FALSE,"SmPlants";#N/A,#N/A,FALSE,"Utah";#N/A,#N/A,FALSE,"Idaho";#N/A,#N/A,FALSE,"Lewis River";#N/A,#N/A,FALSE,"NrthUmpq";#N/A,#N/A,FALSE,"KlamRog"}</definedName>
    <definedName name="___________OM1" localSheetId="14" hidden="1">{#N/A,#N/A,FALSE,"Summary";#N/A,#N/A,FALSE,"SmPlants";#N/A,#N/A,FALSE,"Utah";#N/A,#N/A,FALSE,"Idaho";#N/A,#N/A,FALSE,"Lewis River";#N/A,#N/A,FALSE,"NrthUmpq";#N/A,#N/A,FALSE,"KlamRog"}</definedName>
    <definedName name="___________OM1" localSheetId="15" hidden="1">{#N/A,#N/A,FALSE,"Summary";#N/A,#N/A,FALSE,"SmPlants";#N/A,#N/A,FALSE,"Utah";#N/A,#N/A,FALSE,"Idaho";#N/A,#N/A,FALSE,"Lewis River";#N/A,#N/A,FALSE,"NrthUmpq";#N/A,#N/A,FALSE,"KlamRog"}</definedName>
    <definedName name="___________OM1" localSheetId="16" hidden="1">{#N/A,#N/A,FALSE,"Summary";#N/A,#N/A,FALSE,"SmPlants";#N/A,#N/A,FALSE,"Utah";#N/A,#N/A,FALSE,"Idaho";#N/A,#N/A,FALSE,"Lewis River";#N/A,#N/A,FALSE,"NrthUmpq";#N/A,#N/A,FALSE,"KlamRog"}</definedName>
    <definedName name="___________OM1" localSheetId="19" hidden="1">{#N/A,#N/A,FALSE,"Summary";#N/A,#N/A,FALSE,"SmPlants";#N/A,#N/A,FALSE,"Utah";#N/A,#N/A,FALSE,"Idaho";#N/A,#N/A,FALSE,"Lewis River";#N/A,#N/A,FALSE,"NrthUmpq";#N/A,#N/A,FALSE,"KlamRog"}</definedName>
    <definedName name="___________OM1" localSheetId="22" hidden="1">{#N/A,#N/A,FALSE,"Summary";#N/A,#N/A,FALSE,"SmPlants";#N/A,#N/A,FALSE,"Utah";#N/A,#N/A,FALSE,"Idaho";#N/A,#N/A,FALSE,"Lewis River";#N/A,#N/A,FALSE,"NrthUmpq";#N/A,#N/A,FALSE,"KlamRog"}</definedName>
    <definedName name="___________OM1" localSheetId="23" hidden="1">{#N/A,#N/A,FALSE,"Summary";#N/A,#N/A,FALSE,"SmPlants";#N/A,#N/A,FALSE,"Utah";#N/A,#N/A,FALSE,"Idaho";#N/A,#N/A,FALSE,"Lewis River";#N/A,#N/A,FALSE,"NrthUmpq";#N/A,#N/A,FALSE,"KlamRog"}</definedName>
    <definedName name="___________OM1" localSheetId="24" hidden="1">{#N/A,#N/A,FALSE,"Summary";#N/A,#N/A,FALSE,"SmPlants";#N/A,#N/A,FALSE,"Utah";#N/A,#N/A,FALSE,"Idaho";#N/A,#N/A,FALSE,"Lewis River";#N/A,#N/A,FALSE,"NrthUmpq";#N/A,#N/A,FALSE,"KlamRog"}</definedName>
    <definedName name="___________OM1" localSheetId="25" hidden="1">{#N/A,#N/A,FALSE,"Summary";#N/A,#N/A,FALSE,"SmPlants";#N/A,#N/A,FALSE,"Utah";#N/A,#N/A,FALSE,"Idaho";#N/A,#N/A,FALSE,"Lewis River";#N/A,#N/A,FALSE,"NrthUmpq";#N/A,#N/A,FALSE,"KlamRog"}</definedName>
    <definedName name="___________OM1" localSheetId="26" hidden="1">{#N/A,#N/A,FALSE,"Summary";#N/A,#N/A,FALSE,"SmPlants";#N/A,#N/A,FALSE,"Utah";#N/A,#N/A,FALSE,"Idaho";#N/A,#N/A,FALSE,"Lewis River";#N/A,#N/A,FALSE,"NrthUmpq";#N/A,#N/A,FALSE,"KlamRog"}</definedName>
    <definedName name="___________OM1" localSheetId="31" hidden="1">{#N/A,#N/A,FALSE,"Summary";#N/A,#N/A,FALSE,"SmPlants";#N/A,#N/A,FALSE,"Utah";#N/A,#N/A,FALSE,"Idaho";#N/A,#N/A,FALSE,"Lewis River";#N/A,#N/A,FALSE,"NrthUmpq";#N/A,#N/A,FALSE,"KlamRog"}</definedName>
    <definedName name="___________OM1" localSheetId="35" hidden="1">{#N/A,#N/A,FALSE,"Summary";#N/A,#N/A,FALSE,"SmPlants";#N/A,#N/A,FALSE,"Utah";#N/A,#N/A,FALSE,"Idaho";#N/A,#N/A,FALSE,"Lewis River";#N/A,#N/A,FALSE,"NrthUmpq";#N/A,#N/A,FALSE,"KlamRog"}</definedName>
    <definedName name="___________OM1" localSheetId="36" hidden="1">{#N/A,#N/A,FALSE,"Summary";#N/A,#N/A,FALSE,"SmPlants";#N/A,#N/A,FALSE,"Utah";#N/A,#N/A,FALSE,"Idaho";#N/A,#N/A,FALSE,"Lewis River";#N/A,#N/A,FALSE,"NrthUmpq";#N/A,#N/A,FALSE,"KlamRog"}</definedName>
    <definedName name="___________OM1" localSheetId="0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OM1_1" localSheetId="1" hidden="1">{#N/A,#N/A,FALSE,"Summary";#N/A,#N/A,FALSE,"SmPlants";#N/A,#N/A,FALSE,"Utah";#N/A,#N/A,FALSE,"Idaho";#N/A,#N/A,FALSE,"Lewis River";#N/A,#N/A,FALSE,"NrthUmpq";#N/A,#N/A,FALSE,"KlamRog"}</definedName>
    <definedName name="___________OM1_1" localSheetId="3" hidden="1">{#N/A,#N/A,FALSE,"Summary";#N/A,#N/A,FALSE,"SmPlants";#N/A,#N/A,FALSE,"Utah";#N/A,#N/A,FALSE,"Idaho";#N/A,#N/A,FALSE,"Lewis River";#N/A,#N/A,FALSE,"NrthUmpq";#N/A,#N/A,FALSE,"KlamRog"}</definedName>
    <definedName name="___________OM1_1" localSheetId="4" hidden="1">{#N/A,#N/A,FALSE,"Summary";#N/A,#N/A,FALSE,"SmPlants";#N/A,#N/A,FALSE,"Utah";#N/A,#N/A,FALSE,"Idaho";#N/A,#N/A,FALSE,"Lewis River";#N/A,#N/A,FALSE,"NrthUmpq";#N/A,#N/A,FALSE,"KlamRog"}</definedName>
    <definedName name="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OM1_1" localSheetId="0" hidden="1">{#N/A,#N/A,FALSE,"Summary";#N/A,#N/A,FALSE,"SmPlants";#N/A,#N/A,FALSE,"Utah";#N/A,#N/A,FALSE,"Idaho";#N/A,#N/A,FALSE,"Lewis River";#N/A,#N/A,FALSE,"NrthUmpq";#N/A,#N/A,FALSE,"KlamRog"}</definedName>
    <definedName name="___________OM1_1" hidden="1">{#N/A,#N/A,FALSE,"Summary";#N/A,#N/A,FALSE,"SmPlants";#N/A,#N/A,FALSE,"Utah";#N/A,#N/A,FALSE,"Idaho";#N/A,#N/A,FALSE,"Lewis River";#N/A,#N/A,FALSE,"NrthUmpq";#N/A,#N/A,FALSE,"KlamRog"}</definedName>
    <definedName name="___________OM1_2" localSheetId="1" hidden="1">{#N/A,#N/A,FALSE,"Summary";#N/A,#N/A,FALSE,"SmPlants";#N/A,#N/A,FALSE,"Utah";#N/A,#N/A,FALSE,"Idaho";#N/A,#N/A,FALSE,"Lewis River";#N/A,#N/A,FALSE,"NrthUmpq";#N/A,#N/A,FALSE,"KlamRog"}</definedName>
    <definedName name="___________OM1_2" localSheetId="3" hidden="1">{#N/A,#N/A,FALSE,"Summary";#N/A,#N/A,FALSE,"SmPlants";#N/A,#N/A,FALSE,"Utah";#N/A,#N/A,FALSE,"Idaho";#N/A,#N/A,FALSE,"Lewis River";#N/A,#N/A,FALSE,"NrthUmpq";#N/A,#N/A,FALSE,"KlamRog"}</definedName>
    <definedName name="___________OM1_2" localSheetId="4" hidden="1">{#N/A,#N/A,FALSE,"Summary";#N/A,#N/A,FALSE,"SmPlants";#N/A,#N/A,FALSE,"Utah";#N/A,#N/A,FALSE,"Idaho";#N/A,#N/A,FALSE,"Lewis River";#N/A,#N/A,FALSE,"NrthUmpq";#N/A,#N/A,FALSE,"KlamRog"}</definedName>
    <definedName name="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OM1_2" localSheetId="0" hidden="1">{#N/A,#N/A,FALSE,"Summary";#N/A,#N/A,FALSE,"SmPlants";#N/A,#N/A,FALSE,"Utah";#N/A,#N/A,FALSE,"Idaho";#N/A,#N/A,FALSE,"Lewis River";#N/A,#N/A,FALSE,"NrthUmpq";#N/A,#N/A,FALSE,"KlamRog"}</definedName>
    <definedName name="___________OM1_2" hidden="1">{#N/A,#N/A,FALSE,"Summary";#N/A,#N/A,FALSE,"SmPlants";#N/A,#N/A,FALSE,"Utah";#N/A,#N/A,FALSE,"Idaho";#N/A,#N/A,FALSE,"Lewis River";#N/A,#N/A,FALSE,"NrthUmpq";#N/A,#N/A,FALSE,"KlamRog"}</definedName>
    <definedName name="___________OM1_3" localSheetId="1" hidden="1">{#N/A,#N/A,FALSE,"Summary";#N/A,#N/A,FALSE,"SmPlants";#N/A,#N/A,FALSE,"Utah";#N/A,#N/A,FALSE,"Idaho";#N/A,#N/A,FALSE,"Lewis River";#N/A,#N/A,FALSE,"NrthUmpq";#N/A,#N/A,FALSE,"KlamRog"}</definedName>
    <definedName name="___________OM1_3" localSheetId="3" hidden="1">{#N/A,#N/A,FALSE,"Summary";#N/A,#N/A,FALSE,"SmPlants";#N/A,#N/A,FALSE,"Utah";#N/A,#N/A,FALSE,"Idaho";#N/A,#N/A,FALSE,"Lewis River";#N/A,#N/A,FALSE,"NrthUmpq";#N/A,#N/A,FALSE,"KlamRog"}</definedName>
    <definedName name="___________OM1_3" localSheetId="4" hidden="1">{#N/A,#N/A,FALSE,"Summary";#N/A,#N/A,FALSE,"SmPlants";#N/A,#N/A,FALSE,"Utah";#N/A,#N/A,FALSE,"Idaho";#N/A,#N/A,FALSE,"Lewis River";#N/A,#N/A,FALSE,"NrthUmpq";#N/A,#N/A,FALSE,"KlamRog"}</definedName>
    <definedName name="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OM1_3" localSheetId="0" hidden="1">{#N/A,#N/A,FALSE,"Summary";#N/A,#N/A,FALSE,"SmPlants";#N/A,#N/A,FALSE,"Utah";#N/A,#N/A,FALSE,"Idaho";#N/A,#N/A,FALSE,"Lewis River";#N/A,#N/A,FALSE,"NrthUmpq";#N/A,#N/A,FALSE,"KlamRog"}</definedName>
    <definedName name="___________OM1_3" hidden="1">{#N/A,#N/A,FALSE,"Summary";#N/A,#N/A,FALSE,"SmPlants";#N/A,#N/A,FALSE,"Utah";#N/A,#N/A,FALSE,"Idaho";#N/A,#N/A,FALSE,"Lewis River";#N/A,#N/A,FALSE,"NrthUmpq";#N/A,#N/A,FALSE,"KlamRog"}</definedName>
    <definedName name="___________OM1_4" localSheetId="1" hidden="1">{#N/A,#N/A,FALSE,"Summary";#N/A,#N/A,FALSE,"SmPlants";#N/A,#N/A,FALSE,"Utah";#N/A,#N/A,FALSE,"Idaho";#N/A,#N/A,FALSE,"Lewis River";#N/A,#N/A,FALSE,"NrthUmpq";#N/A,#N/A,FALSE,"KlamRog"}</definedName>
    <definedName name="___________OM1_4" localSheetId="3" hidden="1">{#N/A,#N/A,FALSE,"Summary";#N/A,#N/A,FALSE,"SmPlants";#N/A,#N/A,FALSE,"Utah";#N/A,#N/A,FALSE,"Idaho";#N/A,#N/A,FALSE,"Lewis River";#N/A,#N/A,FALSE,"NrthUmpq";#N/A,#N/A,FALSE,"KlamRog"}</definedName>
    <definedName name="___________OM1_4" localSheetId="4" hidden="1">{#N/A,#N/A,FALSE,"Summary";#N/A,#N/A,FALSE,"SmPlants";#N/A,#N/A,FALSE,"Utah";#N/A,#N/A,FALSE,"Idaho";#N/A,#N/A,FALSE,"Lewis River";#N/A,#N/A,FALSE,"NrthUmpq";#N/A,#N/A,FALSE,"KlamRog"}</definedName>
    <definedName name="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OM1_4" localSheetId="0" hidden="1">{#N/A,#N/A,FALSE,"Summary";#N/A,#N/A,FALSE,"SmPlants";#N/A,#N/A,FALSE,"Utah";#N/A,#N/A,FALSE,"Idaho";#N/A,#N/A,FALSE,"Lewis River";#N/A,#N/A,FALSE,"NrthUmpq";#N/A,#N/A,FALSE,"KlamRog"}</definedName>
    <definedName name="___________OM1_4" hidden="1">{#N/A,#N/A,FALSE,"Summary";#N/A,#N/A,FALSE,"SmPlants";#N/A,#N/A,FALSE,"Utah";#N/A,#N/A,FALSE,"Idaho";#N/A,#N/A,FALSE,"Lewis River";#N/A,#N/A,FALSE,"NrthUmpq";#N/A,#N/A,FALSE,"KlamRog"}</definedName>
    <definedName name="___________OM1_5" localSheetId="1" hidden="1">{#N/A,#N/A,FALSE,"Summary";#N/A,#N/A,FALSE,"SmPlants";#N/A,#N/A,FALSE,"Utah";#N/A,#N/A,FALSE,"Idaho";#N/A,#N/A,FALSE,"Lewis River";#N/A,#N/A,FALSE,"NrthUmpq";#N/A,#N/A,FALSE,"KlamRog"}</definedName>
    <definedName name="___________OM1_5" localSheetId="3" hidden="1">{#N/A,#N/A,FALSE,"Summary";#N/A,#N/A,FALSE,"SmPlants";#N/A,#N/A,FALSE,"Utah";#N/A,#N/A,FALSE,"Idaho";#N/A,#N/A,FALSE,"Lewis River";#N/A,#N/A,FALSE,"NrthUmpq";#N/A,#N/A,FALSE,"KlamRog"}</definedName>
    <definedName name="___________OM1_5" localSheetId="4" hidden="1">{#N/A,#N/A,FALSE,"Summary";#N/A,#N/A,FALSE,"SmPlants";#N/A,#N/A,FALSE,"Utah";#N/A,#N/A,FALSE,"Idaho";#N/A,#N/A,FALSE,"Lewis River";#N/A,#N/A,FALSE,"NrthUmpq";#N/A,#N/A,FALSE,"KlamRog"}</definedName>
    <definedName name="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OM1_5" localSheetId="0" hidden="1">{#N/A,#N/A,FALSE,"Summary";#N/A,#N/A,FALSE,"SmPlants";#N/A,#N/A,FALSE,"Utah";#N/A,#N/A,FALSE,"Idaho";#N/A,#N/A,FALSE,"Lewis River";#N/A,#N/A,FALSE,"NrthUmpq";#N/A,#N/A,FALSE,"KlamRog"}</definedName>
    <definedName name="___________OM1_5" hidden="1">{#N/A,#N/A,FALSE,"Summary";#N/A,#N/A,FALSE,"SmPlants";#N/A,#N/A,FALSE,"Utah";#N/A,#N/A,FALSE,"Idaho";#N/A,#N/A,FALSE,"Lewis River";#N/A,#N/A,FALSE,"NrthUmpq";#N/A,#N/A,FALSE,"KlamRog"}</definedName>
    <definedName name="_________OM1" localSheetId="1" hidden="1">{#N/A,#N/A,FALSE,"Summary";#N/A,#N/A,FALSE,"SmPlants";#N/A,#N/A,FALSE,"Utah";#N/A,#N/A,FALSE,"Idaho";#N/A,#N/A,FALSE,"Lewis River";#N/A,#N/A,FALSE,"NrthUmpq";#N/A,#N/A,FALSE,"KlamRog"}</definedName>
    <definedName name="_________OM1" localSheetId="3" hidden="1">{#N/A,#N/A,FALSE,"Summary";#N/A,#N/A,FALSE,"SmPlants";#N/A,#N/A,FALSE,"Utah";#N/A,#N/A,FALSE,"Idaho";#N/A,#N/A,FALSE,"Lewis River";#N/A,#N/A,FALSE,"NrthUmpq";#N/A,#N/A,FALSE,"KlamRog"}</definedName>
    <definedName name="_________OM1" localSheetId="4" hidden="1">{#N/A,#N/A,FALSE,"Summary";#N/A,#N/A,FALSE,"SmPlants";#N/A,#N/A,FALSE,"Utah";#N/A,#N/A,FALSE,"Idaho";#N/A,#N/A,FALSE,"Lewis River";#N/A,#N/A,FALSE,"NrthUmpq";#N/A,#N/A,FALSE,"KlamRog"}</definedName>
    <definedName name="_________OM1" localSheetId="13" hidden="1">{#N/A,#N/A,FALSE,"Summary";#N/A,#N/A,FALSE,"SmPlants";#N/A,#N/A,FALSE,"Utah";#N/A,#N/A,FALSE,"Idaho";#N/A,#N/A,FALSE,"Lewis River";#N/A,#N/A,FALSE,"NrthUmpq";#N/A,#N/A,FALSE,"KlamRog"}</definedName>
    <definedName name="_________OM1" localSheetId="14" hidden="1">{#N/A,#N/A,FALSE,"Summary";#N/A,#N/A,FALSE,"SmPlants";#N/A,#N/A,FALSE,"Utah";#N/A,#N/A,FALSE,"Idaho";#N/A,#N/A,FALSE,"Lewis River";#N/A,#N/A,FALSE,"NrthUmpq";#N/A,#N/A,FALSE,"KlamRog"}</definedName>
    <definedName name="_________OM1" localSheetId="15" hidden="1">{#N/A,#N/A,FALSE,"Summary";#N/A,#N/A,FALSE,"SmPlants";#N/A,#N/A,FALSE,"Utah";#N/A,#N/A,FALSE,"Idaho";#N/A,#N/A,FALSE,"Lewis River";#N/A,#N/A,FALSE,"NrthUmpq";#N/A,#N/A,FALSE,"KlamRog"}</definedName>
    <definedName name="_________OM1" localSheetId="16" hidden="1">{#N/A,#N/A,FALSE,"Summary";#N/A,#N/A,FALSE,"SmPlants";#N/A,#N/A,FALSE,"Utah";#N/A,#N/A,FALSE,"Idaho";#N/A,#N/A,FALSE,"Lewis River";#N/A,#N/A,FALSE,"NrthUmpq";#N/A,#N/A,FALSE,"KlamRog"}</definedName>
    <definedName name="_________OM1" localSheetId="19" hidden="1">{#N/A,#N/A,FALSE,"Summary";#N/A,#N/A,FALSE,"SmPlants";#N/A,#N/A,FALSE,"Utah";#N/A,#N/A,FALSE,"Idaho";#N/A,#N/A,FALSE,"Lewis River";#N/A,#N/A,FALSE,"NrthUmpq";#N/A,#N/A,FALSE,"KlamRog"}</definedName>
    <definedName name="_________OM1" localSheetId="22" hidden="1">{#N/A,#N/A,FALSE,"Summary";#N/A,#N/A,FALSE,"SmPlants";#N/A,#N/A,FALSE,"Utah";#N/A,#N/A,FALSE,"Idaho";#N/A,#N/A,FALSE,"Lewis River";#N/A,#N/A,FALSE,"NrthUmpq";#N/A,#N/A,FALSE,"KlamRog"}</definedName>
    <definedName name="_________OM1" localSheetId="23" hidden="1">{#N/A,#N/A,FALSE,"Summary";#N/A,#N/A,FALSE,"SmPlants";#N/A,#N/A,FALSE,"Utah";#N/A,#N/A,FALSE,"Idaho";#N/A,#N/A,FALSE,"Lewis River";#N/A,#N/A,FALSE,"NrthUmpq";#N/A,#N/A,FALSE,"KlamRog"}</definedName>
    <definedName name="_________OM1" localSheetId="24" hidden="1">{#N/A,#N/A,FALSE,"Summary";#N/A,#N/A,FALSE,"SmPlants";#N/A,#N/A,FALSE,"Utah";#N/A,#N/A,FALSE,"Idaho";#N/A,#N/A,FALSE,"Lewis River";#N/A,#N/A,FALSE,"NrthUmpq";#N/A,#N/A,FALSE,"KlamRog"}</definedName>
    <definedName name="_________OM1" localSheetId="25" hidden="1">{#N/A,#N/A,FALSE,"Summary";#N/A,#N/A,FALSE,"SmPlants";#N/A,#N/A,FALSE,"Utah";#N/A,#N/A,FALSE,"Idaho";#N/A,#N/A,FALSE,"Lewis River";#N/A,#N/A,FALSE,"NrthUmpq";#N/A,#N/A,FALSE,"KlamRog"}</definedName>
    <definedName name="_________OM1" localSheetId="26" hidden="1">{#N/A,#N/A,FALSE,"Summary";#N/A,#N/A,FALSE,"SmPlants";#N/A,#N/A,FALSE,"Utah";#N/A,#N/A,FALSE,"Idaho";#N/A,#N/A,FALSE,"Lewis River";#N/A,#N/A,FALSE,"NrthUmpq";#N/A,#N/A,FALSE,"KlamRog"}</definedName>
    <definedName name="_________OM1" localSheetId="31" hidden="1">{#N/A,#N/A,FALSE,"Summary";#N/A,#N/A,FALSE,"SmPlants";#N/A,#N/A,FALSE,"Utah";#N/A,#N/A,FALSE,"Idaho";#N/A,#N/A,FALSE,"Lewis River";#N/A,#N/A,FALSE,"NrthUmpq";#N/A,#N/A,FALSE,"KlamRog"}</definedName>
    <definedName name="_________OM1" localSheetId="35" hidden="1">{#N/A,#N/A,FALSE,"Summary";#N/A,#N/A,FALSE,"SmPlants";#N/A,#N/A,FALSE,"Utah";#N/A,#N/A,FALSE,"Idaho";#N/A,#N/A,FALSE,"Lewis River";#N/A,#N/A,FALSE,"NrthUmpq";#N/A,#N/A,FALSE,"KlamRog"}</definedName>
    <definedName name="_________OM1" localSheetId="36" hidden="1">{#N/A,#N/A,FALSE,"Summary";#N/A,#N/A,FALSE,"SmPlants";#N/A,#N/A,FALSE,"Utah";#N/A,#N/A,FALSE,"Idaho";#N/A,#N/A,FALSE,"Lewis River";#N/A,#N/A,FALSE,"NrthUmpq";#N/A,#N/A,FALSE,"KlamRog"}</definedName>
    <definedName name="_________OM1" localSheetId="0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OM1_1" localSheetId="1" hidden="1">{#N/A,#N/A,FALSE,"Summary";#N/A,#N/A,FALSE,"SmPlants";#N/A,#N/A,FALSE,"Utah";#N/A,#N/A,FALSE,"Idaho";#N/A,#N/A,FALSE,"Lewis River";#N/A,#N/A,FALSE,"NrthUmpq";#N/A,#N/A,FALSE,"KlamRog"}</definedName>
    <definedName name="_________OM1_1" localSheetId="3" hidden="1">{#N/A,#N/A,FALSE,"Summary";#N/A,#N/A,FALSE,"SmPlants";#N/A,#N/A,FALSE,"Utah";#N/A,#N/A,FALSE,"Idaho";#N/A,#N/A,FALSE,"Lewis River";#N/A,#N/A,FALSE,"NrthUmpq";#N/A,#N/A,FALSE,"KlamRog"}</definedName>
    <definedName name="_________OM1_1" localSheetId="4" hidden="1">{#N/A,#N/A,FALSE,"Summary";#N/A,#N/A,FALSE,"SmPlants";#N/A,#N/A,FALSE,"Utah";#N/A,#N/A,FALSE,"Idaho";#N/A,#N/A,FALSE,"Lewis River";#N/A,#N/A,FALSE,"NrthUmpq";#N/A,#N/A,FALSE,"KlamRog"}</definedName>
    <definedName name="_________OM1_1" localSheetId="13" hidden="1">{#N/A,#N/A,FALSE,"Summary";#N/A,#N/A,FALSE,"SmPlants";#N/A,#N/A,FALSE,"Utah";#N/A,#N/A,FALSE,"Idaho";#N/A,#N/A,FALSE,"Lewis River";#N/A,#N/A,FALSE,"NrthUmpq";#N/A,#N/A,FALSE,"KlamRog"}</definedName>
    <definedName name="_________OM1_1" localSheetId="14" hidden="1">{#N/A,#N/A,FALSE,"Summary";#N/A,#N/A,FALSE,"SmPlants";#N/A,#N/A,FALSE,"Utah";#N/A,#N/A,FALSE,"Idaho";#N/A,#N/A,FALSE,"Lewis River";#N/A,#N/A,FALSE,"NrthUmpq";#N/A,#N/A,FALSE,"KlamRog"}</definedName>
    <definedName name="_________OM1_1" localSheetId="15" hidden="1">{#N/A,#N/A,FALSE,"Summary";#N/A,#N/A,FALSE,"SmPlants";#N/A,#N/A,FALSE,"Utah";#N/A,#N/A,FALSE,"Idaho";#N/A,#N/A,FALSE,"Lewis River";#N/A,#N/A,FALSE,"NrthUmpq";#N/A,#N/A,FALSE,"KlamRog"}</definedName>
    <definedName name="_________OM1_1" localSheetId="16" hidden="1">{#N/A,#N/A,FALSE,"Summary";#N/A,#N/A,FALSE,"SmPlants";#N/A,#N/A,FALSE,"Utah";#N/A,#N/A,FALSE,"Idaho";#N/A,#N/A,FALSE,"Lewis River";#N/A,#N/A,FALSE,"NrthUmpq";#N/A,#N/A,FALSE,"KlamRog"}</definedName>
    <definedName name="_________OM1_1" localSheetId="19" hidden="1">{#N/A,#N/A,FALSE,"Summary";#N/A,#N/A,FALSE,"SmPlants";#N/A,#N/A,FALSE,"Utah";#N/A,#N/A,FALSE,"Idaho";#N/A,#N/A,FALSE,"Lewis River";#N/A,#N/A,FALSE,"NrthUmpq";#N/A,#N/A,FALSE,"KlamRog"}</definedName>
    <definedName name="_________OM1_1" localSheetId="22" hidden="1">{#N/A,#N/A,FALSE,"Summary";#N/A,#N/A,FALSE,"SmPlants";#N/A,#N/A,FALSE,"Utah";#N/A,#N/A,FALSE,"Idaho";#N/A,#N/A,FALSE,"Lewis River";#N/A,#N/A,FALSE,"NrthUmpq";#N/A,#N/A,FALSE,"KlamRog"}</definedName>
    <definedName name="_________OM1_1" localSheetId="23" hidden="1">{#N/A,#N/A,FALSE,"Summary";#N/A,#N/A,FALSE,"SmPlants";#N/A,#N/A,FALSE,"Utah";#N/A,#N/A,FALSE,"Idaho";#N/A,#N/A,FALSE,"Lewis River";#N/A,#N/A,FALSE,"NrthUmpq";#N/A,#N/A,FALSE,"KlamRog"}</definedName>
    <definedName name="_________OM1_1" localSheetId="24" hidden="1">{#N/A,#N/A,FALSE,"Summary";#N/A,#N/A,FALSE,"SmPlants";#N/A,#N/A,FALSE,"Utah";#N/A,#N/A,FALSE,"Idaho";#N/A,#N/A,FALSE,"Lewis River";#N/A,#N/A,FALSE,"NrthUmpq";#N/A,#N/A,FALSE,"KlamRog"}</definedName>
    <definedName name="_________OM1_1" localSheetId="25" hidden="1">{#N/A,#N/A,FALSE,"Summary";#N/A,#N/A,FALSE,"SmPlants";#N/A,#N/A,FALSE,"Utah";#N/A,#N/A,FALSE,"Idaho";#N/A,#N/A,FALSE,"Lewis River";#N/A,#N/A,FALSE,"NrthUmpq";#N/A,#N/A,FALSE,"KlamRog"}</definedName>
    <definedName name="_________OM1_1" localSheetId="26" hidden="1">{#N/A,#N/A,FALSE,"Summary";#N/A,#N/A,FALSE,"SmPlants";#N/A,#N/A,FALSE,"Utah";#N/A,#N/A,FALSE,"Idaho";#N/A,#N/A,FALSE,"Lewis River";#N/A,#N/A,FALSE,"NrthUmpq";#N/A,#N/A,FALSE,"KlamRog"}</definedName>
    <definedName name="_________OM1_1" localSheetId="31" hidden="1">{#N/A,#N/A,FALSE,"Summary";#N/A,#N/A,FALSE,"SmPlants";#N/A,#N/A,FALSE,"Utah";#N/A,#N/A,FALSE,"Idaho";#N/A,#N/A,FALSE,"Lewis River";#N/A,#N/A,FALSE,"NrthUmpq";#N/A,#N/A,FALSE,"KlamRog"}</definedName>
    <definedName name="_________OM1_1" localSheetId="35" hidden="1">{#N/A,#N/A,FALSE,"Summary";#N/A,#N/A,FALSE,"SmPlants";#N/A,#N/A,FALSE,"Utah";#N/A,#N/A,FALSE,"Idaho";#N/A,#N/A,FALSE,"Lewis River";#N/A,#N/A,FALSE,"NrthUmpq";#N/A,#N/A,FALSE,"KlamRog"}</definedName>
    <definedName name="_________OM1_1" localSheetId="36" hidden="1">{#N/A,#N/A,FALSE,"Summary";#N/A,#N/A,FALSE,"SmPlants";#N/A,#N/A,FALSE,"Utah";#N/A,#N/A,FALSE,"Idaho";#N/A,#N/A,FALSE,"Lewis River";#N/A,#N/A,FALSE,"NrthUmpq";#N/A,#N/A,FALSE,"KlamRog"}</definedName>
    <definedName name="_________OM1_1" localSheetId="0" hidden="1">{#N/A,#N/A,FALSE,"Summary";#N/A,#N/A,FALSE,"SmPlants";#N/A,#N/A,FALSE,"Utah";#N/A,#N/A,FALSE,"Idaho";#N/A,#N/A,FALSE,"Lewis River";#N/A,#N/A,FALSE,"NrthUmpq";#N/A,#N/A,FALSE,"KlamRog"}</definedName>
    <definedName name="_________OM1_1" hidden="1">{#N/A,#N/A,FALSE,"Summary";#N/A,#N/A,FALSE,"SmPlants";#N/A,#N/A,FALSE,"Utah";#N/A,#N/A,FALSE,"Idaho";#N/A,#N/A,FALSE,"Lewis River";#N/A,#N/A,FALSE,"NrthUmpq";#N/A,#N/A,FALSE,"KlamRog"}</definedName>
    <definedName name="_________OM1_2" localSheetId="1" hidden="1">{#N/A,#N/A,FALSE,"Summary";#N/A,#N/A,FALSE,"SmPlants";#N/A,#N/A,FALSE,"Utah";#N/A,#N/A,FALSE,"Idaho";#N/A,#N/A,FALSE,"Lewis River";#N/A,#N/A,FALSE,"NrthUmpq";#N/A,#N/A,FALSE,"KlamRog"}</definedName>
    <definedName name="_________OM1_2" localSheetId="3" hidden="1">{#N/A,#N/A,FALSE,"Summary";#N/A,#N/A,FALSE,"SmPlants";#N/A,#N/A,FALSE,"Utah";#N/A,#N/A,FALSE,"Idaho";#N/A,#N/A,FALSE,"Lewis River";#N/A,#N/A,FALSE,"NrthUmpq";#N/A,#N/A,FALSE,"KlamRog"}</definedName>
    <definedName name="_________OM1_2" localSheetId="4" hidden="1">{#N/A,#N/A,FALSE,"Summary";#N/A,#N/A,FALSE,"SmPlants";#N/A,#N/A,FALSE,"Utah";#N/A,#N/A,FALSE,"Idaho";#N/A,#N/A,FALSE,"Lewis River";#N/A,#N/A,FALSE,"NrthUmpq";#N/A,#N/A,FALSE,"KlamRog"}</definedName>
    <definedName name="_________OM1_2" localSheetId="13" hidden="1">{#N/A,#N/A,FALSE,"Summary";#N/A,#N/A,FALSE,"SmPlants";#N/A,#N/A,FALSE,"Utah";#N/A,#N/A,FALSE,"Idaho";#N/A,#N/A,FALSE,"Lewis River";#N/A,#N/A,FALSE,"NrthUmpq";#N/A,#N/A,FALSE,"KlamRog"}</definedName>
    <definedName name="_________OM1_2" localSheetId="14" hidden="1">{#N/A,#N/A,FALSE,"Summary";#N/A,#N/A,FALSE,"SmPlants";#N/A,#N/A,FALSE,"Utah";#N/A,#N/A,FALSE,"Idaho";#N/A,#N/A,FALSE,"Lewis River";#N/A,#N/A,FALSE,"NrthUmpq";#N/A,#N/A,FALSE,"KlamRog"}</definedName>
    <definedName name="_________OM1_2" localSheetId="15" hidden="1">{#N/A,#N/A,FALSE,"Summary";#N/A,#N/A,FALSE,"SmPlants";#N/A,#N/A,FALSE,"Utah";#N/A,#N/A,FALSE,"Idaho";#N/A,#N/A,FALSE,"Lewis River";#N/A,#N/A,FALSE,"NrthUmpq";#N/A,#N/A,FALSE,"KlamRog"}</definedName>
    <definedName name="_________OM1_2" localSheetId="16" hidden="1">{#N/A,#N/A,FALSE,"Summary";#N/A,#N/A,FALSE,"SmPlants";#N/A,#N/A,FALSE,"Utah";#N/A,#N/A,FALSE,"Idaho";#N/A,#N/A,FALSE,"Lewis River";#N/A,#N/A,FALSE,"NrthUmpq";#N/A,#N/A,FALSE,"KlamRog"}</definedName>
    <definedName name="_________OM1_2" localSheetId="19" hidden="1">{#N/A,#N/A,FALSE,"Summary";#N/A,#N/A,FALSE,"SmPlants";#N/A,#N/A,FALSE,"Utah";#N/A,#N/A,FALSE,"Idaho";#N/A,#N/A,FALSE,"Lewis River";#N/A,#N/A,FALSE,"NrthUmpq";#N/A,#N/A,FALSE,"KlamRog"}</definedName>
    <definedName name="_________OM1_2" localSheetId="22" hidden="1">{#N/A,#N/A,FALSE,"Summary";#N/A,#N/A,FALSE,"SmPlants";#N/A,#N/A,FALSE,"Utah";#N/A,#N/A,FALSE,"Idaho";#N/A,#N/A,FALSE,"Lewis River";#N/A,#N/A,FALSE,"NrthUmpq";#N/A,#N/A,FALSE,"KlamRog"}</definedName>
    <definedName name="_________OM1_2" localSheetId="23" hidden="1">{#N/A,#N/A,FALSE,"Summary";#N/A,#N/A,FALSE,"SmPlants";#N/A,#N/A,FALSE,"Utah";#N/A,#N/A,FALSE,"Idaho";#N/A,#N/A,FALSE,"Lewis River";#N/A,#N/A,FALSE,"NrthUmpq";#N/A,#N/A,FALSE,"KlamRog"}</definedName>
    <definedName name="_________OM1_2" localSheetId="24" hidden="1">{#N/A,#N/A,FALSE,"Summary";#N/A,#N/A,FALSE,"SmPlants";#N/A,#N/A,FALSE,"Utah";#N/A,#N/A,FALSE,"Idaho";#N/A,#N/A,FALSE,"Lewis River";#N/A,#N/A,FALSE,"NrthUmpq";#N/A,#N/A,FALSE,"KlamRog"}</definedName>
    <definedName name="_________OM1_2" localSheetId="25" hidden="1">{#N/A,#N/A,FALSE,"Summary";#N/A,#N/A,FALSE,"SmPlants";#N/A,#N/A,FALSE,"Utah";#N/A,#N/A,FALSE,"Idaho";#N/A,#N/A,FALSE,"Lewis River";#N/A,#N/A,FALSE,"NrthUmpq";#N/A,#N/A,FALSE,"KlamRog"}</definedName>
    <definedName name="_________OM1_2" localSheetId="26" hidden="1">{#N/A,#N/A,FALSE,"Summary";#N/A,#N/A,FALSE,"SmPlants";#N/A,#N/A,FALSE,"Utah";#N/A,#N/A,FALSE,"Idaho";#N/A,#N/A,FALSE,"Lewis River";#N/A,#N/A,FALSE,"NrthUmpq";#N/A,#N/A,FALSE,"KlamRog"}</definedName>
    <definedName name="_________OM1_2" localSheetId="31" hidden="1">{#N/A,#N/A,FALSE,"Summary";#N/A,#N/A,FALSE,"SmPlants";#N/A,#N/A,FALSE,"Utah";#N/A,#N/A,FALSE,"Idaho";#N/A,#N/A,FALSE,"Lewis River";#N/A,#N/A,FALSE,"NrthUmpq";#N/A,#N/A,FALSE,"KlamRog"}</definedName>
    <definedName name="_________OM1_2" localSheetId="35" hidden="1">{#N/A,#N/A,FALSE,"Summary";#N/A,#N/A,FALSE,"SmPlants";#N/A,#N/A,FALSE,"Utah";#N/A,#N/A,FALSE,"Idaho";#N/A,#N/A,FALSE,"Lewis River";#N/A,#N/A,FALSE,"NrthUmpq";#N/A,#N/A,FALSE,"KlamRog"}</definedName>
    <definedName name="_________OM1_2" localSheetId="36" hidden="1">{#N/A,#N/A,FALSE,"Summary";#N/A,#N/A,FALSE,"SmPlants";#N/A,#N/A,FALSE,"Utah";#N/A,#N/A,FALSE,"Idaho";#N/A,#N/A,FALSE,"Lewis River";#N/A,#N/A,FALSE,"NrthUmpq";#N/A,#N/A,FALSE,"KlamRog"}</definedName>
    <definedName name="_________OM1_2" localSheetId="0" hidden="1">{#N/A,#N/A,FALSE,"Summary";#N/A,#N/A,FALSE,"SmPlants";#N/A,#N/A,FALSE,"Utah";#N/A,#N/A,FALSE,"Idaho";#N/A,#N/A,FALSE,"Lewis River";#N/A,#N/A,FALSE,"NrthUmpq";#N/A,#N/A,FALSE,"KlamRog"}</definedName>
    <definedName name="_________OM1_2" hidden="1">{#N/A,#N/A,FALSE,"Summary";#N/A,#N/A,FALSE,"SmPlants";#N/A,#N/A,FALSE,"Utah";#N/A,#N/A,FALSE,"Idaho";#N/A,#N/A,FALSE,"Lewis River";#N/A,#N/A,FALSE,"NrthUmpq";#N/A,#N/A,FALSE,"KlamRog"}</definedName>
    <definedName name="_________OM1_3" localSheetId="1" hidden="1">{#N/A,#N/A,FALSE,"Summary";#N/A,#N/A,FALSE,"SmPlants";#N/A,#N/A,FALSE,"Utah";#N/A,#N/A,FALSE,"Idaho";#N/A,#N/A,FALSE,"Lewis River";#N/A,#N/A,FALSE,"NrthUmpq";#N/A,#N/A,FALSE,"KlamRog"}</definedName>
    <definedName name="_________OM1_3" localSheetId="3" hidden="1">{#N/A,#N/A,FALSE,"Summary";#N/A,#N/A,FALSE,"SmPlants";#N/A,#N/A,FALSE,"Utah";#N/A,#N/A,FALSE,"Idaho";#N/A,#N/A,FALSE,"Lewis River";#N/A,#N/A,FALSE,"NrthUmpq";#N/A,#N/A,FALSE,"KlamRog"}</definedName>
    <definedName name="_________OM1_3" localSheetId="4" hidden="1">{#N/A,#N/A,FALSE,"Summary";#N/A,#N/A,FALSE,"SmPlants";#N/A,#N/A,FALSE,"Utah";#N/A,#N/A,FALSE,"Idaho";#N/A,#N/A,FALSE,"Lewis River";#N/A,#N/A,FALSE,"NrthUmpq";#N/A,#N/A,FALSE,"KlamRog"}</definedName>
    <definedName name="_________OM1_3" localSheetId="13" hidden="1">{#N/A,#N/A,FALSE,"Summary";#N/A,#N/A,FALSE,"SmPlants";#N/A,#N/A,FALSE,"Utah";#N/A,#N/A,FALSE,"Idaho";#N/A,#N/A,FALSE,"Lewis River";#N/A,#N/A,FALSE,"NrthUmpq";#N/A,#N/A,FALSE,"KlamRog"}</definedName>
    <definedName name="_________OM1_3" localSheetId="14" hidden="1">{#N/A,#N/A,FALSE,"Summary";#N/A,#N/A,FALSE,"SmPlants";#N/A,#N/A,FALSE,"Utah";#N/A,#N/A,FALSE,"Idaho";#N/A,#N/A,FALSE,"Lewis River";#N/A,#N/A,FALSE,"NrthUmpq";#N/A,#N/A,FALSE,"KlamRog"}</definedName>
    <definedName name="_________OM1_3" localSheetId="15" hidden="1">{#N/A,#N/A,FALSE,"Summary";#N/A,#N/A,FALSE,"SmPlants";#N/A,#N/A,FALSE,"Utah";#N/A,#N/A,FALSE,"Idaho";#N/A,#N/A,FALSE,"Lewis River";#N/A,#N/A,FALSE,"NrthUmpq";#N/A,#N/A,FALSE,"KlamRog"}</definedName>
    <definedName name="_________OM1_3" localSheetId="16" hidden="1">{#N/A,#N/A,FALSE,"Summary";#N/A,#N/A,FALSE,"SmPlants";#N/A,#N/A,FALSE,"Utah";#N/A,#N/A,FALSE,"Idaho";#N/A,#N/A,FALSE,"Lewis River";#N/A,#N/A,FALSE,"NrthUmpq";#N/A,#N/A,FALSE,"KlamRog"}</definedName>
    <definedName name="_________OM1_3" localSheetId="19" hidden="1">{#N/A,#N/A,FALSE,"Summary";#N/A,#N/A,FALSE,"SmPlants";#N/A,#N/A,FALSE,"Utah";#N/A,#N/A,FALSE,"Idaho";#N/A,#N/A,FALSE,"Lewis River";#N/A,#N/A,FALSE,"NrthUmpq";#N/A,#N/A,FALSE,"KlamRog"}</definedName>
    <definedName name="_________OM1_3" localSheetId="22" hidden="1">{#N/A,#N/A,FALSE,"Summary";#N/A,#N/A,FALSE,"SmPlants";#N/A,#N/A,FALSE,"Utah";#N/A,#N/A,FALSE,"Idaho";#N/A,#N/A,FALSE,"Lewis River";#N/A,#N/A,FALSE,"NrthUmpq";#N/A,#N/A,FALSE,"KlamRog"}</definedName>
    <definedName name="_________OM1_3" localSheetId="23" hidden="1">{#N/A,#N/A,FALSE,"Summary";#N/A,#N/A,FALSE,"SmPlants";#N/A,#N/A,FALSE,"Utah";#N/A,#N/A,FALSE,"Idaho";#N/A,#N/A,FALSE,"Lewis River";#N/A,#N/A,FALSE,"NrthUmpq";#N/A,#N/A,FALSE,"KlamRog"}</definedName>
    <definedName name="_________OM1_3" localSheetId="24" hidden="1">{#N/A,#N/A,FALSE,"Summary";#N/A,#N/A,FALSE,"SmPlants";#N/A,#N/A,FALSE,"Utah";#N/A,#N/A,FALSE,"Idaho";#N/A,#N/A,FALSE,"Lewis River";#N/A,#N/A,FALSE,"NrthUmpq";#N/A,#N/A,FALSE,"KlamRog"}</definedName>
    <definedName name="_________OM1_3" localSheetId="25" hidden="1">{#N/A,#N/A,FALSE,"Summary";#N/A,#N/A,FALSE,"SmPlants";#N/A,#N/A,FALSE,"Utah";#N/A,#N/A,FALSE,"Idaho";#N/A,#N/A,FALSE,"Lewis River";#N/A,#N/A,FALSE,"NrthUmpq";#N/A,#N/A,FALSE,"KlamRog"}</definedName>
    <definedName name="_________OM1_3" localSheetId="26" hidden="1">{#N/A,#N/A,FALSE,"Summary";#N/A,#N/A,FALSE,"SmPlants";#N/A,#N/A,FALSE,"Utah";#N/A,#N/A,FALSE,"Idaho";#N/A,#N/A,FALSE,"Lewis River";#N/A,#N/A,FALSE,"NrthUmpq";#N/A,#N/A,FALSE,"KlamRog"}</definedName>
    <definedName name="_________OM1_3" localSheetId="31" hidden="1">{#N/A,#N/A,FALSE,"Summary";#N/A,#N/A,FALSE,"SmPlants";#N/A,#N/A,FALSE,"Utah";#N/A,#N/A,FALSE,"Idaho";#N/A,#N/A,FALSE,"Lewis River";#N/A,#N/A,FALSE,"NrthUmpq";#N/A,#N/A,FALSE,"KlamRog"}</definedName>
    <definedName name="_________OM1_3" localSheetId="35" hidden="1">{#N/A,#N/A,FALSE,"Summary";#N/A,#N/A,FALSE,"SmPlants";#N/A,#N/A,FALSE,"Utah";#N/A,#N/A,FALSE,"Idaho";#N/A,#N/A,FALSE,"Lewis River";#N/A,#N/A,FALSE,"NrthUmpq";#N/A,#N/A,FALSE,"KlamRog"}</definedName>
    <definedName name="_________OM1_3" localSheetId="36" hidden="1">{#N/A,#N/A,FALSE,"Summary";#N/A,#N/A,FALSE,"SmPlants";#N/A,#N/A,FALSE,"Utah";#N/A,#N/A,FALSE,"Idaho";#N/A,#N/A,FALSE,"Lewis River";#N/A,#N/A,FALSE,"NrthUmpq";#N/A,#N/A,FALSE,"KlamRog"}</definedName>
    <definedName name="_________OM1_3" localSheetId="0" hidden="1">{#N/A,#N/A,FALSE,"Summary";#N/A,#N/A,FALSE,"SmPlants";#N/A,#N/A,FALSE,"Utah";#N/A,#N/A,FALSE,"Idaho";#N/A,#N/A,FALSE,"Lewis River";#N/A,#N/A,FALSE,"NrthUmpq";#N/A,#N/A,FALSE,"KlamRog"}</definedName>
    <definedName name="_________OM1_3" hidden="1">{#N/A,#N/A,FALSE,"Summary";#N/A,#N/A,FALSE,"SmPlants";#N/A,#N/A,FALSE,"Utah";#N/A,#N/A,FALSE,"Idaho";#N/A,#N/A,FALSE,"Lewis River";#N/A,#N/A,FALSE,"NrthUmpq";#N/A,#N/A,FALSE,"KlamRog"}</definedName>
    <definedName name="_________OM1_4" localSheetId="1" hidden="1">{#N/A,#N/A,FALSE,"Summary";#N/A,#N/A,FALSE,"SmPlants";#N/A,#N/A,FALSE,"Utah";#N/A,#N/A,FALSE,"Idaho";#N/A,#N/A,FALSE,"Lewis River";#N/A,#N/A,FALSE,"NrthUmpq";#N/A,#N/A,FALSE,"KlamRog"}</definedName>
    <definedName name="_________OM1_4" localSheetId="3" hidden="1">{#N/A,#N/A,FALSE,"Summary";#N/A,#N/A,FALSE,"SmPlants";#N/A,#N/A,FALSE,"Utah";#N/A,#N/A,FALSE,"Idaho";#N/A,#N/A,FALSE,"Lewis River";#N/A,#N/A,FALSE,"NrthUmpq";#N/A,#N/A,FALSE,"KlamRog"}</definedName>
    <definedName name="_________OM1_4" localSheetId="4" hidden="1">{#N/A,#N/A,FALSE,"Summary";#N/A,#N/A,FALSE,"SmPlants";#N/A,#N/A,FALSE,"Utah";#N/A,#N/A,FALSE,"Idaho";#N/A,#N/A,FALSE,"Lewis River";#N/A,#N/A,FALSE,"NrthUmpq";#N/A,#N/A,FALSE,"KlamRog"}</definedName>
    <definedName name="_________OM1_4" localSheetId="13" hidden="1">{#N/A,#N/A,FALSE,"Summary";#N/A,#N/A,FALSE,"SmPlants";#N/A,#N/A,FALSE,"Utah";#N/A,#N/A,FALSE,"Idaho";#N/A,#N/A,FALSE,"Lewis River";#N/A,#N/A,FALSE,"NrthUmpq";#N/A,#N/A,FALSE,"KlamRog"}</definedName>
    <definedName name="_________OM1_4" localSheetId="14" hidden="1">{#N/A,#N/A,FALSE,"Summary";#N/A,#N/A,FALSE,"SmPlants";#N/A,#N/A,FALSE,"Utah";#N/A,#N/A,FALSE,"Idaho";#N/A,#N/A,FALSE,"Lewis River";#N/A,#N/A,FALSE,"NrthUmpq";#N/A,#N/A,FALSE,"KlamRog"}</definedName>
    <definedName name="_________OM1_4" localSheetId="15" hidden="1">{#N/A,#N/A,FALSE,"Summary";#N/A,#N/A,FALSE,"SmPlants";#N/A,#N/A,FALSE,"Utah";#N/A,#N/A,FALSE,"Idaho";#N/A,#N/A,FALSE,"Lewis River";#N/A,#N/A,FALSE,"NrthUmpq";#N/A,#N/A,FALSE,"KlamRog"}</definedName>
    <definedName name="_________OM1_4" localSheetId="16" hidden="1">{#N/A,#N/A,FALSE,"Summary";#N/A,#N/A,FALSE,"SmPlants";#N/A,#N/A,FALSE,"Utah";#N/A,#N/A,FALSE,"Idaho";#N/A,#N/A,FALSE,"Lewis River";#N/A,#N/A,FALSE,"NrthUmpq";#N/A,#N/A,FALSE,"KlamRog"}</definedName>
    <definedName name="_________OM1_4" localSheetId="19" hidden="1">{#N/A,#N/A,FALSE,"Summary";#N/A,#N/A,FALSE,"SmPlants";#N/A,#N/A,FALSE,"Utah";#N/A,#N/A,FALSE,"Idaho";#N/A,#N/A,FALSE,"Lewis River";#N/A,#N/A,FALSE,"NrthUmpq";#N/A,#N/A,FALSE,"KlamRog"}</definedName>
    <definedName name="_________OM1_4" localSheetId="22" hidden="1">{#N/A,#N/A,FALSE,"Summary";#N/A,#N/A,FALSE,"SmPlants";#N/A,#N/A,FALSE,"Utah";#N/A,#N/A,FALSE,"Idaho";#N/A,#N/A,FALSE,"Lewis River";#N/A,#N/A,FALSE,"NrthUmpq";#N/A,#N/A,FALSE,"KlamRog"}</definedName>
    <definedName name="_________OM1_4" localSheetId="23" hidden="1">{#N/A,#N/A,FALSE,"Summary";#N/A,#N/A,FALSE,"SmPlants";#N/A,#N/A,FALSE,"Utah";#N/A,#N/A,FALSE,"Idaho";#N/A,#N/A,FALSE,"Lewis River";#N/A,#N/A,FALSE,"NrthUmpq";#N/A,#N/A,FALSE,"KlamRog"}</definedName>
    <definedName name="_________OM1_4" localSheetId="24" hidden="1">{#N/A,#N/A,FALSE,"Summary";#N/A,#N/A,FALSE,"SmPlants";#N/A,#N/A,FALSE,"Utah";#N/A,#N/A,FALSE,"Idaho";#N/A,#N/A,FALSE,"Lewis River";#N/A,#N/A,FALSE,"NrthUmpq";#N/A,#N/A,FALSE,"KlamRog"}</definedName>
    <definedName name="_________OM1_4" localSheetId="25" hidden="1">{#N/A,#N/A,FALSE,"Summary";#N/A,#N/A,FALSE,"SmPlants";#N/A,#N/A,FALSE,"Utah";#N/A,#N/A,FALSE,"Idaho";#N/A,#N/A,FALSE,"Lewis River";#N/A,#N/A,FALSE,"NrthUmpq";#N/A,#N/A,FALSE,"KlamRog"}</definedName>
    <definedName name="_________OM1_4" localSheetId="26" hidden="1">{#N/A,#N/A,FALSE,"Summary";#N/A,#N/A,FALSE,"SmPlants";#N/A,#N/A,FALSE,"Utah";#N/A,#N/A,FALSE,"Idaho";#N/A,#N/A,FALSE,"Lewis River";#N/A,#N/A,FALSE,"NrthUmpq";#N/A,#N/A,FALSE,"KlamRog"}</definedName>
    <definedName name="_________OM1_4" localSheetId="31" hidden="1">{#N/A,#N/A,FALSE,"Summary";#N/A,#N/A,FALSE,"SmPlants";#N/A,#N/A,FALSE,"Utah";#N/A,#N/A,FALSE,"Idaho";#N/A,#N/A,FALSE,"Lewis River";#N/A,#N/A,FALSE,"NrthUmpq";#N/A,#N/A,FALSE,"KlamRog"}</definedName>
    <definedName name="_________OM1_4" localSheetId="35" hidden="1">{#N/A,#N/A,FALSE,"Summary";#N/A,#N/A,FALSE,"SmPlants";#N/A,#N/A,FALSE,"Utah";#N/A,#N/A,FALSE,"Idaho";#N/A,#N/A,FALSE,"Lewis River";#N/A,#N/A,FALSE,"NrthUmpq";#N/A,#N/A,FALSE,"KlamRog"}</definedName>
    <definedName name="_________OM1_4" localSheetId="36" hidden="1">{#N/A,#N/A,FALSE,"Summary";#N/A,#N/A,FALSE,"SmPlants";#N/A,#N/A,FALSE,"Utah";#N/A,#N/A,FALSE,"Idaho";#N/A,#N/A,FALSE,"Lewis River";#N/A,#N/A,FALSE,"NrthUmpq";#N/A,#N/A,FALSE,"KlamRog"}</definedName>
    <definedName name="_________OM1_4" localSheetId="0" hidden="1">{#N/A,#N/A,FALSE,"Summary";#N/A,#N/A,FALSE,"SmPlants";#N/A,#N/A,FALSE,"Utah";#N/A,#N/A,FALSE,"Idaho";#N/A,#N/A,FALSE,"Lewis River";#N/A,#N/A,FALSE,"NrthUmpq";#N/A,#N/A,FALSE,"KlamRog"}</definedName>
    <definedName name="_________OM1_4" hidden="1">{#N/A,#N/A,FALSE,"Summary";#N/A,#N/A,FALSE,"SmPlants";#N/A,#N/A,FALSE,"Utah";#N/A,#N/A,FALSE,"Idaho";#N/A,#N/A,FALSE,"Lewis River";#N/A,#N/A,FALSE,"NrthUmpq";#N/A,#N/A,FALSE,"KlamRog"}</definedName>
    <definedName name="_________OM1_5" localSheetId="1" hidden="1">{#N/A,#N/A,FALSE,"Summary";#N/A,#N/A,FALSE,"SmPlants";#N/A,#N/A,FALSE,"Utah";#N/A,#N/A,FALSE,"Idaho";#N/A,#N/A,FALSE,"Lewis River";#N/A,#N/A,FALSE,"NrthUmpq";#N/A,#N/A,FALSE,"KlamRog"}</definedName>
    <definedName name="_________OM1_5" localSheetId="3" hidden="1">{#N/A,#N/A,FALSE,"Summary";#N/A,#N/A,FALSE,"SmPlants";#N/A,#N/A,FALSE,"Utah";#N/A,#N/A,FALSE,"Idaho";#N/A,#N/A,FALSE,"Lewis River";#N/A,#N/A,FALSE,"NrthUmpq";#N/A,#N/A,FALSE,"KlamRog"}</definedName>
    <definedName name="_________OM1_5" localSheetId="4" hidden="1">{#N/A,#N/A,FALSE,"Summary";#N/A,#N/A,FALSE,"SmPlants";#N/A,#N/A,FALSE,"Utah";#N/A,#N/A,FALSE,"Idaho";#N/A,#N/A,FALSE,"Lewis River";#N/A,#N/A,FALSE,"NrthUmpq";#N/A,#N/A,FALSE,"KlamRog"}</definedName>
    <definedName name="_________OM1_5" localSheetId="13" hidden="1">{#N/A,#N/A,FALSE,"Summary";#N/A,#N/A,FALSE,"SmPlants";#N/A,#N/A,FALSE,"Utah";#N/A,#N/A,FALSE,"Idaho";#N/A,#N/A,FALSE,"Lewis River";#N/A,#N/A,FALSE,"NrthUmpq";#N/A,#N/A,FALSE,"KlamRog"}</definedName>
    <definedName name="_________OM1_5" localSheetId="14" hidden="1">{#N/A,#N/A,FALSE,"Summary";#N/A,#N/A,FALSE,"SmPlants";#N/A,#N/A,FALSE,"Utah";#N/A,#N/A,FALSE,"Idaho";#N/A,#N/A,FALSE,"Lewis River";#N/A,#N/A,FALSE,"NrthUmpq";#N/A,#N/A,FALSE,"KlamRog"}</definedName>
    <definedName name="_________OM1_5" localSheetId="15" hidden="1">{#N/A,#N/A,FALSE,"Summary";#N/A,#N/A,FALSE,"SmPlants";#N/A,#N/A,FALSE,"Utah";#N/A,#N/A,FALSE,"Idaho";#N/A,#N/A,FALSE,"Lewis River";#N/A,#N/A,FALSE,"NrthUmpq";#N/A,#N/A,FALSE,"KlamRog"}</definedName>
    <definedName name="_________OM1_5" localSheetId="16" hidden="1">{#N/A,#N/A,FALSE,"Summary";#N/A,#N/A,FALSE,"SmPlants";#N/A,#N/A,FALSE,"Utah";#N/A,#N/A,FALSE,"Idaho";#N/A,#N/A,FALSE,"Lewis River";#N/A,#N/A,FALSE,"NrthUmpq";#N/A,#N/A,FALSE,"KlamRog"}</definedName>
    <definedName name="_________OM1_5" localSheetId="19" hidden="1">{#N/A,#N/A,FALSE,"Summary";#N/A,#N/A,FALSE,"SmPlants";#N/A,#N/A,FALSE,"Utah";#N/A,#N/A,FALSE,"Idaho";#N/A,#N/A,FALSE,"Lewis River";#N/A,#N/A,FALSE,"NrthUmpq";#N/A,#N/A,FALSE,"KlamRog"}</definedName>
    <definedName name="_________OM1_5" localSheetId="22" hidden="1">{#N/A,#N/A,FALSE,"Summary";#N/A,#N/A,FALSE,"SmPlants";#N/A,#N/A,FALSE,"Utah";#N/A,#N/A,FALSE,"Idaho";#N/A,#N/A,FALSE,"Lewis River";#N/A,#N/A,FALSE,"NrthUmpq";#N/A,#N/A,FALSE,"KlamRog"}</definedName>
    <definedName name="_________OM1_5" localSheetId="23" hidden="1">{#N/A,#N/A,FALSE,"Summary";#N/A,#N/A,FALSE,"SmPlants";#N/A,#N/A,FALSE,"Utah";#N/A,#N/A,FALSE,"Idaho";#N/A,#N/A,FALSE,"Lewis River";#N/A,#N/A,FALSE,"NrthUmpq";#N/A,#N/A,FALSE,"KlamRog"}</definedName>
    <definedName name="_________OM1_5" localSheetId="24" hidden="1">{#N/A,#N/A,FALSE,"Summary";#N/A,#N/A,FALSE,"SmPlants";#N/A,#N/A,FALSE,"Utah";#N/A,#N/A,FALSE,"Idaho";#N/A,#N/A,FALSE,"Lewis River";#N/A,#N/A,FALSE,"NrthUmpq";#N/A,#N/A,FALSE,"KlamRog"}</definedName>
    <definedName name="_________OM1_5" localSheetId="25" hidden="1">{#N/A,#N/A,FALSE,"Summary";#N/A,#N/A,FALSE,"SmPlants";#N/A,#N/A,FALSE,"Utah";#N/A,#N/A,FALSE,"Idaho";#N/A,#N/A,FALSE,"Lewis River";#N/A,#N/A,FALSE,"NrthUmpq";#N/A,#N/A,FALSE,"KlamRog"}</definedName>
    <definedName name="_________OM1_5" localSheetId="26" hidden="1">{#N/A,#N/A,FALSE,"Summary";#N/A,#N/A,FALSE,"SmPlants";#N/A,#N/A,FALSE,"Utah";#N/A,#N/A,FALSE,"Idaho";#N/A,#N/A,FALSE,"Lewis River";#N/A,#N/A,FALSE,"NrthUmpq";#N/A,#N/A,FALSE,"KlamRog"}</definedName>
    <definedName name="_________OM1_5" localSheetId="31" hidden="1">{#N/A,#N/A,FALSE,"Summary";#N/A,#N/A,FALSE,"SmPlants";#N/A,#N/A,FALSE,"Utah";#N/A,#N/A,FALSE,"Idaho";#N/A,#N/A,FALSE,"Lewis River";#N/A,#N/A,FALSE,"NrthUmpq";#N/A,#N/A,FALSE,"KlamRog"}</definedName>
    <definedName name="_________OM1_5" localSheetId="35" hidden="1">{#N/A,#N/A,FALSE,"Summary";#N/A,#N/A,FALSE,"SmPlants";#N/A,#N/A,FALSE,"Utah";#N/A,#N/A,FALSE,"Idaho";#N/A,#N/A,FALSE,"Lewis River";#N/A,#N/A,FALSE,"NrthUmpq";#N/A,#N/A,FALSE,"KlamRog"}</definedName>
    <definedName name="_________OM1_5" localSheetId="36" hidden="1">{#N/A,#N/A,FALSE,"Summary";#N/A,#N/A,FALSE,"SmPlants";#N/A,#N/A,FALSE,"Utah";#N/A,#N/A,FALSE,"Idaho";#N/A,#N/A,FALSE,"Lewis River";#N/A,#N/A,FALSE,"NrthUmpq";#N/A,#N/A,FALSE,"KlamRog"}</definedName>
    <definedName name="_________OM1_5" localSheetId="0" hidden="1">{#N/A,#N/A,FALSE,"Summary";#N/A,#N/A,FALSE,"SmPlants";#N/A,#N/A,FALSE,"Utah";#N/A,#N/A,FALSE,"Idaho";#N/A,#N/A,FALSE,"Lewis River";#N/A,#N/A,FALSE,"NrthUmpq";#N/A,#N/A,FALSE,"KlamRog"}</definedName>
    <definedName name="_________OM1_5" hidden="1">{#N/A,#N/A,FALSE,"Summary";#N/A,#N/A,FALSE,"SmPlants";#N/A,#N/A,FALSE,"Utah";#N/A,#N/A,FALSE,"Idaho";#N/A,#N/A,FALSE,"Lewis River";#N/A,#N/A,FALSE,"NrthUmpq";#N/A,#N/A,FALSE,"KlamRog"}</definedName>
    <definedName name="_______OM1" localSheetId="1" hidden="1">{#N/A,#N/A,FALSE,"Summary";#N/A,#N/A,FALSE,"SmPlants";#N/A,#N/A,FALSE,"Utah";#N/A,#N/A,FALSE,"Idaho";#N/A,#N/A,FALSE,"Lewis River";#N/A,#N/A,FALSE,"NrthUmpq";#N/A,#N/A,FALSE,"KlamRog"}</definedName>
    <definedName name="_______OM1" localSheetId="3" hidden="1">{#N/A,#N/A,FALSE,"Summary";#N/A,#N/A,FALSE,"SmPlants";#N/A,#N/A,FALSE,"Utah";#N/A,#N/A,FALSE,"Idaho";#N/A,#N/A,FALSE,"Lewis River";#N/A,#N/A,FALSE,"NrthUmpq";#N/A,#N/A,FALSE,"KlamRog"}</definedName>
    <definedName name="_______OM1" localSheetId="4" hidden="1">{#N/A,#N/A,FALSE,"Summary";#N/A,#N/A,FALSE,"SmPlants";#N/A,#N/A,FALSE,"Utah";#N/A,#N/A,FALSE,"Idaho";#N/A,#N/A,FALSE,"Lewis River";#N/A,#N/A,FALSE,"NrthUmpq";#N/A,#N/A,FALSE,"KlamRog"}</definedName>
    <definedName name="_______OM1" localSheetId="13" hidden="1">{#N/A,#N/A,FALSE,"Summary";#N/A,#N/A,FALSE,"SmPlants";#N/A,#N/A,FALSE,"Utah";#N/A,#N/A,FALSE,"Idaho";#N/A,#N/A,FALSE,"Lewis River";#N/A,#N/A,FALSE,"NrthUmpq";#N/A,#N/A,FALSE,"KlamRog"}</definedName>
    <definedName name="_______OM1" localSheetId="14" hidden="1">{#N/A,#N/A,FALSE,"Summary";#N/A,#N/A,FALSE,"SmPlants";#N/A,#N/A,FALSE,"Utah";#N/A,#N/A,FALSE,"Idaho";#N/A,#N/A,FALSE,"Lewis River";#N/A,#N/A,FALSE,"NrthUmpq";#N/A,#N/A,FALSE,"KlamRog"}</definedName>
    <definedName name="_______OM1" localSheetId="15" hidden="1">{#N/A,#N/A,FALSE,"Summary";#N/A,#N/A,FALSE,"SmPlants";#N/A,#N/A,FALSE,"Utah";#N/A,#N/A,FALSE,"Idaho";#N/A,#N/A,FALSE,"Lewis River";#N/A,#N/A,FALSE,"NrthUmpq";#N/A,#N/A,FALSE,"KlamRog"}</definedName>
    <definedName name="_______OM1" localSheetId="16" hidden="1">{#N/A,#N/A,FALSE,"Summary";#N/A,#N/A,FALSE,"SmPlants";#N/A,#N/A,FALSE,"Utah";#N/A,#N/A,FALSE,"Idaho";#N/A,#N/A,FALSE,"Lewis River";#N/A,#N/A,FALSE,"NrthUmpq";#N/A,#N/A,FALSE,"KlamRog"}</definedName>
    <definedName name="_______OM1" localSheetId="19" hidden="1">{#N/A,#N/A,FALSE,"Summary";#N/A,#N/A,FALSE,"SmPlants";#N/A,#N/A,FALSE,"Utah";#N/A,#N/A,FALSE,"Idaho";#N/A,#N/A,FALSE,"Lewis River";#N/A,#N/A,FALSE,"NrthUmpq";#N/A,#N/A,FALSE,"KlamRog"}</definedName>
    <definedName name="_______OM1" localSheetId="22" hidden="1">{#N/A,#N/A,FALSE,"Summary";#N/A,#N/A,FALSE,"SmPlants";#N/A,#N/A,FALSE,"Utah";#N/A,#N/A,FALSE,"Idaho";#N/A,#N/A,FALSE,"Lewis River";#N/A,#N/A,FALSE,"NrthUmpq";#N/A,#N/A,FALSE,"KlamRog"}</definedName>
    <definedName name="_______OM1" localSheetId="23" hidden="1">{#N/A,#N/A,FALSE,"Summary";#N/A,#N/A,FALSE,"SmPlants";#N/A,#N/A,FALSE,"Utah";#N/A,#N/A,FALSE,"Idaho";#N/A,#N/A,FALSE,"Lewis River";#N/A,#N/A,FALSE,"NrthUmpq";#N/A,#N/A,FALSE,"KlamRog"}</definedName>
    <definedName name="_______OM1" localSheetId="24" hidden="1">{#N/A,#N/A,FALSE,"Summary";#N/A,#N/A,FALSE,"SmPlants";#N/A,#N/A,FALSE,"Utah";#N/A,#N/A,FALSE,"Idaho";#N/A,#N/A,FALSE,"Lewis River";#N/A,#N/A,FALSE,"NrthUmpq";#N/A,#N/A,FALSE,"KlamRog"}</definedName>
    <definedName name="_______OM1" localSheetId="25" hidden="1">{#N/A,#N/A,FALSE,"Summary";#N/A,#N/A,FALSE,"SmPlants";#N/A,#N/A,FALSE,"Utah";#N/A,#N/A,FALSE,"Idaho";#N/A,#N/A,FALSE,"Lewis River";#N/A,#N/A,FALSE,"NrthUmpq";#N/A,#N/A,FALSE,"KlamRog"}</definedName>
    <definedName name="_______OM1" localSheetId="26" hidden="1">{#N/A,#N/A,FALSE,"Summary";#N/A,#N/A,FALSE,"SmPlants";#N/A,#N/A,FALSE,"Utah";#N/A,#N/A,FALSE,"Idaho";#N/A,#N/A,FALSE,"Lewis River";#N/A,#N/A,FALSE,"NrthUmpq";#N/A,#N/A,FALSE,"KlamRog"}</definedName>
    <definedName name="_______OM1" localSheetId="31" hidden="1">{#N/A,#N/A,FALSE,"Summary";#N/A,#N/A,FALSE,"SmPlants";#N/A,#N/A,FALSE,"Utah";#N/A,#N/A,FALSE,"Idaho";#N/A,#N/A,FALSE,"Lewis River";#N/A,#N/A,FALSE,"NrthUmpq";#N/A,#N/A,FALSE,"KlamRog"}</definedName>
    <definedName name="_______OM1" localSheetId="35" hidden="1">{#N/A,#N/A,FALSE,"Summary";#N/A,#N/A,FALSE,"SmPlants";#N/A,#N/A,FALSE,"Utah";#N/A,#N/A,FALSE,"Idaho";#N/A,#N/A,FALSE,"Lewis River";#N/A,#N/A,FALSE,"NrthUmpq";#N/A,#N/A,FALSE,"KlamRog"}</definedName>
    <definedName name="_______OM1" localSheetId="36" hidden="1">{#N/A,#N/A,FALSE,"Summary";#N/A,#N/A,FALSE,"SmPlants";#N/A,#N/A,FALSE,"Utah";#N/A,#N/A,FALSE,"Idaho";#N/A,#N/A,FALSE,"Lewis River";#N/A,#N/A,FALSE,"NrthUmpq";#N/A,#N/A,FALSE,"KlamRog"}</definedName>
    <definedName name="_______OM1" localSheetId="0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OM1_1" localSheetId="1" hidden="1">{#N/A,#N/A,FALSE,"Summary";#N/A,#N/A,FALSE,"SmPlants";#N/A,#N/A,FALSE,"Utah";#N/A,#N/A,FALSE,"Idaho";#N/A,#N/A,FALSE,"Lewis River";#N/A,#N/A,FALSE,"NrthUmpq";#N/A,#N/A,FALSE,"KlamRog"}</definedName>
    <definedName name="_______OM1_1" localSheetId="3" hidden="1">{#N/A,#N/A,FALSE,"Summary";#N/A,#N/A,FALSE,"SmPlants";#N/A,#N/A,FALSE,"Utah";#N/A,#N/A,FALSE,"Idaho";#N/A,#N/A,FALSE,"Lewis River";#N/A,#N/A,FALSE,"NrthUmpq";#N/A,#N/A,FALSE,"KlamRog"}</definedName>
    <definedName name="_______OM1_1" localSheetId="4" hidden="1">{#N/A,#N/A,FALSE,"Summary";#N/A,#N/A,FALSE,"SmPlants";#N/A,#N/A,FALSE,"Utah";#N/A,#N/A,FALSE,"Idaho";#N/A,#N/A,FALSE,"Lewis River";#N/A,#N/A,FALSE,"NrthUmpq";#N/A,#N/A,FALSE,"KlamRog"}</definedName>
    <definedName name="_______OM1_1" localSheetId="13" hidden="1">{#N/A,#N/A,FALSE,"Summary";#N/A,#N/A,FALSE,"SmPlants";#N/A,#N/A,FALSE,"Utah";#N/A,#N/A,FALSE,"Idaho";#N/A,#N/A,FALSE,"Lewis River";#N/A,#N/A,FALSE,"NrthUmpq";#N/A,#N/A,FALSE,"KlamRog"}</definedName>
    <definedName name="_______OM1_1" localSheetId="14" hidden="1">{#N/A,#N/A,FALSE,"Summary";#N/A,#N/A,FALSE,"SmPlants";#N/A,#N/A,FALSE,"Utah";#N/A,#N/A,FALSE,"Idaho";#N/A,#N/A,FALSE,"Lewis River";#N/A,#N/A,FALSE,"NrthUmpq";#N/A,#N/A,FALSE,"KlamRog"}</definedName>
    <definedName name="_______OM1_1" localSheetId="15" hidden="1">{#N/A,#N/A,FALSE,"Summary";#N/A,#N/A,FALSE,"SmPlants";#N/A,#N/A,FALSE,"Utah";#N/A,#N/A,FALSE,"Idaho";#N/A,#N/A,FALSE,"Lewis River";#N/A,#N/A,FALSE,"NrthUmpq";#N/A,#N/A,FALSE,"KlamRog"}</definedName>
    <definedName name="_______OM1_1" localSheetId="16" hidden="1">{#N/A,#N/A,FALSE,"Summary";#N/A,#N/A,FALSE,"SmPlants";#N/A,#N/A,FALSE,"Utah";#N/A,#N/A,FALSE,"Idaho";#N/A,#N/A,FALSE,"Lewis River";#N/A,#N/A,FALSE,"NrthUmpq";#N/A,#N/A,FALSE,"KlamRog"}</definedName>
    <definedName name="_______OM1_1" localSheetId="19" hidden="1">{#N/A,#N/A,FALSE,"Summary";#N/A,#N/A,FALSE,"SmPlants";#N/A,#N/A,FALSE,"Utah";#N/A,#N/A,FALSE,"Idaho";#N/A,#N/A,FALSE,"Lewis River";#N/A,#N/A,FALSE,"NrthUmpq";#N/A,#N/A,FALSE,"KlamRog"}</definedName>
    <definedName name="_______OM1_1" localSheetId="22" hidden="1">{#N/A,#N/A,FALSE,"Summary";#N/A,#N/A,FALSE,"SmPlants";#N/A,#N/A,FALSE,"Utah";#N/A,#N/A,FALSE,"Idaho";#N/A,#N/A,FALSE,"Lewis River";#N/A,#N/A,FALSE,"NrthUmpq";#N/A,#N/A,FALSE,"KlamRog"}</definedName>
    <definedName name="_______OM1_1" localSheetId="23" hidden="1">{#N/A,#N/A,FALSE,"Summary";#N/A,#N/A,FALSE,"SmPlants";#N/A,#N/A,FALSE,"Utah";#N/A,#N/A,FALSE,"Idaho";#N/A,#N/A,FALSE,"Lewis River";#N/A,#N/A,FALSE,"NrthUmpq";#N/A,#N/A,FALSE,"KlamRog"}</definedName>
    <definedName name="_______OM1_1" localSheetId="24" hidden="1">{#N/A,#N/A,FALSE,"Summary";#N/A,#N/A,FALSE,"SmPlants";#N/A,#N/A,FALSE,"Utah";#N/A,#N/A,FALSE,"Idaho";#N/A,#N/A,FALSE,"Lewis River";#N/A,#N/A,FALSE,"NrthUmpq";#N/A,#N/A,FALSE,"KlamRog"}</definedName>
    <definedName name="_______OM1_1" localSheetId="25" hidden="1">{#N/A,#N/A,FALSE,"Summary";#N/A,#N/A,FALSE,"SmPlants";#N/A,#N/A,FALSE,"Utah";#N/A,#N/A,FALSE,"Idaho";#N/A,#N/A,FALSE,"Lewis River";#N/A,#N/A,FALSE,"NrthUmpq";#N/A,#N/A,FALSE,"KlamRog"}</definedName>
    <definedName name="_______OM1_1" localSheetId="26" hidden="1">{#N/A,#N/A,FALSE,"Summary";#N/A,#N/A,FALSE,"SmPlants";#N/A,#N/A,FALSE,"Utah";#N/A,#N/A,FALSE,"Idaho";#N/A,#N/A,FALSE,"Lewis River";#N/A,#N/A,FALSE,"NrthUmpq";#N/A,#N/A,FALSE,"KlamRog"}</definedName>
    <definedName name="_______OM1_1" localSheetId="31" hidden="1">{#N/A,#N/A,FALSE,"Summary";#N/A,#N/A,FALSE,"SmPlants";#N/A,#N/A,FALSE,"Utah";#N/A,#N/A,FALSE,"Idaho";#N/A,#N/A,FALSE,"Lewis River";#N/A,#N/A,FALSE,"NrthUmpq";#N/A,#N/A,FALSE,"KlamRog"}</definedName>
    <definedName name="_______OM1_1" localSheetId="35" hidden="1">{#N/A,#N/A,FALSE,"Summary";#N/A,#N/A,FALSE,"SmPlants";#N/A,#N/A,FALSE,"Utah";#N/A,#N/A,FALSE,"Idaho";#N/A,#N/A,FALSE,"Lewis River";#N/A,#N/A,FALSE,"NrthUmpq";#N/A,#N/A,FALSE,"KlamRog"}</definedName>
    <definedName name="_______OM1_1" localSheetId="36" hidden="1">{#N/A,#N/A,FALSE,"Summary";#N/A,#N/A,FALSE,"SmPlants";#N/A,#N/A,FALSE,"Utah";#N/A,#N/A,FALSE,"Idaho";#N/A,#N/A,FALSE,"Lewis River";#N/A,#N/A,FALSE,"NrthUmpq";#N/A,#N/A,FALSE,"KlamRog"}</definedName>
    <definedName name="_______OM1_1" localSheetId="0" hidden="1">{#N/A,#N/A,FALSE,"Summary";#N/A,#N/A,FALSE,"SmPlants";#N/A,#N/A,FALSE,"Utah";#N/A,#N/A,FALSE,"Idaho";#N/A,#N/A,FALSE,"Lewis River";#N/A,#N/A,FALSE,"NrthUmpq";#N/A,#N/A,FALSE,"KlamRog"}</definedName>
    <definedName name="_______OM1_1" hidden="1">{#N/A,#N/A,FALSE,"Summary";#N/A,#N/A,FALSE,"SmPlants";#N/A,#N/A,FALSE,"Utah";#N/A,#N/A,FALSE,"Idaho";#N/A,#N/A,FALSE,"Lewis River";#N/A,#N/A,FALSE,"NrthUmpq";#N/A,#N/A,FALSE,"KlamRog"}</definedName>
    <definedName name="_______OM1_2" localSheetId="1" hidden="1">{#N/A,#N/A,FALSE,"Summary";#N/A,#N/A,FALSE,"SmPlants";#N/A,#N/A,FALSE,"Utah";#N/A,#N/A,FALSE,"Idaho";#N/A,#N/A,FALSE,"Lewis River";#N/A,#N/A,FALSE,"NrthUmpq";#N/A,#N/A,FALSE,"KlamRog"}</definedName>
    <definedName name="_______OM1_2" localSheetId="3" hidden="1">{#N/A,#N/A,FALSE,"Summary";#N/A,#N/A,FALSE,"SmPlants";#N/A,#N/A,FALSE,"Utah";#N/A,#N/A,FALSE,"Idaho";#N/A,#N/A,FALSE,"Lewis River";#N/A,#N/A,FALSE,"NrthUmpq";#N/A,#N/A,FALSE,"KlamRog"}</definedName>
    <definedName name="_______OM1_2" localSheetId="4" hidden="1">{#N/A,#N/A,FALSE,"Summary";#N/A,#N/A,FALSE,"SmPlants";#N/A,#N/A,FALSE,"Utah";#N/A,#N/A,FALSE,"Idaho";#N/A,#N/A,FALSE,"Lewis River";#N/A,#N/A,FALSE,"NrthUmpq";#N/A,#N/A,FALSE,"KlamRog"}</definedName>
    <definedName name="_______OM1_2" localSheetId="13" hidden="1">{#N/A,#N/A,FALSE,"Summary";#N/A,#N/A,FALSE,"SmPlants";#N/A,#N/A,FALSE,"Utah";#N/A,#N/A,FALSE,"Idaho";#N/A,#N/A,FALSE,"Lewis River";#N/A,#N/A,FALSE,"NrthUmpq";#N/A,#N/A,FALSE,"KlamRog"}</definedName>
    <definedName name="_______OM1_2" localSheetId="14" hidden="1">{#N/A,#N/A,FALSE,"Summary";#N/A,#N/A,FALSE,"SmPlants";#N/A,#N/A,FALSE,"Utah";#N/A,#N/A,FALSE,"Idaho";#N/A,#N/A,FALSE,"Lewis River";#N/A,#N/A,FALSE,"NrthUmpq";#N/A,#N/A,FALSE,"KlamRog"}</definedName>
    <definedName name="_______OM1_2" localSheetId="15" hidden="1">{#N/A,#N/A,FALSE,"Summary";#N/A,#N/A,FALSE,"SmPlants";#N/A,#N/A,FALSE,"Utah";#N/A,#N/A,FALSE,"Idaho";#N/A,#N/A,FALSE,"Lewis River";#N/A,#N/A,FALSE,"NrthUmpq";#N/A,#N/A,FALSE,"KlamRog"}</definedName>
    <definedName name="_______OM1_2" localSheetId="16" hidden="1">{#N/A,#N/A,FALSE,"Summary";#N/A,#N/A,FALSE,"SmPlants";#N/A,#N/A,FALSE,"Utah";#N/A,#N/A,FALSE,"Idaho";#N/A,#N/A,FALSE,"Lewis River";#N/A,#N/A,FALSE,"NrthUmpq";#N/A,#N/A,FALSE,"KlamRog"}</definedName>
    <definedName name="_______OM1_2" localSheetId="19" hidden="1">{#N/A,#N/A,FALSE,"Summary";#N/A,#N/A,FALSE,"SmPlants";#N/A,#N/A,FALSE,"Utah";#N/A,#N/A,FALSE,"Idaho";#N/A,#N/A,FALSE,"Lewis River";#N/A,#N/A,FALSE,"NrthUmpq";#N/A,#N/A,FALSE,"KlamRog"}</definedName>
    <definedName name="_______OM1_2" localSheetId="22" hidden="1">{#N/A,#N/A,FALSE,"Summary";#N/A,#N/A,FALSE,"SmPlants";#N/A,#N/A,FALSE,"Utah";#N/A,#N/A,FALSE,"Idaho";#N/A,#N/A,FALSE,"Lewis River";#N/A,#N/A,FALSE,"NrthUmpq";#N/A,#N/A,FALSE,"KlamRog"}</definedName>
    <definedName name="_______OM1_2" localSheetId="23" hidden="1">{#N/A,#N/A,FALSE,"Summary";#N/A,#N/A,FALSE,"SmPlants";#N/A,#N/A,FALSE,"Utah";#N/A,#N/A,FALSE,"Idaho";#N/A,#N/A,FALSE,"Lewis River";#N/A,#N/A,FALSE,"NrthUmpq";#N/A,#N/A,FALSE,"KlamRog"}</definedName>
    <definedName name="_______OM1_2" localSheetId="24" hidden="1">{#N/A,#N/A,FALSE,"Summary";#N/A,#N/A,FALSE,"SmPlants";#N/A,#N/A,FALSE,"Utah";#N/A,#N/A,FALSE,"Idaho";#N/A,#N/A,FALSE,"Lewis River";#N/A,#N/A,FALSE,"NrthUmpq";#N/A,#N/A,FALSE,"KlamRog"}</definedName>
    <definedName name="_______OM1_2" localSheetId="25" hidden="1">{#N/A,#N/A,FALSE,"Summary";#N/A,#N/A,FALSE,"SmPlants";#N/A,#N/A,FALSE,"Utah";#N/A,#N/A,FALSE,"Idaho";#N/A,#N/A,FALSE,"Lewis River";#N/A,#N/A,FALSE,"NrthUmpq";#N/A,#N/A,FALSE,"KlamRog"}</definedName>
    <definedName name="_______OM1_2" localSheetId="26" hidden="1">{#N/A,#N/A,FALSE,"Summary";#N/A,#N/A,FALSE,"SmPlants";#N/A,#N/A,FALSE,"Utah";#N/A,#N/A,FALSE,"Idaho";#N/A,#N/A,FALSE,"Lewis River";#N/A,#N/A,FALSE,"NrthUmpq";#N/A,#N/A,FALSE,"KlamRog"}</definedName>
    <definedName name="_______OM1_2" localSheetId="31" hidden="1">{#N/A,#N/A,FALSE,"Summary";#N/A,#N/A,FALSE,"SmPlants";#N/A,#N/A,FALSE,"Utah";#N/A,#N/A,FALSE,"Idaho";#N/A,#N/A,FALSE,"Lewis River";#N/A,#N/A,FALSE,"NrthUmpq";#N/A,#N/A,FALSE,"KlamRog"}</definedName>
    <definedName name="_______OM1_2" localSheetId="35" hidden="1">{#N/A,#N/A,FALSE,"Summary";#N/A,#N/A,FALSE,"SmPlants";#N/A,#N/A,FALSE,"Utah";#N/A,#N/A,FALSE,"Idaho";#N/A,#N/A,FALSE,"Lewis River";#N/A,#N/A,FALSE,"NrthUmpq";#N/A,#N/A,FALSE,"KlamRog"}</definedName>
    <definedName name="_______OM1_2" localSheetId="36" hidden="1">{#N/A,#N/A,FALSE,"Summary";#N/A,#N/A,FALSE,"SmPlants";#N/A,#N/A,FALSE,"Utah";#N/A,#N/A,FALSE,"Idaho";#N/A,#N/A,FALSE,"Lewis River";#N/A,#N/A,FALSE,"NrthUmpq";#N/A,#N/A,FALSE,"KlamRog"}</definedName>
    <definedName name="_______OM1_2" localSheetId="0" hidden="1">{#N/A,#N/A,FALSE,"Summary";#N/A,#N/A,FALSE,"SmPlants";#N/A,#N/A,FALSE,"Utah";#N/A,#N/A,FALSE,"Idaho";#N/A,#N/A,FALSE,"Lewis River";#N/A,#N/A,FALSE,"NrthUmpq";#N/A,#N/A,FALSE,"KlamRog"}</definedName>
    <definedName name="_______OM1_2" hidden="1">{#N/A,#N/A,FALSE,"Summary";#N/A,#N/A,FALSE,"SmPlants";#N/A,#N/A,FALSE,"Utah";#N/A,#N/A,FALSE,"Idaho";#N/A,#N/A,FALSE,"Lewis River";#N/A,#N/A,FALSE,"NrthUmpq";#N/A,#N/A,FALSE,"KlamRog"}</definedName>
    <definedName name="_______OM1_3" localSheetId="1" hidden="1">{#N/A,#N/A,FALSE,"Summary";#N/A,#N/A,FALSE,"SmPlants";#N/A,#N/A,FALSE,"Utah";#N/A,#N/A,FALSE,"Idaho";#N/A,#N/A,FALSE,"Lewis River";#N/A,#N/A,FALSE,"NrthUmpq";#N/A,#N/A,FALSE,"KlamRog"}</definedName>
    <definedName name="_______OM1_3" localSheetId="3" hidden="1">{#N/A,#N/A,FALSE,"Summary";#N/A,#N/A,FALSE,"SmPlants";#N/A,#N/A,FALSE,"Utah";#N/A,#N/A,FALSE,"Idaho";#N/A,#N/A,FALSE,"Lewis River";#N/A,#N/A,FALSE,"NrthUmpq";#N/A,#N/A,FALSE,"KlamRog"}</definedName>
    <definedName name="_______OM1_3" localSheetId="4" hidden="1">{#N/A,#N/A,FALSE,"Summary";#N/A,#N/A,FALSE,"SmPlants";#N/A,#N/A,FALSE,"Utah";#N/A,#N/A,FALSE,"Idaho";#N/A,#N/A,FALSE,"Lewis River";#N/A,#N/A,FALSE,"NrthUmpq";#N/A,#N/A,FALSE,"KlamRog"}</definedName>
    <definedName name="_______OM1_3" localSheetId="13" hidden="1">{#N/A,#N/A,FALSE,"Summary";#N/A,#N/A,FALSE,"SmPlants";#N/A,#N/A,FALSE,"Utah";#N/A,#N/A,FALSE,"Idaho";#N/A,#N/A,FALSE,"Lewis River";#N/A,#N/A,FALSE,"NrthUmpq";#N/A,#N/A,FALSE,"KlamRog"}</definedName>
    <definedName name="_______OM1_3" localSheetId="14" hidden="1">{#N/A,#N/A,FALSE,"Summary";#N/A,#N/A,FALSE,"SmPlants";#N/A,#N/A,FALSE,"Utah";#N/A,#N/A,FALSE,"Idaho";#N/A,#N/A,FALSE,"Lewis River";#N/A,#N/A,FALSE,"NrthUmpq";#N/A,#N/A,FALSE,"KlamRog"}</definedName>
    <definedName name="_______OM1_3" localSheetId="15" hidden="1">{#N/A,#N/A,FALSE,"Summary";#N/A,#N/A,FALSE,"SmPlants";#N/A,#N/A,FALSE,"Utah";#N/A,#N/A,FALSE,"Idaho";#N/A,#N/A,FALSE,"Lewis River";#N/A,#N/A,FALSE,"NrthUmpq";#N/A,#N/A,FALSE,"KlamRog"}</definedName>
    <definedName name="_______OM1_3" localSheetId="16" hidden="1">{#N/A,#N/A,FALSE,"Summary";#N/A,#N/A,FALSE,"SmPlants";#N/A,#N/A,FALSE,"Utah";#N/A,#N/A,FALSE,"Idaho";#N/A,#N/A,FALSE,"Lewis River";#N/A,#N/A,FALSE,"NrthUmpq";#N/A,#N/A,FALSE,"KlamRog"}</definedName>
    <definedName name="_______OM1_3" localSheetId="19" hidden="1">{#N/A,#N/A,FALSE,"Summary";#N/A,#N/A,FALSE,"SmPlants";#N/A,#N/A,FALSE,"Utah";#N/A,#N/A,FALSE,"Idaho";#N/A,#N/A,FALSE,"Lewis River";#N/A,#N/A,FALSE,"NrthUmpq";#N/A,#N/A,FALSE,"KlamRog"}</definedName>
    <definedName name="_______OM1_3" localSheetId="22" hidden="1">{#N/A,#N/A,FALSE,"Summary";#N/A,#N/A,FALSE,"SmPlants";#N/A,#N/A,FALSE,"Utah";#N/A,#N/A,FALSE,"Idaho";#N/A,#N/A,FALSE,"Lewis River";#N/A,#N/A,FALSE,"NrthUmpq";#N/A,#N/A,FALSE,"KlamRog"}</definedName>
    <definedName name="_______OM1_3" localSheetId="23" hidden="1">{#N/A,#N/A,FALSE,"Summary";#N/A,#N/A,FALSE,"SmPlants";#N/A,#N/A,FALSE,"Utah";#N/A,#N/A,FALSE,"Idaho";#N/A,#N/A,FALSE,"Lewis River";#N/A,#N/A,FALSE,"NrthUmpq";#N/A,#N/A,FALSE,"KlamRog"}</definedName>
    <definedName name="_______OM1_3" localSheetId="24" hidden="1">{#N/A,#N/A,FALSE,"Summary";#N/A,#N/A,FALSE,"SmPlants";#N/A,#N/A,FALSE,"Utah";#N/A,#N/A,FALSE,"Idaho";#N/A,#N/A,FALSE,"Lewis River";#N/A,#N/A,FALSE,"NrthUmpq";#N/A,#N/A,FALSE,"KlamRog"}</definedName>
    <definedName name="_______OM1_3" localSheetId="25" hidden="1">{#N/A,#N/A,FALSE,"Summary";#N/A,#N/A,FALSE,"SmPlants";#N/A,#N/A,FALSE,"Utah";#N/A,#N/A,FALSE,"Idaho";#N/A,#N/A,FALSE,"Lewis River";#N/A,#N/A,FALSE,"NrthUmpq";#N/A,#N/A,FALSE,"KlamRog"}</definedName>
    <definedName name="_______OM1_3" localSheetId="26" hidden="1">{#N/A,#N/A,FALSE,"Summary";#N/A,#N/A,FALSE,"SmPlants";#N/A,#N/A,FALSE,"Utah";#N/A,#N/A,FALSE,"Idaho";#N/A,#N/A,FALSE,"Lewis River";#N/A,#N/A,FALSE,"NrthUmpq";#N/A,#N/A,FALSE,"KlamRog"}</definedName>
    <definedName name="_______OM1_3" localSheetId="31" hidden="1">{#N/A,#N/A,FALSE,"Summary";#N/A,#N/A,FALSE,"SmPlants";#N/A,#N/A,FALSE,"Utah";#N/A,#N/A,FALSE,"Idaho";#N/A,#N/A,FALSE,"Lewis River";#N/A,#N/A,FALSE,"NrthUmpq";#N/A,#N/A,FALSE,"KlamRog"}</definedName>
    <definedName name="_______OM1_3" localSheetId="35" hidden="1">{#N/A,#N/A,FALSE,"Summary";#N/A,#N/A,FALSE,"SmPlants";#N/A,#N/A,FALSE,"Utah";#N/A,#N/A,FALSE,"Idaho";#N/A,#N/A,FALSE,"Lewis River";#N/A,#N/A,FALSE,"NrthUmpq";#N/A,#N/A,FALSE,"KlamRog"}</definedName>
    <definedName name="_______OM1_3" localSheetId="36" hidden="1">{#N/A,#N/A,FALSE,"Summary";#N/A,#N/A,FALSE,"SmPlants";#N/A,#N/A,FALSE,"Utah";#N/A,#N/A,FALSE,"Idaho";#N/A,#N/A,FALSE,"Lewis River";#N/A,#N/A,FALSE,"NrthUmpq";#N/A,#N/A,FALSE,"KlamRog"}</definedName>
    <definedName name="_______OM1_3" localSheetId="0" hidden="1">{#N/A,#N/A,FALSE,"Summary";#N/A,#N/A,FALSE,"SmPlants";#N/A,#N/A,FALSE,"Utah";#N/A,#N/A,FALSE,"Idaho";#N/A,#N/A,FALSE,"Lewis River";#N/A,#N/A,FALSE,"NrthUmpq";#N/A,#N/A,FALSE,"KlamRog"}</definedName>
    <definedName name="_______OM1_3" hidden="1">{#N/A,#N/A,FALSE,"Summary";#N/A,#N/A,FALSE,"SmPlants";#N/A,#N/A,FALSE,"Utah";#N/A,#N/A,FALSE,"Idaho";#N/A,#N/A,FALSE,"Lewis River";#N/A,#N/A,FALSE,"NrthUmpq";#N/A,#N/A,FALSE,"KlamRog"}</definedName>
    <definedName name="_______OM1_4" localSheetId="1" hidden="1">{#N/A,#N/A,FALSE,"Summary";#N/A,#N/A,FALSE,"SmPlants";#N/A,#N/A,FALSE,"Utah";#N/A,#N/A,FALSE,"Idaho";#N/A,#N/A,FALSE,"Lewis River";#N/A,#N/A,FALSE,"NrthUmpq";#N/A,#N/A,FALSE,"KlamRog"}</definedName>
    <definedName name="_______OM1_4" localSheetId="3" hidden="1">{#N/A,#N/A,FALSE,"Summary";#N/A,#N/A,FALSE,"SmPlants";#N/A,#N/A,FALSE,"Utah";#N/A,#N/A,FALSE,"Idaho";#N/A,#N/A,FALSE,"Lewis River";#N/A,#N/A,FALSE,"NrthUmpq";#N/A,#N/A,FALSE,"KlamRog"}</definedName>
    <definedName name="_______OM1_4" localSheetId="4" hidden="1">{#N/A,#N/A,FALSE,"Summary";#N/A,#N/A,FALSE,"SmPlants";#N/A,#N/A,FALSE,"Utah";#N/A,#N/A,FALSE,"Idaho";#N/A,#N/A,FALSE,"Lewis River";#N/A,#N/A,FALSE,"NrthUmpq";#N/A,#N/A,FALSE,"KlamRog"}</definedName>
    <definedName name="_______OM1_4" localSheetId="13" hidden="1">{#N/A,#N/A,FALSE,"Summary";#N/A,#N/A,FALSE,"SmPlants";#N/A,#N/A,FALSE,"Utah";#N/A,#N/A,FALSE,"Idaho";#N/A,#N/A,FALSE,"Lewis River";#N/A,#N/A,FALSE,"NrthUmpq";#N/A,#N/A,FALSE,"KlamRog"}</definedName>
    <definedName name="_______OM1_4" localSheetId="14" hidden="1">{#N/A,#N/A,FALSE,"Summary";#N/A,#N/A,FALSE,"SmPlants";#N/A,#N/A,FALSE,"Utah";#N/A,#N/A,FALSE,"Idaho";#N/A,#N/A,FALSE,"Lewis River";#N/A,#N/A,FALSE,"NrthUmpq";#N/A,#N/A,FALSE,"KlamRog"}</definedName>
    <definedName name="_______OM1_4" localSheetId="15" hidden="1">{#N/A,#N/A,FALSE,"Summary";#N/A,#N/A,FALSE,"SmPlants";#N/A,#N/A,FALSE,"Utah";#N/A,#N/A,FALSE,"Idaho";#N/A,#N/A,FALSE,"Lewis River";#N/A,#N/A,FALSE,"NrthUmpq";#N/A,#N/A,FALSE,"KlamRog"}</definedName>
    <definedName name="_______OM1_4" localSheetId="16" hidden="1">{#N/A,#N/A,FALSE,"Summary";#N/A,#N/A,FALSE,"SmPlants";#N/A,#N/A,FALSE,"Utah";#N/A,#N/A,FALSE,"Idaho";#N/A,#N/A,FALSE,"Lewis River";#N/A,#N/A,FALSE,"NrthUmpq";#N/A,#N/A,FALSE,"KlamRog"}</definedName>
    <definedName name="_______OM1_4" localSheetId="19" hidden="1">{#N/A,#N/A,FALSE,"Summary";#N/A,#N/A,FALSE,"SmPlants";#N/A,#N/A,FALSE,"Utah";#N/A,#N/A,FALSE,"Idaho";#N/A,#N/A,FALSE,"Lewis River";#N/A,#N/A,FALSE,"NrthUmpq";#N/A,#N/A,FALSE,"KlamRog"}</definedName>
    <definedName name="_______OM1_4" localSheetId="22" hidden="1">{#N/A,#N/A,FALSE,"Summary";#N/A,#N/A,FALSE,"SmPlants";#N/A,#N/A,FALSE,"Utah";#N/A,#N/A,FALSE,"Idaho";#N/A,#N/A,FALSE,"Lewis River";#N/A,#N/A,FALSE,"NrthUmpq";#N/A,#N/A,FALSE,"KlamRog"}</definedName>
    <definedName name="_______OM1_4" localSheetId="23" hidden="1">{#N/A,#N/A,FALSE,"Summary";#N/A,#N/A,FALSE,"SmPlants";#N/A,#N/A,FALSE,"Utah";#N/A,#N/A,FALSE,"Idaho";#N/A,#N/A,FALSE,"Lewis River";#N/A,#N/A,FALSE,"NrthUmpq";#N/A,#N/A,FALSE,"KlamRog"}</definedName>
    <definedName name="_______OM1_4" localSheetId="24" hidden="1">{#N/A,#N/A,FALSE,"Summary";#N/A,#N/A,FALSE,"SmPlants";#N/A,#N/A,FALSE,"Utah";#N/A,#N/A,FALSE,"Idaho";#N/A,#N/A,FALSE,"Lewis River";#N/A,#N/A,FALSE,"NrthUmpq";#N/A,#N/A,FALSE,"KlamRog"}</definedName>
    <definedName name="_______OM1_4" localSheetId="25" hidden="1">{#N/A,#N/A,FALSE,"Summary";#N/A,#N/A,FALSE,"SmPlants";#N/A,#N/A,FALSE,"Utah";#N/A,#N/A,FALSE,"Idaho";#N/A,#N/A,FALSE,"Lewis River";#N/A,#N/A,FALSE,"NrthUmpq";#N/A,#N/A,FALSE,"KlamRog"}</definedName>
    <definedName name="_______OM1_4" localSheetId="26" hidden="1">{#N/A,#N/A,FALSE,"Summary";#N/A,#N/A,FALSE,"SmPlants";#N/A,#N/A,FALSE,"Utah";#N/A,#N/A,FALSE,"Idaho";#N/A,#N/A,FALSE,"Lewis River";#N/A,#N/A,FALSE,"NrthUmpq";#N/A,#N/A,FALSE,"KlamRog"}</definedName>
    <definedName name="_______OM1_4" localSheetId="31" hidden="1">{#N/A,#N/A,FALSE,"Summary";#N/A,#N/A,FALSE,"SmPlants";#N/A,#N/A,FALSE,"Utah";#N/A,#N/A,FALSE,"Idaho";#N/A,#N/A,FALSE,"Lewis River";#N/A,#N/A,FALSE,"NrthUmpq";#N/A,#N/A,FALSE,"KlamRog"}</definedName>
    <definedName name="_______OM1_4" localSheetId="35" hidden="1">{#N/A,#N/A,FALSE,"Summary";#N/A,#N/A,FALSE,"SmPlants";#N/A,#N/A,FALSE,"Utah";#N/A,#N/A,FALSE,"Idaho";#N/A,#N/A,FALSE,"Lewis River";#N/A,#N/A,FALSE,"NrthUmpq";#N/A,#N/A,FALSE,"KlamRog"}</definedName>
    <definedName name="_______OM1_4" localSheetId="36" hidden="1">{#N/A,#N/A,FALSE,"Summary";#N/A,#N/A,FALSE,"SmPlants";#N/A,#N/A,FALSE,"Utah";#N/A,#N/A,FALSE,"Idaho";#N/A,#N/A,FALSE,"Lewis River";#N/A,#N/A,FALSE,"NrthUmpq";#N/A,#N/A,FALSE,"KlamRog"}</definedName>
    <definedName name="_______OM1_4" localSheetId="0" hidden="1">{#N/A,#N/A,FALSE,"Summary";#N/A,#N/A,FALSE,"SmPlants";#N/A,#N/A,FALSE,"Utah";#N/A,#N/A,FALSE,"Idaho";#N/A,#N/A,FALSE,"Lewis River";#N/A,#N/A,FALSE,"NrthUmpq";#N/A,#N/A,FALSE,"KlamRog"}</definedName>
    <definedName name="_______OM1_4" hidden="1">{#N/A,#N/A,FALSE,"Summary";#N/A,#N/A,FALSE,"SmPlants";#N/A,#N/A,FALSE,"Utah";#N/A,#N/A,FALSE,"Idaho";#N/A,#N/A,FALSE,"Lewis River";#N/A,#N/A,FALSE,"NrthUmpq";#N/A,#N/A,FALSE,"KlamRog"}</definedName>
    <definedName name="_______OM1_5" localSheetId="1" hidden="1">{#N/A,#N/A,FALSE,"Summary";#N/A,#N/A,FALSE,"SmPlants";#N/A,#N/A,FALSE,"Utah";#N/A,#N/A,FALSE,"Idaho";#N/A,#N/A,FALSE,"Lewis River";#N/A,#N/A,FALSE,"NrthUmpq";#N/A,#N/A,FALSE,"KlamRog"}</definedName>
    <definedName name="_______OM1_5" localSheetId="3" hidden="1">{#N/A,#N/A,FALSE,"Summary";#N/A,#N/A,FALSE,"SmPlants";#N/A,#N/A,FALSE,"Utah";#N/A,#N/A,FALSE,"Idaho";#N/A,#N/A,FALSE,"Lewis River";#N/A,#N/A,FALSE,"NrthUmpq";#N/A,#N/A,FALSE,"KlamRog"}</definedName>
    <definedName name="_______OM1_5" localSheetId="4" hidden="1">{#N/A,#N/A,FALSE,"Summary";#N/A,#N/A,FALSE,"SmPlants";#N/A,#N/A,FALSE,"Utah";#N/A,#N/A,FALSE,"Idaho";#N/A,#N/A,FALSE,"Lewis River";#N/A,#N/A,FALSE,"NrthUmpq";#N/A,#N/A,FALSE,"KlamRog"}</definedName>
    <definedName name="_______OM1_5" localSheetId="13" hidden="1">{#N/A,#N/A,FALSE,"Summary";#N/A,#N/A,FALSE,"SmPlants";#N/A,#N/A,FALSE,"Utah";#N/A,#N/A,FALSE,"Idaho";#N/A,#N/A,FALSE,"Lewis River";#N/A,#N/A,FALSE,"NrthUmpq";#N/A,#N/A,FALSE,"KlamRog"}</definedName>
    <definedName name="_______OM1_5" localSheetId="14" hidden="1">{#N/A,#N/A,FALSE,"Summary";#N/A,#N/A,FALSE,"SmPlants";#N/A,#N/A,FALSE,"Utah";#N/A,#N/A,FALSE,"Idaho";#N/A,#N/A,FALSE,"Lewis River";#N/A,#N/A,FALSE,"NrthUmpq";#N/A,#N/A,FALSE,"KlamRog"}</definedName>
    <definedName name="_______OM1_5" localSheetId="15" hidden="1">{#N/A,#N/A,FALSE,"Summary";#N/A,#N/A,FALSE,"SmPlants";#N/A,#N/A,FALSE,"Utah";#N/A,#N/A,FALSE,"Idaho";#N/A,#N/A,FALSE,"Lewis River";#N/A,#N/A,FALSE,"NrthUmpq";#N/A,#N/A,FALSE,"KlamRog"}</definedName>
    <definedName name="_______OM1_5" localSheetId="16" hidden="1">{#N/A,#N/A,FALSE,"Summary";#N/A,#N/A,FALSE,"SmPlants";#N/A,#N/A,FALSE,"Utah";#N/A,#N/A,FALSE,"Idaho";#N/A,#N/A,FALSE,"Lewis River";#N/A,#N/A,FALSE,"NrthUmpq";#N/A,#N/A,FALSE,"KlamRog"}</definedName>
    <definedName name="_______OM1_5" localSheetId="19" hidden="1">{#N/A,#N/A,FALSE,"Summary";#N/A,#N/A,FALSE,"SmPlants";#N/A,#N/A,FALSE,"Utah";#N/A,#N/A,FALSE,"Idaho";#N/A,#N/A,FALSE,"Lewis River";#N/A,#N/A,FALSE,"NrthUmpq";#N/A,#N/A,FALSE,"KlamRog"}</definedName>
    <definedName name="_______OM1_5" localSheetId="22" hidden="1">{#N/A,#N/A,FALSE,"Summary";#N/A,#N/A,FALSE,"SmPlants";#N/A,#N/A,FALSE,"Utah";#N/A,#N/A,FALSE,"Idaho";#N/A,#N/A,FALSE,"Lewis River";#N/A,#N/A,FALSE,"NrthUmpq";#N/A,#N/A,FALSE,"KlamRog"}</definedName>
    <definedName name="_______OM1_5" localSheetId="23" hidden="1">{#N/A,#N/A,FALSE,"Summary";#N/A,#N/A,FALSE,"SmPlants";#N/A,#N/A,FALSE,"Utah";#N/A,#N/A,FALSE,"Idaho";#N/A,#N/A,FALSE,"Lewis River";#N/A,#N/A,FALSE,"NrthUmpq";#N/A,#N/A,FALSE,"KlamRog"}</definedName>
    <definedName name="_______OM1_5" localSheetId="24" hidden="1">{#N/A,#N/A,FALSE,"Summary";#N/A,#N/A,FALSE,"SmPlants";#N/A,#N/A,FALSE,"Utah";#N/A,#N/A,FALSE,"Idaho";#N/A,#N/A,FALSE,"Lewis River";#N/A,#N/A,FALSE,"NrthUmpq";#N/A,#N/A,FALSE,"KlamRog"}</definedName>
    <definedName name="_______OM1_5" localSheetId="25" hidden="1">{#N/A,#N/A,FALSE,"Summary";#N/A,#N/A,FALSE,"SmPlants";#N/A,#N/A,FALSE,"Utah";#N/A,#N/A,FALSE,"Idaho";#N/A,#N/A,FALSE,"Lewis River";#N/A,#N/A,FALSE,"NrthUmpq";#N/A,#N/A,FALSE,"KlamRog"}</definedName>
    <definedName name="_______OM1_5" localSheetId="26" hidden="1">{#N/A,#N/A,FALSE,"Summary";#N/A,#N/A,FALSE,"SmPlants";#N/A,#N/A,FALSE,"Utah";#N/A,#N/A,FALSE,"Idaho";#N/A,#N/A,FALSE,"Lewis River";#N/A,#N/A,FALSE,"NrthUmpq";#N/A,#N/A,FALSE,"KlamRog"}</definedName>
    <definedName name="_______OM1_5" localSheetId="31" hidden="1">{#N/A,#N/A,FALSE,"Summary";#N/A,#N/A,FALSE,"SmPlants";#N/A,#N/A,FALSE,"Utah";#N/A,#N/A,FALSE,"Idaho";#N/A,#N/A,FALSE,"Lewis River";#N/A,#N/A,FALSE,"NrthUmpq";#N/A,#N/A,FALSE,"KlamRog"}</definedName>
    <definedName name="_______OM1_5" localSheetId="35" hidden="1">{#N/A,#N/A,FALSE,"Summary";#N/A,#N/A,FALSE,"SmPlants";#N/A,#N/A,FALSE,"Utah";#N/A,#N/A,FALSE,"Idaho";#N/A,#N/A,FALSE,"Lewis River";#N/A,#N/A,FALSE,"NrthUmpq";#N/A,#N/A,FALSE,"KlamRog"}</definedName>
    <definedName name="_______OM1_5" localSheetId="36" hidden="1">{#N/A,#N/A,FALSE,"Summary";#N/A,#N/A,FALSE,"SmPlants";#N/A,#N/A,FALSE,"Utah";#N/A,#N/A,FALSE,"Idaho";#N/A,#N/A,FALSE,"Lewis River";#N/A,#N/A,FALSE,"NrthUmpq";#N/A,#N/A,FALSE,"KlamRog"}</definedName>
    <definedName name="_______OM1_5" localSheetId="0" hidden="1">{#N/A,#N/A,FALSE,"Summary";#N/A,#N/A,FALSE,"SmPlants";#N/A,#N/A,FALSE,"Utah";#N/A,#N/A,FALSE,"Idaho";#N/A,#N/A,FALSE,"Lewis River";#N/A,#N/A,FALSE,"NrthUmpq";#N/A,#N/A,FALSE,"KlamRog"}</definedName>
    <definedName name="_______OM1_5" hidden="1">{#N/A,#N/A,FALSE,"Summary";#N/A,#N/A,FALSE,"SmPlants";#N/A,#N/A,FALSE,"Utah";#N/A,#N/A,FALSE,"Idaho";#N/A,#N/A,FALSE,"Lewis River";#N/A,#N/A,FALSE,"NrthUmpq";#N/A,#N/A,FALSE,"KlamRog"}</definedName>
    <definedName name="_____OM1" localSheetId="1" hidden="1">{#N/A,#N/A,FALSE,"Summary";#N/A,#N/A,FALSE,"SmPlants";#N/A,#N/A,FALSE,"Utah";#N/A,#N/A,FALSE,"Idaho";#N/A,#N/A,FALSE,"Lewis River";#N/A,#N/A,FALSE,"NrthUmpq";#N/A,#N/A,FALSE,"KlamRog"}</definedName>
    <definedName name="_____OM1" localSheetId="3" hidden="1">{#N/A,#N/A,FALSE,"Summary";#N/A,#N/A,FALSE,"SmPlants";#N/A,#N/A,FALSE,"Utah";#N/A,#N/A,FALSE,"Idaho";#N/A,#N/A,FALSE,"Lewis River";#N/A,#N/A,FALSE,"NrthUmpq";#N/A,#N/A,FALSE,"KlamRog"}</definedName>
    <definedName name="_____OM1" localSheetId="4" hidden="1">{#N/A,#N/A,FALSE,"Summary";#N/A,#N/A,FALSE,"SmPlants";#N/A,#N/A,FALSE,"Utah";#N/A,#N/A,FALSE,"Idaho";#N/A,#N/A,FALSE,"Lewis River";#N/A,#N/A,FALSE,"NrthUmpq";#N/A,#N/A,FALSE,"KlamRog"}</definedName>
    <definedName name="_____OM1" localSheetId="13" hidden="1">{#N/A,#N/A,FALSE,"Summary";#N/A,#N/A,FALSE,"SmPlants";#N/A,#N/A,FALSE,"Utah";#N/A,#N/A,FALSE,"Idaho";#N/A,#N/A,FALSE,"Lewis River";#N/A,#N/A,FALSE,"NrthUmpq";#N/A,#N/A,FALSE,"KlamRog"}</definedName>
    <definedName name="_____OM1" localSheetId="14" hidden="1">{#N/A,#N/A,FALSE,"Summary";#N/A,#N/A,FALSE,"SmPlants";#N/A,#N/A,FALSE,"Utah";#N/A,#N/A,FALSE,"Idaho";#N/A,#N/A,FALSE,"Lewis River";#N/A,#N/A,FALSE,"NrthUmpq";#N/A,#N/A,FALSE,"KlamRog"}</definedName>
    <definedName name="_____OM1" localSheetId="15" hidden="1">{#N/A,#N/A,FALSE,"Summary";#N/A,#N/A,FALSE,"SmPlants";#N/A,#N/A,FALSE,"Utah";#N/A,#N/A,FALSE,"Idaho";#N/A,#N/A,FALSE,"Lewis River";#N/A,#N/A,FALSE,"NrthUmpq";#N/A,#N/A,FALSE,"KlamRog"}</definedName>
    <definedName name="_____OM1" localSheetId="16" hidden="1">{#N/A,#N/A,FALSE,"Summary";#N/A,#N/A,FALSE,"SmPlants";#N/A,#N/A,FALSE,"Utah";#N/A,#N/A,FALSE,"Idaho";#N/A,#N/A,FALSE,"Lewis River";#N/A,#N/A,FALSE,"NrthUmpq";#N/A,#N/A,FALSE,"KlamRog"}</definedName>
    <definedName name="_____OM1" localSheetId="19" hidden="1">{#N/A,#N/A,FALSE,"Summary";#N/A,#N/A,FALSE,"SmPlants";#N/A,#N/A,FALSE,"Utah";#N/A,#N/A,FALSE,"Idaho";#N/A,#N/A,FALSE,"Lewis River";#N/A,#N/A,FALSE,"NrthUmpq";#N/A,#N/A,FALSE,"KlamRog"}</definedName>
    <definedName name="_____OM1" localSheetId="22" hidden="1">{#N/A,#N/A,FALSE,"Summary";#N/A,#N/A,FALSE,"SmPlants";#N/A,#N/A,FALSE,"Utah";#N/A,#N/A,FALSE,"Idaho";#N/A,#N/A,FALSE,"Lewis River";#N/A,#N/A,FALSE,"NrthUmpq";#N/A,#N/A,FALSE,"KlamRog"}</definedName>
    <definedName name="_____OM1" localSheetId="23" hidden="1">{#N/A,#N/A,FALSE,"Summary";#N/A,#N/A,FALSE,"SmPlants";#N/A,#N/A,FALSE,"Utah";#N/A,#N/A,FALSE,"Idaho";#N/A,#N/A,FALSE,"Lewis River";#N/A,#N/A,FALSE,"NrthUmpq";#N/A,#N/A,FALSE,"KlamRog"}</definedName>
    <definedName name="_____OM1" localSheetId="24" hidden="1">{#N/A,#N/A,FALSE,"Summary";#N/A,#N/A,FALSE,"SmPlants";#N/A,#N/A,FALSE,"Utah";#N/A,#N/A,FALSE,"Idaho";#N/A,#N/A,FALSE,"Lewis River";#N/A,#N/A,FALSE,"NrthUmpq";#N/A,#N/A,FALSE,"KlamRog"}</definedName>
    <definedName name="_____OM1" localSheetId="25" hidden="1">{#N/A,#N/A,FALSE,"Summary";#N/A,#N/A,FALSE,"SmPlants";#N/A,#N/A,FALSE,"Utah";#N/A,#N/A,FALSE,"Idaho";#N/A,#N/A,FALSE,"Lewis River";#N/A,#N/A,FALSE,"NrthUmpq";#N/A,#N/A,FALSE,"KlamRog"}</definedName>
    <definedName name="_____OM1" localSheetId="26" hidden="1">{#N/A,#N/A,FALSE,"Summary";#N/A,#N/A,FALSE,"SmPlants";#N/A,#N/A,FALSE,"Utah";#N/A,#N/A,FALSE,"Idaho";#N/A,#N/A,FALSE,"Lewis River";#N/A,#N/A,FALSE,"NrthUmpq";#N/A,#N/A,FALSE,"KlamRog"}</definedName>
    <definedName name="_____OM1" localSheetId="31" hidden="1">{#N/A,#N/A,FALSE,"Summary";#N/A,#N/A,FALSE,"SmPlants";#N/A,#N/A,FALSE,"Utah";#N/A,#N/A,FALSE,"Idaho";#N/A,#N/A,FALSE,"Lewis River";#N/A,#N/A,FALSE,"NrthUmpq";#N/A,#N/A,FALSE,"KlamRog"}</definedName>
    <definedName name="_____OM1" localSheetId="35" hidden="1">{#N/A,#N/A,FALSE,"Summary";#N/A,#N/A,FALSE,"SmPlants";#N/A,#N/A,FALSE,"Utah";#N/A,#N/A,FALSE,"Idaho";#N/A,#N/A,FALSE,"Lewis River";#N/A,#N/A,FALSE,"NrthUmpq";#N/A,#N/A,FALSE,"KlamRog"}</definedName>
    <definedName name="_____OM1" localSheetId="36" hidden="1">{#N/A,#N/A,FALSE,"Summary";#N/A,#N/A,FALSE,"SmPlants";#N/A,#N/A,FALSE,"Utah";#N/A,#N/A,FALSE,"Idaho";#N/A,#N/A,FALSE,"Lewis River";#N/A,#N/A,FALSE,"NrthUmpq";#N/A,#N/A,FALSE,"KlamRog"}</definedName>
    <definedName name="_____OM1" localSheetId="0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OM1_1" localSheetId="1" hidden="1">{#N/A,#N/A,FALSE,"Summary";#N/A,#N/A,FALSE,"SmPlants";#N/A,#N/A,FALSE,"Utah";#N/A,#N/A,FALSE,"Idaho";#N/A,#N/A,FALSE,"Lewis River";#N/A,#N/A,FALSE,"NrthUmpq";#N/A,#N/A,FALSE,"KlamRog"}</definedName>
    <definedName name="_____OM1_1" localSheetId="3" hidden="1">{#N/A,#N/A,FALSE,"Summary";#N/A,#N/A,FALSE,"SmPlants";#N/A,#N/A,FALSE,"Utah";#N/A,#N/A,FALSE,"Idaho";#N/A,#N/A,FALSE,"Lewis River";#N/A,#N/A,FALSE,"NrthUmpq";#N/A,#N/A,FALSE,"KlamRog"}</definedName>
    <definedName name="_____OM1_1" localSheetId="4" hidden="1">{#N/A,#N/A,FALSE,"Summary";#N/A,#N/A,FALSE,"SmPlants";#N/A,#N/A,FALSE,"Utah";#N/A,#N/A,FALSE,"Idaho";#N/A,#N/A,FALSE,"Lewis River";#N/A,#N/A,FALSE,"NrthUmpq";#N/A,#N/A,FALSE,"KlamRog"}</definedName>
    <definedName name="_____OM1_1" localSheetId="13" hidden="1">{#N/A,#N/A,FALSE,"Summary";#N/A,#N/A,FALSE,"SmPlants";#N/A,#N/A,FALSE,"Utah";#N/A,#N/A,FALSE,"Idaho";#N/A,#N/A,FALSE,"Lewis River";#N/A,#N/A,FALSE,"NrthUmpq";#N/A,#N/A,FALSE,"KlamRog"}</definedName>
    <definedName name="_____OM1_1" localSheetId="14" hidden="1">{#N/A,#N/A,FALSE,"Summary";#N/A,#N/A,FALSE,"SmPlants";#N/A,#N/A,FALSE,"Utah";#N/A,#N/A,FALSE,"Idaho";#N/A,#N/A,FALSE,"Lewis River";#N/A,#N/A,FALSE,"NrthUmpq";#N/A,#N/A,FALSE,"KlamRog"}</definedName>
    <definedName name="_____OM1_1" localSheetId="15" hidden="1">{#N/A,#N/A,FALSE,"Summary";#N/A,#N/A,FALSE,"SmPlants";#N/A,#N/A,FALSE,"Utah";#N/A,#N/A,FALSE,"Idaho";#N/A,#N/A,FALSE,"Lewis River";#N/A,#N/A,FALSE,"NrthUmpq";#N/A,#N/A,FALSE,"KlamRog"}</definedName>
    <definedName name="_____OM1_1" localSheetId="16" hidden="1">{#N/A,#N/A,FALSE,"Summary";#N/A,#N/A,FALSE,"SmPlants";#N/A,#N/A,FALSE,"Utah";#N/A,#N/A,FALSE,"Idaho";#N/A,#N/A,FALSE,"Lewis River";#N/A,#N/A,FALSE,"NrthUmpq";#N/A,#N/A,FALSE,"KlamRog"}</definedName>
    <definedName name="_____OM1_1" localSheetId="19" hidden="1">{#N/A,#N/A,FALSE,"Summary";#N/A,#N/A,FALSE,"SmPlants";#N/A,#N/A,FALSE,"Utah";#N/A,#N/A,FALSE,"Idaho";#N/A,#N/A,FALSE,"Lewis River";#N/A,#N/A,FALSE,"NrthUmpq";#N/A,#N/A,FALSE,"KlamRog"}</definedName>
    <definedName name="_____OM1_1" localSheetId="22" hidden="1">{#N/A,#N/A,FALSE,"Summary";#N/A,#N/A,FALSE,"SmPlants";#N/A,#N/A,FALSE,"Utah";#N/A,#N/A,FALSE,"Idaho";#N/A,#N/A,FALSE,"Lewis River";#N/A,#N/A,FALSE,"NrthUmpq";#N/A,#N/A,FALSE,"KlamRog"}</definedName>
    <definedName name="_____OM1_1" localSheetId="23" hidden="1">{#N/A,#N/A,FALSE,"Summary";#N/A,#N/A,FALSE,"SmPlants";#N/A,#N/A,FALSE,"Utah";#N/A,#N/A,FALSE,"Idaho";#N/A,#N/A,FALSE,"Lewis River";#N/A,#N/A,FALSE,"NrthUmpq";#N/A,#N/A,FALSE,"KlamRog"}</definedName>
    <definedName name="_____OM1_1" localSheetId="24" hidden="1">{#N/A,#N/A,FALSE,"Summary";#N/A,#N/A,FALSE,"SmPlants";#N/A,#N/A,FALSE,"Utah";#N/A,#N/A,FALSE,"Idaho";#N/A,#N/A,FALSE,"Lewis River";#N/A,#N/A,FALSE,"NrthUmpq";#N/A,#N/A,FALSE,"KlamRog"}</definedName>
    <definedName name="_____OM1_1" localSheetId="25" hidden="1">{#N/A,#N/A,FALSE,"Summary";#N/A,#N/A,FALSE,"SmPlants";#N/A,#N/A,FALSE,"Utah";#N/A,#N/A,FALSE,"Idaho";#N/A,#N/A,FALSE,"Lewis River";#N/A,#N/A,FALSE,"NrthUmpq";#N/A,#N/A,FALSE,"KlamRog"}</definedName>
    <definedName name="_____OM1_1" localSheetId="26" hidden="1">{#N/A,#N/A,FALSE,"Summary";#N/A,#N/A,FALSE,"SmPlants";#N/A,#N/A,FALSE,"Utah";#N/A,#N/A,FALSE,"Idaho";#N/A,#N/A,FALSE,"Lewis River";#N/A,#N/A,FALSE,"NrthUmpq";#N/A,#N/A,FALSE,"KlamRog"}</definedName>
    <definedName name="_____OM1_1" localSheetId="31" hidden="1">{#N/A,#N/A,FALSE,"Summary";#N/A,#N/A,FALSE,"SmPlants";#N/A,#N/A,FALSE,"Utah";#N/A,#N/A,FALSE,"Idaho";#N/A,#N/A,FALSE,"Lewis River";#N/A,#N/A,FALSE,"NrthUmpq";#N/A,#N/A,FALSE,"KlamRog"}</definedName>
    <definedName name="_____OM1_1" localSheetId="35" hidden="1">{#N/A,#N/A,FALSE,"Summary";#N/A,#N/A,FALSE,"SmPlants";#N/A,#N/A,FALSE,"Utah";#N/A,#N/A,FALSE,"Idaho";#N/A,#N/A,FALSE,"Lewis River";#N/A,#N/A,FALSE,"NrthUmpq";#N/A,#N/A,FALSE,"KlamRog"}</definedName>
    <definedName name="_____OM1_1" localSheetId="36" hidden="1">{#N/A,#N/A,FALSE,"Summary";#N/A,#N/A,FALSE,"SmPlants";#N/A,#N/A,FALSE,"Utah";#N/A,#N/A,FALSE,"Idaho";#N/A,#N/A,FALSE,"Lewis River";#N/A,#N/A,FALSE,"NrthUmpq";#N/A,#N/A,FALSE,"KlamRog"}</definedName>
    <definedName name="_____OM1_1" localSheetId="0" hidden="1">{#N/A,#N/A,FALSE,"Summary";#N/A,#N/A,FALSE,"SmPlants";#N/A,#N/A,FALSE,"Utah";#N/A,#N/A,FALSE,"Idaho";#N/A,#N/A,FALSE,"Lewis River";#N/A,#N/A,FALSE,"NrthUmpq";#N/A,#N/A,FALSE,"KlamRog"}</definedName>
    <definedName name="_____OM1_1" hidden="1">{#N/A,#N/A,FALSE,"Summary";#N/A,#N/A,FALSE,"SmPlants";#N/A,#N/A,FALSE,"Utah";#N/A,#N/A,FALSE,"Idaho";#N/A,#N/A,FALSE,"Lewis River";#N/A,#N/A,FALSE,"NrthUmpq";#N/A,#N/A,FALSE,"KlamRog"}</definedName>
    <definedName name="_____OM1_2" localSheetId="1" hidden="1">{#N/A,#N/A,FALSE,"Summary";#N/A,#N/A,FALSE,"SmPlants";#N/A,#N/A,FALSE,"Utah";#N/A,#N/A,FALSE,"Idaho";#N/A,#N/A,FALSE,"Lewis River";#N/A,#N/A,FALSE,"NrthUmpq";#N/A,#N/A,FALSE,"KlamRog"}</definedName>
    <definedName name="_____OM1_2" localSheetId="3" hidden="1">{#N/A,#N/A,FALSE,"Summary";#N/A,#N/A,FALSE,"SmPlants";#N/A,#N/A,FALSE,"Utah";#N/A,#N/A,FALSE,"Idaho";#N/A,#N/A,FALSE,"Lewis River";#N/A,#N/A,FALSE,"NrthUmpq";#N/A,#N/A,FALSE,"KlamRog"}</definedName>
    <definedName name="_____OM1_2" localSheetId="4" hidden="1">{#N/A,#N/A,FALSE,"Summary";#N/A,#N/A,FALSE,"SmPlants";#N/A,#N/A,FALSE,"Utah";#N/A,#N/A,FALSE,"Idaho";#N/A,#N/A,FALSE,"Lewis River";#N/A,#N/A,FALSE,"NrthUmpq";#N/A,#N/A,FALSE,"KlamRog"}</definedName>
    <definedName name="_____OM1_2" localSheetId="13" hidden="1">{#N/A,#N/A,FALSE,"Summary";#N/A,#N/A,FALSE,"SmPlants";#N/A,#N/A,FALSE,"Utah";#N/A,#N/A,FALSE,"Idaho";#N/A,#N/A,FALSE,"Lewis River";#N/A,#N/A,FALSE,"NrthUmpq";#N/A,#N/A,FALSE,"KlamRog"}</definedName>
    <definedName name="_____OM1_2" localSheetId="14" hidden="1">{#N/A,#N/A,FALSE,"Summary";#N/A,#N/A,FALSE,"SmPlants";#N/A,#N/A,FALSE,"Utah";#N/A,#N/A,FALSE,"Idaho";#N/A,#N/A,FALSE,"Lewis River";#N/A,#N/A,FALSE,"NrthUmpq";#N/A,#N/A,FALSE,"KlamRog"}</definedName>
    <definedName name="_____OM1_2" localSheetId="15" hidden="1">{#N/A,#N/A,FALSE,"Summary";#N/A,#N/A,FALSE,"SmPlants";#N/A,#N/A,FALSE,"Utah";#N/A,#N/A,FALSE,"Idaho";#N/A,#N/A,FALSE,"Lewis River";#N/A,#N/A,FALSE,"NrthUmpq";#N/A,#N/A,FALSE,"KlamRog"}</definedName>
    <definedName name="_____OM1_2" localSheetId="16" hidden="1">{#N/A,#N/A,FALSE,"Summary";#N/A,#N/A,FALSE,"SmPlants";#N/A,#N/A,FALSE,"Utah";#N/A,#N/A,FALSE,"Idaho";#N/A,#N/A,FALSE,"Lewis River";#N/A,#N/A,FALSE,"NrthUmpq";#N/A,#N/A,FALSE,"KlamRog"}</definedName>
    <definedName name="_____OM1_2" localSheetId="19" hidden="1">{#N/A,#N/A,FALSE,"Summary";#N/A,#N/A,FALSE,"SmPlants";#N/A,#N/A,FALSE,"Utah";#N/A,#N/A,FALSE,"Idaho";#N/A,#N/A,FALSE,"Lewis River";#N/A,#N/A,FALSE,"NrthUmpq";#N/A,#N/A,FALSE,"KlamRog"}</definedName>
    <definedName name="_____OM1_2" localSheetId="22" hidden="1">{#N/A,#N/A,FALSE,"Summary";#N/A,#N/A,FALSE,"SmPlants";#N/A,#N/A,FALSE,"Utah";#N/A,#N/A,FALSE,"Idaho";#N/A,#N/A,FALSE,"Lewis River";#N/A,#N/A,FALSE,"NrthUmpq";#N/A,#N/A,FALSE,"KlamRog"}</definedName>
    <definedName name="_____OM1_2" localSheetId="23" hidden="1">{#N/A,#N/A,FALSE,"Summary";#N/A,#N/A,FALSE,"SmPlants";#N/A,#N/A,FALSE,"Utah";#N/A,#N/A,FALSE,"Idaho";#N/A,#N/A,FALSE,"Lewis River";#N/A,#N/A,FALSE,"NrthUmpq";#N/A,#N/A,FALSE,"KlamRog"}</definedName>
    <definedName name="_____OM1_2" localSheetId="24" hidden="1">{#N/A,#N/A,FALSE,"Summary";#N/A,#N/A,FALSE,"SmPlants";#N/A,#N/A,FALSE,"Utah";#N/A,#N/A,FALSE,"Idaho";#N/A,#N/A,FALSE,"Lewis River";#N/A,#N/A,FALSE,"NrthUmpq";#N/A,#N/A,FALSE,"KlamRog"}</definedName>
    <definedName name="_____OM1_2" localSheetId="25" hidden="1">{#N/A,#N/A,FALSE,"Summary";#N/A,#N/A,FALSE,"SmPlants";#N/A,#N/A,FALSE,"Utah";#N/A,#N/A,FALSE,"Idaho";#N/A,#N/A,FALSE,"Lewis River";#N/A,#N/A,FALSE,"NrthUmpq";#N/A,#N/A,FALSE,"KlamRog"}</definedName>
    <definedName name="_____OM1_2" localSheetId="26" hidden="1">{#N/A,#N/A,FALSE,"Summary";#N/A,#N/A,FALSE,"SmPlants";#N/A,#N/A,FALSE,"Utah";#N/A,#N/A,FALSE,"Idaho";#N/A,#N/A,FALSE,"Lewis River";#N/A,#N/A,FALSE,"NrthUmpq";#N/A,#N/A,FALSE,"KlamRog"}</definedName>
    <definedName name="_____OM1_2" localSheetId="31" hidden="1">{#N/A,#N/A,FALSE,"Summary";#N/A,#N/A,FALSE,"SmPlants";#N/A,#N/A,FALSE,"Utah";#N/A,#N/A,FALSE,"Idaho";#N/A,#N/A,FALSE,"Lewis River";#N/A,#N/A,FALSE,"NrthUmpq";#N/A,#N/A,FALSE,"KlamRog"}</definedName>
    <definedName name="_____OM1_2" localSheetId="35" hidden="1">{#N/A,#N/A,FALSE,"Summary";#N/A,#N/A,FALSE,"SmPlants";#N/A,#N/A,FALSE,"Utah";#N/A,#N/A,FALSE,"Idaho";#N/A,#N/A,FALSE,"Lewis River";#N/A,#N/A,FALSE,"NrthUmpq";#N/A,#N/A,FALSE,"KlamRog"}</definedName>
    <definedName name="_____OM1_2" localSheetId="36" hidden="1">{#N/A,#N/A,FALSE,"Summary";#N/A,#N/A,FALSE,"SmPlants";#N/A,#N/A,FALSE,"Utah";#N/A,#N/A,FALSE,"Idaho";#N/A,#N/A,FALSE,"Lewis River";#N/A,#N/A,FALSE,"NrthUmpq";#N/A,#N/A,FALSE,"KlamRog"}</definedName>
    <definedName name="_____OM1_2" localSheetId="0" hidden="1">{#N/A,#N/A,FALSE,"Summary";#N/A,#N/A,FALSE,"SmPlants";#N/A,#N/A,FALSE,"Utah";#N/A,#N/A,FALSE,"Idaho";#N/A,#N/A,FALSE,"Lewis River";#N/A,#N/A,FALSE,"NrthUmpq";#N/A,#N/A,FALSE,"KlamRog"}</definedName>
    <definedName name="_____OM1_2" hidden="1">{#N/A,#N/A,FALSE,"Summary";#N/A,#N/A,FALSE,"SmPlants";#N/A,#N/A,FALSE,"Utah";#N/A,#N/A,FALSE,"Idaho";#N/A,#N/A,FALSE,"Lewis River";#N/A,#N/A,FALSE,"NrthUmpq";#N/A,#N/A,FALSE,"KlamRog"}</definedName>
    <definedName name="_____OM1_3" localSheetId="1" hidden="1">{#N/A,#N/A,FALSE,"Summary";#N/A,#N/A,FALSE,"SmPlants";#N/A,#N/A,FALSE,"Utah";#N/A,#N/A,FALSE,"Idaho";#N/A,#N/A,FALSE,"Lewis River";#N/A,#N/A,FALSE,"NrthUmpq";#N/A,#N/A,FALSE,"KlamRog"}</definedName>
    <definedName name="_____OM1_3" localSheetId="3" hidden="1">{#N/A,#N/A,FALSE,"Summary";#N/A,#N/A,FALSE,"SmPlants";#N/A,#N/A,FALSE,"Utah";#N/A,#N/A,FALSE,"Idaho";#N/A,#N/A,FALSE,"Lewis River";#N/A,#N/A,FALSE,"NrthUmpq";#N/A,#N/A,FALSE,"KlamRog"}</definedName>
    <definedName name="_____OM1_3" localSheetId="4" hidden="1">{#N/A,#N/A,FALSE,"Summary";#N/A,#N/A,FALSE,"SmPlants";#N/A,#N/A,FALSE,"Utah";#N/A,#N/A,FALSE,"Idaho";#N/A,#N/A,FALSE,"Lewis River";#N/A,#N/A,FALSE,"NrthUmpq";#N/A,#N/A,FALSE,"KlamRog"}</definedName>
    <definedName name="_____OM1_3" localSheetId="13" hidden="1">{#N/A,#N/A,FALSE,"Summary";#N/A,#N/A,FALSE,"SmPlants";#N/A,#N/A,FALSE,"Utah";#N/A,#N/A,FALSE,"Idaho";#N/A,#N/A,FALSE,"Lewis River";#N/A,#N/A,FALSE,"NrthUmpq";#N/A,#N/A,FALSE,"KlamRog"}</definedName>
    <definedName name="_____OM1_3" localSheetId="14" hidden="1">{#N/A,#N/A,FALSE,"Summary";#N/A,#N/A,FALSE,"SmPlants";#N/A,#N/A,FALSE,"Utah";#N/A,#N/A,FALSE,"Idaho";#N/A,#N/A,FALSE,"Lewis River";#N/A,#N/A,FALSE,"NrthUmpq";#N/A,#N/A,FALSE,"KlamRog"}</definedName>
    <definedName name="_____OM1_3" localSheetId="15" hidden="1">{#N/A,#N/A,FALSE,"Summary";#N/A,#N/A,FALSE,"SmPlants";#N/A,#N/A,FALSE,"Utah";#N/A,#N/A,FALSE,"Idaho";#N/A,#N/A,FALSE,"Lewis River";#N/A,#N/A,FALSE,"NrthUmpq";#N/A,#N/A,FALSE,"KlamRog"}</definedName>
    <definedName name="_____OM1_3" localSheetId="16" hidden="1">{#N/A,#N/A,FALSE,"Summary";#N/A,#N/A,FALSE,"SmPlants";#N/A,#N/A,FALSE,"Utah";#N/A,#N/A,FALSE,"Idaho";#N/A,#N/A,FALSE,"Lewis River";#N/A,#N/A,FALSE,"NrthUmpq";#N/A,#N/A,FALSE,"KlamRog"}</definedName>
    <definedName name="_____OM1_3" localSheetId="19" hidden="1">{#N/A,#N/A,FALSE,"Summary";#N/A,#N/A,FALSE,"SmPlants";#N/A,#N/A,FALSE,"Utah";#N/A,#N/A,FALSE,"Idaho";#N/A,#N/A,FALSE,"Lewis River";#N/A,#N/A,FALSE,"NrthUmpq";#N/A,#N/A,FALSE,"KlamRog"}</definedName>
    <definedName name="_____OM1_3" localSheetId="22" hidden="1">{#N/A,#N/A,FALSE,"Summary";#N/A,#N/A,FALSE,"SmPlants";#N/A,#N/A,FALSE,"Utah";#N/A,#N/A,FALSE,"Idaho";#N/A,#N/A,FALSE,"Lewis River";#N/A,#N/A,FALSE,"NrthUmpq";#N/A,#N/A,FALSE,"KlamRog"}</definedName>
    <definedName name="_____OM1_3" localSheetId="23" hidden="1">{#N/A,#N/A,FALSE,"Summary";#N/A,#N/A,FALSE,"SmPlants";#N/A,#N/A,FALSE,"Utah";#N/A,#N/A,FALSE,"Idaho";#N/A,#N/A,FALSE,"Lewis River";#N/A,#N/A,FALSE,"NrthUmpq";#N/A,#N/A,FALSE,"KlamRog"}</definedName>
    <definedName name="_____OM1_3" localSheetId="24" hidden="1">{#N/A,#N/A,FALSE,"Summary";#N/A,#N/A,FALSE,"SmPlants";#N/A,#N/A,FALSE,"Utah";#N/A,#N/A,FALSE,"Idaho";#N/A,#N/A,FALSE,"Lewis River";#N/A,#N/A,FALSE,"NrthUmpq";#N/A,#N/A,FALSE,"KlamRog"}</definedName>
    <definedName name="_____OM1_3" localSheetId="25" hidden="1">{#N/A,#N/A,FALSE,"Summary";#N/A,#N/A,FALSE,"SmPlants";#N/A,#N/A,FALSE,"Utah";#N/A,#N/A,FALSE,"Idaho";#N/A,#N/A,FALSE,"Lewis River";#N/A,#N/A,FALSE,"NrthUmpq";#N/A,#N/A,FALSE,"KlamRog"}</definedName>
    <definedName name="_____OM1_3" localSheetId="26" hidden="1">{#N/A,#N/A,FALSE,"Summary";#N/A,#N/A,FALSE,"SmPlants";#N/A,#N/A,FALSE,"Utah";#N/A,#N/A,FALSE,"Idaho";#N/A,#N/A,FALSE,"Lewis River";#N/A,#N/A,FALSE,"NrthUmpq";#N/A,#N/A,FALSE,"KlamRog"}</definedName>
    <definedName name="_____OM1_3" localSheetId="31" hidden="1">{#N/A,#N/A,FALSE,"Summary";#N/A,#N/A,FALSE,"SmPlants";#N/A,#N/A,FALSE,"Utah";#N/A,#N/A,FALSE,"Idaho";#N/A,#N/A,FALSE,"Lewis River";#N/A,#N/A,FALSE,"NrthUmpq";#N/A,#N/A,FALSE,"KlamRog"}</definedName>
    <definedName name="_____OM1_3" localSheetId="35" hidden="1">{#N/A,#N/A,FALSE,"Summary";#N/A,#N/A,FALSE,"SmPlants";#N/A,#N/A,FALSE,"Utah";#N/A,#N/A,FALSE,"Idaho";#N/A,#N/A,FALSE,"Lewis River";#N/A,#N/A,FALSE,"NrthUmpq";#N/A,#N/A,FALSE,"KlamRog"}</definedName>
    <definedName name="_____OM1_3" localSheetId="36" hidden="1">{#N/A,#N/A,FALSE,"Summary";#N/A,#N/A,FALSE,"SmPlants";#N/A,#N/A,FALSE,"Utah";#N/A,#N/A,FALSE,"Idaho";#N/A,#N/A,FALSE,"Lewis River";#N/A,#N/A,FALSE,"NrthUmpq";#N/A,#N/A,FALSE,"KlamRog"}</definedName>
    <definedName name="_____OM1_3" localSheetId="0" hidden="1">{#N/A,#N/A,FALSE,"Summary";#N/A,#N/A,FALSE,"SmPlants";#N/A,#N/A,FALSE,"Utah";#N/A,#N/A,FALSE,"Idaho";#N/A,#N/A,FALSE,"Lewis River";#N/A,#N/A,FALSE,"NrthUmpq";#N/A,#N/A,FALSE,"KlamRog"}</definedName>
    <definedName name="_____OM1_3" hidden="1">{#N/A,#N/A,FALSE,"Summary";#N/A,#N/A,FALSE,"SmPlants";#N/A,#N/A,FALSE,"Utah";#N/A,#N/A,FALSE,"Idaho";#N/A,#N/A,FALSE,"Lewis River";#N/A,#N/A,FALSE,"NrthUmpq";#N/A,#N/A,FALSE,"KlamRog"}</definedName>
    <definedName name="_____OM1_4" localSheetId="1" hidden="1">{#N/A,#N/A,FALSE,"Summary";#N/A,#N/A,FALSE,"SmPlants";#N/A,#N/A,FALSE,"Utah";#N/A,#N/A,FALSE,"Idaho";#N/A,#N/A,FALSE,"Lewis River";#N/A,#N/A,FALSE,"NrthUmpq";#N/A,#N/A,FALSE,"KlamRog"}</definedName>
    <definedName name="_____OM1_4" localSheetId="3" hidden="1">{#N/A,#N/A,FALSE,"Summary";#N/A,#N/A,FALSE,"SmPlants";#N/A,#N/A,FALSE,"Utah";#N/A,#N/A,FALSE,"Idaho";#N/A,#N/A,FALSE,"Lewis River";#N/A,#N/A,FALSE,"NrthUmpq";#N/A,#N/A,FALSE,"KlamRog"}</definedName>
    <definedName name="_____OM1_4" localSheetId="4" hidden="1">{#N/A,#N/A,FALSE,"Summary";#N/A,#N/A,FALSE,"SmPlants";#N/A,#N/A,FALSE,"Utah";#N/A,#N/A,FALSE,"Idaho";#N/A,#N/A,FALSE,"Lewis River";#N/A,#N/A,FALSE,"NrthUmpq";#N/A,#N/A,FALSE,"KlamRog"}</definedName>
    <definedName name="_____OM1_4" localSheetId="13" hidden="1">{#N/A,#N/A,FALSE,"Summary";#N/A,#N/A,FALSE,"SmPlants";#N/A,#N/A,FALSE,"Utah";#N/A,#N/A,FALSE,"Idaho";#N/A,#N/A,FALSE,"Lewis River";#N/A,#N/A,FALSE,"NrthUmpq";#N/A,#N/A,FALSE,"KlamRog"}</definedName>
    <definedName name="_____OM1_4" localSheetId="14" hidden="1">{#N/A,#N/A,FALSE,"Summary";#N/A,#N/A,FALSE,"SmPlants";#N/A,#N/A,FALSE,"Utah";#N/A,#N/A,FALSE,"Idaho";#N/A,#N/A,FALSE,"Lewis River";#N/A,#N/A,FALSE,"NrthUmpq";#N/A,#N/A,FALSE,"KlamRog"}</definedName>
    <definedName name="_____OM1_4" localSheetId="15" hidden="1">{#N/A,#N/A,FALSE,"Summary";#N/A,#N/A,FALSE,"SmPlants";#N/A,#N/A,FALSE,"Utah";#N/A,#N/A,FALSE,"Idaho";#N/A,#N/A,FALSE,"Lewis River";#N/A,#N/A,FALSE,"NrthUmpq";#N/A,#N/A,FALSE,"KlamRog"}</definedName>
    <definedName name="_____OM1_4" localSheetId="16" hidden="1">{#N/A,#N/A,FALSE,"Summary";#N/A,#N/A,FALSE,"SmPlants";#N/A,#N/A,FALSE,"Utah";#N/A,#N/A,FALSE,"Idaho";#N/A,#N/A,FALSE,"Lewis River";#N/A,#N/A,FALSE,"NrthUmpq";#N/A,#N/A,FALSE,"KlamRog"}</definedName>
    <definedName name="_____OM1_4" localSheetId="19" hidden="1">{#N/A,#N/A,FALSE,"Summary";#N/A,#N/A,FALSE,"SmPlants";#N/A,#N/A,FALSE,"Utah";#N/A,#N/A,FALSE,"Idaho";#N/A,#N/A,FALSE,"Lewis River";#N/A,#N/A,FALSE,"NrthUmpq";#N/A,#N/A,FALSE,"KlamRog"}</definedName>
    <definedName name="_____OM1_4" localSheetId="22" hidden="1">{#N/A,#N/A,FALSE,"Summary";#N/A,#N/A,FALSE,"SmPlants";#N/A,#N/A,FALSE,"Utah";#N/A,#N/A,FALSE,"Idaho";#N/A,#N/A,FALSE,"Lewis River";#N/A,#N/A,FALSE,"NrthUmpq";#N/A,#N/A,FALSE,"KlamRog"}</definedName>
    <definedName name="_____OM1_4" localSheetId="23" hidden="1">{#N/A,#N/A,FALSE,"Summary";#N/A,#N/A,FALSE,"SmPlants";#N/A,#N/A,FALSE,"Utah";#N/A,#N/A,FALSE,"Idaho";#N/A,#N/A,FALSE,"Lewis River";#N/A,#N/A,FALSE,"NrthUmpq";#N/A,#N/A,FALSE,"KlamRog"}</definedName>
    <definedName name="_____OM1_4" localSheetId="24" hidden="1">{#N/A,#N/A,FALSE,"Summary";#N/A,#N/A,FALSE,"SmPlants";#N/A,#N/A,FALSE,"Utah";#N/A,#N/A,FALSE,"Idaho";#N/A,#N/A,FALSE,"Lewis River";#N/A,#N/A,FALSE,"NrthUmpq";#N/A,#N/A,FALSE,"KlamRog"}</definedName>
    <definedName name="_____OM1_4" localSheetId="25" hidden="1">{#N/A,#N/A,FALSE,"Summary";#N/A,#N/A,FALSE,"SmPlants";#N/A,#N/A,FALSE,"Utah";#N/A,#N/A,FALSE,"Idaho";#N/A,#N/A,FALSE,"Lewis River";#N/A,#N/A,FALSE,"NrthUmpq";#N/A,#N/A,FALSE,"KlamRog"}</definedName>
    <definedName name="_____OM1_4" localSheetId="26" hidden="1">{#N/A,#N/A,FALSE,"Summary";#N/A,#N/A,FALSE,"SmPlants";#N/A,#N/A,FALSE,"Utah";#N/A,#N/A,FALSE,"Idaho";#N/A,#N/A,FALSE,"Lewis River";#N/A,#N/A,FALSE,"NrthUmpq";#N/A,#N/A,FALSE,"KlamRog"}</definedName>
    <definedName name="_____OM1_4" localSheetId="31" hidden="1">{#N/A,#N/A,FALSE,"Summary";#N/A,#N/A,FALSE,"SmPlants";#N/A,#N/A,FALSE,"Utah";#N/A,#N/A,FALSE,"Idaho";#N/A,#N/A,FALSE,"Lewis River";#N/A,#N/A,FALSE,"NrthUmpq";#N/A,#N/A,FALSE,"KlamRog"}</definedName>
    <definedName name="_____OM1_4" localSheetId="35" hidden="1">{#N/A,#N/A,FALSE,"Summary";#N/A,#N/A,FALSE,"SmPlants";#N/A,#N/A,FALSE,"Utah";#N/A,#N/A,FALSE,"Idaho";#N/A,#N/A,FALSE,"Lewis River";#N/A,#N/A,FALSE,"NrthUmpq";#N/A,#N/A,FALSE,"KlamRog"}</definedName>
    <definedName name="_____OM1_4" localSheetId="36" hidden="1">{#N/A,#N/A,FALSE,"Summary";#N/A,#N/A,FALSE,"SmPlants";#N/A,#N/A,FALSE,"Utah";#N/A,#N/A,FALSE,"Idaho";#N/A,#N/A,FALSE,"Lewis River";#N/A,#N/A,FALSE,"NrthUmpq";#N/A,#N/A,FALSE,"KlamRog"}</definedName>
    <definedName name="_____OM1_4" localSheetId="0" hidden="1">{#N/A,#N/A,FALSE,"Summary";#N/A,#N/A,FALSE,"SmPlants";#N/A,#N/A,FALSE,"Utah";#N/A,#N/A,FALSE,"Idaho";#N/A,#N/A,FALSE,"Lewis River";#N/A,#N/A,FALSE,"NrthUmpq";#N/A,#N/A,FALSE,"KlamRog"}</definedName>
    <definedName name="_____OM1_4" hidden="1">{#N/A,#N/A,FALSE,"Summary";#N/A,#N/A,FALSE,"SmPlants";#N/A,#N/A,FALSE,"Utah";#N/A,#N/A,FALSE,"Idaho";#N/A,#N/A,FALSE,"Lewis River";#N/A,#N/A,FALSE,"NrthUmpq";#N/A,#N/A,FALSE,"KlamRog"}</definedName>
    <definedName name="_____OM1_5" localSheetId="1" hidden="1">{#N/A,#N/A,FALSE,"Summary";#N/A,#N/A,FALSE,"SmPlants";#N/A,#N/A,FALSE,"Utah";#N/A,#N/A,FALSE,"Idaho";#N/A,#N/A,FALSE,"Lewis River";#N/A,#N/A,FALSE,"NrthUmpq";#N/A,#N/A,FALSE,"KlamRog"}</definedName>
    <definedName name="_____OM1_5" localSheetId="3" hidden="1">{#N/A,#N/A,FALSE,"Summary";#N/A,#N/A,FALSE,"SmPlants";#N/A,#N/A,FALSE,"Utah";#N/A,#N/A,FALSE,"Idaho";#N/A,#N/A,FALSE,"Lewis River";#N/A,#N/A,FALSE,"NrthUmpq";#N/A,#N/A,FALSE,"KlamRog"}</definedName>
    <definedName name="_____OM1_5" localSheetId="4" hidden="1">{#N/A,#N/A,FALSE,"Summary";#N/A,#N/A,FALSE,"SmPlants";#N/A,#N/A,FALSE,"Utah";#N/A,#N/A,FALSE,"Idaho";#N/A,#N/A,FALSE,"Lewis River";#N/A,#N/A,FALSE,"NrthUmpq";#N/A,#N/A,FALSE,"KlamRog"}</definedName>
    <definedName name="_____OM1_5" localSheetId="13" hidden="1">{#N/A,#N/A,FALSE,"Summary";#N/A,#N/A,FALSE,"SmPlants";#N/A,#N/A,FALSE,"Utah";#N/A,#N/A,FALSE,"Idaho";#N/A,#N/A,FALSE,"Lewis River";#N/A,#N/A,FALSE,"NrthUmpq";#N/A,#N/A,FALSE,"KlamRog"}</definedName>
    <definedName name="_____OM1_5" localSheetId="14" hidden="1">{#N/A,#N/A,FALSE,"Summary";#N/A,#N/A,FALSE,"SmPlants";#N/A,#N/A,FALSE,"Utah";#N/A,#N/A,FALSE,"Idaho";#N/A,#N/A,FALSE,"Lewis River";#N/A,#N/A,FALSE,"NrthUmpq";#N/A,#N/A,FALSE,"KlamRog"}</definedName>
    <definedName name="_____OM1_5" localSheetId="15" hidden="1">{#N/A,#N/A,FALSE,"Summary";#N/A,#N/A,FALSE,"SmPlants";#N/A,#N/A,FALSE,"Utah";#N/A,#N/A,FALSE,"Idaho";#N/A,#N/A,FALSE,"Lewis River";#N/A,#N/A,FALSE,"NrthUmpq";#N/A,#N/A,FALSE,"KlamRog"}</definedName>
    <definedName name="_____OM1_5" localSheetId="16" hidden="1">{#N/A,#N/A,FALSE,"Summary";#N/A,#N/A,FALSE,"SmPlants";#N/A,#N/A,FALSE,"Utah";#N/A,#N/A,FALSE,"Idaho";#N/A,#N/A,FALSE,"Lewis River";#N/A,#N/A,FALSE,"NrthUmpq";#N/A,#N/A,FALSE,"KlamRog"}</definedName>
    <definedName name="_____OM1_5" localSheetId="19" hidden="1">{#N/A,#N/A,FALSE,"Summary";#N/A,#N/A,FALSE,"SmPlants";#N/A,#N/A,FALSE,"Utah";#N/A,#N/A,FALSE,"Idaho";#N/A,#N/A,FALSE,"Lewis River";#N/A,#N/A,FALSE,"NrthUmpq";#N/A,#N/A,FALSE,"KlamRog"}</definedName>
    <definedName name="_____OM1_5" localSheetId="22" hidden="1">{#N/A,#N/A,FALSE,"Summary";#N/A,#N/A,FALSE,"SmPlants";#N/A,#N/A,FALSE,"Utah";#N/A,#N/A,FALSE,"Idaho";#N/A,#N/A,FALSE,"Lewis River";#N/A,#N/A,FALSE,"NrthUmpq";#N/A,#N/A,FALSE,"KlamRog"}</definedName>
    <definedName name="_____OM1_5" localSheetId="23" hidden="1">{#N/A,#N/A,FALSE,"Summary";#N/A,#N/A,FALSE,"SmPlants";#N/A,#N/A,FALSE,"Utah";#N/A,#N/A,FALSE,"Idaho";#N/A,#N/A,FALSE,"Lewis River";#N/A,#N/A,FALSE,"NrthUmpq";#N/A,#N/A,FALSE,"KlamRog"}</definedName>
    <definedName name="_____OM1_5" localSheetId="24" hidden="1">{#N/A,#N/A,FALSE,"Summary";#N/A,#N/A,FALSE,"SmPlants";#N/A,#N/A,FALSE,"Utah";#N/A,#N/A,FALSE,"Idaho";#N/A,#N/A,FALSE,"Lewis River";#N/A,#N/A,FALSE,"NrthUmpq";#N/A,#N/A,FALSE,"KlamRog"}</definedName>
    <definedName name="_____OM1_5" localSheetId="25" hidden="1">{#N/A,#N/A,FALSE,"Summary";#N/A,#N/A,FALSE,"SmPlants";#N/A,#N/A,FALSE,"Utah";#N/A,#N/A,FALSE,"Idaho";#N/A,#N/A,FALSE,"Lewis River";#N/A,#N/A,FALSE,"NrthUmpq";#N/A,#N/A,FALSE,"KlamRog"}</definedName>
    <definedName name="_____OM1_5" localSheetId="26" hidden="1">{#N/A,#N/A,FALSE,"Summary";#N/A,#N/A,FALSE,"SmPlants";#N/A,#N/A,FALSE,"Utah";#N/A,#N/A,FALSE,"Idaho";#N/A,#N/A,FALSE,"Lewis River";#N/A,#N/A,FALSE,"NrthUmpq";#N/A,#N/A,FALSE,"KlamRog"}</definedName>
    <definedName name="_____OM1_5" localSheetId="31" hidden="1">{#N/A,#N/A,FALSE,"Summary";#N/A,#N/A,FALSE,"SmPlants";#N/A,#N/A,FALSE,"Utah";#N/A,#N/A,FALSE,"Idaho";#N/A,#N/A,FALSE,"Lewis River";#N/A,#N/A,FALSE,"NrthUmpq";#N/A,#N/A,FALSE,"KlamRog"}</definedName>
    <definedName name="_____OM1_5" localSheetId="35" hidden="1">{#N/A,#N/A,FALSE,"Summary";#N/A,#N/A,FALSE,"SmPlants";#N/A,#N/A,FALSE,"Utah";#N/A,#N/A,FALSE,"Idaho";#N/A,#N/A,FALSE,"Lewis River";#N/A,#N/A,FALSE,"NrthUmpq";#N/A,#N/A,FALSE,"KlamRog"}</definedName>
    <definedName name="_____OM1_5" localSheetId="36" hidden="1">{#N/A,#N/A,FALSE,"Summary";#N/A,#N/A,FALSE,"SmPlants";#N/A,#N/A,FALSE,"Utah";#N/A,#N/A,FALSE,"Idaho";#N/A,#N/A,FALSE,"Lewis River";#N/A,#N/A,FALSE,"NrthUmpq";#N/A,#N/A,FALSE,"KlamRog"}</definedName>
    <definedName name="_____OM1_5" localSheetId="0" hidden="1">{#N/A,#N/A,FALSE,"Summary";#N/A,#N/A,FALSE,"SmPlants";#N/A,#N/A,FALSE,"Utah";#N/A,#N/A,FALSE,"Idaho";#N/A,#N/A,FALSE,"Lewis River";#N/A,#N/A,FALSE,"NrthUmpq";#N/A,#N/A,FALSE,"KlamRog"}</definedName>
    <definedName name="_____OM1_5" hidden="1">{#N/A,#N/A,FALSE,"Summary";#N/A,#N/A,FALSE,"SmPlants";#N/A,#N/A,FALSE,"Utah";#N/A,#N/A,FALSE,"Idaho";#N/A,#N/A,FALSE,"Lewis River";#N/A,#N/A,FALSE,"NrthUmpq";#N/A,#N/A,FALSE,"KlamRog"}</definedName>
    <definedName name="____OM1" localSheetId="1" hidden="1">{#N/A,#N/A,FALSE,"Summary";#N/A,#N/A,FALSE,"SmPlants";#N/A,#N/A,FALSE,"Utah";#N/A,#N/A,FALSE,"Idaho";#N/A,#N/A,FALSE,"Lewis River";#N/A,#N/A,FALSE,"NrthUmpq";#N/A,#N/A,FALSE,"KlamRog"}</definedName>
    <definedName name="____OM1" localSheetId="3" hidden="1">{#N/A,#N/A,FALSE,"Summary";#N/A,#N/A,FALSE,"SmPlants";#N/A,#N/A,FALSE,"Utah";#N/A,#N/A,FALSE,"Idaho";#N/A,#N/A,FALSE,"Lewis River";#N/A,#N/A,FALSE,"NrthUmpq";#N/A,#N/A,FALSE,"KlamRog"}</definedName>
    <definedName name="____OM1" localSheetId="4" hidden="1">{#N/A,#N/A,FALSE,"Summary";#N/A,#N/A,FALSE,"SmPlants";#N/A,#N/A,FALSE,"Utah";#N/A,#N/A,FALSE,"Idaho";#N/A,#N/A,FALSE,"Lewis River";#N/A,#N/A,FALSE,"NrthUmpq";#N/A,#N/A,FALSE,"KlamRog"}</definedName>
    <definedName name="____OM1" localSheetId="13" hidden="1">{#N/A,#N/A,FALSE,"Summary";#N/A,#N/A,FALSE,"SmPlants";#N/A,#N/A,FALSE,"Utah";#N/A,#N/A,FALSE,"Idaho";#N/A,#N/A,FALSE,"Lewis River";#N/A,#N/A,FALSE,"NrthUmpq";#N/A,#N/A,FALSE,"KlamRog"}</definedName>
    <definedName name="____OM1" localSheetId="14" hidden="1">{#N/A,#N/A,FALSE,"Summary";#N/A,#N/A,FALSE,"SmPlants";#N/A,#N/A,FALSE,"Utah";#N/A,#N/A,FALSE,"Idaho";#N/A,#N/A,FALSE,"Lewis River";#N/A,#N/A,FALSE,"NrthUmpq";#N/A,#N/A,FALSE,"KlamRog"}</definedName>
    <definedName name="____OM1" localSheetId="15" hidden="1">{#N/A,#N/A,FALSE,"Summary";#N/A,#N/A,FALSE,"SmPlants";#N/A,#N/A,FALSE,"Utah";#N/A,#N/A,FALSE,"Idaho";#N/A,#N/A,FALSE,"Lewis River";#N/A,#N/A,FALSE,"NrthUmpq";#N/A,#N/A,FALSE,"KlamRog"}</definedName>
    <definedName name="____OM1" localSheetId="16" hidden="1">{#N/A,#N/A,FALSE,"Summary";#N/A,#N/A,FALSE,"SmPlants";#N/A,#N/A,FALSE,"Utah";#N/A,#N/A,FALSE,"Idaho";#N/A,#N/A,FALSE,"Lewis River";#N/A,#N/A,FALSE,"NrthUmpq";#N/A,#N/A,FALSE,"KlamRog"}</definedName>
    <definedName name="____OM1" localSheetId="19" hidden="1">{#N/A,#N/A,FALSE,"Summary";#N/A,#N/A,FALSE,"SmPlants";#N/A,#N/A,FALSE,"Utah";#N/A,#N/A,FALSE,"Idaho";#N/A,#N/A,FALSE,"Lewis River";#N/A,#N/A,FALSE,"NrthUmpq";#N/A,#N/A,FALSE,"KlamRog"}</definedName>
    <definedName name="____OM1" localSheetId="22" hidden="1">{#N/A,#N/A,FALSE,"Summary";#N/A,#N/A,FALSE,"SmPlants";#N/A,#N/A,FALSE,"Utah";#N/A,#N/A,FALSE,"Idaho";#N/A,#N/A,FALSE,"Lewis River";#N/A,#N/A,FALSE,"NrthUmpq";#N/A,#N/A,FALSE,"KlamRog"}</definedName>
    <definedName name="____OM1" localSheetId="23" hidden="1">{#N/A,#N/A,FALSE,"Summary";#N/A,#N/A,FALSE,"SmPlants";#N/A,#N/A,FALSE,"Utah";#N/A,#N/A,FALSE,"Idaho";#N/A,#N/A,FALSE,"Lewis River";#N/A,#N/A,FALSE,"NrthUmpq";#N/A,#N/A,FALSE,"KlamRog"}</definedName>
    <definedName name="____OM1" localSheetId="24" hidden="1">{#N/A,#N/A,FALSE,"Summary";#N/A,#N/A,FALSE,"SmPlants";#N/A,#N/A,FALSE,"Utah";#N/A,#N/A,FALSE,"Idaho";#N/A,#N/A,FALSE,"Lewis River";#N/A,#N/A,FALSE,"NrthUmpq";#N/A,#N/A,FALSE,"KlamRog"}</definedName>
    <definedName name="____OM1" localSheetId="25" hidden="1">{#N/A,#N/A,FALSE,"Summary";#N/A,#N/A,FALSE,"SmPlants";#N/A,#N/A,FALSE,"Utah";#N/A,#N/A,FALSE,"Idaho";#N/A,#N/A,FALSE,"Lewis River";#N/A,#N/A,FALSE,"NrthUmpq";#N/A,#N/A,FALSE,"KlamRog"}</definedName>
    <definedName name="____OM1" localSheetId="26" hidden="1">{#N/A,#N/A,FALSE,"Summary";#N/A,#N/A,FALSE,"SmPlants";#N/A,#N/A,FALSE,"Utah";#N/A,#N/A,FALSE,"Idaho";#N/A,#N/A,FALSE,"Lewis River";#N/A,#N/A,FALSE,"NrthUmpq";#N/A,#N/A,FALSE,"KlamRog"}</definedName>
    <definedName name="____OM1" localSheetId="31" hidden="1">{#N/A,#N/A,FALSE,"Summary";#N/A,#N/A,FALSE,"SmPlants";#N/A,#N/A,FALSE,"Utah";#N/A,#N/A,FALSE,"Idaho";#N/A,#N/A,FALSE,"Lewis River";#N/A,#N/A,FALSE,"NrthUmpq";#N/A,#N/A,FALSE,"KlamRog"}</definedName>
    <definedName name="____OM1" localSheetId="35" hidden="1">{#N/A,#N/A,FALSE,"Summary";#N/A,#N/A,FALSE,"SmPlants";#N/A,#N/A,FALSE,"Utah";#N/A,#N/A,FALSE,"Idaho";#N/A,#N/A,FALSE,"Lewis River";#N/A,#N/A,FALSE,"NrthUmpq";#N/A,#N/A,FALSE,"KlamRog"}</definedName>
    <definedName name="____OM1" localSheetId="36" hidden="1">{#N/A,#N/A,FALSE,"Summary";#N/A,#N/A,FALSE,"SmPlants";#N/A,#N/A,FALSE,"Utah";#N/A,#N/A,FALSE,"Idaho";#N/A,#N/A,FALSE,"Lewis River";#N/A,#N/A,FALSE,"NrthUmpq";#N/A,#N/A,FALSE,"KlamRog"}</definedName>
    <definedName name="____OM1" localSheetId="0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OM1_1" localSheetId="1" hidden="1">{#N/A,#N/A,FALSE,"Summary";#N/A,#N/A,FALSE,"SmPlants";#N/A,#N/A,FALSE,"Utah";#N/A,#N/A,FALSE,"Idaho";#N/A,#N/A,FALSE,"Lewis River";#N/A,#N/A,FALSE,"NrthUmpq";#N/A,#N/A,FALSE,"KlamRog"}</definedName>
    <definedName name="____OM1_1" localSheetId="3" hidden="1">{#N/A,#N/A,FALSE,"Summary";#N/A,#N/A,FALSE,"SmPlants";#N/A,#N/A,FALSE,"Utah";#N/A,#N/A,FALSE,"Idaho";#N/A,#N/A,FALSE,"Lewis River";#N/A,#N/A,FALSE,"NrthUmpq";#N/A,#N/A,FALSE,"KlamRog"}</definedName>
    <definedName name="____OM1_1" localSheetId="4" hidden="1">{#N/A,#N/A,FALSE,"Summary";#N/A,#N/A,FALSE,"SmPlants";#N/A,#N/A,FALSE,"Utah";#N/A,#N/A,FALSE,"Idaho";#N/A,#N/A,FALSE,"Lewis River";#N/A,#N/A,FALSE,"NrthUmpq";#N/A,#N/A,FALSE,"KlamRog"}</definedName>
    <definedName name="____OM1_1" localSheetId="13" hidden="1">{#N/A,#N/A,FALSE,"Summary";#N/A,#N/A,FALSE,"SmPlants";#N/A,#N/A,FALSE,"Utah";#N/A,#N/A,FALSE,"Idaho";#N/A,#N/A,FALSE,"Lewis River";#N/A,#N/A,FALSE,"NrthUmpq";#N/A,#N/A,FALSE,"KlamRog"}</definedName>
    <definedName name="____OM1_1" localSheetId="14" hidden="1">{#N/A,#N/A,FALSE,"Summary";#N/A,#N/A,FALSE,"SmPlants";#N/A,#N/A,FALSE,"Utah";#N/A,#N/A,FALSE,"Idaho";#N/A,#N/A,FALSE,"Lewis River";#N/A,#N/A,FALSE,"NrthUmpq";#N/A,#N/A,FALSE,"KlamRog"}</definedName>
    <definedName name="____OM1_1" localSheetId="15" hidden="1">{#N/A,#N/A,FALSE,"Summary";#N/A,#N/A,FALSE,"SmPlants";#N/A,#N/A,FALSE,"Utah";#N/A,#N/A,FALSE,"Idaho";#N/A,#N/A,FALSE,"Lewis River";#N/A,#N/A,FALSE,"NrthUmpq";#N/A,#N/A,FALSE,"KlamRog"}</definedName>
    <definedName name="____OM1_1" localSheetId="16" hidden="1">{#N/A,#N/A,FALSE,"Summary";#N/A,#N/A,FALSE,"SmPlants";#N/A,#N/A,FALSE,"Utah";#N/A,#N/A,FALSE,"Idaho";#N/A,#N/A,FALSE,"Lewis River";#N/A,#N/A,FALSE,"NrthUmpq";#N/A,#N/A,FALSE,"KlamRog"}</definedName>
    <definedName name="____OM1_1" localSheetId="19" hidden="1">{#N/A,#N/A,FALSE,"Summary";#N/A,#N/A,FALSE,"SmPlants";#N/A,#N/A,FALSE,"Utah";#N/A,#N/A,FALSE,"Idaho";#N/A,#N/A,FALSE,"Lewis River";#N/A,#N/A,FALSE,"NrthUmpq";#N/A,#N/A,FALSE,"KlamRog"}</definedName>
    <definedName name="____OM1_1" localSheetId="22" hidden="1">{#N/A,#N/A,FALSE,"Summary";#N/A,#N/A,FALSE,"SmPlants";#N/A,#N/A,FALSE,"Utah";#N/A,#N/A,FALSE,"Idaho";#N/A,#N/A,FALSE,"Lewis River";#N/A,#N/A,FALSE,"NrthUmpq";#N/A,#N/A,FALSE,"KlamRog"}</definedName>
    <definedName name="____OM1_1" localSheetId="23" hidden="1">{#N/A,#N/A,FALSE,"Summary";#N/A,#N/A,FALSE,"SmPlants";#N/A,#N/A,FALSE,"Utah";#N/A,#N/A,FALSE,"Idaho";#N/A,#N/A,FALSE,"Lewis River";#N/A,#N/A,FALSE,"NrthUmpq";#N/A,#N/A,FALSE,"KlamRog"}</definedName>
    <definedName name="____OM1_1" localSheetId="24" hidden="1">{#N/A,#N/A,FALSE,"Summary";#N/A,#N/A,FALSE,"SmPlants";#N/A,#N/A,FALSE,"Utah";#N/A,#N/A,FALSE,"Idaho";#N/A,#N/A,FALSE,"Lewis River";#N/A,#N/A,FALSE,"NrthUmpq";#N/A,#N/A,FALSE,"KlamRog"}</definedName>
    <definedName name="____OM1_1" localSheetId="25" hidden="1">{#N/A,#N/A,FALSE,"Summary";#N/A,#N/A,FALSE,"SmPlants";#N/A,#N/A,FALSE,"Utah";#N/A,#N/A,FALSE,"Idaho";#N/A,#N/A,FALSE,"Lewis River";#N/A,#N/A,FALSE,"NrthUmpq";#N/A,#N/A,FALSE,"KlamRog"}</definedName>
    <definedName name="____OM1_1" localSheetId="26" hidden="1">{#N/A,#N/A,FALSE,"Summary";#N/A,#N/A,FALSE,"SmPlants";#N/A,#N/A,FALSE,"Utah";#N/A,#N/A,FALSE,"Idaho";#N/A,#N/A,FALSE,"Lewis River";#N/A,#N/A,FALSE,"NrthUmpq";#N/A,#N/A,FALSE,"KlamRog"}</definedName>
    <definedName name="____OM1_1" localSheetId="31" hidden="1">{#N/A,#N/A,FALSE,"Summary";#N/A,#N/A,FALSE,"SmPlants";#N/A,#N/A,FALSE,"Utah";#N/A,#N/A,FALSE,"Idaho";#N/A,#N/A,FALSE,"Lewis River";#N/A,#N/A,FALSE,"NrthUmpq";#N/A,#N/A,FALSE,"KlamRog"}</definedName>
    <definedName name="____OM1_1" localSheetId="35" hidden="1">{#N/A,#N/A,FALSE,"Summary";#N/A,#N/A,FALSE,"SmPlants";#N/A,#N/A,FALSE,"Utah";#N/A,#N/A,FALSE,"Idaho";#N/A,#N/A,FALSE,"Lewis River";#N/A,#N/A,FALSE,"NrthUmpq";#N/A,#N/A,FALSE,"KlamRog"}</definedName>
    <definedName name="____OM1_1" localSheetId="36" hidden="1">{#N/A,#N/A,FALSE,"Summary";#N/A,#N/A,FALSE,"SmPlants";#N/A,#N/A,FALSE,"Utah";#N/A,#N/A,FALSE,"Idaho";#N/A,#N/A,FALSE,"Lewis River";#N/A,#N/A,FALSE,"NrthUmpq";#N/A,#N/A,FALSE,"KlamRog"}</definedName>
    <definedName name="____OM1_1" localSheetId="0" hidden="1">{#N/A,#N/A,FALSE,"Summary";#N/A,#N/A,FALSE,"SmPlants";#N/A,#N/A,FALSE,"Utah";#N/A,#N/A,FALSE,"Idaho";#N/A,#N/A,FALSE,"Lewis River";#N/A,#N/A,FALSE,"NrthUmpq";#N/A,#N/A,FALSE,"KlamRog"}</definedName>
    <definedName name="____OM1_1" hidden="1">{#N/A,#N/A,FALSE,"Summary";#N/A,#N/A,FALSE,"SmPlants";#N/A,#N/A,FALSE,"Utah";#N/A,#N/A,FALSE,"Idaho";#N/A,#N/A,FALSE,"Lewis River";#N/A,#N/A,FALSE,"NrthUmpq";#N/A,#N/A,FALSE,"KlamRog"}</definedName>
    <definedName name="____OM1_2" localSheetId="1" hidden="1">{#N/A,#N/A,FALSE,"Summary";#N/A,#N/A,FALSE,"SmPlants";#N/A,#N/A,FALSE,"Utah";#N/A,#N/A,FALSE,"Idaho";#N/A,#N/A,FALSE,"Lewis River";#N/A,#N/A,FALSE,"NrthUmpq";#N/A,#N/A,FALSE,"KlamRog"}</definedName>
    <definedName name="____OM1_2" localSheetId="3" hidden="1">{#N/A,#N/A,FALSE,"Summary";#N/A,#N/A,FALSE,"SmPlants";#N/A,#N/A,FALSE,"Utah";#N/A,#N/A,FALSE,"Idaho";#N/A,#N/A,FALSE,"Lewis River";#N/A,#N/A,FALSE,"NrthUmpq";#N/A,#N/A,FALSE,"KlamRog"}</definedName>
    <definedName name="____OM1_2" localSheetId="4" hidden="1">{#N/A,#N/A,FALSE,"Summary";#N/A,#N/A,FALSE,"SmPlants";#N/A,#N/A,FALSE,"Utah";#N/A,#N/A,FALSE,"Idaho";#N/A,#N/A,FALSE,"Lewis River";#N/A,#N/A,FALSE,"NrthUmpq";#N/A,#N/A,FALSE,"KlamRog"}</definedName>
    <definedName name="____OM1_2" localSheetId="13" hidden="1">{#N/A,#N/A,FALSE,"Summary";#N/A,#N/A,FALSE,"SmPlants";#N/A,#N/A,FALSE,"Utah";#N/A,#N/A,FALSE,"Idaho";#N/A,#N/A,FALSE,"Lewis River";#N/A,#N/A,FALSE,"NrthUmpq";#N/A,#N/A,FALSE,"KlamRog"}</definedName>
    <definedName name="____OM1_2" localSheetId="14" hidden="1">{#N/A,#N/A,FALSE,"Summary";#N/A,#N/A,FALSE,"SmPlants";#N/A,#N/A,FALSE,"Utah";#N/A,#N/A,FALSE,"Idaho";#N/A,#N/A,FALSE,"Lewis River";#N/A,#N/A,FALSE,"NrthUmpq";#N/A,#N/A,FALSE,"KlamRog"}</definedName>
    <definedName name="____OM1_2" localSheetId="15" hidden="1">{#N/A,#N/A,FALSE,"Summary";#N/A,#N/A,FALSE,"SmPlants";#N/A,#N/A,FALSE,"Utah";#N/A,#N/A,FALSE,"Idaho";#N/A,#N/A,FALSE,"Lewis River";#N/A,#N/A,FALSE,"NrthUmpq";#N/A,#N/A,FALSE,"KlamRog"}</definedName>
    <definedName name="____OM1_2" localSheetId="16" hidden="1">{#N/A,#N/A,FALSE,"Summary";#N/A,#N/A,FALSE,"SmPlants";#N/A,#N/A,FALSE,"Utah";#N/A,#N/A,FALSE,"Idaho";#N/A,#N/A,FALSE,"Lewis River";#N/A,#N/A,FALSE,"NrthUmpq";#N/A,#N/A,FALSE,"KlamRog"}</definedName>
    <definedName name="____OM1_2" localSheetId="19" hidden="1">{#N/A,#N/A,FALSE,"Summary";#N/A,#N/A,FALSE,"SmPlants";#N/A,#N/A,FALSE,"Utah";#N/A,#N/A,FALSE,"Idaho";#N/A,#N/A,FALSE,"Lewis River";#N/A,#N/A,FALSE,"NrthUmpq";#N/A,#N/A,FALSE,"KlamRog"}</definedName>
    <definedName name="____OM1_2" localSheetId="22" hidden="1">{#N/A,#N/A,FALSE,"Summary";#N/A,#N/A,FALSE,"SmPlants";#N/A,#N/A,FALSE,"Utah";#N/A,#N/A,FALSE,"Idaho";#N/A,#N/A,FALSE,"Lewis River";#N/A,#N/A,FALSE,"NrthUmpq";#N/A,#N/A,FALSE,"KlamRog"}</definedName>
    <definedName name="____OM1_2" localSheetId="23" hidden="1">{#N/A,#N/A,FALSE,"Summary";#N/A,#N/A,FALSE,"SmPlants";#N/A,#N/A,FALSE,"Utah";#N/A,#N/A,FALSE,"Idaho";#N/A,#N/A,FALSE,"Lewis River";#N/A,#N/A,FALSE,"NrthUmpq";#N/A,#N/A,FALSE,"KlamRog"}</definedName>
    <definedName name="____OM1_2" localSheetId="24" hidden="1">{#N/A,#N/A,FALSE,"Summary";#N/A,#N/A,FALSE,"SmPlants";#N/A,#N/A,FALSE,"Utah";#N/A,#N/A,FALSE,"Idaho";#N/A,#N/A,FALSE,"Lewis River";#N/A,#N/A,FALSE,"NrthUmpq";#N/A,#N/A,FALSE,"KlamRog"}</definedName>
    <definedName name="____OM1_2" localSheetId="25" hidden="1">{#N/A,#N/A,FALSE,"Summary";#N/A,#N/A,FALSE,"SmPlants";#N/A,#N/A,FALSE,"Utah";#N/A,#N/A,FALSE,"Idaho";#N/A,#N/A,FALSE,"Lewis River";#N/A,#N/A,FALSE,"NrthUmpq";#N/A,#N/A,FALSE,"KlamRog"}</definedName>
    <definedName name="____OM1_2" localSheetId="26" hidden="1">{#N/A,#N/A,FALSE,"Summary";#N/A,#N/A,FALSE,"SmPlants";#N/A,#N/A,FALSE,"Utah";#N/A,#N/A,FALSE,"Idaho";#N/A,#N/A,FALSE,"Lewis River";#N/A,#N/A,FALSE,"NrthUmpq";#N/A,#N/A,FALSE,"KlamRog"}</definedName>
    <definedName name="____OM1_2" localSheetId="31" hidden="1">{#N/A,#N/A,FALSE,"Summary";#N/A,#N/A,FALSE,"SmPlants";#N/A,#N/A,FALSE,"Utah";#N/A,#N/A,FALSE,"Idaho";#N/A,#N/A,FALSE,"Lewis River";#N/A,#N/A,FALSE,"NrthUmpq";#N/A,#N/A,FALSE,"KlamRog"}</definedName>
    <definedName name="____OM1_2" localSheetId="35" hidden="1">{#N/A,#N/A,FALSE,"Summary";#N/A,#N/A,FALSE,"SmPlants";#N/A,#N/A,FALSE,"Utah";#N/A,#N/A,FALSE,"Idaho";#N/A,#N/A,FALSE,"Lewis River";#N/A,#N/A,FALSE,"NrthUmpq";#N/A,#N/A,FALSE,"KlamRog"}</definedName>
    <definedName name="____OM1_2" localSheetId="36" hidden="1">{#N/A,#N/A,FALSE,"Summary";#N/A,#N/A,FALSE,"SmPlants";#N/A,#N/A,FALSE,"Utah";#N/A,#N/A,FALSE,"Idaho";#N/A,#N/A,FALSE,"Lewis River";#N/A,#N/A,FALSE,"NrthUmpq";#N/A,#N/A,FALSE,"KlamRog"}</definedName>
    <definedName name="____OM1_2" localSheetId="0" hidden="1">{#N/A,#N/A,FALSE,"Summary";#N/A,#N/A,FALSE,"SmPlants";#N/A,#N/A,FALSE,"Utah";#N/A,#N/A,FALSE,"Idaho";#N/A,#N/A,FALSE,"Lewis River";#N/A,#N/A,FALSE,"NrthUmpq";#N/A,#N/A,FALSE,"KlamRog"}</definedName>
    <definedName name="____OM1_2" hidden="1">{#N/A,#N/A,FALSE,"Summary";#N/A,#N/A,FALSE,"SmPlants";#N/A,#N/A,FALSE,"Utah";#N/A,#N/A,FALSE,"Idaho";#N/A,#N/A,FALSE,"Lewis River";#N/A,#N/A,FALSE,"NrthUmpq";#N/A,#N/A,FALSE,"KlamRog"}</definedName>
    <definedName name="____OM1_3" localSheetId="1" hidden="1">{#N/A,#N/A,FALSE,"Summary";#N/A,#N/A,FALSE,"SmPlants";#N/A,#N/A,FALSE,"Utah";#N/A,#N/A,FALSE,"Idaho";#N/A,#N/A,FALSE,"Lewis River";#N/A,#N/A,FALSE,"NrthUmpq";#N/A,#N/A,FALSE,"KlamRog"}</definedName>
    <definedName name="____OM1_3" localSheetId="3" hidden="1">{#N/A,#N/A,FALSE,"Summary";#N/A,#N/A,FALSE,"SmPlants";#N/A,#N/A,FALSE,"Utah";#N/A,#N/A,FALSE,"Idaho";#N/A,#N/A,FALSE,"Lewis River";#N/A,#N/A,FALSE,"NrthUmpq";#N/A,#N/A,FALSE,"KlamRog"}</definedName>
    <definedName name="____OM1_3" localSheetId="4" hidden="1">{#N/A,#N/A,FALSE,"Summary";#N/A,#N/A,FALSE,"SmPlants";#N/A,#N/A,FALSE,"Utah";#N/A,#N/A,FALSE,"Idaho";#N/A,#N/A,FALSE,"Lewis River";#N/A,#N/A,FALSE,"NrthUmpq";#N/A,#N/A,FALSE,"KlamRog"}</definedName>
    <definedName name="____OM1_3" localSheetId="13" hidden="1">{#N/A,#N/A,FALSE,"Summary";#N/A,#N/A,FALSE,"SmPlants";#N/A,#N/A,FALSE,"Utah";#N/A,#N/A,FALSE,"Idaho";#N/A,#N/A,FALSE,"Lewis River";#N/A,#N/A,FALSE,"NrthUmpq";#N/A,#N/A,FALSE,"KlamRog"}</definedName>
    <definedName name="____OM1_3" localSheetId="14" hidden="1">{#N/A,#N/A,FALSE,"Summary";#N/A,#N/A,FALSE,"SmPlants";#N/A,#N/A,FALSE,"Utah";#N/A,#N/A,FALSE,"Idaho";#N/A,#N/A,FALSE,"Lewis River";#N/A,#N/A,FALSE,"NrthUmpq";#N/A,#N/A,FALSE,"KlamRog"}</definedName>
    <definedName name="____OM1_3" localSheetId="15" hidden="1">{#N/A,#N/A,FALSE,"Summary";#N/A,#N/A,FALSE,"SmPlants";#N/A,#N/A,FALSE,"Utah";#N/A,#N/A,FALSE,"Idaho";#N/A,#N/A,FALSE,"Lewis River";#N/A,#N/A,FALSE,"NrthUmpq";#N/A,#N/A,FALSE,"KlamRog"}</definedName>
    <definedName name="____OM1_3" localSheetId="16" hidden="1">{#N/A,#N/A,FALSE,"Summary";#N/A,#N/A,FALSE,"SmPlants";#N/A,#N/A,FALSE,"Utah";#N/A,#N/A,FALSE,"Idaho";#N/A,#N/A,FALSE,"Lewis River";#N/A,#N/A,FALSE,"NrthUmpq";#N/A,#N/A,FALSE,"KlamRog"}</definedName>
    <definedName name="____OM1_3" localSheetId="19" hidden="1">{#N/A,#N/A,FALSE,"Summary";#N/A,#N/A,FALSE,"SmPlants";#N/A,#N/A,FALSE,"Utah";#N/A,#N/A,FALSE,"Idaho";#N/A,#N/A,FALSE,"Lewis River";#N/A,#N/A,FALSE,"NrthUmpq";#N/A,#N/A,FALSE,"KlamRog"}</definedName>
    <definedName name="____OM1_3" localSheetId="22" hidden="1">{#N/A,#N/A,FALSE,"Summary";#N/A,#N/A,FALSE,"SmPlants";#N/A,#N/A,FALSE,"Utah";#N/A,#N/A,FALSE,"Idaho";#N/A,#N/A,FALSE,"Lewis River";#N/A,#N/A,FALSE,"NrthUmpq";#N/A,#N/A,FALSE,"KlamRog"}</definedName>
    <definedName name="____OM1_3" localSheetId="23" hidden="1">{#N/A,#N/A,FALSE,"Summary";#N/A,#N/A,FALSE,"SmPlants";#N/A,#N/A,FALSE,"Utah";#N/A,#N/A,FALSE,"Idaho";#N/A,#N/A,FALSE,"Lewis River";#N/A,#N/A,FALSE,"NrthUmpq";#N/A,#N/A,FALSE,"KlamRog"}</definedName>
    <definedName name="____OM1_3" localSheetId="24" hidden="1">{#N/A,#N/A,FALSE,"Summary";#N/A,#N/A,FALSE,"SmPlants";#N/A,#N/A,FALSE,"Utah";#N/A,#N/A,FALSE,"Idaho";#N/A,#N/A,FALSE,"Lewis River";#N/A,#N/A,FALSE,"NrthUmpq";#N/A,#N/A,FALSE,"KlamRog"}</definedName>
    <definedName name="____OM1_3" localSheetId="25" hidden="1">{#N/A,#N/A,FALSE,"Summary";#N/A,#N/A,FALSE,"SmPlants";#N/A,#N/A,FALSE,"Utah";#N/A,#N/A,FALSE,"Idaho";#N/A,#N/A,FALSE,"Lewis River";#N/A,#N/A,FALSE,"NrthUmpq";#N/A,#N/A,FALSE,"KlamRog"}</definedName>
    <definedName name="____OM1_3" localSheetId="26" hidden="1">{#N/A,#N/A,FALSE,"Summary";#N/A,#N/A,FALSE,"SmPlants";#N/A,#N/A,FALSE,"Utah";#N/A,#N/A,FALSE,"Idaho";#N/A,#N/A,FALSE,"Lewis River";#N/A,#N/A,FALSE,"NrthUmpq";#N/A,#N/A,FALSE,"KlamRog"}</definedName>
    <definedName name="____OM1_3" localSheetId="31" hidden="1">{#N/A,#N/A,FALSE,"Summary";#N/A,#N/A,FALSE,"SmPlants";#N/A,#N/A,FALSE,"Utah";#N/A,#N/A,FALSE,"Idaho";#N/A,#N/A,FALSE,"Lewis River";#N/A,#N/A,FALSE,"NrthUmpq";#N/A,#N/A,FALSE,"KlamRog"}</definedName>
    <definedName name="____OM1_3" localSheetId="35" hidden="1">{#N/A,#N/A,FALSE,"Summary";#N/A,#N/A,FALSE,"SmPlants";#N/A,#N/A,FALSE,"Utah";#N/A,#N/A,FALSE,"Idaho";#N/A,#N/A,FALSE,"Lewis River";#N/A,#N/A,FALSE,"NrthUmpq";#N/A,#N/A,FALSE,"KlamRog"}</definedName>
    <definedName name="____OM1_3" localSheetId="36" hidden="1">{#N/A,#N/A,FALSE,"Summary";#N/A,#N/A,FALSE,"SmPlants";#N/A,#N/A,FALSE,"Utah";#N/A,#N/A,FALSE,"Idaho";#N/A,#N/A,FALSE,"Lewis River";#N/A,#N/A,FALSE,"NrthUmpq";#N/A,#N/A,FALSE,"KlamRog"}</definedName>
    <definedName name="____OM1_3" localSheetId="0" hidden="1">{#N/A,#N/A,FALSE,"Summary";#N/A,#N/A,FALSE,"SmPlants";#N/A,#N/A,FALSE,"Utah";#N/A,#N/A,FALSE,"Idaho";#N/A,#N/A,FALSE,"Lewis River";#N/A,#N/A,FALSE,"NrthUmpq";#N/A,#N/A,FALSE,"KlamRog"}</definedName>
    <definedName name="____OM1_3" hidden="1">{#N/A,#N/A,FALSE,"Summary";#N/A,#N/A,FALSE,"SmPlants";#N/A,#N/A,FALSE,"Utah";#N/A,#N/A,FALSE,"Idaho";#N/A,#N/A,FALSE,"Lewis River";#N/A,#N/A,FALSE,"NrthUmpq";#N/A,#N/A,FALSE,"KlamRog"}</definedName>
    <definedName name="____OM1_4" localSheetId="1" hidden="1">{#N/A,#N/A,FALSE,"Summary";#N/A,#N/A,FALSE,"SmPlants";#N/A,#N/A,FALSE,"Utah";#N/A,#N/A,FALSE,"Idaho";#N/A,#N/A,FALSE,"Lewis River";#N/A,#N/A,FALSE,"NrthUmpq";#N/A,#N/A,FALSE,"KlamRog"}</definedName>
    <definedName name="____OM1_4" localSheetId="3" hidden="1">{#N/A,#N/A,FALSE,"Summary";#N/A,#N/A,FALSE,"SmPlants";#N/A,#N/A,FALSE,"Utah";#N/A,#N/A,FALSE,"Idaho";#N/A,#N/A,FALSE,"Lewis River";#N/A,#N/A,FALSE,"NrthUmpq";#N/A,#N/A,FALSE,"KlamRog"}</definedName>
    <definedName name="____OM1_4" localSheetId="4" hidden="1">{#N/A,#N/A,FALSE,"Summary";#N/A,#N/A,FALSE,"SmPlants";#N/A,#N/A,FALSE,"Utah";#N/A,#N/A,FALSE,"Idaho";#N/A,#N/A,FALSE,"Lewis River";#N/A,#N/A,FALSE,"NrthUmpq";#N/A,#N/A,FALSE,"KlamRog"}</definedName>
    <definedName name="____OM1_4" localSheetId="13" hidden="1">{#N/A,#N/A,FALSE,"Summary";#N/A,#N/A,FALSE,"SmPlants";#N/A,#N/A,FALSE,"Utah";#N/A,#N/A,FALSE,"Idaho";#N/A,#N/A,FALSE,"Lewis River";#N/A,#N/A,FALSE,"NrthUmpq";#N/A,#N/A,FALSE,"KlamRog"}</definedName>
    <definedName name="____OM1_4" localSheetId="14" hidden="1">{#N/A,#N/A,FALSE,"Summary";#N/A,#N/A,FALSE,"SmPlants";#N/A,#N/A,FALSE,"Utah";#N/A,#N/A,FALSE,"Idaho";#N/A,#N/A,FALSE,"Lewis River";#N/A,#N/A,FALSE,"NrthUmpq";#N/A,#N/A,FALSE,"KlamRog"}</definedName>
    <definedName name="____OM1_4" localSheetId="15" hidden="1">{#N/A,#N/A,FALSE,"Summary";#N/A,#N/A,FALSE,"SmPlants";#N/A,#N/A,FALSE,"Utah";#N/A,#N/A,FALSE,"Idaho";#N/A,#N/A,FALSE,"Lewis River";#N/A,#N/A,FALSE,"NrthUmpq";#N/A,#N/A,FALSE,"KlamRog"}</definedName>
    <definedName name="____OM1_4" localSheetId="16" hidden="1">{#N/A,#N/A,FALSE,"Summary";#N/A,#N/A,FALSE,"SmPlants";#N/A,#N/A,FALSE,"Utah";#N/A,#N/A,FALSE,"Idaho";#N/A,#N/A,FALSE,"Lewis River";#N/A,#N/A,FALSE,"NrthUmpq";#N/A,#N/A,FALSE,"KlamRog"}</definedName>
    <definedName name="____OM1_4" localSheetId="19" hidden="1">{#N/A,#N/A,FALSE,"Summary";#N/A,#N/A,FALSE,"SmPlants";#N/A,#N/A,FALSE,"Utah";#N/A,#N/A,FALSE,"Idaho";#N/A,#N/A,FALSE,"Lewis River";#N/A,#N/A,FALSE,"NrthUmpq";#N/A,#N/A,FALSE,"KlamRog"}</definedName>
    <definedName name="____OM1_4" localSheetId="22" hidden="1">{#N/A,#N/A,FALSE,"Summary";#N/A,#N/A,FALSE,"SmPlants";#N/A,#N/A,FALSE,"Utah";#N/A,#N/A,FALSE,"Idaho";#N/A,#N/A,FALSE,"Lewis River";#N/A,#N/A,FALSE,"NrthUmpq";#N/A,#N/A,FALSE,"KlamRog"}</definedName>
    <definedName name="____OM1_4" localSheetId="23" hidden="1">{#N/A,#N/A,FALSE,"Summary";#N/A,#N/A,FALSE,"SmPlants";#N/A,#N/A,FALSE,"Utah";#N/A,#N/A,FALSE,"Idaho";#N/A,#N/A,FALSE,"Lewis River";#N/A,#N/A,FALSE,"NrthUmpq";#N/A,#N/A,FALSE,"KlamRog"}</definedName>
    <definedName name="____OM1_4" localSheetId="24" hidden="1">{#N/A,#N/A,FALSE,"Summary";#N/A,#N/A,FALSE,"SmPlants";#N/A,#N/A,FALSE,"Utah";#N/A,#N/A,FALSE,"Idaho";#N/A,#N/A,FALSE,"Lewis River";#N/A,#N/A,FALSE,"NrthUmpq";#N/A,#N/A,FALSE,"KlamRog"}</definedName>
    <definedName name="____OM1_4" localSheetId="25" hidden="1">{#N/A,#N/A,FALSE,"Summary";#N/A,#N/A,FALSE,"SmPlants";#N/A,#N/A,FALSE,"Utah";#N/A,#N/A,FALSE,"Idaho";#N/A,#N/A,FALSE,"Lewis River";#N/A,#N/A,FALSE,"NrthUmpq";#N/A,#N/A,FALSE,"KlamRog"}</definedName>
    <definedName name="____OM1_4" localSheetId="26" hidden="1">{#N/A,#N/A,FALSE,"Summary";#N/A,#N/A,FALSE,"SmPlants";#N/A,#N/A,FALSE,"Utah";#N/A,#N/A,FALSE,"Idaho";#N/A,#N/A,FALSE,"Lewis River";#N/A,#N/A,FALSE,"NrthUmpq";#N/A,#N/A,FALSE,"KlamRog"}</definedName>
    <definedName name="____OM1_4" localSheetId="31" hidden="1">{#N/A,#N/A,FALSE,"Summary";#N/A,#N/A,FALSE,"SmPlants";#N/A,#N/A,FALSE,"Utah";#N/A,#N/A,FALSE,"Idaho";#N/A,#N/A,FALSE,"Lewis River";#N/A,#N/A,FALSE,"NrthUmpq";#N/A,#N/A,FALSE,"KlamRog"}</definedName>
    <definedName name="____OM1_4" localSheetId="35" hidden="1">{#N/A,#N/A,FALSE,"Summary";#N/A,#N/A,FALSE,"SmPlants";#N/A,#N/A,FALSE,"Utah";#N/A,#N/A,FALSE,"Idaho";#N/A,#N/A,FALSE,"Lewis River";#N/A,#N/A,FALSE,"NrthUmpq";#N/A,#N/A,FALSE,"KlamRog"}</definedName>
    <definedName name="____OM1_4" localSheetId="36" hidden="1">{#N/A,#N/A,FALSE,"Summary";#N/A,#N/A,FALSE,"SmPlants";#N/A,#N/A,FALSE,"Utah";#N/A,#N/A,FALSE,"Idaho";#N/A,#N/A,FALSE,"Lewis River";#N/A,#N/A,FALSE,"NrthUmpq";#N/A,#N/A,FALSE,"KlamRog"}</definedName>
    <definedName name="____OM1_4" localSheetId="0" hidden="1">{#N/A,#N/A,FALSE,"Summary";#N/A,#N/A,FALSE,"SmPlants";#N/A,#N/A,FALSE,"Utah";#N/A,#N/A,FALSE,"Idaho";#N/A,#N/A,FALSE,"Lewis River";#N/A,#N/A,FALSE,"NrthUmpq";#N/A,#N/A,FALSE,"KlamRog"}</definedName>
    <definedName name="____OM1_4" hidden="1">{#N/A,#N/A,FALSE,"Summary";#N/A,#N/A,FALSE,"SmPlants";#N/A,#N/A,FALSE,"Utah";#N/A,#N/A,FALSE,"Idaho";#N/A,#N/A,FALSE,"Lewis River";#N/A,#N/A,FALSE,"NrthUmpq";#N/A,#N/A,FALSE,"KlamRog"}</definedName>
    <definedName name="____OM1_5" localSheetId="1" hidden="1">{#N/A,#N/A,FALSE,"Summary";#N/A,#N/A,FALSE,"SmPlants";#N/A,#N/A,FALSE,"Utah";#N/A,#N/A,FALSE,"Idaho";#N/A,#N/A,FALSE,"Lewis River";#N/A,#N/A,FALSE,"NrthUmpq";#N/A,#N/A,FALSE,"KlamRog"}</definedName>
    <definedName name="____OM1_5" localSheetId="3" hidden="1">{#N/A,#N/A,FALSE,"Summary";#N/A,#N/A,FALSE,"SmPlants";#N/A,#N/A,FALSE,"Utah";#N/A,#N/A,FALSE,"Idaho";#N/A,#N/A,FALSE,"Lewis River";#N/A,#N/A,FALSE,"NrthUmpq";#N/A,#N/A,FALSE,"KlamRog"}</definedName>
    <definedName name="____OM1_5" localSheetId="4" hidden="1">{#N/A,#N/A,FALSE,"Summary";#N/A,#N/A,FALSE,"SmPlants";#N/A,#N/A,FALSE,"Utah";#N/A,#N/A,FALSE,"Idaho";#N/A,#N/A,FALSE,"Lewis River";#N/A,#N/A,FALSE,"NrthUmpq";#N/A,#N/A,FALSE,"KlamRog"}</definedName>
    <definedName name="____OM1_5" localSheetId="13" hidden="1">{#N/A,#N/A,FALSE,"Summary";#N/A,#N/A,FALSE,"SmPlants";#N/A,#N/A,FALSE,"Utah";#N/A,#N/A,FALSE,"Idaho";#N/A,#N/A,FALSE,"Lewis River";#N/A,#N/A,FALSE,"NrthUmpq";#N/A,#N/A,FALSE,"KlamRog"}</definedName>
    <definedName name="____OM1_5" localSheetId="14" hidden="1">{#N/A,#N/A,FALSE,"Summary";#N/A,#N/A,FALSE,"SmPlants";#N/A,#N/A,FALSE,"Utah";#N/A,#N/A,FALSE,"Idaho";#N/A,#N/A,FALSE,"Lewis River";#N/A,#N/A,FALSE,"NrthUmpq";#N/A,#N/A,FALSE,"KlamRog"}</definedName>
    <definedName name="____OM1_5" localSheetId="15" hidden="1">{#N/A,#N/A,FALSE,"Summary";#N/A,#N/A,FALSE,"SmPlants";#N/A,#N/A,FALSE,"Utah";#N/A,#N/A,FALSE,"Idaho";#N/A,#N/A,FALSE,"Lewis River";#N/A,#N/A,FALSE,"NrthUmpq";#N/A,#N/A,FALSE,"KlamRog"}</definedName>
    <definedName name="____OM1_5" localSheetId="16" hidden="1">{#N/A,#N/A,FALSE,"Summary";#N/A,#N/A,FALSE,"SmPlants";#N/A,#N/A,FALSE,"Utah";#N/A,#N/A,FALSE,"Idaho";#N/A,#N/A,FALSE,"Lewis River";#N/A,#N/A,FALSE,"NrthUmpq";#N/A,#N/A,FALSE,"KlamRog"}</definedName>
    <definedName name="____OM1_5" localSheetId="19" hidden="1">{#N/A,#N/A,FALSE,"Summary";#N/A,#N/A,FALSE,"SmPlants";#N/A,#N/A,FALSE,"Utah";#N/A,#N/A,FALSE,"Idaho";#N/A,#N/A,FALSE,"Lewis River";#N/A,#N/A,FALSE,"NrthUmpq";#N/A,#N/A,FALSE,"KlamRog"}</definedName>
    <definedName name="____OM1_5" localSheetId="22" hidden="1">{#N/A,#N/A,FALSE,"Summary";#N/A,#N/A,FALSE,"SmPlants";#N/A,#N/A,FALSE,"Utah";#N/A,#N/A,FALSE,"Idaho";#N/A,#N/A,FALSE,"Lewis River";#N/A,#N/A,FALSE,"NrthUmpq";#N/A,#N/A,FALSE,"KlamRog"}</definedName>
    <definedName name="____OM1_5" localSheetId="23" hidden="1">{#N/A,#N/A,FALSE,"Summary";#N/A,#N/A,FALSE,"SmPlants";#N/A,#N/A,FALSE,"Utah";#N/A,#N/A,FALSE,"Idaho";#N/A,#N/A,FALSE,"Lewis River";#N/A,#N/A,FALSE,"NrthUmpq";#N/A,#N/A,FALSE,"KlamRog"}</definedName>
    <definedName name="____OM1_5" localSheetId="24" hidden="1">{#N/A,#N/A,FALSE,"Summary";#N/A,#N/A,FALSE,"SmPlants";#N/A,#N/A,FALSE,"Utah";#N/A,#N/A,FALSE,"Idaho";#N/A,#N/A,FALSE,"Lewis River";#N/A,#N/A,FALSE,"NrthUmpq";#N/A,#N/A,FALSE,"KlamRog"}</definedName>
    <definedName name="____OM1_5" localSheetId="25" hidden="1">{#N/A,#N/A,FALSE,"Summary";#N/A,#N/A,FALSE,"SmPlants";#N/A,#N/A,FALSE,"Utah";#N/A,#N/A,FALSE,"Idaho";#N/A,#N/A,FALSE,"Lewis River";#N/A,#N/A,FALSE,"NrthUmpq";#N/A,#N/A,FALSE,"KlamRog"}</definedName>
    <definedName name="____OM1_5" localSheetId="26" hidden="1">{#N/A,#N/A,FALSE,"Summary";#N/A,#N/A,FALSE,"SmPlants";#N/A,#N/A,FALSE,"Utah";#N/A,#N/A,FALSE,"Idaho";#N/A,#N/A,FALSE,"Lewis River";#N/A,#N/A,FALSE,"NrthUmpq";#N/A,#N/A,FALSE,"KlamRog"}</definedName>
    <definedName name="____OM1_5" localSheetId="31" hidden="1">{#N/A,#N/A,FALSE,"Summary";#N/A,#N/A,FALSE,"SmPlants";#N/A,#N/A,FALSE,"Utah";#N/A,#N/A,FALSE,"Idaho";#N/A,#N/A,FALSE,"Lewis River";#N/A,#N/A,FALSE,"NrthUmpq";#N/A,#N/A,FALSE,"KlamRog"}</definedName>
    <definedName name="____OM1_5" localSheetId="35" hidden="1">{#N/A,#N/A,FALSE,"Summary";#N/A,#N/A,FALSE,"SmPlants";#N/A,#N/A,FALSE,"Utah";#N/A,#N/A,FALSE,"Idaho";#N/A,#N/A,FALSE,"Lewis River";#N/A,#N/A,FALSE,"NrthUmpq";#N/A,#N/A,FALSE,"KlamRog"}</definedName>
    <definedName name="____OM1_5" localSheetId="36" hidden="1">{#N/A,#N/A,FALSE,"Summary";#N/A,#N/A,FALSE,"SmPlants";#N/A,#N/A,FALSE,"Utah";#N/A,#N/A,FALSE,"Idaho";#N/A,#N/A,FALSE,"Lewis River";#N/A,#N/A,FALSE,"NrthUmpq";#N/A,#N/A,FALSE,"KlamRog"}</definedName>
    <definedName name="____OM1_5" localSheetId="0" hidden="1">{#N/A,#N/A,FALSE,"Summary";#N/A,#N/A,FALSE,"SmPlants";#N/A,#N/A,FALSE,"Utah";#N/A,#N/A,FALSE,"Idaho";#N/A,#N/A,FALSE,"Lewis River";#N/A,#N/A,FALSE,"NrthUmpq";#N/A,#N/A,FALSE,"KlamRog"}</definedName>
    <definedName name="____OM1_5" hidden="1">{#N/A,#N/A,FALSE,"Summary";#N/A,#N/A,FALSE,"SmPlants";#N/A,#N/A,FALSE,"Utah";#N/A,#N/A,FALSE,"Idaho";#N/A,#N/A,FALSE,"Lewis River";#N/A,#N/A,FALSE,"NrthUmpq";#N/A,#N/A,FALSE,"KlamRog"}</definedName>
    <definedName name="__OM1" localSheetId="1" hidden="1">{#N/A,#N/A,FALSE,"Summary";#N/A,#N/A,FALSE,"SmPlants";#N/A,#N/A,FALSE,"Utah";#N/A,#N/A,FALSE,"Idaho";#N/A,#N/A,FALSE,"Lewis River";#N/A,#N/A,FALSE,"NrthUmpq";#N/A,#N/A,FALSE,"KlamRog"}</definedName>
    <definedName name="__OM1" localSheetId="3" hidden="1">{#N/A,#N/A,FALSE,"Summary";#N/A,#N/A,FALSE,"SmPlants";#N/A,#N/A,FALSE,"Utah";#N/A,#N/A,FALSE,"Idaho";#N/A,#N/A,FALSE,"Lewis River";#N/A,#N/A,FALSE,"NrthUmpq";#N/A,#N/A,FALSE,"KlamRog"}</definedName>
    <definedName name="__OM1" localSheetId="4" hidden="1">{#N/A,#N/A,FALSE,"Summary";#N/A,#N/A,FALSE,"SmPlants";#N/A,#N/A,FALSE,"Utah";#N/A,#N/A,FALSE,"Idaho";#N/A,#N/A,FALSE,"Lewis River";#N/A,#N/A,FALSE,"NrthUmpq";#N/A,#N/A,FALSE,"KlamRog"}</definedName>
    <definedName name="__OM1" localSheetId="13" hidden="1">{#N/A,#N/A,FALSE,"Summary";#N/A,#N/A,FALSE,"SmPlants";#N/A,#N/A,FALSE,"Utah";#N/A,#N/A,FALSE,"Idaho";#N/A,#N/A,FALSE,"Lewis River";#N/A,#N/A,FALSE,"NrthUmpq";#N/A,#N/A,FALSE,"KlamRog"}</definedName>
    <definedName name="__OM1" localSheetId="14" hidden="1">{#N/A,#N/A,FALSE,"Summary";#N/A,#N/A,FALSE,"SmPlants";#N/A,#N/A,FALSE,"Utah";#N/A,#N/A,FALSE,"Idaho";#N/A,#N/A,FALSE,"Lewis River";#N/A,#N/A,FALSE,"NrthUmpq";#N/A,#N/A,FALSE,"KlamRog"}</definedName>
    <definedName name="__OM1" localSheetId="15" hidden="1">{#N/A,#N/A,FALSE,"Summary";#N/A,#N/A,FALSE,"SmPlants";#N/A,#N/A,FALSE,"Utah";#N/A,#N/A,FALSE,"Idaho";#N/A,#N/A,FALSE,"Lewis River";#N/A,#N/A,FALSE,"NrthUmpq";#N/A,#N/A,FALSE,"KlamRog"}</definedName>
    <definedName name="__OM1" localSheetId="16" hidden="1">{#N/A,#N/A,FALSE,"Summary";#N/A,#N/A,FALSE,"SmPlants";#N/A,#N/A,FALSE,"Utah";#N/A,#N/A,FALSE,"Idaho";#N/A,#N/A,FALSE,"Lewis River";#N/A,#N/A,FALSE,"NrthUmpq";#N/A,#N/A,FALSE,"KlamRog"}</definedName>
    <definedName name="__OM1" localSheetId="19" hidden="1">{#N/A,#N/A,FALSE,"Summary";#N/A,#N/A,FALSE,"SmPlants";#N/A,#N/A,FALSE,"Utah";#N/A,#N/A,FALSE,"Idaho";#N/A,#N/A,FALSE,"Lewis River";#N/A,#N/A,FALSE,"NrthUmpq";#N/A,#N/A,FALSE,"KlamRog"}</definedName>
    <definedName name="__OM1" localSheetId="22" hidden="1">{#N/A,#N/A,FALSE,"Summary";#N/A,#N/A,FALSE,"SmPlants";#N/A,#N/A,FALSE,"Utah";#N/A,#N/A,FALSE,"Idaho";#N/A,#N/A,FALSE,"Lewis River";#N/A,#N/A,FALSE,"NrthUmpq";#N/A,#N/A,FALSE,"KlamRog"}</definedName>
    <definedName name="__OM1" localSheetId="23" hidden="1">{#N/A,#N/A,FALSE,"Summary";#N/A,#N/A,FALSE,"SmPlants";#N/A,#N/A,FALSE,"Utah";#N/A,#N/A,FALSE,"Idaho";#N/A,#N/A,FALSE,"Lewis River";#N/A,#N/A,FALSE,"NrthUmpq";#N/A,#N/A,FALSE,"KlamRog"}</definedName>
    <definedName name="__OM1" localSheetId="24" hidden="1">{#N/A,#N/A,FALSE,"Summary";#N/A,#N/A,FALSE,"SmPlants";#N/A,#N/A,FALSE,"Utah";#N/A,#N/A,FALSE,"Idaho";#N/A,#N/A,FALSE,"Lewis River";#N/A,#N/A,FALSE,"NrthUmpq";#N/A,#N/A,FALSE,"KlamRog"}</definedName>
    <definedName name="__OM1" localSheetId="25" hidden="1">{#N/A,#N/A,FALSE,"Summary";#N/A,#N/A,FALSE,"SmPlants";#N/A,#N/A,FALSE,"Utah";#N/A,#N/A,FALSE,"Idaho";#N/A,#N/A,FALSE,"Lewis River";#N/A,#N/A,FALSE,"NrthUmpq";#N/A,#N/A,FALSE,"KlamRog"}</definedName>
    <definedName name="__OM1" localSheetId="26" hidden="1">{#N/A,#N/A,FALSE,"Summary";#N/A,#N/A,FALSE,"SmPlants";#N/A,#N/A,FALSE,"Utah";#N/A,#N/A,FALSE,"Idaho";#N/A,#N/A,FALSE,"Lewis River";#N/A,#N/A,FALSE,"NrthUmpq";#N/A,#N/A,FALSE,"KlamRog"}</definedName>
    <definedName name="__OM1" localSheetId="31" hidden="1">{#N/A,#N/A,FALSE,"Summary";#N/A,#N/A,FALSE,"SmPlants";#N/A,#N/A,FALSE,"Utah";#N/A,#N/A,FALSE,"Idaho";#N/A,#N/A,FALSE,"Lewis River";#N/A,#N/A,FALSE,"NrthUmpq";#N/A,#N/A,FALSE,"KlamRog"}</definedName>
    <definedName name="__OM1" localSheetId="35" hidden="1">{#N/A,#N/A,FALSE,"Summary";#N/A,#N/A,FALSE,"SmPlants";#N/A,#N/A,FALSE,"Utah";#N/A,#N/A,FALSE,"Idaho";#N/A,#N/A,FALSE,"Lewis River";#N/A,#N/A,FALSE,"NrthUmpq";#N/A,#N/A,FALSE,"KlamRog"}</definedName>
    <definedName name="__OM1" localSheetId="36" hidden="1">{#N/A,#N/A,FALSE,"Summary";#N/A,#N/A,FALSE,"SmPlants";#N/A,#N/A,FALSE,"Utah";#N/A,#N/A,FALSE,"Idaho";#N/A,#N/A,FALSE,"Lewis River";#N/A,#N/A,FALSE,"NrthUmpq";#N/A,#N/A,FALSE,"KlamRog"}</definedName>
    <definedName name="__OM1" localSheetId="0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OM1_1" localSheetId="1" hidden="1">{#N/A,#N/A,FALSE,"Summary";#N/A,#N/A,FALSE,"SmPlants";#N/A,#N/A,FALSE,"Utah";#N/A,#N/A,FALSE,"Idaho";#N/A,#N/A,FALSE,"Lewis River";#N/A,#N/A,FALSE,"NrthUmpq";#N/A,#N/A,FALSE,"KlamRog"}</definedName>
    <definedName name="__OM1_1" localSheetId="3" hidden="1">{#N/A,#N/A,FALSE,"Summary";#N/A,#N/A,FALSE,"SmPlants";#N/A,#N/A,FALSE,"Utah";#N/A,#N/A,FALSE,"Idaho";#N/A,#N/A,FALSE,"Lewis River";#N/A,#N/A,FALSE,"NrthUmpq";#N/A,#N/A,FALSE,"KlamRog"}</definedName>
    <definedName name="__OM1_1" localSheetId="4" hidden="1">{#N/A,#N/A,FALSE,"Summary";#N/A,#N/A,FALSE,"SmPlants";#N/A,#N/A,FALSE,"Utah";#N/A,#N/A,FALSE,"Idaho";#N/A,#N/A,FALSE,"Lewis River";#N/A,#N/A,FALSE,"NrthUmpq";#N/A,#N/A,FALSE,"KlamRog"}</definedName>
    <definedName name="__OM1_1" localSheetId="13" hidden="1">{#N/A,#N/A,FALSE,"Summary";#N/A,#N/A,FALSE,"SmPlants";#N/A,#N/A,FALSE,"Utah";#N/A,#N/A,FALSE,"Idaho";#N/A,#N/A,FALSE,"Lewis River";#N/A,#N/A,FALSE,"NrthUmpq";#N/A,#N/A,FALSE,"KlamRog"}</definedName>
    <definedName name="__OM1_1" localSheetId="14" hidden="1">{#N/A,#N/A,FALSE,"Summary";#N/A,#N/A,FALSE,"SmPlants";#N/A,#N/A,FALSE,"Utah";#N/A,#N/A,FALSE,"Idaho";#N/A,#N/A,FALSE,"Lewis River";#N/A,#N/A,FALSE,"NrthUmpq";#N/A,#N/A,FALSE,"KlamRog"}</definedName>
    <definedName name="__OM1_1" localSheetId="15" hidden="1">{#N/A,#N/A,FALSE,"Summary";#N/A,#N/A,FALSE,"SmPlants";#N/A,#N/A,FALSE,"Utah";#N/A,#N/A,FALSE,"Idaho";#N/A,#N/A,FALSE,"Lewis River";#N/A,#N/A,FALSE,"NrthUmpq";#N/A,#N/A,FALSE,"KlamRog"}</definedName>
    <definedName name="__OM1_1" localSheetId="16" hidden="1">{#N/A,#N/A,FALSE,"Summary";#N/A,#N/A,FALSE,"SmPlants";#N/A,#N/A,FALSE,"Utah";#N/A,#N/A,FALSE,"Idaho";#N/A,#N/A,FALSE,"Lewis River";#N/A,#N/A,FALSE,"NrthUmpq";#N/A,#N/A,FALSE,"KlamRog"}</definedName>
    <definedName name="__OM1_1" localSheetId="19" hidden="1">{#N/A,#N/A,FALSE,"Summary";#N/A,#N/A,FALSE,"SmPlants";#N/A,#N/A,FALSE,"Utah";#N/A,#N/A,FALSE,"Idaho";#N/A,#N/A,FALSE,"Lewis River";#N/A,#N/A,FALSE,"NrthUmpq";#N/A,#N/A,FALSE,"KlamRog"}</definedName>
    <definedName name="__OM1_1" localSheetId="22" hidden="1">{#N/A,#N/A,FALSE,"Summary";#N/A,#N/A,FALSE,"SmPlants";#N/A,#N/A,FALSE,"Utah";#N/A,#N/A,FALSE,"Idaho";#N/A,#N/A,FALSE,"Lewis River";#N/A,#N/A,FALSE,"NrthUmpq";#N/A,#N/A,FALSE,"KlamRog"}</definedName>
    <definedName name="__OM1_1" localSheetId="23" hidden="1">{#N/A,#N/A,FALSE,"Summary";#N/A,#N/A,FALSE,"SmPlants";#N/A,#N/A,FALSE,"Utah";#N/A,#N/A,FALSE,"Idaho";#N/A,#N/A,FALSE,"Lewis River";#N/A,#N/A,FALSE,"NrthUmpq";#N/A,#N/A,FALSE,"KlamRog"}</definedName>
    <definedName name="__OM1_1" localSheetId="24" hidden="1">{#N/A,#N/A,FALSE,"Summary";#N/A,#N/A,FALSE,"SmPlants";#N/A,#N/A,FALSE,"Utah";#N/A,#N/A,FALSE,"Idaho";#N/A,#N/A,FALSE,"Lewis River";#N/A,#N/A,FALSE,"NrthUmpq";#N/A,#N/A,FALSE,"KlamRog"}</definedName>
    <definedName name="__OM1_1" localSheetId="25" hidden="1">{#N/A,#N/A,FALSE,"Summary";#N/A,#N/A,FALSE,"SmPlants";#N/A,#N/A,FALSE,"Utah";#N/A,#N/A,FALSE,"Idaho";#N/A,#N/A,FALSE,"Lewis River";#N/A,#N/A,FALSE,"NrthUmpq";#N/A,#N/A,FALSE,"KlamRog"}</definedName>
    <definedName name="__OM1_1" localSheetId="26" hidden="1">{#N/A,#N/A,FALSE,"Summary";#N/A,#N/A,FALSE,"SmPlants";#N/A,#N/A,FALSE,"Utah";#N/A,#N/A,FALSE,"Idaho";#N/A,#N/A,FALSE,"Lewis River";#N/A,#N/A,FALSE,"NrthUmpq";#N/A,#N/A,FALSE,"KlamRog"}</definedName>
    <definedName name="__OM1_1" localSheetId="31" hidden="1">{#N/A,#N/A,FALSE,"Summary";#N/A,#N/A,FALSE,"SmPlants";#N/A,#N/A,FALSE,"Utah";#N/A,#N/A,FALSE,"Idaho";#N/A,#N/A,FALSE,"Lewis River";#N/A,#N/A,FALSE,"NrthUmpq";#N/A,#N/A,FALSE,"KlamRog"}</definedName>
    <definedName name="__OM1_1" localSheetId="35" hidden="1">{#N/A,#N/A,FALSE,"Summary";#N/A,#N/A,FALSE,"SmPlants";#N/A,#N/A,FALSE,"Utah";#N/A,#N/A,FALSE,"Idaho";#N/A,#N/A,FALSE,"Lewis River";#N/A,#N/A,FALSE,"NrthUmpq";#N/A,#N/A,FALSE,"KlamRog"}</definedName>
    <definedName name="__OM1_1" localSheetId="36" hidden="1">{#N/A,#N/A,FALSE,"Summary";#N/A,#N/A,FALSE,"SmPlants";#N/A,#N/A,FALSE,"Utah";#N/A,#N/A,FALSE,"Idaho";#N/A,#N/A,FALSE,"Lewis River";#N/A,#N/A,FALSE,"NrthUmpq";#N/A,#N/A,FALSE,"KlamRog"}</definedName>
    <definedName name="__OM1_1" localSheetId="0" hidden="1">{#N/A,#N/A,FALSE,"Summary";#N/A,#N/A,FALSE,"SmPlants";#N/A,#N/A,FALSE,"Utah";#N/A,#N/A,FALSE,"Idaho";#N/A,#N/A,FALSE,"Lewis River";#N/A,#N/A,FALSE,"NrthUmpq";#N/A,#N/A,FALSE,"KlamRog"}</definedName>
    <definedName name="__OM1_1" hidden="1">{#N/A,#N/A,FALSE,"Summary";#N/A,#N/A,FALSE,"SmPlants";#N/A,#N/A,FALSE,"Utah";#N/A,#N/A,FALSE,"Idaho";#N/A,#N/A,FALSE,"Lewis River";#N/A,#N/A,FALSE,"NrthUmpq";#N/A,#N/A,FALSE,"KlamRog"}</definedName>
    <definedName name="__OM1_2" localSheetId="1" hidden="1">{#N/A,#N/A,FALSE,"Summary";#N/A,#N/A,FALSE,"SmPlants";#N/A,#N/A,FALSE,"Utah";#N/A,#N/A,FALSE,"Idaho";#N/A,#N/A,FALSE,"Lewis River";#N/A,#N/A,FALSE,"NrthUmpq";#N/A,#N/A,FALSE,"KlamRog"}</definedName>
    <definedName name="__OM1_2" localSheetId="3" hidden="1">{#N/A,#N/A,FALSE,"Summary";#N/A,#N/A,FALSE,"SmPlants";#N/A,#N/A,FALSE,"Utah";#N/A,#N/A,FALSE,"Idaho";#N/A,#N/A,FALSE,"Lewis River";#N/A,#N/A,FALSE,"NrthUmpq";#N/A,#N/A,FALSE,"KlamRog"}</definedName>
    <definedName name="__OM1_2" localSheetId="4" hidden="1">{#N/A,#N/A,FALSE,"Summary";#N/A,#N/A,FALSE,"SmPlants";#N/A,#N/A,FALSE,"Utah";#N/A,#N/A,FALSE,"Idaho";#N/A,#N/A,FALSE,"Lewis River";#N/A,#N/A,FALSE,"NrthUmpq";#N/A,#N/A,FALSE,"KlamRog"}</definedName>
    <definedName name="__OM1_2" localSheetId="13" hidden="1">{#N/A,#N/A,FALSE,"Summary";#N/A,#N/A,FALSE,"SmPlants";#N/A,#N/A,FALSE,"Utah";#N/A,#N/A,FALSE,"Idaho";#N/A,#N/A,FALSE,"Lewis River";#N/A,#N/A,FALSE,"NrthUmpq";#N/A,#N/A,FALSE,"KlamRog"}</definedName>
    <definedName name="__OM1_2" localSheetId="14" hidden="1">{#N/A,#N/A,FALSE,"Summary";#N/A,#N/A,FALSE,"SmPlants";#N/A,#N/A,FALSE,"Utah";#N/A,#N/A,FALSE,"Idaho";#N/A,#N/A,FALSE,"Lewis River";#N/A,#N/A,FALSE,"NrthUmpq";#N/A,#N/A,FALSE,"KlamRog"}</definedName>
    <definedName name="__OM1_2" localSheetId="15" hidden="1">{#N/A,#N/A,FALSE,"Summary";#N/A,#N/A,FALSE,"SmPlants";#N/A,#N/A,FALSE,"Utah";#N/A,#N/A,FALSE,"Idaho";#N/A,#N/A,FALSE,"Lewis River";#N/A,#N/A,FALSE,"NrthUmpq";#N/A,#N/A,FALSE,"KlamRog"}</definedName>
    <definedName name="__OM1_2" localSheetId="16" hidden="1">{#N/A,#N/A,FALSE,"Summary";#N/A,#N/A,FALSE,"SmPlants";#N/A,#N/A,FALSE,"Utah";#N/A,#N/A,FALSE,"Idaho";#N/A,#N/A,FALSE,"Lewis River";#N/A,#N/A,FALSE,"NrthUmpq";#N/A,#N/A,FALSE,"KlamRog"}</definedName>
    <definedName name="__OM1_2" localSheetId="19" hidden="1">{#N/A,#N/A,FALSE,"Summary";#N/A,#N/A,FALSE,"SmPlants";#N/A,#N/A,FALSE,"Utah";#N/A,#N/A,FALSE,"Idaho";#N/A,#N/A,FALSE,"Lewis River";#N/A,#N/A,FALSE,"NrthUmpq";#N/A,#N/A,FALSE,"KlamRog"}</definedName>
    <definedName name="__OM1_2" localSheetId="22" hidden="1">{#N/A,#N/A,FALSE,"Summary";#N/A,#N/A,FALSE,"SmPlants";#N/A,#N/A,FALSE,"Utah";#N/A,#N/A,FALSE,"Idaho";#N/A,#N/A,FALSE,"Lewis River";#N/A,#N/A,FALSE,"NrthUmpq";#N/A,#N/A,FALSE,"KlamRog"}</definedName>
    <definedName name="__OM1_2" localSheetId="23" hidden="1">{#N/A,#N/A,FALSE,"Summary";#N/A,#N/A,FALSE,"SmPlants";#N/A,#N/A,FALSE,"Utah";#N/A,#N/A,FALSE,"Idaho";#N/A,#N/A,FALSE,"Lewis River";#N/A,#N/A,FALSE,"NrthUmpq";#N/A,#N/A,FALSE,"KlamRog"}</definedName>
    <definedName name="__OM1_2" localSheetId="24" hidden="1">{#N/A,#N/A,FALSE,"Summary";#N/A,#N/A,FALSE,"SmPlants";#N/A,#N/A,FALSE,"Utah";#N/A,#N/A,FALSE,"Idaho";#N/A,#N/A,FALSE,"Lewis River";#N/A,#N/A,FALSE,"NrthUmpq";#N/A,#N/A,FALSE,"KlamRog"}</definedName>
    <definedName name="__OM1_2" localSheetId="25" hidden="1">{#N/A,#N/A,FALSE,"Summary";#N/A,#N/A,FALSE,"SmPlants";#N/A,#N/A,FALSE,"Utah";#N/A,#N/A,FALSE,"Idaho";#N/A,#N/A,FALSE,"Lewis River";#N/A,#N/A,FALSE,"NrthUmpq";#N/A,#N/A,FALSE,"KlamRog"}</definedName>
    <definedName name="__OM1_2" localSheetId="26" hidden="1">{#N/A,#N/A,FALSE,"Summary";#N/A,#N/A,FALSE,"SmPlants";#N/A,#N/A,FALSE,"Utah";#N/A,#N/A,FALSE,"Idaho";#N/A,#N/A,FALSE,"Lewis River";#N/A,#N/A,FALSE,"NrthUmpq";#N/A,#N/A,FALSE,"KlamRog"}</definedName>
    <definedName name="__OM1_2" localSheetId="31" hidden="1">{#N/A,#N/A,FALSE,"Summary";#N/A,#N/A,FALSE,"SmPlants";#N/A,#N/A,FALSE,"Utah";#N/A,#N/A,FALSE,"Idaho";#N/A,#N/A,FALSE,"Lewis River";#N/A,#N/A,FALSE,"NrthUmpq";#N/A,#N/A,FALSE,"KlamRog"}</definedName>
    <definedName name="__OM1_2" localSheetId="35" hidden="1">{#N/A,#N/A,FALSE,"Summary";#N/A,#N/A,FALSE,"SmPlants";#N/A,#N/A,FALSE,"Utah";#N/A,#N/A,FALSE,"Idaho";#N/A,#N/A,FALSE,"Lewis River";#N/A,#N/A,FALSE,"NrthUmpq";#N/A,#N/A,FALSE,"KlamRog"}</definedName>
    <definedName name="__OM1_2" localSheetId="36" hidden="1">{#N/A,#N/A,FALSE,"Summary";#N/A,#N/A,FALSE,"SmPlants";#N/A,#N/A,FALSE,"Utah";#N/A,#N/A,FALSE,"Idaho";#N/A,#N/A,FALSE,"Lewis River";#N/A,#N/A,FALSE,"NrthUmpq";#N/A,#N/A,FALSE,"KlamRog"}</definedName>
    <definedName name="__OM1_2" localSheetId="0" hidden="1">{#N/A,#N/A,FALSE,"Summary";#N/A,#N/A,FALSE,"SmPlants";#N/A,#N/A,FALSE,"Utah";#N/A,#N/A,FALSE,"Idaho";#N/A,#N/A,FALSE,"Lewis River";#N/A,#N/A,FALSE,"NrthUmpq";#N/A,#N/A,FALSE,"KlamRog"}</definedName>
    <definedName name="__OM1_2" hidden="1">{#N/A,#N/A,FALSE,"Summary";#N/A,#N/A,FALSE,"SmPlants";#N/A,#N/A,FALSE,"Utah";#N/A,#N/A,FALSE,"Idaho";#N/A,#N/A,FALSE,"Lewis River";#N/A,#N/A,FALSE,"NrthUmpq";#N/A,#N/A,FALSE,"KlamRog"}</definedName>
    <definedName name="__OM1_3" localSheetId="1" hidden="1">{#N/A,#N/A,FALSE,"Summary";#N/A,#N/A,FALSE,"SmPlants";#N/A,#N/A,FALSE,"Utah";#N/A,#N/A,FALSE,"Idaho";#N/A,#N/A,FALSE,"Lewis River";#N/A,#N/A,FALSE,"NrthUmpq";#N/A,#N/A,FALSE,"KlamRog"}</definedName>
    <definedName name="__OM1_3" localSheetId="3" hidden="1">{#N/A,#N/A,FALSE,"Summary";#N/A,#N/A,FALSE,"SmPlants";#N/A,#N/A,FALSE,"Utah";#N/A,#N/A,FALSE,"Idaho";#N/A,#N/A,FALSE,"Lewis River";#N/A,#N/A,FALSE,"NrthUmpq";#N/A,#N/A,FALSE,"KlamRog"}</definedName>
    <definedName name="__OM1_3" localSheetId="4" hidden="1">{#N/A,#N/A,FALSE,"Summary";#N/A,#N/A,FALSE,"SmPlants";#N/A,#N/A,FALSE,"Utah";#N/A,#N/A,FALSE,"Idaho";#N/A,#N/A,FALSE,"Lewis River";#N/A,#N/A,FALSE,"NrthUmpq";#N/A,#N/A,FALSE,"KlamRog"}</definedName>
    <definedName name="__OM1_3" localSheetId="13" hidden="1">{#N/A,#N/A,FALSE,"Summary";#N/A,#N/A,FALSE,"SmPlants";#N/A,#N/A,FALSE,"Utah";#N/A,#N/A,FALSE,"Idaho";#N/A,#N/A,FALSE,"Lewis River";#N/A,#N/A,FALSE,"NrthUmpq";#N/A,#N/A,FALSE,"KlamRog"}</definedName>
    <definedName name="__OM1_3" localSheetId="14" hidden="1">{#N/A,#N/A,FALSE,"Summary";#N/A,#N/A,FALSE,"SmPlants";#N/A,#N/A,FALSE,"Utah";#N/A,#N/A,FALSE,"Idaho";#N/A,#N/A,FALSE,"Lewis River";#N/A,#N/A,FALSE,"NrthUmpq";#N/A,#N/A,FALSE,"KlamRog"}</definedName>
    <definedName name="__OM1_3" localSheetId="15" hidden="1">{#N/A,#N/A,FALSE,"Summary";#N/A,#N/A,FALSE,"SmPlants";#N/A,#N/A,FALSE,"Utah";#N/A,#N/A,FALSE,"Idaho";#N/A,#N/A,FALSE,"Lewis River";#N/A,#N/A,FALSE,"NrthUmpq";#N/A,#N/A,FALSE,"KlamRog"}</definedName>
    <definedName name="__OM1_3" localSheetId="16" hidden="1">{#N/A,#N/A,FALSE,"Summary";#N/A,#N/A,FALSE,"SmPlants";#N/A,#N/A,FALSE,"Utah";#N/A,#N/A,FALSE,"Idaho";#N/A,#N/A,FALSE,"Lewis River";#N/A,#N/A,FALSE,"NrthUmpq";#N/A,#N/A,FALSE,"KlamRog"}</definedName>
    <definedName name="__OM1_3" localSheetId="19" hidden="1">{#N/A,#N/A,FALSE,"Summary";#N/A,#N/A,FALSE,"SmPlants";#N/A,#N/A,FALSE,"Utah";#N/A,#N/A,FALSE,"Idaho";#N/A,#N/A,FALSE,"Lewis River";#N/A,#N/A,FALSE,"NrthUmpq";#N/A,#N/A,FALSE,"KlamRog"}</definedName>
    <definedName name="__OM1_3" localSheetId="22" hidden="1">{#N/A,#N/A,FALSE,"Summary";#N/A,#N/A,FALSE,"SmPlants";#N/A,#N/A,FALSE,"Utah";#N/A,#N/A,FALSE,"Idaho";#N/A,#N/A,FALSE,"Lewis River";#N/A,#N/A,FALSE,"NrthUmpq";#N/A,#N/A,FALSE,"KlamRog"}</definedName>
    <definedName name="__OM1_3" localSheetId="23" hidden="1">{#N/A,#N/A,FALSE,"Summary";#N/A,#N/A,FALSE,"SmPlants";#N/A,#N/A,FALSE,"Utah";#N/A,#N/A,FALSE,"Idaho";#N/A,#N/A,FALSE,"Lewis River";#N/A,#N/A,FALSE,"NrthUmpq";#N/A,#N/A,FALSE,"KlamRog"}</definedName>
    <definedName name="__OM1_3" localSheetId="24" hidden="1">{#N/A,#N/A,FALSE,"Summary";#N/A,#N/A,FALSE,"SmPlants";#N/A,#N/A,FALSE,"Utah";#N/A,#N/A,FALSE,"Idaho";#N/A,#N/A,FALSE,"Lewis River";#N/A,#N/A,FALSE,"NrthUmpq";#N/A,#N/A,FALSE,"KlamRog"}</definedName>
    <definedName name="__OM1_3" localSheetId="25" hidden="1">{#N/A,#N/A,FALSE,"Summary";#N/A,#N/A,FALSE,"SmPlants";#N/A,#N/A,FALSE,"Utah";#N/A,#N/A,FALSE,"Idaho";#N/A,#N/A,FALSE,"Lewis River";#N/A,#N/A,FALSE,"NrthUmpq";#N/A,#N/A,FALSE,"KlamRog"}</definedName>
    <definedName name="__OM1_3" localSheetId="26" hidden="1">{#N/A,#N/A,FALSE,"Summary";#N/A,#N/A,FALSE,"SmPlants";#N/A,#N/A,FALSE,"Utah";#N/A,#N/A,FALSE,"Idaho";#N/A,#N/A,FALSE,"Lewis River";#N/A,#N/A,FALSE,"NrthUmpq";#N/A,#N/A,FALSE,"KlamRog"}</definedName>
    <definedName name="__OM1_3" localSheetId="31" hidden="1">{#N/A,#N/A,FALSE,"Summary";#N/A,#N/A,FALSE,"SmPlants";#N/A,#N/A,FALSE,"Utah";#N/A,#N/A,FALSE,"Idaho";#N/A,#N/A,FALSE,"Lewis River";#N/A,#N/A,FALSE,"NrthUmpq";#N/A,#N/A,FALSE,"KlamRog"}</definedName>
    <definedName name="__OM1_3" localSheetId="35" hidden="1">{#N/A,#N/A,FALSE,"Summary";#N/A,#N/A,FALSE,"SmPlants";#N/A,#N/A,FALSE,"Utah";#N/A,#N/A,FALSE,"Idaho";#N/A,#N/A,FALSE,"Lewis River";#N/A,#N/A,FALSE,"NrthUmpq";#N/A,#N/A,FALSE,"KlamRog"}</definedName>
    <definedName name="__OM1_3" localSheetId="36" hidden="1">{#N/A,#N/A,FALSE,"Summary";#N/A,#N/A,FALSE,"SmPlants";#N/A,#N/A,FALSE,"Utah";#N/A,#N/A,FALSE,"Idaho";#N/A,#N/A,FALSE,"Lewis River";#N/A,#N/A,FALSE,"NrthUmpq";#N/A,#N/A,FALSE,"KlamRog"}</definedName>
    <definedName name="__OM1_3" localSheetId="0" hidden="1">{#N/A,#N/A,FALSE,"Summary";#N/A,#N/A,FALSE,"SmPlants";#N/A,#N/A,FALSE,"Utah";#N/A,#N/A,FALSE,"Idaho";#N/A,#N/A,FALSE,"Lewis River";#N/A,#N/A,FALSE,"NrthUmpq";#N/A,#N/A,FALSE,"KlamRog"}</definedName>
    <definedName name="__OM1_3" hidden="1">{#N/A,#N/A,FALSE,"Summary";#N/A,#N/A,FALSE,"SmPlants";#N/A,#N/A,FALSE,"Utah";#N/A,#N/A,FALSE,"Idaho";#N/A,#N/A,FALSE,"Lewis River";#N/A,#N/A,FALSE,"NrthUmpq";#N/A,#N/A,FALSE,"KlamRog"}</definedName>
    <definedName name="__OM1_4" localSheetId="1" hidden="1">{#N/A,#N/A,FALSE,"Summary";#N/A,#N/A,FALSE,"SmPlants";#N/A,#N/A,FALSE,"Utah";#N/A,#N/A,FALSE,"Idaho";#N/A,#N/A,FALSE,"Lewis River";#N/A,#N/A,FALSE,"NrthUmpq";#N/A,#N/A,FALSE,"KlamRog"}</definedName>
    <definedName name="__OM1_4" localSheetId="3" hidden="1">{#N/A,#N/A,FALSE,"Summary";#N/A,#N/A,FALSE,"SmPlants";#N/A,#N/A,FALSE,"Utah";#N/A,#N/A,FALSE,"Idaho";#N/A,#N/A,FALSE,"Lewis River";#N/A,#N/A,FALSE,"NrthUmpq";#N/A,#N/A,FALSE,"KlamRog"}</definedName>
    <definedName name="__OM1_4" localSheetId="4" hidden="1">{#N/A,#N/A,FALSE,"Summary";#N/A,#N/A,FALSE,"SmPlants";#N/A,#N/A,FALSE,"Utah";#N/A,#N/A,FALSE,"Idaho";#N/A,#N/A,FALSE,"Lewis River";#N/A,#N/A,FALSE,"NrthUmpq";#N/A,#N/A,FALSE,"KlamRog"}</definedName>
    <definedName name="__OM1_4" localSheetId="13" hidden="1">{#N/A,#N/A,FALSE,"Summary";#N/A,#N/A,FALSE,"SmPlants";#N/A,#N/A,FALSE,"Utah";#N/A,#N/A,FALSE,"Idaho";#N/A,#N/A,FALSE,"Lewis River";#N/A,#N/A,FALSE,"NrthUmpq";#N/A,#N/A,FALSE,"KlamRog"}</definedName>
    <definedName name="__OM1_4" localSheetId="14" hidden="1">{#N/A,#N/A,FALSE,"Summary";#N/A,#N/A,FALSE,"SmPlants";#N/A,#N/A,FALSE,"Utah";#N/A,#N/A,FALSE,"Idaho";#N/A,#N/A,FALSE,"Lewis River";#N/A,#N/A,FALSE,"NrthUmpq";#N/A,#N/A,FALSE,"KlamRog"}</definedName>
    <definedName name="__OM1_4" localSheetId="15" hidden="1">{#N/A,#N/A,FALSE,"Summary";#N/A,#N/A,FALSE,"SmPlants";#N/A,#N/A,FALSE,"Utah";#N/A,#N/A,FALSE,"Idaho";#N/A,#N/A,FALSE,"Lewis River";#N/A,#N/A,FALSE,"NrthUmpq";#N/A,#N/A,FALSE,"KlamRog"}</definedName>
    <definedName name="__OM1_4" localSheetId="16" hidden="1">{#N/A,#N/A,FALSE,"Summary";#N/A,#N/A,FALSE,"SmPlants";#N/A,#N/A,FALSE,"Utah";#N/A,#N/A,FALSE,"Idaho";#N/A,#N/A,FALSE,"Lewis River";#N/A,#N/A,FALSE,"NrthUmpq";#N/A,#N/A,FALSE,"KlamRog"}</definedName>
    <definedName name="__OM1_4" localSheetId="19" hidden="1">{#N/A,#N/A,FALSE,"Summary";#N/A,#N/A,FALSE,"SmPlants";#N/A,#N/A,FALSE,"Utah";#N/A,#N/A,FALSE,"Idaho";#N/A,#N/A,FALSE,"Lewis River";#N/A,#N/A,FALSE,"NrthUmpq";#N/A,#N/A,FALSE,"KlamRog"}</definedName>
    <definedName name="__OM1_4" localSheetId="22" hidden="1">{#N/A,#N/A,FALSE,"Summary";#N/A,#N/A,FALSE,"SmPlants";#N/A,#N/A,FALSE,"Utah";#N/A,#N/A,FALSE,"Idaho";#N/A,#N/A,FALSE,"Lewis River";#N/A,#N/A,FALSE,"NrthUmpq";#N/A,#N/A,FALSE,"KlamRog"}</definedName>
    <definedName name="__OM1_4" localSheetId="23" hidden="1">{#N/A,#N/A,FALSE,"Summary";#N/A,#N/A,FALSE,"SmPlants";#N/A,#N/A,FALSE,"Utah";#N/A,#N/A,FALSE,"Idaho";#N/A,#N/A,FALSE,"Lewis River";#N/A,#N/A,FALSE,"NrthUmpq";#N/A,#N/A,FALSE,"KlamRog"}</definedName>
    <definedName name="__OM1_4" localSheetId="24" hidden="1">{#N/A,#N/A,FALSE,"Summary";#N/A,#N/A,FALSE,"SmPlants";#N/A,#N/A,FALSE,"Utah";#N/A,#N/A,FALSE,"Idaho";#N/A,#N/A,FALSE,"Lewis River";#N/A,#N/A,FALSE,"NrthUmpq";#N/A,#N/A,FALSE,"KlamRog"}</definedName>
    <definedName name="__OM1_4" localSheetId="25" hidden="1">{#N/A,#N/A,FALSE,"Summary";#N/A,#N/A,FALSE,"SmPlants";#N/A,#N/A,FALSE,"Utah";#N/A,#N/A,FALSE,"Idaho";#N/A,#N/A,FALSE,"Lewis River";#N/A,#N/A,FALSE,"NrthUmpq";#N/A,#N/A,FALSE,"KlamRog"}</definedName>
    <definedName name="__OM1_4" localSheetId="26" hidden="1">{#N/A,#N/A,FALSE,"Summary";#N/A,#N/A,FALSE,"SmPlants";#N/A,#N/A,FALSE,"Utah";#N/A,#N/A,FALSE,"Idaho";#N/A,#N/A,FALSE,"Lewis River";#N/A,#N/A,FALSE,"NrthUmpq";#N/A,#N/A,FALSE,"KlamRog"}</definedName>
    <definedName name="__OM1_4" localSheetId="31" hidden="1">{#N/A,#N/A,FALSE,"Summary";#N/A,#N/A,FALSE,"SmPlants";#N/A,#N/A,FALSE,"Utah";#N/A,#N/A,FALSE,"Idaho";#N/A,#N/A,FALSE,"Lewis River";#N/A,#N/A,FALSE,"NrthUmpq";#N/A,#N/A,FALSE,"KlamRog"}</definedName>
    <definedName name="__OM1_4" localSheetId="35" hidden="1">{#N/A,#N/A,FALSE,"Summary";#N/A,#N/A,FALSE,"SmPlants";#N/A,#N/A,FALSE,"Utah";#N/A,#N/A,FALSE,"Idaho";#N/A,#N/A,FALSE,"Lewis River";#N/A,#N/A,FALSE,"NrthUmpq";#N/A,#N/A,FALSE,"KlamRog"}</definedName>
    <definedName name="__OM1_4" localSheetId="36" hidden="1">{#N/A,#N/A,FALSE,"Summary";#N/A,#N/A,FALSE,"SmPlants";#N/A,#N/A,FALSE,"Utah";#N/A,#N/A,FALSE,"Idaho";#N/A,#N/A,FALSE,"Lewis River";#N/A,#N/A,FALSE,"NrthUmpq";#N/A,#N/A,FALSE,"KlamRog"}</definedName>
    <definedName name="__OM1_4" localSheetId="0" hidden="1">{#N/A,#N/A,FALSE,"Summary";#N/A,#N/A,FALSE,"SmPlants";#N/A,#N/A,FALSE,"Utah";#N/A,#N/A,FALSE,"Idaho";#N/A,#N/A,FALSE,"Lewis River";#N/A,#N/A,FALSE,"NrthUmpq";#N/A,#N/A,FALSE,"KlamRog"}</definedName>
    <definedName name="__OM1_4" hidden="1">{#N/A,#N/A,FALSE,"Summary";#N/A,#N/A,FALSE,"SmPlants";#N/A,#N/A,FALSE,"Utah";#N/A,#N/A,FALSE,"Idaho";#N/A,#N/A,FALSE,"Lewis River";#N/A,#N/A,FALSE,"NrthUmpq";#N/A,#N/A,FALSE,"KlamRog"}</definedName>
    <definedName name="__OM1_5" localSheetId="1" hidden="1">{#N/A,#N/A,FALSE,"Summary";#N/A,#N/A,FALSE,"SmPlants";#N/A,#N/A,FALSE,"Utah";#N/A,#N/A,FALSE,"Idaho";#N/A,#N/A,FALSE,"Lewis River";#N/A,#N/A,FALSE,"NrthUmpq";#N/A,#N/A,FALSE,"KlamRog"}</definedName>
    <definedName name="__OM1_5" localSheetId="3" hidden="1">{#N/A,#N/A,FALSE,"Summary";#N/A,#N/A,FALSE,"SmPlants";#N/A,#N/A,FALSE,"Utah";#N/A,#N/A,FALSE,"Idaho";#N/A,#N/A,FALSE,"Lewis River";#N/A,#N/A,FALSE,"NrthUmpq";#N/A,#N/A,FALSE,"KlamRog"}</definedName>
    <definedName name="__OM1_5" localSheetId="4" hidden="1">{#N/A,#N/A,FALSE,"Summary";#N/A,#N/A,FALSE,"SmPlants";#N/A,#N/A,FALSE,"Utah";#N/A,#N/A,FALSE,"Idaho";#N/A,#N/A,FALSE,"Lewis River";#N/A,#N/A,FALSE,"NrthUmpq";#N/A,#N/A,FALSE,"KlamRog"}</definedName>
    <definedName name="__OM1_5" localSheetId="13" hidden="1">{#N/A,#N/A,FALSE,"Summary";#N/A,#N/A,FALSE,"SmPlants";#N/A,#N/A,FALSE,"Utah";#N/A,#N/A,FALSE,"Idaho";#N/A,#N/A,FALSE,"Lewis River";#N/A,#N/A,FALSE,"NrthUmpq";#N/A,#N/A,FALSE,"KlamRog"}</definedName>
    <definedName name="__OM1_5" localSheetId="14" hidden="1">{#N/A,#N/A,FALSE,"Summary";#N/A,#N/A,FALSE,"SmPlants";#N/A,#N/A,FALSE,"Utah";#N/A,#N/A,FALSE,"Idaho";#N/A,#N/A,FALSE,"Lewis River";#N/A,#N/A,FALSE,"NrthUmpq";#N/A,#N/A,FALSE,"KlamRog"}</definedName>
    <definedName name="__OM1_5" localSheetId="15" hidden="1">{#N/A,#N/A,FALSE,"Summary";#N/A,#N/A,FALSE,"SmPlants";#N/A,#N/A,FALSE,"Utah";#N/A,#N/A,FALSE,"Idaho";#N/A,#N/A,FALSE,"Lewis River";#N/A,#N/A,FALSE,"NrthUmpq";#N/A,#N/A,FALSE,"KlamRog"}</definedName>
    <definedName name="__OM1_5" localSheetId="16" hidden="1">{#N/A,#N/A,FALSE,"Summary";#N/A,#N/A,FALSE,"SmPlants";#N/A,#N/A,FALSE,"Utah";#N/A,#N/A,FALSE,"Idaho";#N/A,#N/A,FALSE,"Lewis River";#N/A,#N/A,FALSE,"NrthUmpq";#N/A,#N/A,FALSE,"KlamRog"}</definedName>
    <definedName name="__OM1_5" localSheetId="19" hidden="1">{#N/A,#N/A,FALSE,"Summary";#N/A,#N/A,FALSE,"SmPlants";#N/A,#N/A,FALSE,"Utah";#N/A,#N/A,FALSE,"Idaho";#N/A,#N/A,FALSE,"Lewis River";#N/A,#N/A,FALSE,"NrthUmpq";#N/A,#N/A,FALSE,"KlamRog"}</definedName>
    <definedName name="__OM1_5" localSheetId="22" hidden="1">{#N/A,#N/A,FALSE,"Summary";#N/A,#N/A,FALSE,"SmPlants";#N/A,#N/A,FALSE,"Utah";#N/A,#N/A,FALSE,"Idaho";#N/A,#N/A,FALSE,"Lewis River";#N/A,#N/A,FALSE,"NrthUmpq";#N/A,#N/A,FALSE,"KlamRog"}</definedName>
    <definedName name="__OM1_5" localSheetId="23" hidden="1">{#N/A,#N/A,FALSE,"Summary";#N/A,#N/A,FALSE,"SmPlants";#N/A,#N/A,FALSE,"Utah";#N/A,#N/A,FALSE,"Idaho";#N/A,#N/A,FALSE,"Lewis River";#N/A,#N/A,FALSE,"NrthUmpq";#N/A,#N/A,FALSE,"KlamRog"}</definedName>
    <definedName name="__OM1_5" localSheetId="24" hidden="1">{#N/A,#N/A,FALSE,"Summary";#N/A,#N/A,FALSE,"SmPlants";#N/A,#N/A,FALSE,"Utah";#N/A,#N/A,FALSE,"Idaho";#N/A,#N/A,FALSE,"Lewis River";#N/A,#N/A,FALSE,"NrthUmpq";#N/A,#N/A,FALSE,"KlamRog"}</definedName>
    <definedName name="__OM1_5" localSheetId="25" hidden="1">{#N/A,#N/A,FALSE,"Summary";#N/A,#N/A,FALSE,"SmPlants";#N/A,#N/A,FALSE,"Utah";#N/A,#N/A,FALSE,"Idaho";#N/A,#N/A,FALSE,"Lewis River";#N/A,#N/A,FALSE,"NrthUmpq";#N/A,#N/A,FALSE,"KlamRog"}</definedName>
    <definedName name="__OM1_5" localSheetId="26" hidden="1">{#N/A,#N/A,FALSE,"Summary";#N/A,#N/A,FALSE,"SmPlants";#N/A,#N/A,FALSE,"Utah";#N/A,#N/A,FALSE,"Idaho";#N/A,#N/A,FALSE,"Lewis River";#N/A,#N/A,FALSE,"NrthUmpq";#N/A,#N/A,FALSE,"KlamRog"}</definedName>
    <definedName name="__OM1_5" localSheetId="31" hidden="1">{#N/A,#N/A,FALSE,"Summary";#N/A,#N/A,FALSE,"SmPlants";#N/A,#N/A,FALSE,"Utah";#N/A,#N/A,FALSE,"Idaho";#N/A,#N/A,FALSE,"Lewis River";#N/A,#N/A,FALSE,"NrthUmpq";#N/A,#N/A,FALSE,"KlamRog"}</definedName>
    <definedName name="__OM1_5" localSheetId="35" hidden="1">{#N/A,#N/A,FALSE,"Summary";#N/A,#N/A,FALSE,"SmPlants";#N/A,#N/A,FALSE,"Utah";#N/A,#N/A,FALSE,"Idaho";#N/A,#N/A,FALSE,"Lewis River";#N/A,#N/A,FALSE,"NrthUmpq";#N/A,#N/A,FALSE,"KlamRog"}</definedName>
    <definedName name="__OM1_5" localSheetId="36" hidden="1">{#N/A,#N/A,FALSE,"Summary";#N/A,#N/A,FALSE,"SmPlants";#N/A,#N/A,FALSE,"Utah";#N/A,#N/A,FALSE,"Idaho";#N/A,#N/A,FALSE,"Lewis River";#N/A,#N/A,FALSE,"NrthUmpq";#N/A,#N/A,FALSE,"KlamRog"}</definedName>
    <definedName name="__OM1_5" localSheetId="0" hidden="1">{#N/A,#N/A,FALSE,"Summary";#N/A,#N/A,FALSE,"SmPlants";#N/A,#N/A,FALSE,"Utah";#N/A,#N/A,FALSE,"Idaho";#N/A,#N/A,FALSE,"Lewis River";#N/A,#N/A,FALSE,"NrthUmpq";#N/A,#N/A,FALSE,"KlamRog"}</definedName>
    <definedName name="__OM1_5" hidden="1">{#N/A,#N/A,FALSE,"Summary";#N/A,#N/A,FALSE,"SmPlants";#N/A,#N/A,FALSE,"Utah";#N/A,#N/A,FALSE,"Idaho";#N/A,#N/A,FALSE,"Lewis River";#N/A,#N/A,FALSE,"NrthUmpq";#N/A,#N/A,FALSE,"KlamRog"}</definedName>
    <definedName name="_xlnm._FilterDatabase" localSheetId="2" hidden="1">'(1.2)_Lvl_Resource_'!$A$8:$M$53</definedName>
    <definedName name="_OM1" localSheetId="1" hidden="1">{#N/A,#N/A,FALSE,"Summary";#N/A,#N/A,FALSE,"SmPlants";#N/A,#N/A,FALSE,"Utah";#N/A,#N/A,FALSE,"Idaho";#N/A,#N/A,FALSE,"Lewis River";#N/A,#N/A,FALSE,"NrthUmpq";#N/A,#N/A,FALSE,"KlamRog"}</definedName>
    <definedName name="_OM1" localSheetId="3" hidden="1">{#N/A,#N/A,FALSE,"Summary";#N/A,#N/A,FALSE,"SmPlants";#N/A,#N/A,FALSE,"Utah";#N/A,#N/A,FALSE,"Idaho";#N/A,#N/A,FALSE,"Lewis River";#N/A,#N/A,FALSE,"NrthUmpq";#N/A,#N/A,FALSE,"KlamRog"}</definedName>
    <definedName name="_OM1" localSheetId="4" hidden="1">{#N/A,#N/A,FALSE,"Summary";#N/A,#N/A,FALSE,"SmPlants";#N/A,#N/A,FALSE,"Utah";#N/A,#N/A,FALSE,"Idaho";#N/A,#N/A,FALSE,"Lewis River";#N/A,#N/A,FALSE,"NrthUmpq";#N/A,#N/A,FALSE,"KlamRog"}</definedName>
    <definedName name="_OM1" localSheetId="13" hidden="1">{#N/A,#N/A,FALSE,"Summary";#N/A,#N/A,FALSE,"SmPlants";#N/A,#N/A,FALSE,"Utah";#N/A,#N/A,FALSE,"Idaho";#N/A,#N/A,FALSE,"Lewis River";#N/A,#N/A,FALSE,"NrthUmpq";#N/A,#N/A,FALSE,"KlamRog"}</definedName>
    <definedName name="_OM1" localSheetId="14" hidden="1">{#N/A,#N/A,FALSE,"Summary";#N/A,#N/A,FALSE,"SmPlants";#N/A,#N/A,FALSE,"Utah";#N/A,#N/A,FALSE,"Idaho";#N/A,#N/A,FALSE,"Lewis River";#N/A,#N/A,FALSE,"NrthUmpq";#N/A,#N/A,FALSE,"KlamRog"}</definedName>
    <definedName name="_OM1" localSheetId="15" hidden="1">{#N/A,#N/A,FALSE,"Summary";#N/A,#N/A,FALSE,"SmPlants";#N/A,#N/A,FALSE,"Utah";#N/A,#N/A,FALSE,"Idaho";#N/A,#N/A,FALSE,"Lewis River";#N/A,#N/A,FALSE,"NrthUmpq";#N/A,#N/A,FALSE,"KlamRog"}</definedName>
    <definedName name="_OM1" localSheetId="16" hidden="1">{#N/A,#N/A,FALSE,"Summary";#N/A,#N/A,FALSE,"SmPlants";#N/A,#N/A,FALSE,"Utah";#N/A,#N/A,FALSE,"Idaho";#N/A,#N/A,FALSE,"Lewis River";#N/A,#N/A,FALSE,"NrthUmpq";#N/A,#N/A,FALSE,"KlamRog"}</definedName>
    <definedName name="_OM1" localSheetId="19" hidden="1">{#N/A,#N/A,FALSE,"Summary";#N/A,#N/A,FALSE,"SmPlants";#N/A,#N/A,FALSE,"Utah";#N/A,#N/A,FALSE,"Idaho";#N/A,#N/A,FALSE,"Lewis River";#N/A,#N/A,FALSE,"NrthUmpq";#N/A,#N/A,FALSE,"KlamRog"}</definedName>
    <definedName name="_OM1" localSheetId="22" hidden="1">{#N/A,#N/A,FALSE,"Summary";#N/A,#N/A,FALSE,"SmPlants";#N/A,#N/A,FALSE,"Utah";#N/A,#N/A,FALSE,"Idaho";#N/A,#N/A,FALSE,"Lewis River";#N/A,#N/A,FALSE,"NrthUmpq";#N/A,#N/A,FALSE,"KlamRog"}</definedName>
    <definedName name="_OM1" localSheetId="23" hidden="1">{#N/A,#N/A,FALSE,"Summary";#N/A,#N/A,FALSE,"SmPlants";#N/A,#N/A,FALSE,"Utah";#N/A,#N/A,FALSE,"Idaho";#N/A,#N/A,FALSE,"Lewis River";#N/A,#N/A,FALSE,"NrthUmpq";#N/A,#N/A,FALSE,"KlamRog"}</definedName>
    <definedName name="_OM1" localSheetId="24" hidden="1">{#N/A,#N/A,FALSE,"Summary";#N/A,#N/A,FALSE,"SmPlants";#N/A,#N/A,FALSE,"Utah";#N/A,#N/A,FALSE,"Idaho";#N/A,#N/A,FALSE,"Lewis River";#N/A,#N/A,FALSE,"NrthUmpq";#N/A,#N/A,FALSE,"KlamRog"}</definedName>
    <definedName name="_OM1" localSheetId="25" hidden="1">{#N/A,#N/A,FALSE,"Summary";#N/A,#N/A,FALSE,"SmPlants";#N/A,#N/A,FALSE,"Utah";#N/A,#N/A,FALSE,"Idaho";#N/A,#N/A,FALSE,"Lewis River";#N/A,#N/A,FALSE,"NrthUmpq";#N/A,#N/A,FALSE,"KlamRog"}</definedName>
    <definedName name="_OM1" localSheetId="26" hidden="1">{#N/A,#N/A,FALSE,"Summary";#N/A,#N/A,FALSE,"SmPlants";#N/A,#N/A,FALSE,"Utah";#N/A,#N/A,FALSE,"Idaho";#N/A,#N/A,FALSE,"Lewis River";#N/A,#N/A,FALSE,"NrthUmpq";#N/A,#N/A,FALSE,"KlamRog"}</definedName>
    <definedName name="_OM1" localSheetId="31" hidden="1">{#N/A,#N/A,FALSE,"Summary";#N/A,#N/A,FALSE,"SmPlants";#N/A,#N/A,FALSE,"Utah";#N/A,#N/A,FALSE,"Idaho";#N/A,#N/A,FALSE,"Lewis River";#N/A,#N/A,FALSE,"NrthUmpq";#N/A,#N/A,FALSE,"KlamRog"}</definedName>
    <definedName name="_OM1" localSheetId="35" hidden="1">{#N/A,#N/A,FALSE,"Summary";#N/A,#N/A,FALSE,"SmPlants";#N/A,#N/A,FALSE,"Utah";#N/A,#N/A,FALSE,"Idaho";#N/A,#N/A,FALSE,"Lewis River";#N/A,#N/A,FALSE,"NrthUmpq";#N/A,#N/A,FALSE,"KlamRog"}</definedName>
    <definedName name="_OM1" localSheetId="36" hidden="1">{#N/A,#N/A,FALSE,"Summary";#N/A,#N/A,FALSE,"SmPlants";#N/A,#N/A,FALSE,"Utah";#N/A,#N/A,FALSE,"Idaho";#N/A,#N/A,FALSE,"Lewis River";#N/A,#N/A,FALSE,"NrthUmpq";#N/A,#N/A,FALSE,"KlamRog"}</definedName>
    <definedName name="_OM1" localSheetId="0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M1_1" localSheetId="1" hidden="1">{#N/A,#N/A,FALSE,"Summary";#N/A,#N/A,FALSE,"SmPlants";#N/A,#N/A,FALSE,"Utah";#N/A,#N/A,FALSE,"Idaho";#N/A,#N/A,FALSE,"Lewis River";#N/A,#N/A,FALSE,"NrthUmpq";#N/A,#N/A,FALSE,"KlamRog"}</definedName>
    <definedName name="_OM1_1" localSheetId="3" hidden="1">{#N/A,#N/A,FALSE,"Summary";#N/A,#N/A,FALSE,"SmPlants";#N/A,#N/A,FALSE,"Utah";#N/A,#N/A,FALSE,"Idaho";#N/A,#N/A,FALSE,"Lewis River";#N/A,#N/A,FALSE,"NrthUmpq";#N/A,#N/A,FALSE,"KlamRog"}</definedName>
    <definedName name="_OM1_1" localSheetId="4" hidden="1">{#N/A,#N/A,FALSE,"Summary";#N/A,#N/A,FALSE,"SmPlants";#N/A,#N/A,FALSE,"Utah";#N/A,#N/A,FALSE,"Idaho";#N/A,#N/A,FALSE,"Lewis River";#N/A,#N/A,FALSE,"NrthUmpq";#N/A,#N/A,FALSE,"KlamRog"}</definedName>
    <definedName name="_OM1_1" localSheetId="13" hidden="1">{#N/A,#N/A,FALSE,"Summary";#N/A,#N/A,FALSE,"SmPlants";#N/A,#N/A,FALSE,"Utah";#N/A,#N/A,FALSE,"Idaho";#N/A,#N/A,FALSE,"Lewis River";#N/A,#N/A,FALSE,"NrthUmpq";#N/A,#N/A,FALSE,"KlamRog"}</definedName>
    <definedName name="_OM1_1" localSheetId="14" hidden="1">{#N/A,#N/A,FALSE,"Summary";#N/A,#N/A,FALSE,"SmPlants";#N/A,#N/A,FALSE,"Utah";#N/A,#N/A,FALSE,"Idaho";#N/A,#N/A,FALSE,"Lewis River";#N/A,#N/A,FALSE,"NrthUmpq";#N/A,#N/A,FALSE,"KlamRog"}</definedName>
    <definedName name="_OM1_1" localSheetId="15" hidden="1">{#N/A,#N/A,FALSE,"Summary";#N/A,#N/A,FALSE,"SmPlants";#N/A,#N/A,FALSE,"Utah";#N/A,#N/A,FALSE,"Idaho";#N/A,#N/A,FALSE,"Lewis River";#N/A,#N/A,FALSE,"NrthUmpq";#N/A,#N/A,FALSE,"KlamRog"}</definedName>
    <definedName name="_OM1_1" localSheetId="16" hidden="1">{#N/A,#N/A,FALSE,"Summary";#N/A,#N/A,FALSE,"SmPlants";#N/A,#N/A,FALSE,"Utah";#N/A,#N/A,FALSE,"Idaho";#N/A,#N/A,FALSE,"Lewis River";#N/A,#N/A,FALSE,"NrthUmpq";#N/A,#N/A,FALSE,"KlamRog"}</definedName>
    <definedName name="_OM1_1" localSheetId="19" hidden="1">{#N/A,#N/A,FALSE,"Summary";#N/A,#N/A,FALSE,"SmPlants";#N/A,#N/A,FALSE,"Utah";#N/A,#N/A,FALSE,"Idaho";#N/A,#N/A,FALSE,"Lewis River";#N/A,#N/A,FALSE,"NrthUmpq";#N/A,#N/A,FALSE,"KlamRog"}</definedName>
    <definedName name="_OM1_1" localSheetId="22" hidden="1">{#N/A,#N/A,FALSE,"Summary";#N/A,#N/A,FALSE,"SmPlants";#N/A,#N/A,FALSE,"Utah";#N/A,#N/A,FALSE,"Idaho";#N/A,#N/A,FALSE,"Lewis River";#N/A,#N/A,FALSE,"NrthUmpq";#N/A,#N/A,FALSE,"KlamRog"}</definedName>
    <definedName name="_OM1_1" localSheetId="23" hidden="1">{#N/A,#N/A,FALSE,"Summary";#N/A,#N/A,FALSE,"SmPlants";#N/A,#N/A,FALSE,"Utah";#N/A,#N/A,FALSE,"Idaho";#N/A,#N/A,FALSE,"Lewis River";#N/A,#N/A,FALSE,"NrthUmpq";#N/A,#N/A,FALSE,"KlamRog"}</definedName>
    <definedName name="_OM1_1" localSheetId="24" hidden="1">{#N/A,#N/A,FALSE,"Summary";#N/A,#N/A,FALSE,"SmPlants";#N/A,#N/A,FALSE,"Utah";#N/A,#N/A,FALSE,"Idaho";#N/A,#N/A,FALSE,"Lewis River";#N/A,#N/A,FALSE,"NrthUmpq";#N/A,#N/A,FALSE,"KlamRog"}</definedName>
    <definedName name="_OM1_1" localSheetId="25" hidden="1">{#N/A,#N/A,FALSE,"Summary";#N/A,#N/A,FALSE,"SmPlants";#N/A,#N/A,FALSE,"Utah";#N/A,#N/A,FALSE,"Idaho";#N/A,#N/A,FALSE,"Lewis River";#N/A,#N/A,FALSE,"NrthUmpq";#N/A,#N/A,FALSE,"KlamRog"}</definedName>
    <definedName name="_OM1_1" localSheetId="26" hidden="1">{#N/A,#N/A,FALSE,"Summary";#N/A,#N/A,FALSE,"SmPlants";#N/A,#N/A,FALSE,"Utah";#N/A,#N/A,FALSE,"Idaho";#N/A,#N/A,FALSE,"Lewis River";#N/A,#N/A,FALSE,"NrthUmpq";#N/A,#N/A,FALSE,"KlamRog"}</definedName>
    <definedName name="_OM1_1" localSheetId="31" hidden="1">{#N/A,#N/A,FALSE,"Summary";#N/A,#N/A,FALSE,"SmPlants";#N/A,#N/A,FALSE,"Utah";#N/A,#N/A,FALSE,"Idaho";#N/A,#N/A,FALSE,"Lewis River";#N/A,#N/A,FALSE,"NrthUmpq";#N/A,#N/A,FALSE,"KlamRog"}</definedName>
    <definedName name="_OM1_1" localSheetId="35" hidden="1">{#N/A,#N/A,FALSE,"Summary";#N/A,#N/A,FALSE,"SmPlants";#N/A,#N/A,FALSE,"Utah";#N/A,#N/A,FALSE,"Idaho";#N/A,#N/A,FALSE,"Lewis River";#N/A,#N/A,FALSE,"NrthUmpq";#N/A,#N/A,FALSE,"KlamRog"}</definedName>
    <definedName name="_OM1_1" localSheetId="36" hidden="1">{#N/A,#N/A,FALSE,"Summary";#N/A,#N/A,FALSE,"SmPlants";#N/A,#N/A,FALSE,"Utah";#N/A,#N/A,FALSE,"Idaho";#N/A,#N/A,FALSE,"Lewis River";#N/A,#N/A,FALSE,"NrthUmpq";#N/A,#N/A,FALSE,"KlamRog"}</definedName>
    <definedName name="_OM1_1" localSheetId="0" hidden="1">{#N/A,#N/A,FALSE,"Summary";#N/A,#N/A,FALSE,"SmPlants";#N/A,#N/A,FALSE,"Utah";#N/A,#N/A,FALSE,"Idaho";#N/A,#N/A,FALSE,"Lewis River";#N/A,#N/A,FALSE,"NrthUmpq";#N/A,#N/A,FALSE,"KlamRog"}</definedName>
    <definedName name="_OM1_1" hidden="1">{#N/A,#N/A,FALSE,"Summary";#N/A,#N/A,FALSE,"SmPlants";#N/A,#N/A,FALSE,"Utah";#N/A,#N/A,FALSE,"Idaho";#N/A,#N/A,FALSE,"Lewis River";#N/A,#N/A,FALSE,"NrthUmpq";#N/A,#N/A,FALSE,"KlamRog"}</definedName>
    <definedName name="_OM1_2" localSheetId="1" hidden="1">{#N/A,#N/A,FALSE,"Summary";#N/A,#N/A,FALSE,"SmPlants";#N/A,#N/A,FALSE,"Utah";#N/A,#N/A,FALSE,"Idaho";#N/A,#N/A,FALSE,"Lewis River";#N/A,#N/A,FALSE,"NrthUmpq";#N/A,#N/A,FALSE,"KlamRog"}</definedName>
    <definedName name="_OM1_2" localSheetId="3" hidden="1">{#N/A,#N/A,FALSE,"Summary";#N/A,#N/A,FALSE,"SmPlants";#N/A,#N/A,FALSE,"Utah";#N/A,#N/A,FALSE,"Idaho";#N/A,#N/A,FALSE,"Lewis River";#N/A,#N/A,FALSE,"NrthUmpq";#N/A,#N/A,FALSE,"KlamRog"}</definedName>
    <definedName name="_OM1_2" localSheetId="4" hidden="1">{#N/A,#N/A,FALSE,"Summary";#N/A,#N/A,FALSE,"SmPlants";#N/A,#N/A,FALSE,"Utah";#N/A,#N/A,FALSE,"Idaho";#N/A,#N/A,FALSE,"Lewis River";#N/A,#N/A,FALSE,"NrthUmpq";#N/A,#N/A,FALSE,"KlamRog"}</definedName>
    <definedName name="_OM1_2" localSheetId="13" hidden="1">{#N/A,#N/A,FALSE,"Summary";#N/A,#N/A,FALSE,"SmPlants";#N/A,#N/A,FALSE,"Utah";#N/A,#N/A,FALSE,"Idaho";#N/A,#N/A,FALSE,"Lewis River";#N/A,#N/A,FALSE,"NrthUmpq";#N/A,#N/A,FALSE,"KlamRog"}</definedName>
    <definedName name="_OM1_2" localSheetId="14" hidden="1">{#N/A,#N/A,FALSE,"Summary";#N/A,#N/A,FALSE,"SmPlants";#N/A,#N/A,FALSE,"Utah";#N/A,#N/A,FALSE,"Idaho";#N/A,#N/A,FALSE,"Lewis River";#N/A,#N/A,FALSE,"NrthUmpq";#N/A,#N/A,FALSE,"KlamRog"}</definedName>
    <definedName name="_OM1_2" localSheetId="15" hidden="1">{#N/A,#N/A,FALSE,"Summary";#N/A,#N/A,FALSE,"SmPlants";#N/A,#N/A,FALSE,"Utah";#N/A,#N/A,FALSE,"Idaho";#N/A,#N/A,FALSE,"Lewis River";#N/A,#N/A,FALSE,"NrthUmpq";#N/A,#N/A,FALSE,"KlamRog"}</definedName>
    <definedName name="_OM1_2" localSheetId="16" hidden="1">{#N/A,#N/A,FALSE,"Summary";#N/A,#N/A,FALSE,"SmPlants";#N/A,#N/A,FALSE,"Utah";#N/A,#N/A,FALSE,"Idaho";#N/A,#N/A,FALSE,"Lewis River";#N/A,#N/A,FALSE,"NrthUmpq";#N/A,#N/A,FALSE,"KlamRog"}</definedName>
    <definedName name="_OM1_2" localSheetId="19" hidden="1">{#N/A,#N/A,FALSE,"Summary";#N/A,#N/A,FALSE,"SmPlants";#N/A,#N/A,FALSE,"Utah";#N/A,#N/A,FALSE,"Idaho";#N/A,#N/A,FALSE,"Lewis River";#N/A,#N/A,FALSE,"NrthUmpq";#N/A,#N/A,FALSE,"KlamRog"}</definedName>
    <definedName name="_OM1_2" localSheetId="22" hidden="1">{#N/A,#N/A,FALSE,"Summary";#N/A,#N/A,FALSE,"SmPlants";#N/A,#N/A,FALSE,"Utah";#N/A,#N/A,FALSE,"Idaho";#N/A,#N/A,FALSE,"Lewis River";#N/A,#N/A,FALSE,"NrthUmpq";#N/A,#N/A,FALSE,"KlamRog"}</definedName>
    <definedName name="_OM1_2" localSheetId="23" hidden="1">{#N/A,#N/A,FALSE,"Summary";#N/A,#N/A,FALSE,"SmPlants";#N/A,#N/A,FALSE,"Utah";#N/A,#N/A,FALSE,"Idaho";#N/A,#N/A,FALSE,"Lewis River";#N/A,#N/A,FALSE,"NrthUmpq";#N/A,#N/A,FALSE,"KlamRog"}</definedName>
    <definedName name="_OM1_2" localSheetId="24" hidden="1">{#N/A,#N/A,FALSE,"Summary";#N/A,#N/A,FALSE,"SmPlants";#N/A,#N/A,FALSE,"Utah";#N/A,#N/A,FALSE,"Idaho";#N/A,#N/A,FALSE,"Lewis River";#N/A,#N/A,FALSE,"NrthUmpq";#N/A,#N/A,FALSE,"KlamRog"}</definedName>
    <definedName name="_OM1_2" localSheetId="25" hidden="1">{#N/A,#N/A,FALSE,"Summary";#N/A,#N/A,FALSE,"SmPlants";#N/A,#N/A,FALSE,"Utah";#N/A,#N/A,FALSE,"Idaho";#N/A,#N/A,FALSE,"Lewis River";#N/A,#N/A,FALSE,"NrthUmpq";#N/A,#N/A,FALSE,"KlamRog"}</definedName>
    <definedName name="_OM1_2" localSheetId="26" hidden="1">{#N/A,#N/A,FALSE,"Summary";#N/A,#N/A,FALSE,"SmPlants";#N/A,#N/A,FALSE,"Utah";#N/A,#N/A,FALSE,"Idaho";#N/A,#N/A,FALSE,"Lewis River";#N/A,#N/A,FALSE,"NrthUmpq";#N/A,#N/A,FALSE,"KlamRog"}</definedName>
    <definedName name="_OM1_2" localSheetId="31" hidden="1">{#N/A,#N/A,FALSE,"Summary";#N/A,#N/A,FALSE,"SmPlants";#N/A,#N/A,FALSE,"Utah";#N/A,#N/A,FALSE,"Idaho";#N/A,#N/A,FALSE,"Lewis River";#N/A,#N/A,FALSE,"NrthUmpq";#N/A,#N/A,FALSE,"KlamRog"}</definedName>
    <definedName name="_OM1_2" localSheetId="35" hidden="1">{#N/A,#N/A,FALSE,"Summary";#N/A,#N/A,FALSE,"SmPlants";#N/A,#N/A,FALSE,"Utah";#N/A,#N/A,FALSE,"Idaho";#N/A,#N/A,FALSE,"Lewis River";#N/A,#N/A,FALSE,"NrthUmpq";#N/A,#N/A,FALSE,"KlamRog"}</definedName>
    <definedName name="_OM1_2" localSheetId="36" hidden="1">{#N/A,#N/A,FALSE,"Summary";#N/A,#N/A,FALSE,"SmPlants";#N/A,#N/A,FALSE,"Utah";#N/A,#N/A,FALSE,"Idaho";#N/A,#N/A,FALSE,"Lewis River";#N/A,#N/A,FALSE,"NrthUmpq";#N/A,#N/A,FALSE,"KlamRog"}</definedName>
    <definedName name="_OM1_2" localSheetId="0" hidden="1">{#N/A,#N/A,FALSE,"Summary";#N/A,#N/A,FALSE,"SmPlants";#N/A,#N/A,FALSE,"Utah";#N/A,#N/A,FALSE,"Idaho";#N/A,#N/A,FALSE,"Lewis River";#N/A,#N/A,FALSE,"NrthUmpq";#N/A,#N/A,FALSE,"KlamRog"}</definedName>
    <definedName name="_OM1_2" hidden="1">{#N/A,#N/A,FALSE,"Summary";#N/A,#N/A,FALSE,"SmPlants";#N/A,#N/A,FALSE,"Utah";#N/A,#N/A,FALSE,"Idaho";#N/A,#N/A,FALSE,"Lewis River";#N/A,#N/A,FALSE,"NrthUmpq";#N/A,#N/A,FALSE,"KlamRog"}</definedName>
    <definedName name="_OM1_3" localSheetId="1" hidden="1">{#N/A,#N/A,FALSE,"Summary";#N/A,#N/A,FALSE,"SmPlants";#N/A,#N/A,FALSE,"Utah";#N/A,#N/A,FALSE,"Idaho";#N/A,#N/A,FALSE,"Lewis River";#N/A,#N/A,FALSE,"NrthUmpq";#N/A,#N/A,FALSE,"KlamRog"}</definedName>
    <definedName name="_OM1_3" localSheetId="3" hidden="1">{#N/A,#N/A,FALSE,"Summary";#N/A,#N/A,FALSE,"SmPlants";#N/A,#N/A,FALSE,"Utah";#N/A,#N/A,FALSE,"Idaho";#N/A,#N/A,FALSE,"Lewis River";#N/A,#N/A,FALSE,"NrthUmpq";#N/A,#N/A,FALSE,"KlamRog"}</definedName>
    <definedName name="_OM1_3" localSheetId="4" hidden="1">{#N/A,#N/A,FALSE,"Summary";#N/A,#N/A,FALSE,"SmPlants";#N/A,#N/A,FALSE,"Utah";#N/A,#N/A,FALSE,"Idaho";#N/A,#N/A,FALSE,"Lewis River";#N/A,#N/A,FALSE,"NrthUmpq";#N/A,#N/A,FALSE,"KlamRog"}</definedName>
    <definedName name="_OM1_3" localSheetId="13" hidden="1">{#N/A,#N/A,FALSE,"Summary";#N/A,#N/A,FALSE,"SmPlants";#N/A,#N/A,FALSE,"Utah";#N/A,#N/A,FALSE,"Idaho";#N/A,#N/A,FALSE,"Lewis River";#N/A,#N/A,FALSE,"NrthUmpq";#N/A,#N/A,FALSE,"KlamRog"}</definedName>
    <definedName name="_OM1_3" localSheetId="14" hidden="1">{#N/A,#N/A,FALSE,"Summary";#N/A,#N/A,FALSE,"SmPlants";#N/A,#N/A,FALSE,"Utah";#N/A,#N/A,FALSE,"Idaho";#N/A,#N/A,FALSE,"Lewis River";#N/A,#N/A,FALSE,"NrthUmpq";#N/A,#N/A,FALSE,"KlamRog"}</definedName>
    <definedName name="_OM1_3" localSheetId="15" hidden="1">{#N/A,#N/A,FALSE,"Summary";#N/A,#N/A,FALSE,"SmPlants";#N/A,#N/A,FALSE,"Utah";#N/A,#N/A,FALSE,"Idaho";#N/A,#N/A,FALSE,"Lewis River";#N/A,#N/A,FALSE,"NrthUmpq";#N/A,#N/A,FALSE,"KlamRog"}</definedName>
    <definedName name="_OM1_3" localSheetId="16" hidden="1">{#N/A,#N/A,FALSE,"Summary";#N/A,#N/A,FALSE,"SmPlants";#N/A,#N/A,FALSE,"Utah";#N/A,#N/A,FALSE,"Idaho";#N/A,#N/A,FALSE,"Lewis River";#N/A,#N/A,FALSE,"NrthUmpq";#N/A,#N/A,FALSE,"KlamRog"}</definedName>
    <definedName name="_OM1_3" localSheetId="19" hidden="1">{#N/A,#N/A,FALSE,"Summary";#N/A,#N/A,FALSE,"SmPlants";#N/A,#N/A,FALSE,"Utah";#N/A,#N/A,FALSE,"Idaho";#N/A,#N/A,FALSE,"Lewis River";#N/A,#N/A,FALSE,"NrthUmpq";#N/A,#N/A,FALSE,"KlamRog"}</definedName>
    <definedName name="_OM1_3" localSheetId="22" hidden="1">{#N/A,#N/A,FALSE,"Summary";#N/A,#N/A,FALSE,"SmPlants";#N/A,#N/A,FALSE,"Utah";#N/A,#N/A,FALSE,"Idaho";#N/A,#N/A,FALSE,"Lewis River";#N/A,#N/A,FALSE,"NrthUmpq";#N/A,#N/A,FALSE,"KlamRog"}</definedName>
    <definedName name="_OM1_3" localSheetId="23" hidden="1">{#N/A,#N/A,FALSE,"Summary";#N/A,#N/A,FALSE,"SmPlants";#N/A,#N/A,FALSE,"Utah";#N/A,#N/A,FALSE,"Idaho";#N/A,#N/A,FALSE,"Lewis River";#N/A,#N/A,FALSE,"NrthUmpq";#N/A,#N/A,FALSE,"KlamRog"}</definedName>
    <definedName name="_OM1_3" localSheetId="24" hidden="1">{#N/A,#N/A,FALSE,"Summary";#N/A,#N/A,FALSE,"SmPlants";#N/A,#N/A,FALSE,"Utah";#N/A,#N/A,FALSE,"Idaho";#N/A,#N/A,FALSE,"Lewis River";#N/A,#N/A,FALSE,"NrthUmpq";#N/A,#N/A,FALSE,"KlamRog"}</definedName>
    <definedName name="_OM1_3" localSheetId="25" hidden="1">{#N/A,#N/A,FALSE,"Summary";#N/A,#N/A,FALSE,"SmPlants";#N/A,#N/A,FALSE,"Utah";#N/A,#N/A,FALSE,"Idaho";#N/A,#N/A,FALSE,"Lewis River";#N/A,#N/A,FALSE,"NrthUmpq";#N/A,#N/A,FALSE,"KlamRog"}</definedName>
    <definedName name="_OM1_3" localSheetId="26" hidden="1">{#N/A,#N/A,FALSE,"Summary";#N/A,#N/A,FALSE,"SmPlants";#N/A,#N/A,FALSE,"Utah";#N/A,#N/A,FALSE,"Idaho";#N/A,#N/A,FALSE,"Lewis River";#N/A,#N/A,FALSE,"NrthUmpq";#N/A,#N/A,FALSE,"KlamRog"}</definedName>
    <definedName name="_OM1_3" localSheetId="31" hidden="1">{#N/A,#N/A,FALSE,"Summary";#N/A,#N/A,FALSE,"SmPlants";#N/A,#N/A,FALSE,"Utah";#N/A,#N/A,FALSE,"Idaho";#N/A,#N/A,FALSE,"Lewis River";#N/A,#N/A,FALSE,"NrthUmpq";#N/A,#N/A,FALSE,"KlamRog"}</definedName>
    <definedName name="_OM1_3" localSheetId="35" hidden="1">{#N/A,#N/A,FALSE,"Summary";#N/A,#N/A,FALSE,"SmPlants";#N/A,#N/A,FALSE,"Utah";#N/A,#N/A,FALSE,"Idaho";#N/A,#N/A,FALSE,"Lewis River";#N/A,#N/A,FALSE,"NrthUmpq";#N/A,#N/A,FALSE,"KlamRog"}</definedName>
    <definedName name="_OM1_3" localSheetId="36" hidden="1">{#N/A,#N/A,FALSE,"Summary";#N/A,#N/A,FALSE,"SmPlants";#N/A,#N/A,FALSE,"Utah";#N/A,#N/A,FALSE,"Idaho";#N/A,#N/A,FALSE,"Lewis River";#N/A,#N/A,FALSE,"NrthUmpq";#N/A,#N/A,FALSE,"KlamRog"}</definedName>
    <definedName name="_OM1_3" localSheetId="0" hidden="1">{#N/A,#N/A,FALSE,"Summary";#N/A,#N/A,FALSE,"SmPlants";#N/A,#N/A,FALSE,"Utah";#N/A,#N/A,FALSE,"Idaho";#N/A,#N/A,FALSE,"Lewis River";#N/A,#N/A,FALSE,"NrthUmpq";#N/A,#N/A,FALSE,"KlamRog"}</definedName>
    <definedName name="_OM1_3" hidden="1">{#N/A,#N/A,FALSE,"Summary";#N/A,#N/A,FALSE,"SmPlants";#N/A,#N/A,FALSE,"Utah";#N/A,#N/A,FALSE,"Idaho";#N/A,#N/A,FALSE,"Lewis River";#N/A,#N/A,FALSE,"NrthUmpq";#N/A,#N/A,FALSE,"KlamRog"}</definedName>
    <definedName name="_OM1_4" localSheetId="1" hidden="1">{#N/A,#N/A,FALSE,"Summary";#N/A,#N/A,FALSE,"SmPlants";#N/A,#N/A,FALSE,"Utah";#N/A,#N/A,FALSE,"Idaho";#N/A,#N/A,FALSE,"Lewis River";#N/A,#N/A,FALSE,"NrthUmpq";#N/A,#N/A,FALSE,"KlamRog"}</definedName>
    <definedName name="_OM1_4" localSheetId="3" hidden="1">{#N/A,#N/A,FALSE,"Summary";#N/A,#N/A,FALSE,"SmPlants";#N/A,#N/A,FALSE,"Utah";#N/A,#N/A,FALSE,"Idaho";#N/A,#N/A,FALSE,"Lewis River";#N/A,#N/A,FALSE,"NrthUmpq";#N/A,#N/A,FALSE,"KlamRog"}</definedName>
    <definedName name="_OM1_4" localSheetId="4" hidden="1">{#N/A,#N/A,FALSE,"Summary";#N/A,#N/A,FALSE,"SmPlants";#N/A,#N/A,FALSE,"Utah";#N/A,#N/A,FALSE,"Idaho";#N/A,#N/A,FALSE,"Lewis River";#N/A,#N/A,FALSE,"NrthUmpq";#N/A,#N/A,FALSE,"KlamRog"}</definedName>
    <definedName name="_OM1_4" localSheetId="13" hidden="1">{#N/A,#N/A,FALSE,"Summary";#N/A,#N/A,FALSE,"SmPlants";#N/A,#N/A,FALSE,"Utah";#N/A,#N/A,FALSE,"Idaho";#N/A,#N/A,FALSE,"Lewis River";#N/A,#N/A,FALSE,"NrthUmpq";#N/A,#N/A,FALSE,"KlamRog"}</definedName>
    <definedName name="_OM1_4" localSheetId="14" hidden="1">{#N/A,#N/A,FALSE,"Summary";#N/A,#N/A,FALSE,"SmPlants";#N/A,#N/A,FALSE,"Utah";#N/A,#N/A,FALSE,"Idaho";#N/A,#N/A,FALSE,"Lewis River";#N/A,#N/A,FALSE,"NrthUmpq";#N/A,#N/A,FALSE,"KlamRog"}</definedName>
    <definedName name="_OM1_4" localSheetId="15" hidden="1">{#N/A,#N/A,FALSE,"Summary";#N/A,#N/A,FALSE,"SmPlants";#N/A,#N/A,FALSE,"Utah";#N/A,#N/A,FALSE,"Idaho";#N/A,#N/A,FALSE,"Lewis River";#N/A,#N/A,FALSE,"NrthUmpq";#N/A,#N/A,FALSE,"KlamRog"}</definedName>
    <definedName name="_OM1_4" localSheetId="16" hidden="1">{#N/A,#N/A,FALSE,"Summary";#N/A,#N/A,FALSE,"SmPlants";#N/A,#N/A,FALSE,"Utah";#N/A,#N/A,FALSE,"Idaho";#N/A,#N/A,FALSE,"Lewis River";#N/A,#N/A,FALSE,"NrthUmpq";#N/A,#N/A,FALSE,"KlamRog"}</definedName>
    <definedName name="_OM1_4" localSheetId="19" hidden="1">{#N/A,#N/A,FALSE,"Summary";#N/A,#N/A,FALSE,"SmPlants";#N/A,#N/A,FALSE,"Utah";#N/A,#N/A,FALSE,"Idaho";#N/A,#N/A,FALSE,"Lewis River";#N/A,#N/A,FALSE,"NrthUmpq";#N/A,#N/A,FALSE,"KlamRog"}</definedName>
    <definedName name="_OM1_4" localSheetId="22" hidden="1">{#N/A,#N/A,FALSE,"Summary";#N/A,#N/A,FALSE,"SmPlants";#N/A,#N/A,FALSE,"Utah";#N/A,#N/A,FALSE,"Idaho";#N/A,#N/A,FALSE,"Lewis River";#N/A,#N/A,FALSE,"NrthUmpq";#N/A,#N/A,FALSE,"KlamRog"}</definedName>
    <definedName name="_OM1_4" localSheetId="23" hidden="1">{#N/A,#N/A,FALSE,"Summary";#N/A,#N/A,FALSE,"SmPlants";#N/A,#N/A,FALSE,"Utah";#N/A,#N/A,FALSE,"Idaho";#N/A,#N/A,FALSE,"Lewis River";#N/A,#N/A,FALSE,"NrthUmpq";#N/A,#N/A,FALSE,"KlamRog"}</definedName>
    <definedName name="_OM1_4" localSheetId="24" hidden="1">{#N/A,#N/A,FALSE,"Summary";#N/A,#N/A,FALSE,"SmPlants";#N/A,#N/A,FALSE,"Utah";#N/A,#N/A,FALSE,"Idaho";#N/A,#N/A,FALSE,"Lewis River";#N/A,#N/A,FALSE,"NrthUmpq";#N/A,#N/A,FALSE,"KlamRog"}</definedName>
    <definedName name="_OM1_4" localSheetId="25" hidden="1">{#N/A,#N/A,FALSE,"Summary";#N/A,#N/A,FALSE,"SmPlants";#N/A,#N/A,FALSE,"Utah";#N/A,#N/A,FALSE,"Idaho";#N/A,#N/A,FALSE,"Lewis River";#N/A,#N/A,FALSE,"NrthUmpq";#N/A,#N/A,FALSE,"KlamRog"}</definedName>
    <definedName name="_OM1_4" localSheetId="26" hidden="1">{#N/A,#N/A,FALSE,"Summary";#N/A,#N/A,FALSE,"SmPlants";#N/A,#N/A,FALSE,"Utah";#N/A,#N/A,FALSE,"Idaho";#N/A,#N/A,FALSE,"Lewis River";#N/A,#N/A,FALSE,"NrthUmpq";#N/A,#N/A,FALSE,"KlamRog"}</definedName>
    <definedName name="_OM1_4" localSheetId="31" hidden="1">{#N/A,#N/A,FALSE,"Summary";#N/A,#N/A,FALSE,"SmPlants";#N/A,#N/A,FALSE,"Utah";#N/A,#N/A,FALSE,"Idaho";#N/A,#N/A,FALSE,"Lewis River";#N/A,#N/A,FALSE,"NrthUmpq";#N/A,#N/A,FALSE,"KlamRog"}</definedName>
    <definedName name="_OM1_4" localSheetId="35" hidden="1">{#N/A,#N/A,FALSE,"Summary";#N/A,#N/A,FALSE,"SmPlants";#N/A,#N/A,FALSE,"Utah";#N/A,#N/A,FALSE,"Idaho";#N/A,#N/A,FALSE,"Lewis River";#N/A,#N/A,FALSE,"NrthUmpq";#N/A,#N/A,FALSE,"KlamRog"}</definedName>
    <definedName name="_OM1_4" localSheetId="36" hidden="1">{#N/A,#N/A,FALSE,"Summary";#N/A,#N/A,FALSE,"SmPlants";#N/A,#N/A,FALSE,"Utah";#N/A,#N/A,FALSE,"Idaho";#N/A,#N/A,FALSE,"Lewis River";#N/A,#N/A,FALSE,"NrthUmpq";#N/A,#N/A,FALSE,"KlamRog"}</definedName>
    <definedName name="_OM1_4" localSheetId="0" hidden="1">{#N/A,#N/A,FALSE,"Summary";#N/A,#N/A,FALSE,"SmPlants";#N/A,#N/A,FALSE,"Utah";#N/A,#N/A,FALSE,"Idaho";#N/A,#N/A,FALSE,"Lewis River";#N/A,#N/A,FALSE,"NrthUmpq";#N/A,#N/A,FALSE,"KlamRog"}</definedName>
    <definedName name="_OM1_4" hidden="1">{#N/A,#N/A,FALSE,"Summary";#N/A,#N/A,FALSE,"SmPlants";#N/A,#N/A,FALSE,"Utah";#N/A,#N/A,FALSE,"Idaho";#N/A,#N/A,FALSE,"Lewis River";#N/A,#N/A,FALSE,"NrthUmpq";#N/A,#N/A,FALSE,"KlamRog"}</definedName>
    <definedName name="_OM1_5" localSheetId="1" hidden="1">{#N/A,#N/A,FALSE,"Summary";#N/A,#N/A,FALSE,"SmPlants";#N/A,#N/A,FALSE,"Utah";#N/A,#N/A,FALSE,"Idaho";#N/A,#N/A,FALSE,"Lewis River";#N/A,#N/A,FALSE,"NrthUmpq";#N/A,#N/A,FALSE,"KlamRog"}</definedName>
    <definedName name="_OM1_5" localSheetId="3" hidden="1">{#N/A,#N/A,FALSE,"Summary";#N/A,#N/A,FALSE,"SmPlants";#N/A,#N/A,FALSE,"Utah";#N/A,#N/A,FALSE,"Idaho";#N/A,#N/A,FALSE,"Lewis River";#N/A,#N/A,FALSE,"NrthUmpq";#N/A,#N/A,FALSE,"KlamRog"}</definedName>
    <definedName name="_OM1_5" localSheetId="4" hidden="1">{#N/A,#N/A,FALSE,"Summary";#N/A,#N/A,FALSE,"SmPlants";#N/A,#N/A,FALSE,"Utah";#N/A,#N/A,FALSE,"Idaho";#N/A,#N/A,FALSE,"Lewis River";#N/A,#N/A,FALSE,"NrthUmpq";#N/A,#N/A,FALSE,"KlamRog"}</definedName>
    <definedName name="_OM1_5" localSheetId="13" hidden="1">{#N/A,#N/A,FALSE,"Summary";#N/A,#N/A,FALSE,"SmPlants";#N/A,#N/A,FALSE,"Utah";#N/A,#N/A,FALSE,"Idaho";#N/A,#N/A,FALSE,"Lewis River";#N/A,#N/A,FALSE,"NrthUmpq";#N/A,#N/A,FALSE,"KlamRog"}</definedName>
    <definedName name="_OM1_5" localSheetId="14" hidden="1">{#N/A,#N/A,FALSE,"Summary";#N/A,#N/A,FALSE,"SmPlants";#N/A,#N/A,FALSE,"Utah";#N/A,#N/A,FALSE,"Idaho";#N/A,#N/A,FALSE,"Lewis River";#N/A,#N/A,FALSE,"NrthUmpq";#N/A,#N/A,FALSE,"KlamRog"}</definedName>
    <definedName name="_OM1_5" localSheetId="15" hidden="1">{#N/A,#N/A,FALSE,"Summary";#N/A,#N/A,FALSE,"SmPlants";#N/A,#N/A,FALSE,"Utah";#N/A,#N/A,FALSE,"Idaho";#N/A,#N/A,FALSE,"Lewis River";#N/A,#N/A,FALSE,"NrthUmpq";#N/A,#N/A,FALSE,"KlamRog"}</definedName>
    <definedName name="_OM1_5" localSheetId="16" hidden="1">{#N/A,#N/A,FALSE,"Summary";#N/A,#N/A,FALSE,"SmPlants";#N/A,#N/A,FALSE,"Utah";#N/A,#N/A,FALSE,"Idaho";#N/A,#N/A,FALSE,"Lewis River";#N/A,#N/A,FALSE,"NrthUmpq";#N/A,#N/A,FALSE,"KlamRog"}</definedName>
    <definedName name="_OM1_5" localSheetId="19" hidden="1">{#N/A,#N/A,FALSE,"Summary";#N/A,#N/A,FALSE,"SmPlants";#N/A,#N/A,FALSE,"Utah";#N/A,#N/A,FALSE,"Idaho";#N/A,#N/A,FALSE,"Lewis River";#N/A,#N/A,FALSE,"NrthUmpq";#N/A,#N/A,FALSE,"KlamRog"}</definedName>
    <definedName name="_OM1_5" localSheetId="22" hidden="1">{#N/A,#N/A,FALSE,"Summary";#N/A,#N/A,FALSE,"SmPlants";#N/A,#N/A,FALSE,"Utah";#N/A,#N/A,FALSE,"Idaho";#N/A,#N/A,FALSE,"Lewis River";#N/A,#N/A,FALSE,"NrthUmpq";#N/A,#N/A,FALSE,"KlamRog"}</definedName>
    <definedName name="_OM1_5" localSheetId="23" hidden="1">{#N/A,#N/A,FALSE,"Summary";#N/A,#N/A,FALSE,"SmPlants";#N/A,#N/A,FALSE,"Utah";#N/A,#N/A,FALSE,"Idaho";#N/A,#N/A,FALSE,"Lewis River";#N/A,#N/A,FALSE,"NrthUmpq";#N/A,#N/A,FALSE,"KlamRog"}</definedName>
    <definedName name="_OM1_5" localSheetId="24" hidden="1">{#N/A,#N/A,FALSE,"Summary";#N/A,#N/A,FALSE,"SmPlants";#N/A,#N/A,FALSE,"Utah";#N/A,#N/A,FALSE,"Idaho";#N/A,#N/A,FALSE,"Lewis River";#N/A,#N/A,FALSE,"NrthUmpq";#N/A,#N/A,FALSE,"KlamRog"}</definedName>
    <definedName name="_OM1_5" localSheetId="25" hidden="1">{#N/A,#N/A,FALSE,"Summary";#N/A,#N/A,FALSE,"SmPlants";#N/A,#N/A,FALSE,"Utah";#N/A,#N/A,FALSE,"Idaho";#N/A,#N/A,FALSE,"Lewis River";#N/A,#N/A,FALSE,"NrthUmpq";#N/A,#N/A,FALSE,"KlamRog"}</definedName>
    <definedName name="_OM1_5" localSheetId="26" hidden="1">{#N/A,#N/A,FALSE,"Summary";#N/A,#N/A,FALSE,"SmPlants";#N/A,#N/A,FALSE,"Utah";#N/A,#N/A,FALSE,"Idaho";#N/A,#N/A,FALSE,"Lewis River";#N/A,#N/A,FALSE,"NrthUmpq";#N/A,#N/A,FALSE,"KlamRog"}</definedName>
    <definedName name="_OM1_5" localSheetId="31" hidden="1">{#N/A,#N/A,FALSE,"Summary";#N/A,#N/A,FALSE,"SmPlants";#N/A,#N/A,FALSE,"Utah";#N/A,#N/A,FALSE,"Idaho";#N/A,#N/A,FALSE,"Lewis River";#N/A,#N/A,FALSE,"NrthUmpq";#N/A,#N/A,FALSE,"KlamRog"}</definedName>
    <definedName name="_OM1_5" localSheetId="35" hidden="1">{#N/A,#N/A,FALSE,"Summary";#N/A,#N/A,FALSE,"SmPlants";#N/A,#N/A,FALSE,"Utah";#N/A,#N/A,FALSE,"Idaho";#N/A,#N/A,FALSE,"Lewis River";#N/A,#N/A,FALSE,"NrthUmpq";#N/A,#N/A,FALSE,"KlamRog"}</definedName>
    <definedName name="_OM1_5" localSheetId="36" hidden="1">{#N/A,#N/A,FALSE,"Summary";#N/A,#N/A,FALSE,"SmPlants";#N/A,#N/A,FALSE,"Utah";#N/A,#N/A,FALSE,"Idaho";#N/A,#N/A,FALSE,"Lewis River";#N/A,#N/A,FALSE,"NrthUmpq";#N/A,#N/A,FALSE,"KlamRog"}</definedName>
    <definedName name="_OM1_5" localSheetId="0" hidden="1">{#N/A,#N/A,FALSE,"Summary";#N/A,#N/A,FALSE,"SmPlants";#N/A,#N/A,FALSE,"Utah";#N/A,#N/A,FALSE,"Idaho";#N/A,#N/A,FALSE,"Lewis River";#N/A,#N/A,FALSE,"NrthUmpq";#N/A,#N/A,FALSE,"KlamRog"}</definedName>
    <definedName name="_OM1_5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Access_Button1" hidden="1">"Headcount_Workbook_Schedules_List"</definedName>
    <definedName name="AccessDatabase" hidden="1">"P:\HR\SharonPlummer\Headcount Workbook.mdb"</definedName>
    <definedName name="Camas" localSheetId="1" hidden="1">{#N/A,#N/A,FALSE,"Summary";#N/A,#N/A,FALSE,"SmPlants";#N/A,#N/A,FALSE,"Utah";#N/A,#N/A,FALSE,"Idaho";#N/A,#N/A,FALSE,"Lewis River";#N/A,#N/A,FALSE,"NrthUmpq";#N/A,#N/A,FALSE,"KlamRog"}</definedName>
    <definedName name="Camas" localSheetId="3" hidden="1">{#N/A,#N/A,FALSE,"Summary";#N/A,#N/A,FALSE,"SmPlants";#N/A,#N/A,FALSE,"Utah";#N/A,#N/A,FALSE,"Idaho";#N/A,#N/A,FALSE,"Lewis River";#N/A,#N/A,FALSE,"NrthUmpq";#N/A,#N/A,FALSE,"KlamRog"}</definedName>
    <definedName name="Camas" localSheetId="4" hidden="1">{#N/A,#N/A,FALSE,"Summary";#N/A,#N/A,FALSE,"SmPlants";#N/A,#N/A,FALSE,"Utah";#N/A,#N/A,FALSE,"Idaho";#N/A,#N/A,FALSE,"Lewis River";#N/A,#N/A,FALSE,"NrthUmpq";#N/A,#N/A,FALSE,"KlamRog"}</definedName>
    <definedName name="Camas" localSheetId="13" hidden="1">{#N/A,#N/A,FALSE,"Summary";#N/A,#N/A,FALSE,"SmPlants";#N/A,#N/A,FALSE,"Utah";#N/A,#N/A,FALSE,"Idaho";#N/A,#N/A,FALSE,"Lewis River";#N/A,#N/A,FALSE,"NrthUmpq";#N/A,#N/A,FALSE,"KlamRog"}</definedName>
    <definedName name="Camas" localSheetId="14" hidden="1">{#N/A,#N/A,FALSE,"Summary";#N/A,#N/A,FALSE,"SmPlants";#N/A,#N/A,FALSE,"Utah";#N/A,#N/A,FALSE,"Idaho";#N/A,#N/A,FALSE,"Lewis River";#N/A,#N/A,FALSE,"NrthUmpq";#N/A,#N/A,FALSE,"KlamRog"}</definedName>
    <definedName name="Camas" localSheetId="15" hidden="1">{#N/A,#N/A,FALSE,"Summary";#N/A,#N/A,FALSE,"SmPlants";#N/A,#N/A,FALSE,"Utah";#N/A,#N/A,FALSE,"Idaho";#N/A,#N/A,FALSE,"Lewis River";#N/A,#N/A,FALSE,"NrthUmpq";#N/A,#N/A,FALSE,"KlamRog"}</definedName>
    <definedName name="Camas" localSheetId="16" hidden="1">{#N/A,#N/A,FALSE,"Summary";#N/A,#N/A,FALSE,"SmPlants";#N/A,#N/A,FALSE,"Utah";#N/A,#N/A,FALSE,"Idaho";#N/A,#N/A,FALSE,"Lewis River";#N/A,#N/A,FALSE,"NrthUmpq";#N/A,#N/A,FALSE,"KlamRog"}</definedName>
    <definedName name="Camas" localSheetId="19" hidden="1">{#N/A,#N/A,FALSE,"Summary";#N/A,#N/A,FALSE,"SmPlants";#N/A,#N/A,FALSE,"Utah";#N/A,#N/A,FALSE,"Idaho";#N/A,#N/A,FALSE,"Lewis River";#N/A,#N/A,FALSE,"NrthUmpq";#N/A,#N/A,FALSE,"KlamRog"}</definedName>
    <definedName name="Camas" localSheetId="22" hidden="1">{#N/A,#N/A,FALSE,"Summary";#N/A,#N/A,FALSE,"SmPlants";#N/A,#N/A,FALSE,"Utah";#N/A,#N/A,FALSE,"Idaho";#N/A,#N/A,FALSE,"Lewis River";#N/A,#N/A,FALSE,"NrthUmpq";#N/A,#N/A,FALSE,"KlamRog"}</definedName>
    <definedName name="Camas" localSheetId="23" hidden="1">{#N/A,#N/A,FALSE,"Summary";#N/A,#N/A,FALSE,"SmPlants";#N/A,#N/A,FALSE,"Utah";#N/A,#N/A,FALSE,"Idaho";#N/A,#N/A,FALSE,"Lewis River";#N/A,#N/A,FALSE,"NrthUmpq";#N/A,#N/A,FALSE,"KlamRog"}</definedName>
    <definedName name="Camas" localSheetId="24" hidden="1">{#N/A,#N/A,FALSE,"Summary";#N/A,#N/A,FALSE,"SmPlants";#N/A,#N/A,FALSE,"Utah";#N/A,#N/A,FALSE,"Idaho";#N/A,#N/A,FALSE,"Lewis River";#N/A,#N/A,FALSE,"NrthUmpq";#N/A,#N/A,FALSE,"KlamRog"}</definedName>
    <definedName name="Camas" localSheetId="25" hidden="1">{#N/A,#N/A,FALSE,"Summary";#N/A,#N/A,FALSE,"SmPlants";#N/A,#N/A,FALSE,"Utah";#N/A,#N/A,FALSE,"Idaho";#N/A,#N/A,FALSE,"Lewis River";#N/A,#N/A,FALSE,"NrthUmpq";#N/A,#N/A,FALSE,"KlamRog"}</definedName>
    <definedName name="Camas" localSheetId="26" hidden="1">{#N/A,#N/A,FALSE,"Summary";#N/A,#N/A,FALSE,"SmPlants";#N/A,#N/A,FALSE,"Utah";#N/A,#N/A,FALSE,"Idaho";#N/A,#N/A,FALSE,"Lewis River";#N/A,#N/A,FALSE,"NrthUmpq";#N/A,#N/A,FALSE,"KlamRog"}</definedName>
    <definedName name="Camas" localSheetId="31" hidden="1">{#N/A,#N/A,FALSE,"Summary";#N/A,#N/A,FALSE,"SmPlants";#N/A,#N/A,FALSE,"Utah";#N/A,#N/A,FALSE,"Idaho";#N/A,#N/A,FALSE,"Lewis River";#N/A,#N/A,FALSE,"NrthUmpq";#N/A,#N/A,FALSE,"KlamRog"}</definedName>
    <definedName name="Camas" localSheetId="35" hidden="1">{#N/A,#N/A,FALSE,"Summary";#N/A,#N/A,FALSE,"SmPlants";#N/A,#N/A,FALSE,"Utah";#N/A,#N/A,FALSE,"Idaho";#N/A,#N/A,FALSE,"Lewis River";#N/A,#N/A,FALSE,"NrthUmpq";#N/A,#N/A,FALSE,"KlamRog"}</definedName>
    <definedName name="Camas" localSheetId="36" hidden="1">{#N/A,#N/A,FALSE,"Summary";#N/A,#N/A,FALSE,"SmPlants";#N/A,#N/A,FALSE,"Utah";#N/A,#N/A,FALSE,"Idaho";#N/A,#N/A,FALSE,"Lewis River";#N/A,#N/A,FALSE,"NrthUmpq";#N/A,#N/A,FALSE,"KlamRog"}</definedName>
    <definedName name="Camas" localSheetId="0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mas_1" localSheetId="1" hidden="1">{#N/A,#N/A,FALSE,"Summary";#N/A,#N/A,FALSE,"SmPlants";#N/A,#N/A,FALSE,"Utah";#N/A,#N/A,FALSE,"Idaho";#N/A,#N/A,FALSE,"Lewis River";#N/A,#N/A,FALSE,"NrthUmpq";#N/A,#N/A,FALSE,"KlamRog"}</definedName>
    <definedName name="Camas_1" localSheetId="3" hidden="1">{#N/A,#N/A,FALSE,"Summary";#N/A,#N/A,FALSE,"SmPlants";#N/A,#N/A,FALSE,"Utah";#N/A,#N/A,FALSE,"Idaho";#N/A,#N/A,FALSE,"Lewis River";#N/A,#N/A,FALSE,"NrthUmpq";#N/A,#N/A,FALSE,"KlamRog"}</definedName>
    <definedName name="Camas_1" localSheetId="4" hidden="1">{#N/A,#N/A,FALSE,"Summary";#N/A,#N/A,FALSE,"SmPlants";#N/A,#N/A,FALSE,"Utah";#N/A,#N/A,FALSE,"Idaho";#N/A,#N/A,FALSE,"Lewis River";#N/A,#N/A,FALSE,"NrthUmpq";#N/A,#N/A,FALSE,"KlamRog"}</definedName>
    <definedName name="Camas_1" localSheetId="13" hidden="1">{#N/A,#N/A,FALSE,"Summary";#N/A,#N/A,FALSE,"SmPlants";#N/A,#N/A,FALSE,"Utah";#N/A,#N/A,FALSE,"Idaho";#N/A,#N/A,FALSE,"Lewis River";#N/A,#N/A,FALSE,"NrthUmpq";#N/A,#N/A,FALSE,"KlamRog"}</definedName>
    <definedName name="Camas_1" localSheetId="14" hidden="1">{#N/A,#N/A,FALSE,"Summary";#N/A,#N/A,FALSE,"SmPlants";#N/A,#N/A,FALSE,"Utah";#N/A,#N/A,FALSE,"Idaho";#N/A,#N/A,FALSE,"Lewis River";#N/A,#N/A,FALSE,"NrthUmpq";#N/A,#N/A,FALSE,"KlamRog"}</definedName>
    <definedName name="Camas_1" localSheetId="15" hidden="1">{#N/A,#N/A,FALSE,"Summary";#N/A,#N/A,FALSE,"SmPlants";#N/A,#N/A,FALSE,"Utah";#N/A,#N/A,FALSE,"Idaho";#N/A,#N/A,FALSE,"Lewis River";#N/A,#N/A,FALSE,"NrthUmpq";#N/A,#N/A,FALSE,"KlamRog"}</definedName>
    <definedName name="Camas_1" localSheetId="16" hidden="1">{#N/A,#N/A,FALSE,"Summary";#N/A,#N/A,FALSE,"SmPlants";#N/A,#N/A,FALSE,"Utah";#N/A,#N/A,FALSE,"Idaho";#N/A,#N/A,FALSE,"Lewis River";#N/A,#N/A,FALSE,"NrthUmpq";#N/A,#N/A,FALSE,"KlamRog"}</definedName>
    <definedName name="Camas_1" localSheetId="19" hidden="1">{#N/A,#N/A,FALSE,"Summary";#N/A,#N/A,FALSE,"SmPlants";#N/A,#N/A,FALSE,"Utah";#N/A,#N/A,FALSE,"Idaho";#N/A,#N/A,FALSE,"Lewis River";#N/A,#N/A,FALSE,"NrthUmpq";#N/A,#N/A,FALSE,"KlamRog"}</definedName>
    <definedName name="Camas_1" localSheetId="22" hidden="1">{#N/A,#N/A,FALSE,"Summary";#N/A,#N/A,FALSE,"SmPlants";#N/A,#N/A,FALSE,"Utah";#N/A,#N/A,FALSE,"Idaho";#N/A,#N/A,FALSE,"Lewis River";#N/A,#N/A,FALSE,"NrthUmpq";#N/A,#N/A,FALSE,"KlamRog"}</definedName>
    <definedName name="Camas_1" localSheetId="23" hidden="1">{#N/A,#N/A,FALSE,"Summary";#N/A,#N/A,FALSE,"SmPlants";#N/A,#N/A,FALSE,"Utah";#N/A,#N/A,FALSE,"Idaho";#N/A,#N/A,FALSE,"Lewis River";#N/A,#N/A,FALSE,"NrthUmpq";#N/A,#N/A,FALSE,"KlamRog"}</definedName>
    <definedName name="Camas_1" localSheetId="24" hidden="1">{#N/A,#N/A,FALSE,"Summary";#N/A,#N/A,FALSE,"SmPlants";#N/A,#N/A,FALSE,"Utah";#N/A,#N/A,FALSE,"Idaho";#N/A,#N/A,FALSE,"Lewis River";#N/A,#N/A,FALSE,"NrthUmpq";#N/A,#N/A,FALSE,"KlamRog"}</definedName>
    <definedName name="Camas_1" localSheetId="25" hidden="1">{#N/A,#N/A,FALSE,"Summary";#N/A,#N/A,FALSE,"SmPlants";#N/A,#N/A,FALSE,"Utah";#N/A,#N/A,FALSE,"Idaho";#N/A,#N/A,FALSE,"Lewis River";#N/A,#N/A,FALSE,"NrthUmpq";#N/A,#N/A,FALSE,"KlamRog"}</definedName>
    <definedName name="Camas_1" localSheetId="26" hidden="1">{#N/A,#N/A,FALSE,"Summary";#N/A,#N/A,FALSE,"SmPlants";#N/A,#N/A,FALSE,"Utah";#N/A,#N/A,FALSE,"Idaho";#N/A,#N/A,FALSE,"Lewis River";#N/A,#N/A,FALSE,"NrthUmpq";#N/A,#N/A,FALSE,"KlamRog"}</definedName>
    <definedName name="Camas_1" localSheetId="31" hidden="1">{#N/A,#N/A,FALSE,"Summary";#N/A,#N/A,FALSE,"SmPlants";#N/A,#N/A,FALSE,"Utah";#N/A,#N/A,FALSE,"Idaho";#N/A,#N/A,FALSE,"Lewis River";#N/A,#N/A,FALSE,"NrthUmpq";#N/A,#N/A,FALSE,"KlamRog"}</definedName>
    <definedName name="Camas_1" localSheetId="35" hidden="1">{#N/A,#N/A,FALSE,"Summary";#N/A,#N/A,FALSE,"SmPlants";#N/A,#N/A,FALSE,"Utah";#N/A,#N/A,FALSE,"Idaho";#N/A,#N/A,FALSE,"Lewis River";#N/A,#N/A,FALSE,"NrthUmpq";#N/A,#N/A,FALSE,"KlamRog"}</definedName>
    <definedName name="Camas_1" localSheetId="36" hidden="1">{#N/A,#N/A,FALSE,"Summary";#N/A,#N/A,FALSE,"SmPlants";#N/A,#N/A,FALSE,"Utah";#N/A,#N/A,FALSE,"Idaho";#N/A,#N/A,FALSE,"Lewis River";#N/A,#N/A,FALSE,"NrthUmpq";#N/A,#N/A,FALSE,"KlamRog"}</definedName>
    <definedName name="Camas_1" localSheetId="0" hidden="1">{#N/A,#N/A,FALSE,"Summary";#N/A,#N/A,FALSE,"SmPlants";#N/A,#N/A,FALSE,"Utah";#N/A,#N/A,FALSE,"Idaho";#N/A,#N/A,FALSE,"Lewis River";#N/A,#N/A,FALSE,"NrthUmpq";#N/A,#N/A,FALSE,"KlamRog"}</definedName>
    <definedName name="Camas_1" hidden="1">{#N/A,#N/A,FALSE,"Summary";#N/A,#N/A,FALSE,"SmPlants";#N/A,#N/A,FALSE,"Utah";#N/A,#N/A,FALSE,"Idaho";#N/A,#N/A,FALSE,"Lewis River";#N/A,#N/A,FALSE,"NrthUmpq";#N/A,#N/A,FALSE,"KlamRog"}</definedName>
    <definedName name="Camas_2" localSheetId="1" hidden="1">{#N/A,#N/A,FALSE,"Summary";#N/A,#N/A,FALSE,"SmPlants";#N/A,#N/A,FALSE,"Utah";#N/A,#N/A,FALSE,"Idaho";#N/A,#N/A,FALSE,"Lewis River";#N/A,#N/A,FALSE,"NrthUmpq";#N/A,#N/A,FALSE,"KlamRog"}</definedName>
    <definedName name="Camas_2" localSheetId="3" hidden="1">{#N/A,#N/A,FALSE,"Summary";#N/A,#N/A,FALSE,"SmPlants";#N/A,#N/A,FALSE,"Utah";#N/A,#N/A,FALSE,"Idaho";#N/A,#N/A,FALSE,"Lewis River";#N/A,#N/A,FALSE,"NrthUmpq";#N/A,#N/A,FALSE,"KlamRog"}</definedName>
    <definedName name="Camas_2" localSheetId="4" hidden="1">{#N/A,#N/A,FALSE,"Summary";#N/A,#N/A,FALSE,"SmPlants";#N/A,#N/A,FALSE,"Utah";#N/A,#N/A,FALSE,"Idaho";#N/A,#N/A,FALSE,"Lewis River";#N/A,#N/A,FALSE,"NrthUmpq";#N/A,#N/A,FALSE,"KlamRog"}</definedName>
    <definedName name="Camas_2" localSheetId="13" hidden="1">{#N/A,#N/A,FALSE,"Summary";#N/A,#N/A,FALSE,"SmPlants";#N/A,#N/A,FALSE,"Utah";#N/A,#N/A,FALSE,"Idaho";#N/A,#N/A,FALSE,"Lewis River";#N/A,#N/A,FALSE,"NrthUmpq";#N/A,#N/A,FALSE,"KlamRog"}</definedName>
    <definedName name="Camas_2" localSheetId="14" hidden="1">{#N/A,#N/A,FALSE,"Summary";#N/A,#N/A,FALSE,"SmPlants";#N/A,#N/A,FALSE,"Utah";#N/A,#N/A,FALSE,"Idaho";#N/A,#N/A,FALSE,"Lewis River";#N/A,#N/A,FALSE,"NrthUmpq";#N/A,#N/A,FALSE,"KlamRog"}</definedName>
    <definedName name="Camas_2" localSheetId="15" hidden="1">{#N/A,#N/A,FALSE,"Summary";#N/A,#N/A,FALSE,"SmPlants";#N/A,#N/A,FALSE,"Utah";#N/A,#N/A,FALSE,"Idaho";#N/A,#N/A,FALSE,"Lewis River";#N/A,#N/A,FALSE,"NrthUmpq";#N/A,#N/A,FALSE,"KlamRog"}</definedName>
    <definedName name="Camas_2" localSheetId="16" hidden="1">{#N/A,#N/A,FALSE,"Summary";#N/A,#N/A,FALSE,"SmPlants";#N/A,#N/A,FALSE,"Utah";#N/A,#N/A,FALSE,"Idaho";#N/A,#N/A,FALSE,"Lewis River";#N/A,#N/A,FALSE,"NrthUmpq";#N/A,#N/A,FALSE,"KlamRog"}</definedName>
    <definedName name="Camas_2" localSheetId="19" hidden="1">{#N/A,#N/A,FALSE,"Summary";#N/A,#N/A,FALSE,"SmPlants";#N/A,#N/A,FALSE,"Utah";#N/A,#N/A,FALSE,"Idaho";#N/A,#N/A,FALSE,"Lewis River";#N/A,#N/A,FALSE,"NrthUmpq";#N/A,#N/A,FALSE,"KlamRog"}</definedName>
    <definedName name="Camas_2" localSheetId="22" hidden="1">{#N/A,#N/A,FALSE,"Summary";#N/A,#N/A,FALSE,"SmPlants";#N/A,#N/A,FALSE,"Utah";#N/A,#N/A,FALSE,"Idaho";#N/A,#N/A,FALSE,"Lewis River";#N/A,#N/A,FALSE,"NrthUmpq";#N/A,#N/A,FALSE,"KlamRog"}</definedName>
    <definedName name="Camas_2" localSheetId="23" hidden="1">{#N/A,#N/A,FALSE,"Summary";#N/A,#N/A,FALSE,"SmPlants";#N/A,#N/A,FALSE,"Utah";#N/A,#N/A,FALSE,"Idaho";#N/A,#N/A,FALSE,"Lewis River";#N/A,#N/A,FALSE,"NrthUmpq";#N/A,#N/A,FALSE,"KlamRog"}</definedName>
    <definedName name="Camas_2" localSheetId="24" hidden="1">{#N/A,#N/A,FALSE,"Summary";#N/A,#N/A,FALSE,"SmPlants";#N/A,#N/A,FALSE,"Utah";#N/A,#N/A,FALSE,"Idaho";#N/A,#N/A,FALSE,"Lewis River";#N/A,#N/A,FALSE,"NrthUmpq";#N/A,#N/A,FALSE,"KlamRog"}</definedName>
    <definedName name="Camas_2" localSheetId="25" hidden="1">{#N/A,#N/A,FALSE,"Summary";#N/A,#N/A,FALSE,"SmPlants";#N/A,#N/A,FALSE,"Utah";#N/A,#N/A,FALSE,"Idaho";#N/A,#N/A,FALSE,"Lewis River";#N/A,#N/A,FALSE,"NrthUmpq";#N/A,#N/A,FALSE,"KlamRog"}</definedName>
    <definedName name="Camas_2" localSheetId="26" hidden="1">{#N/A,#N/A,FALSE,"Summary";#N/A,#N/A,FALSE,"SmPlants";#N/A,#N/A,FALSE,"Utah";#N/A,#N/A,FALSE,"Idaho";#N/A,#N/A,FALSE,"Lewis River";#N/A,#N/A,FALSE,"NrthUmpq";#N/A,#N/A,FALSE,"KlamRog"}</definedName>
    <definedName name="Camas_2" localSheetId="31" hidden="1">{#N/A,#N/A,FALSE,"Summary";#N/A,#N/A,FALSE,"SmPlants";#N/A,#N/A,FALSE,"Utah";#N/A,#N/A,FALSE,"Idaho";#N/A,#N/A,FALSE,"Lewis River";#N/A,#N/A,FALSE,"NrthUmpq";#N/A,#N/A,FALSE,"KlamRog"}</definedName>
    <definedName name="Camas_2" localSheetId="35" hidden="1">{#N/A,#N/A,FALSE,"Summary";#N/A,#N/A,FALSE,"SmPlants";#N/A,#N/A,FALSE,"Utah";#N/A,#N/A,FALSE,"Idaho";#N/A,#N/A,FALSE,"Lewis River";#N/A,#N/A,FALSE,"NrthUmpq";#N/A,#N/A,FALSE,"KlamRog"}</definedName>
    <definedName name="Camas_2" localSheetId="36" hidden="1">{#N/A,#N/A,FALSE,"Summary";#N/A,#N/A,FALSE,"SmPlants";#N/A,#N/A,FALSE,"Utah";#N/A,#N/A,FALSE,"Idaho";#N/A,#N/A,FALSE,"Lewis River";#N/A,#N/A,FALSE,"NrthUmpq";#N/A,#N/A,FALSE,"KlamRog"}</definedName>
    <definedName name="Camas_2" localSheetId="0" hidden="1">{#N/A,#N/A,FALSE,"Summary";#N/A,#N/A,FALSE,"SmPlants";#N/A,#N/A,FALSE,"Utah";#N/A,#N/A,FALSE,"Idaho";#N/A,#N/A,FALSE,"Lewis River";#N/A,#N/A,FALSE,"NrthUmpq";#N/A,#N/A,FALSE,"KlamRog"}</definedName>
    <definedName name="Camas_2" hidden="1">{#N/A,#N/A,FALSE,"Summary";#N/A,#N/A,FALSE,"SmPlants";#N/A,#N/A,FALSE,"Utah";#N/A,#N/A,FALSE,"Idaho";#N/A,#N/A,FALSE,"Lewis River";#N/A,#N/A,FALSE,"NrthUmpq";#N/A,#N/A,FALSE,"KlamRog"}</definedName>
    <definedName name="Camas_3" localSheetId="1" hidden="1">{#N/A,#N/A,FALSE,"Summary";#N/A,#N/A,FALSE,"SmPlants";#N/A,#N/A,FALSE,"Utah";#N/A,#N/A,FALSE,"Idaho";#N/A,#N/A,FALSE,"Lewis River";#N/A,#N/A,FALSE,"NrthUmpq";#N/A,#N/A,FALSE,"KlamRog"}</definedName>
    <definedName name="Camas_3" localSheetId="3" hidden="1">{#N/A,#N/A,FALSE,"Summary";#N/A,#N/A,FALSE,"SmPlants";#N/A,#N/A,FALSE,"Utah";#N/A,#N/A,FALSE,"Idaho";#N/A,#N/A,FALSE,"Lewis River";#N/A,#N/A,FALSE,"NrthUmpq";#N/A,#N/A,FALSE,"KlamRog"}</definedName>
    <definedName name="Camas_3" localSheetId="4" hidden="1">{#N/A,#N/A,FALSE,"Summary";#N/A,#N/A,FALSE,"SmPlants";#N/A,#N/A,FALSE,"Utah";#N/A,#N/A,FALSE,"Idaho";#N/A,#N/A,FALSE,"Lewis River";#N/A,#N/A,FALSE,"NrthUmpq";#N/A,#N/A,FALSE,"KlamRog"}</definedName>
    <definedName name="Camas_3" localSheetId="13" hidden="1">{#N/A,#N/A,FALSE,"Summary";#N/A,#N/A,FALSE,"SmPlants";#N/A,#N/A,FALSE,"Utah";#N/A,#N/A,FALSE,"Idaho";#N/A,#N/A,FALSE,"Lewis River";#N/A,#N/A,FALSE,"NrthUmpq";#N/A,#N/A,FALSE,"KlamRog"}</definedName>
    <definedName name="Camas_3" localSheetId="14" hidden="1">{#N/A,#N/A,FALSE,"Summary";#N/A,#N/A,FALSE,"SmPlants";#N/A,#N/A,FALSE,"Utah";#N/A,#N/A,FALSE,"Idaho";#N/A,#N/A,FALSE,"Lewis River";#N/A,#N/A,FALSE,"NrthUmpq";#N/A,#N/A,FALSE,"KlamRog"}</definedName>
    <definedName name="Camas_3" localSheetId="15" hidden="1">{#N/A,#N/A,FALSE,"Summary";#N/A,#N/A,FALSE,"SmPlants";#N/A,#N/A,FALSE,"Utah";#N/A,#N/A,FALSE,"Idaho";#N/A,#N/A,FALSE,"Lewis River";#N/A,#N/A,FALSE,"NrthUmpq";#N/A,#N/A,FALSE,"KlamRog"}</definedName>
    <definedName name="Camas_3" localSheetId="16" hidden="1">{#N/A,#N/A,FALSE,"Summary";#N/A,#N/A,FALSE,"SmPlants";#N/A,#N/A,FALSE,"Utah";#N/A,#N/A,FALSE,"Idaho";#N/A,#N/A,FALSE,"Lewis River";#N/A,#N/A,FALSE,"NrthUmpq";#N/A,#N/A,FALSE,"KlamRog"}</definedName>
    <definedName name="Camas_3" localSheetId="19" hidden="1">{#N/A,#N/A,FALSE,"Summary";#N/A,#N/A,FALSE,"SmPlants";#N/A,#N/A,FALSE,"Utah";#N/A,#N/A,FALSE,"Idaho";#N/A,#N/A,FALSE,"Lewis River";#N/A,#N/A,FALSE,"NrthUmpq";#N/A,#N/A,FALSE,"KlamRog"}</definedName>
    <definedName name="Camas_3" localSheetId="22" hidden="1">{#N/A,#N/A,FALSE,"Summary";#N/A,#N/A,FALSE,"SmPlants";#N/A,#N/A,FALSE,"Utah";#N/A,#N/A,FALSE,"Idaho";#N/A,#N/A,FALSE,"Lewis River";#N/A,#N/A,FALSE,"NrthUmpq";#N/A,#N/A,FALSE,"KlamRog"}</definedName>
    <definedName name="Camas_3" localSheetId="23" hidden="1">{#N/A,#N/A,FALSE,"Summary";#N/A,#N/A,FALSE,"SmPlants";#N/A,#N/A,FALSE,"Utah";#N/A,#N/A,FALSE,"Idaho";#N/A,#N/A,FALSE,"Lewis River";#N/A,#N/A,FALSE,"NrthUmpq";#N/A,#N/A,FALSE,"KlamRog"}</definedName>
    <definedName name="Camas_3" localSheetId="24" hidden="1">{#N/A,#N/A,FALSE,"Summary";#N/A,#N/A,FALSE,"SmPlants";#N/A,#N/A,FALSE,"Utah";#N/A,#N/A,FALSE,"Idaho";#N/A,#N/A,FALSE,"Lewis River";#N/A,#N/A,FALSE,"NrthUmpq";#N/A,#N/A,FALSE,"KlamRog"}</definedName>
    <definedName name="Camas_3" localSheetId="25" hidden="1">{#N/A,#N/A,FALSE,"Summary";#N/A,#N/A,FALSE,"SmPlants";#N/A,#N/A,FALSE,"Utah";#N/A,#N/A,FALSE,"Idaho";#N/A,#N/A,FALSE,"Lewis River";#N/A,#N/A,FALSE,"NrthUmpq";#N/A,#N/A,FALSE,"KlamRog"}</definedName>
    <definedName name="Camas_3" localSheetId="26" hidden="1">{#N/A,#N/A,FALSE,"Summary";#N/A,#N/A,FALSE,"SmPlants";#N/A,#N/A,FALSE,"Utah";#N/A,#N/A,FALSE,"Idaho";#N/A,#N/A,FALSE,"Lewis River";#N/A,#N/A,FALSE,"NrthUmpq";#N/A,#N/A,FALSE,"KlamRog"}</definedName>
    <definedName name="Camas_3" localSheetId="31" hidden="1">{#N/A,#N/A,FALSE,"Summary";#N/A,#N/A,FALSE,"SmPlants";#N/A,#N/A,FALSE,"Utah";#N/A,#N/A,FALSE,"Idaho";#N/A,#N/A,FALSE,"Lewis River";#N/A,#N/A,FALSE,"NrthUmpq";#N/A,#N/A,FALSE,"KlamRog"}</definedName>
    <definedName name="Camas_3" localSheetId="35" hidden="1">{#N/A,#N/A,FALSE,"Summary";#N/A,#N/A,FALSE,"SmPlants";#N/A,#N/A,FALSE,"Utah";#N/A,#N/A,FALSE,"Idaho";#N/A,#N/A,FALSE,"Lewis River";#N/A,#N/A,FALSE,"NrthUmpq";#N/A,#N/A,FALSE,"KlamRog"}</definedName>
    <definedName name="Camas_3" localSheetId="36" hidden="1">{#N/A,#N/A,FALSE,"Summary";#N/A,#N/A,FALSE,"SmPlants";#N/A,#N/A,FALSE,"Utah";#N/A,#N/A,FALSE,"Idaho";#N/A,#N/A,FALSE,"Lewis River";#N/A,#N/A,FALSE,"NrthUmpq";#N/A,#N/A,FALSE,"KlamRog"}</definedName>
    <definedName name="Camas_3" localSheetId="0" hidden="1">{#N/A,#N/A,FALSE,"Summary";#N/A,#N/A,FALSE,"SmPlants";#N/A,#N/A,FALSE,"Utah";#N/A,#N/A,FALSE,"Idaho";#N/A,#N/A,FALSE,"Lewis River";#N/A,#N/A,FALSE,"NrthUmpq";#N/A,#N/A,FALSE,"KlamRog"}</definedName>
    <definedName name="Camas_3" hidden="1">{#N/A,#N/A,FALSE,"Summary";#N/A,#N/A,FALSE,"SmPlants";#N/A,#N/A,FALSE,"Utah";#N/A,#N/A,FALSE,"Idaho";#N/A,#N/A,FALSE,"Lewis River";#N/A,#N/A,FALSE,"NrthUmpq";#N/A,#N/A,FALSE,"KlamRog"}</definedName>
    <definedName name="Camas_4" localSheetId="1" hidden="1">{#N/A,#N/A,FALSE,"Summary";#N/A,#N/A,FALSE,"SmPlants";#N/A,#N/A,FALSE,"Utah";#N/A,#N/A,FALSE,"Idaho";#N/A,#N/A,FALSE,"Lewis River";#N/A,#N/A,FALSE,"NrthUmpq";#N/A,#N/A,FALSE,"KlamRog"}</definedName>
    <definedName name="Camas_4" localSheetId="3" hidden="1">{#N/A,#N/A,FALSE,"Summary";#N/A,#N/A,FALSE,"SmPlants";#N/A,#N/A,FALSE,"Utah";#N/A,#N/A,FALSE,"Idaho";#N/A,#N/A,FALSE,"Lewis River";#N/A,#N/A,FALSE,"NrthUmpq";#N/A,#N/A,FALSE,"KlamRog"}</definedName>
    <definedName name="Camas_4" localSheetId="4" hidden="1">{#N/A,#N/A,FALSE,"Summary";#N/A,#N/A,FALSE,"SmPlants";#N/A,#N/A,FALSE,"Utah";#N/A,#N/A,FALSE,"Idaho";#N/A,#N/A,FALSE,"Lewis River";#N/A,#N/A,FALSE,"NrthUmpq";#N/A,#N/A,FALSE,"KlamRog"}</definedName>
    <definedName name="Camas_4" localSheetId="13" hidden="1">{#N/A,#N/A,FALSE,"Summary";#N/A,#N/A,FALSE,"SmPlants";#N/A,#N/A,FALSE,"Utah";#N/A,#N/A,FALSE,"Idaho";#N/A,#N/A,FALSE,"Lewis River";#N/A,#N/A,FALSE,"NrthUmpq";#N/A,#N/A,FALSE,"KlamRog"}</definedName>
    <definedName name="Camas_4" localSheetId="14" hidden="1">{#N/A,#N/A,FALSE,"Summary";#N/A,#N/A,FALSE,"SmPlants";#N/A,#N/A,FALSE,"Utah";#N/A,#N/A,FALSE,"Idaho";#N/A,#N/A,FALSE,"Lewis River";#N/A,#N/A,FALSE,"NrthUmpq";#N/A,#N/A,FALSE,"KlamRog"}</definedName>
    <definedName name="Camas_4" localSheetId="15" hidden="1">{#N/A,#N/A,FALSE,"Summary";#N/A,#N/A,FALSE,"SmPlants";#N/A,#N/A,FALSE,"Utah";#N/A,#N/A,FALSE,"Idaho";#N/A,#N/A,FALSE,"Lewis River";#N/A,#N/A,FALSE,"NrthUmpq";#N/A,#N/A,FALSE,"KlamRog"}</definedName>
    <definedName name="Camas_4" localSheetId="16" hidden="1">{#N/A,#N/A,FALSE,"Summary";#N/A,#N/A,FALSE,"SmPlants";#N/A,#N/A,FALSE,"Utah";#N/A,#N/A,FALSE,"Idaho";#N/A,#N/A,FALSE,"Lewis River";#N/A,#N/A,FALSE,"NrthUmpq";#N/A,#N/A,FALSE,"KlamRog"}</definedName>
    <definedName name="Camas_4" localSheetId="19" hidden="1">{#N/A,#N/A,FALSE,"Summary";#N/A,#N/A,FALSE,"SmPlants";#N/A,#N/A,FALSE,"Utah";#N/A,#N/A,FALSE,"Idaho";#N/A,#N/A,FALSE,"Lewis River";#N/A,#N/A,FALSE,"NrthUmpq";#N/A,#N/A,FALSE,"KlamRog"}</definedName>
    <definedName name="Camas_4" localSheetId="22" hidden="1">{#N/A,#N/A,FALSE,"Summary";#N/A,#N/A,FALSE,"SmPlants";#N/A,#N/A,FALSE,"Utah";#N/A,#N/A,FALSE,"Idaho";#N/A,#N/A,FALSE,"Lewis River";#N/A,#N/A,FALSE,"NrthUmpq";#N/A,#N/A,FALSE,"KlamRog"}</definedName>
    <definedName name="Camas_4" localSheetId="23" hidden="1">{#N/A,#N/A,FALSE,"Summary";#N/A,#N/A,FALSE,"SmPlants";#N/A,#N/A,FALSE,"Utah";#N/A,#N/A,FALSE,"Idaho";#N/A,#N/A,FALSE,"Lewis River";#N/A,#N/A,FALSE,"NrthUmpq";#N/A,#N/A,FALSE,"KlamRog"}</definedName>
    <definedName name="Camas_4" localSheetId="24" hidden="1">{#N/A,#N/A,FALSE,"Summary";#N/A,#N/A,FALSE,"SmPlants";#N/A,#N/A,FALSE,"Utah";#N/A,#N/A,FALSE,"Idaho";#N/A,#N/A,FALSE,"Lewis River";#N/A,#N/A,FALSE,"NrthUmpq";#N/A,#N/A,FALSE,"KlamRog"}</definedName>
    <definedName name="Camas_4" localSheetId="25" hidden="1">{#N/A,#N/A,FALSE,"Summary";#N/A,#N/A,FALSE,"SmPlants";#N/A,#N/A,FALSE,"Utah";#N/A,#N/A,FALSE,"Idaho";#N/A,#N/A,FALSE,"Lewis River";#N/A,#N/A,FALSE,"NrthUmpq";#N/A,#N/A,FALSE,"KlamRog"}</definedName>
    <definedName name="Camas_4" localSheetId="26" hidden="1">{#N/A,#N/A,FALSE,"Summary";#N/A,#N/A,FALSE,"SmPlants";#N/A,#N/A,FALSE,"Utah";#N/A,#N/A,FALSE,"Idaho";#N/A,#N/A,FALSE,"Lewis River";#N/A,#N/A,FALSE,"NrthUmpq";#N/A,#N/A,FALSE,"KlamRog"}</definedName>
    <definedName name="Camas_4" localSheetId="31" hidden="1">{#N/A,#N/A,FALSE,"Summary";#N/A,#N/A,FALSE,"SmPlants";#N/A,#N/A,FALSE,"Utah";#N/A,#N/A,FALSE,"Idaho";#N/A,#N/A,FALSE,"Lewis River";#N/A,#N/A,FALSE,"NrthUmpq";#N/A,#N/A,FALSE,"KlamRog"}</definedName>
    <definedName name="Camas_4" localSheetId="35" hidden="1">{#N/A,#N/A,FALSE,"Summary";#N/A,#N/A,FALSE,"SmPlants";#N/A,#N/A,FALSE,"Utah";#N/A,#N/A,FALSE,"Idaho";#N/A,#N/A,FALSE,"Lewis River";#N/A,#N/A,FALSE,"NrthUmpq";#N/A,#N/A,FALSE,"KlamRog"}</definedName>
    <definedName name="Camas_4" localSheetId="36" hidden="1">{#N/A,#N/A,FALSE,"Summary";#N/A,#N/A,FALSE,"SmPlants";#N/A,#N/A,FALSE,"Utah";#N/A,#N/A,FALSE,"Idaho";#N/A,#N/A,FALSE,"Lewis River";#N/A,#N/A,FALSE,"NrthUmpq";#N/A,#N/A,FALSE,"KlamRog"}</definedName>
    <definedName name="Camas_4" localSheetId="0" hidden="1">{#N/A,#N/A,FALSE,"Summary";#N/A,#N/A,FALSE,"SmPlants";#N/A,#N/A,FALSE,"Utah";#N/A,#N/A,FALSE,"Idaho";#N/A,#N/A,FALSE,"Lewis River";#N/A,#N/A,FALSE,"NrthUmpq";#N/A,#N/A,FALSE,"KlamRog"}</definedName>
    <definedName name="Camas_4" hidden="1">{#N/A,#N/A,FALSE,"Summary";#N/A,#N/A,FALSE,"SmPlants";#N/A,#N/A,FALSE,"Utah";#N/A,#N/A,FALSE,"Idaho";#N/A,#N/A,FALSE,"Lewis River";#N/A,#N/A,FALSE,"NrthUmpq";#N/A,#N/A,FALSE,"KlamRog"}</definedName>
    <definedName name="Camas_5" localSheetId="1" hidden="1">{#N/A,#N/A,FALSE,"Summary";#N/A,#N/A,FALSE,"SmPlants";#N/A,#N/A,FALSE,"Utah";#N/A,#N/A,FALSE,"Idaho";#N/A,#N/A,FALSE,"Lewis River";#N/A,#N/A,FALSE,"NrthUmpq";#N/A,#N/A,FALSE,"KlamRog"}</definedName>
    <definedName name="Camas_5" localSheetId="3" hidden="1">{#N/A,#N/A,FALSE,"Summary";#N/A,#N/A,FALSE,"SmPlants";#N/A,#N/A,FALSE,"Utah";#N/A,#N/A,FALSE,"Idaho";#N/A,#N/A,FALSE,"Lewis River";#N/A,#N/A,FALSE,"NrthUmpq";#N/A,#N/A,FALSE,"KlamRog"}</definedName>
    <definedName name="Camas_5" localSheetId="4" hidden="1">{#N/A,#N/A,FALSE,"Summary";#N/A,#N/A,FALSE,"SmPlants";#N/A,#N/A,FALSE,"Utah";#N/A,#N/A,FALSE,"Idaho";#N/A,#N/A,FALSE,"Lewis River";#N/A,#N/A,FALSE,"NrthUmpq";#N/A,#N/A,FALSE,"KlamRog"}</definedName>
    <definedName name="Camas_5" localSheetId="13" hidden="1">{#N/A,#N/A,FALSE,"Summary";#N/A,#N/A,FALSE,"SmPlants";#N/A,#N/A,FALSE,"Utah";#N/A,#N/A,FALSE,"Idaho";#N/A,#N/A,FALSE,"Lewis River";#N/A,#N/A,FALSE,"NrthUmpq";#N/A,#N/A,FALSE,"KlamRog"}</definedName>
    <definedName name="Camas_5" localSheetId="14" hidden="1">{#N/A,#N/A,FALSE,"Summary";#N/A,#N/A,FALSE,"SmPlants";#N/A,#N/A,FALSE,"Utah";#N/A,#N/A,FALSE,"Idaho";#N/A,#N/A,FALSE,"Lewis River";#N/A,#N/A,FALSE,"NrthUmpq";#N/A,#N/A,FALSE,"KlamRog"}</definedName>
    <definedName name="Camas_5" localSheetId="15" hidden="1">{#N/A,#N/A,FALSE,"Summary";#N/A,#N/A,FALSE,"SmPlants";#N/A,#N/A,FALSE,"Utah";#N/A,#N/A,FALSE,"Idaho";#N/A,#N/A,FALSE,"Lewis River";#N/A,#N/A,FALSE,"NrthUmpq";#N/A,#N/A,FALSE,"KlamRog"}</definedName>
    <definedName name="Camas_5" localSheetId="16" hidden="1">{#N/A,#N/A,FALSE,"Summary";#N/A,#N/A,FALSE,"SmPlants";#N/A,#N/A,FALSE,"Utah";#N/A,#N/A,FALSE,"Idaho";#N/A,#N/A,FALSE,"Lewis River";#N/A,#N/A,FALSE,"NrthUmpq";#N/A,#N/A,FALSE,"KlamRog"}</definedName>
    <definedName name="Camas_5" localSheetId="19" hidden="1">{#N/A,#N/A,FALSE,"Summary";#N/A,#N/A,FALSE,"SmPlants";#N/A,#N/A,FALSE,"Utah";#N/A,#N/A,FALSE,"Idaho";#N/A,#N/A,FALSE,"Lewis River";#N/A,#N/A,FALSE,"NrthUmpq";#N/A,#N/A,FALSE,"KlamRog"}</definedName>
    <definedName name="Camas_5" localSheetId="22" hidden="1">{#N/A,#N/A,FALSE,"Summary";#N/A,#N/A,FALSE,"SmPlants";#N/A,#N/A,FALSE,"Utah";#N/A,#N/A,FALSE,"Idaho";#N/A,#N/A,FALSE,"Lewis River";#N/A,#N/A,FALSE,"NrthUmpq";#N/A,#N/A,FALSE,"KlamRog"}</definedName>
    <definedName name="Camas_5" localSheetId="23" hidden="1">{#N/A,#N/A,FALSE,"Summary";#N/A,#N/A,FALSE,"SmPlants";#N/A,#N/A,FALSE,"Utah";#N/A,#N/A,FALSE,"Idaho";#N/A,#N/A,FALSE,"Lewis River";#N/A,#N/A,FALSE,"NrthUmpq";#N/A,#N/A,FALSE,"KlamRog"}</definedName>
    <definedName name="Camas_5" localSheetId="24" hidden="1">{#N/A,#N/A,FALSE,"Summary";#N/A,#N/A,FALSE,"SmPlants";#N/A,#N/A,FALSE,"Utah";#N/A,#N/A,FALSE,"Idaho";#N/A,#N/A,FALSE,"Lewis River";#N/A,#N/A,FALSE,"NrthUmpq";#N/A,#N/A,FALSE,"KlamRog"}</definedName>
    <definedName name="Camas_5" localSheetId="25" hidden="1">{#N/A,#N/A,FALSE,"Summary";#N/A,#N/A,FALSE,"SmPlants";#N/A,#N/A,FALSE,"Utah";#N/A,#N/A,FALSE,"Idaho";#N/A,#N/A,FALSE,"Lewis River";#N/A,#N/A,FALSE,"NrthUmpq";#N/A,#N/A,FALSE,"KlamRog"}</definedName>
    <definedName name="Camas_5" localSheetId="26" hidden="1">{#N/A,#N/A,FALSE,"Summary";#N/A,#N/A,FALSE,"SmPlants";#N/A,#N/A,FALSE,"Utah";#N/A,#N/A,FALSE,"Idaho";#N/A,#N/A,FALSE,"Lewis River";#N/A,#N/A,FALSE,"NrthUmpq";#N/A,#N/A,FALSE,"KlamRog"}</definedName>
    <definedName name="Camas_5" localSheetId="31" hidden="1">{#N/A,#N/A,FALSE,"Summary";#N/A,#N/A,FALSE,"SmPlants";#N/A,#N/A,FALSE,"Utah";#N/A,#N/A,FALSE,"Idaho";#N/A,#N/A,FALSE,"Lewis River";#N/A,#N/A,FALSE,"NrthUmpq";#N/A,#N/A,FALSE,"KlamRog"}</definedName>
    <definedName name="Camas_5" localSheetId="35" hidden="1">{#N/A,#N/A,FALSE,"Summary";#N/A,#N/A,FALSE,"SmPlants";#N/A,#N/A,FALSE,"Utah";#N/A,#N/A,FALSE,"Idaho";#N/A,#N/A,FALSE,"Lewis River";#N/A,#N/A,FALSE,"NrthUmpq";#N/A,#N/A,FALSE,"KlamRog"}</definedName>
    <definedName name="Camas_5" localSheetId="36" hidden="1">{#N/A,#N/A,FALSE,"Summary";#N/A,#N/A,FALSE,"SmPlants";#N/A,#N/A,FALSE,"Utah";#N/A,#N/A,FALSE,"Idaho";#N/A,#N/A,FALSE,"Lewis River";#N/A,#N/A,FALSE,"NrthUmpq";#N/A,#N/A,FALSE,"KlamRog"}</definedName>
    <definedName name="Camas_5" localSheetId="0" hidden="1">{#N/A,#N/A,FALSE,"Summary";#N/A,#N/A,FALSE,"SmPlants";#N/A,#N/A,FALSE,"Utah";#N/A,#N/A,FALSE,"Idaho";#N/A,#N/A,FALSE,"Lewis River";#N/A,#N/A,FALSE,"NrthUmpq";#N/A,#N/A,FALSE,"KlamRog"}</definedName>
    <definedName name="Camas_5" hidden="1">{#N/A,#N/A,FALSE,"Summary";#N/A,#N/A,FALSE,"SmPlants";#N/A,#N/A,FALSE,"Utah";#N/A,#N/A,FALSE,"Idaho";#N/A,#N/A,FALSE,"Lewis River";#N/A,#N/A,FALSE,"NrthUmpq";#N/A,#N/A,FALSE,"KlamRog"}</definedName>
    <definedName name="CF_assum">[1]Levelizer!$C$11</definedName>
    <definedName name="DATA1" localSheetId="5">'[2]OR RPS - Const cost'!#REF!</definedName>
    <definedName name="DATA1" localSheetId="6">'[2]OR RPS - Const cost'!#REF!</definedName>
    <definedName name="DATA1" localSheetId="7">'[2]OR RPS - Const cost'!#REF!</definedName>
    <definedName name="DATA1" localSheetId="8">'[2]OR RPS - Const cost'!#REF!</definedName>
    <definedName name="DATA1" localSheetId="9">'[2]OR RPS - Const cost'!#REF!</definedName>
    <definedName name="DATA1" localSheetId="10">'[2]OR RPS - Const cost'!#REF!</definedName>
    <definedName name="DATA1" localSheetId="11">'[2]OR RPS - Const cost'!#REF!</definedName>
    <definedName name="DATA1" localSheetId="12">'[2]OR RPS - Const cost'!#REF!</definedName>
    <definedName name="DATA1" localSheetId="13">'[2]OR RPS - Const cost'!#REF!</definedName>
    <definedName name="DATA1" localSheetId="14">'[2]OR RPS - Const cost'!#REF!</definedName>
    <definedName name="DATA1" localSheetId="15">'[2]OR RPS - Const cost'!#REF!</definedName>
    <definedName name="DATA1" localSheetId="16">'[2]OR RPS - Const cost'!#REF!</definedName>
    <definedName name="DATA1" localSheetId="17">'[2]OR RPS - Const cost'!#REF!</definedName>
    <definedName name="DATA1" localSheetId="18">'[2]OR RPS - Const cost'!#REF!</definedName>
    <definedName name="DATA1" localSheetId="19">'[2]OR RPS - Const cost'!#REF!</definedName>
    <definedName name="DATA1" localSheetId="20">'[2]OR RPS - Const cost'!#REF!</definedName>
    <definedName name="DATA1" localSheetId="21">'[2]OR RPS - Const cost'!#REF!</definedName>
    <definedName name="DATA1" localSheetId="22">'[2]OR RPS - Const cost'!#REF!</definedName>
    <definedName name="DATA1" localSheetId="23">'[2]OR RPS - Const cost'!#REF!</definedName>
    <definedName name="DATA1" localSheetId="24">'[2]OR RPS - Const cost'!#REF!</definedName>
    <definedName name="DATA1" localSheetId="27">'[2]OR RPS - Const cost'!#REF!</definedName>
    <definedName name="DATA1" localSheetId="28">'[2]OR RPS - Const cost'!#REF!</definedName>
    <definedName name="DATA1" localSheetId="29">'[2]OR RPS - Const cost'!#REF!</definedName>
    <definedName name="DATA1" localSheetId="30">'[2]OR RPS - Const cost'!#REF!</definedName>
    <definedName name="DATA1" localSheetId="31">'[2]OR RPS - Const cost'!#REF!</definedName>
    <definedName name="DATA1" localSheetId="32">'[2]OR RPS - Const cost'!#REF!</definedName>
    <definedName name="DATA1" localSheetId="33">'[2]OR RPS - Const cost'!#REF!</definedName>
    <definedName name="DATA1" localSheetId="34">'[2]OR RPS - Const cost'!#REF!</definedName>
    <definedName name="DATA1" localSheetId="35">'[2]OR RPS - Const cost'!#REF!</definedName>
    <definedName name="DATA1" localSheetId="36">'[2]OR RPS - Const cost'!#REF!</definedName>
    <definedName name="DATA1" localSheetId="37">'[2]OR RPS - Const cost'!#REF!</definedName>
    <definedName name="DATA1" localSheetId="39">'[2]OR RPS - Const cost'!#REF!</definedName>
    <definedName name="DATA1" localSheetId="40">'[2]OR RPS - Const cost'!#REF!</definedName>
    <definedName name="DATA1" localSheetId="38">'[2]OR RPS - Const cost'!#REF!</definedName>
    <definedName name="DATA1" localSheetId="41">'[2]OR RPS - Const cost'!#REF!</definedName>
    <definedName name="DATA1">'[2]OR RPS - Const cost'!#REF!</definedName>
    <definedName name="DATA10" localSheetId="5">'[3]Marengo II'!#REF!</definedName>
    <definedName name="DATA10" localSheetId="6">'[3]Marengo II'!#REF!</definedName>
    <definedName name="DATA10" localSheetId="7">'[3]Marengo II'!#REF!</definedName>
    <definedName name="DATA10" localSheetId="8">'[3]Marengo II'!#REF!</definedName>
    <definedName name="DATA10" localSheetId="9">'[3]Marengo II'!#REF!</definedName>
    <definedName name="DATA10" localSheetId="10">'[3]Marengo II'!#REF!</definedName>
    <definedName name="DATA10" localSheetId="11">'[3]Marengo II'!#REF!</definedName>
    <definedName name="DATA10" localSheetId="12">'[3]Marengo II'!#REF!</definedName>
    <definedName name="DATA10" localSheetId="13">'[3]Marengo II'!#REF!</definedName>
    <definedName name="DATA10" localSheetId="14">'[3]Marengo II'!#REF!</definedName>
    <definedName name="DATA10" localSheetId="15">'[3]Marengo II'!#REF!</definedName>
    <definedName name="DATA10" localSheetId="16">'[3]Marengo II'!#REF!</definedName>
    <definedName name="DATA10" localSheetId="17">'[3]Marengo II'!#REF!</definedName>
    <definedName name="DATA10" localSheetId="18">'[3]Marengo II'!#REF!</definedName>
    <definedName name="DATA10" localSheetId="19">'[3]Marengo II'!#REF!</definedName>
    <definedName name="DATA10" localSheetId="20">'[3]Marengo II'!#REF!</definedName>
    <definedName name="DATA10" localSheetId="21">'[3]Marengo II'!#REF!</definedName>
    <definedName name="DATA10" localSheetId="22">'[3]Marengo II'!#REF!</definedName>
    <definedName name="DATA10" localSheetId="23">'[3]Marengo II'!#REF!</definedName>
    <definedName name="DATA10" localSheetId="24">'[3]Marengo II'!#REF!</definedName>
    <definedName name="DATA10" localSheetId="27">'[3]Marengo II'!#REF!</definedName>
    <definedName name="DATA10" localSheetId="28">'[3]Marengo II'!#REF!</definedName>
    <definedName name="DATA10" localSheetId="29">'[3]Marengo II'!#REF!</definedName>
    <definedName name="DATA10" localSheetId="30">'[3]Marengo II'!#REF!</definedName>
    <definedName name="DATA10" localSheetId="31">'[3]Marengo II'!#REF!</definedName>
    <definedName name="DATA10" localSheetId="32">'[3]Marengo II'!#REF!</definedName>
    <definedName name="DATA10" localSheetId="33">'[3]Marengo II'!#REF!</definedName>
    <definedName name="DATA10" localSheetId="34">'[3]Marengo II'!#REF!</definedName>
    <definedName name="DATA10" localSheetId="35">'[3]Marengo II'!#REF!</definedName>
    <definedName name="DATA10" localSheetId="36">'[3]Marengo II'!#REF!</definedName>
    <definedName name="DATA10" localSheetId="37">'[3]Marengo II'!#REF!</definedName>
    <definedName name="DATA10" localSheetId="39">'[3]Marengo II'!#REF!</definedName>
    <definedName name="DATA10" localSheetId="40">'[3]Marengo II'!#REF!</definedName>
    <definedName name="DATA10" localSheetId="38">'[3]Marengo II'!#REF!</definedName>
    <definedName name="DATA10" localSheetId="41">'[3]Marengo II'!#REF!</definedName>
    <definedName name="DATA10">'[3]Marengo II'!#REF!</definedName>
    <definedName name="DATA11" localSheetId="5">'[3]Marengo II'!#REF!</definedName>
    <definedName name="DATA11" localSheetId="6">'[3]Marengo II'!#REF!</definedName>
    <definedName name="DATA11" localSheetId="7">'[3]Marengo II'!#REF!</definedName>
    <definedName name="DATA11" localSheetId="8">'[3]Marengo II'!#REF!</definedName>
    <definedName name="DATA11" localSheetId="9">'[3]Marengo II'!#REF!</definedName>
    <definedName name="DATA11" localSheetId="10">'[3]Marengo II'!#REF!</definedName>
    <definedName name="DATA11" localSheetId="11">'[3]Marengo II'!#REF!</definedName>
    <definedName name="DATA11" localSheetId="12">'[3]Marengo II'!#REF!</definedName>
    <definedName name="DATA11" localSheetId="13">'[3]Marengo II'!#REF!</definedName>
    <definedName name="DATA11" localSheetId="14">'[3]Marengo II'!#REF!</definedName>
    <definedName name="DATA11" localSheetId="15">'[3]Marengo II'!#REF!</definedName>
    <definedName name="DATA11" localSheetId="16">'[3]Marengo II'!#REF!</definedName>
    <definedName name="DATA11" localSheetId="17">'[3]Marengo II'!#REF!</definedName>
    <definedName name="DATA11" localSheetId="18">'[3]Marengo II'!#REF!</definedName>
    <definedName name="DATA11" localSheetId="19">'[3]Marengo II'!#REF!</definedName>
    <definedName name="DATA11" localSheetId="20">'[3]Marengo II'!#REF!</definedName>
    <definedName name="DATA11" localSheetId="21">'[3]Marengo II'!#REF!</definedName>
    <definedName name="DATA11" localSheetId="22">'[3]Marengo II'!#REF!</definedName>
    <definedName name="DATA11" localSheetId="23">'[3]Marengo II'!#REF!</definedName>
    <definedName name="DATA11" localSheetId="24">'[3]Marengo II'!#REF!</definedName>
    <definedName name="DATA11" localSheetId="27">'[3]Marengo II'!#REF!</definedName>
    <definedName name="DATA11" localSheetId="28">'[3]Marengo II'!#REF!</definedName>
    <definedName name="DATA11" localSheetId="29">'[3]Marengo II'!#REF!</definedName>
    <definedName name="DATA11" localSheetId="30">'[3]Marengo II'!#REF!</definedName>
    <definedName name="DATA11" localSheetId="31">'[3]Marengo II'!#REF!</definedName>
    <definedName name="DATA11" localSheetId="32">'[3]Marengo II'!#REF!</definedName>
    <definedName name="DATA11" localSheetId="33">'[3]Marengo II'!#REF!</definedName>
    <definedName name="DATA11" localSheetId="34">'[3]Marengo II'!#REF!</definedName>
    <definedName name="DATA11" localSheetId="35">'[3]Marengo II'!#REF!</definedName>
    <definedName name="DATA11" localSheetId="36">'[3]Marengo II'!#REF!</definedName>
    <definedName name="DATA11" localSheetId="37">'[3]Marengo II'!#REF!</definedName>
    <definedName name="DATA11" localSheetId="39">'[3]Marengo II'!#REF!</definedName>
    <definedName name="DATA11" localSheetId="40">'[3]Marengo II'!#REF!</definedName>
    <definedName name="DATA11" localSheetId="38">'[3]Marengo II'!#REF!</definedName>
    <definedName name="DATA11" localSheetId="41">'[3]Marengo II'!#REF!</definedName>
    <definedName name="DATA11">'[3]Marengo II'!#REF!</definedName>
    <definedName name="DATA12" localSheetId="5">'[3]Marengo II'!#REF!</definedName>
    <definedName name="DATA12" localSheetId="6">'[3]Marengo II'!#REF!</definedName>
    <definedName name="DATA12" localSheetId="7">'[3]Marengo II'!#REF!</definedName>
    <definedName name="DATA12" localSheetId="8">'[3]Marengo II'!#REF!</definedName>
    <definedName name="DATA12" localSheetId="9">'[3]Marengo II'!#REF!</definedName>
    <definedName name="DATA12" localSheetId="10">'[3]Marengo II'!#REF!</definedName>
    <definedName name="DATA12" localSheetId="11">'[3]Marengo II'!#REF!</definedName>
    <definedName name="DATA12" localSheetId="12">'[3]Marengo II'!#REF!</definedName>
    <definedName name="DATA12" localSheetId="13">'[3]Marengo II'!#REF!</definedName>
    <definedName name="DATA12" localSheetId="14">'[3]Marengo II'!#REF!</definedName>
    <definedName name="DATA12" localSheetId="15">'[3]Marengo II'!#REF!</definedName>
    <definedName name="DATA12" localSheetId="16">'[3]Marengo II'!#REF!</definedName>
    <definedName name="DATA12" localSheetId="17">'[3]Marengo II'!#REF!</definedName>
    <definedName name="DATA12" localSheetId="18">'[3]Marengo II'!#REF!</definedName>
    <definedName name="DATA12" localSheetId="19">'[3]Marengo II'!#REF!</definedName>
    <definedName name="DATA12" localSheetId="20">'[3]Marengo II'!#REF!</definedName>
    <definedName name="DATA12" localSheetId="21">'[3]Marengo II'!#REF!</definedName>
    <definedName name="DATA12" localSheetId="22">'[3]Marengo II'!#REF!</definedName>
    <definedName name="DATA12" localSheetId="23">'[3]Marengo II'!#REF!</definedName>
    <definedName name="DATA12" localSheetId="24">'[3]Marengo II'!#REF!</definedName>
    <definedName name="DATA12" localSheetId="27">'[3]Marengo II'!#REF!</definedName>
    <definedName name="DATA12" localSheetId="28">'[3]Marengo II'!#REF!</definedName>
    <definedName name="DATA12" localSheetId="29">'[3]Marengo II'!#REF!</definedName>
    <definedName name="DATA12" localSheetId="30">'[3]Marengo II'!#REF!</definedName>
    <definedName name="DATA12" localSheetId="31">'[3]Marengo II'!#REF!</definedName>
    <definedName name="DATA12" localSheetId="32">'[3]Marengo II'!#REF!</definedName>
    <definedName name="DATA12" localSheetId="33">'[3]Marengo II'!#REF!</definedName>
    <definedName name="DATA12" localSheetId="34">'[3]Marengo II'!#REF!</definedName>
    <definedName name="DATA12" localSheetId="35">'[3]Marengo II'!#REF!</definedName>
    <definedName name="DATA12" localSheetId="36">'[3]Marengo II'!#REF!</definedName>
    <definedName name="DATA12" localSheetId="37">'[3]Marengo II'!#REF!</definedName>
    <definedName name="DATA12" localSheetId="39">'[3]Marengo II'!#REF!</definedName>
    <definedName name="DATA12" localSheetId="40">'[3]Marengo II'!#REF!</definedName>
    <definedName name="DATA12" localSheetId="38">'[3]Marengo II'!#REF!</definedName>
    <definedName name="DATA12" localSheetId="41">'[3]Marengo II'!#REF!</definedName>
    <definedName name="DATA12">'[3]Marengo II'!#REF!</definedName>
    <definedName name="DATA13" localSheetId="5">'[3]Marengo II'!#REF!</definedName>
    <definedName name="DATA13" localSheetId="6">'[3]Marengo II'!#REF!</definedName>
    <definedName name="DATA13" localSheetId="7">'[3]Marengo II'!#REF!</definedName>
    <definedName name="DATA13" localSheetId="8">'[3]Marengo II'!#REF!</definedName>
    <definedName name="DATA13" localSheetId="9">'[3]Marengo II'!#REF!</definedName>
    <definedName name="DATA13" localSheetId="10">'[3]Marengo II'!#REF!</definedName>
    <definedName name="DATA13" localSheetId="11">'[3]Marengo II'!#REF!</definedName>
    <definedName name="DATA13" localSheetId="12">'[3]Marengo II'!#REF!</definedName>
    <definedName name="DATA13" localSheetId="13">'[3]Marengo II'!#REF!</definedName>
    <definedName name="DATA13" localSheetId="14">'[3]Marengo II'!#REF!</definedName>
    <definedName name="DATA13" localSheetId="15">'[3]Marengo II'!#REF!</definedName>
    <definedName name="DATA13" localSheetId="16">'[3]Marengo II'!#REF!</definedName>
    <definedName name="DATA13" localSheetId="17">'[3]Marengo II'!#REF!</definedName>
    <definedName name="DATA13" localSheetId="18">'[3]Marengo II'!#REF!</definedName>
    <definedName name="DATA13" localSheetId="19">'[3]Marengo II'!#REF!</definedName>
    <definedName name="DATA13" localSheetId="20">'[3]Marengo II'!#REF!</definedName>
    <definedName name="DATA13" localSheetId="21">'[3]Marengo II'!#REF!</definedName>
    <definedName name="DATA13" localSheetId="22">'[3]Marengo II'!#REF!</definedName>
    <definedName name="DATA13" localSheetId="23">'[3]Marengo II'!#REF!</definedName>
    <definedName name="DATA13" localSheetId="24">'[3]Marengo II'!#REF!</definedName>
    <definedName name="DATA13" localSheetId="27">'[3]Marengo II'!#REF!</definedName>
    <definedName name="DATA13" localSheetId="28">'[3]Marengo II'!#REF!</definedName>
    <definedName name="DATA13" localSheetId="29">'[3]Marengo II'!#REF!</definedName>
    <definedName name="DATA13" localSheetId="30">'[3]Marengo II'!#REF!</definedName>
    <definedName name="DATA13" localSheetId="31">'[3]Marengo II'!#REF!</definedName>
    <definedName name="DATA13" localSheetId="32">'[3]Marengo II'!#REF!</definedName>
    <definedName name="DATA13" localSheetId="33">'[3]Marengo II'!#REF!</definedName>
    <definedName name="DATA13" localSheetId="34">'[3]Marengo II'!#REF!</definedName>
    <definedName name="DATA13" localSheetId="35">'[3]Marengo II'!#REF!</definedName>
    <definedName name="DATA13" localSheetId="36">'[3]Marengo II'!#REF!</definedName>
    <definedName name="DATA13" localSheetId="37">'[3]Marengo II'!#REF!</definedName>
    <definedName name="DATA13" localSheetId="39">'[3]Marengo II'!#REF!</definedName>
    <definedName name="DATA13" localSheetId="40">'[3]Marengo II'!#REF!</definedName>
    <definedName name="DATA13" localSheetId="38">'[3]Marengo II'!#REF!</definedName>
    <definedName name="DATA13" localSheetId="41">'[3]Marengo II'!#REF!</definedName>
    <definedName name="DATA13">'[3]Marengo II'!#REF!</definedName>
    <definedName name="DATA14" localSheetId="5">'[3]Marengo II'!#REF!</definedName>
    <definedName name="DATA14" localSheetId="6">'[3]Marengo II'!#REF!</definedName>
    <definedName name="DATA14" localSheetId="7">'[3]Marengo II'!#REF!</definedName>
    <definedName name="DATA14" localSheetId="8">'[3]Marengo II'!#REF!</definedName>
    <definedName name="DATA14" localSheetId="9">'[3]Marengo II'!#REF!</definedName>
    <definedName name="DATA14" localSheetId="10">'[3]Marengo II'!#REF!</definedName>
    <definedName name="DATA14" localSheetId="11">'[3]Marengo II'!#REF!</definedName>
    <definedName name="DATA14" localSheetId="12">'[3]Marengo II'!#REF!</definedName>
    <definedName name="DATA14" localSheetId="13">'[3]Marengo II'!#REF!</definedName>
    <definedName name="DATA14" localSheetId="14">'[3]Marengo II'!#REF!</definedName>
    <definedName name="DATA14" localSheetId="15">'[3]Marengo II'!#REF!</definedName>
    <definedName name="DATA14" localSheetId="16">'[3]Marengo II'!#REF!</definedName>
    <definedName name="DATA14" localSheetId="17">'[3]Marengo II'!#REF!</definedName>
    <definedName name="DATA14" localSheetId="18">'[3]Marengo II'!#REF!</definedName>
    <definedName name="DATA14" localSheetId="19">'[3]Marengo II'!#REF!</definedName>
    <definedName name="DATA14" localSheetId="20">'[3]Marengo II'!#REF!</definedName>
    <definedName name="DATA14" localSheetId="21">'[3]Marengo II'!#REF!</definedName>
    <definedName name="DATA14" localSheetId="22">'[3]Marengo II'!#REF!</definedName>
    <definedName name="DATA14" localSheetId="23">'[3]Marengo II'!#REF!</definedName>
    <definedName name="DATA14" localSheetId="24">'[3]Marengo II'!#REF!</definedName>
    <definedName name="DATA14" localSheetId="27">'[3]Marengo II'!#REF!</definedName>
    <definedName name="DATA14" localSheetId="28">'[3]Marengo II'!#REF!</definedName>
    <definedName name="DATA14" localSheetId="29">'[3]Marengo II'!#REF!</definedName>
    <definedName name="DATA14" localSheetId="30">'[3]Marengo II'!#REF!</definedName>
    <definedName name="DATA14" localSheetId="31">'[3]Marengo II'!#REF!</definedName>
    <definedName name="DATA14" localSheetId="32">'[3]Marengo II'!#REF!</definedName>
    <definedName name="DATA14" localSheetId="33">'[3]Marengo II'!#REF!</definedName>
    <definedName name="DATA14" localSheetId="34">'[3]Marengo II'!#REF!</definedName>
    <definedName name="DATA14" localSheetId="35">'[3]Marengo II'!#REF!</definedName>
    <definedName name="DATA14" localSheetId="36">'[3]Marengo II'!#REF!</definedName>
    <definedName name="DATA14" localSheetId="37">'[3]Marengo II'!#REF!</definedName>
    <definedName name="DATA14" localSheetId="39">'[3]Marengo II'!#REF!</definedName>
    <definedName name="DATA14" localSheetId="40">'[3]Marengo II'!#REF!</definedName>
    <definedName name="DATA14" localSheetId="38">'[3]Marengo II'!#REF!</definedName>
    <definedName name="DATA14" localSheetId="41">'[3]Marengo II'!#REF!</definedName>
    <definedName name="DATA14">'[3]Marengo II'!#REF!</definedName>
    <definedName name="DATA15" localSheetId="5">'[3]Marengo II'!#REF!</definedName>
    <definedName name="DATA15" localSheetId="6">'[3]Marengo II'!#REF!</definedName>
    <definedName name="DATA15" localSheetId="7">'[3]Marengo II'!#REF!</definedName>
    <definedName name="DATA15" localSheetId="8">'[3]Marengo II'!#REF!</definedName>
    <definedName name="DATA15" localSheetId="9">'[3]Marengo II'!#REF!</definedName>
    <definedName name="DATA15" localSheetId="10">'[3]Marengo II'!#REF!</definedName>
    <definedName name="DATA15" localSheetId="11">'[3]Marengo II'!#REF!</definedName>
    <definedName name="DATA15" localSheetId="12">'[3]Marengo II'!#REF!</definedName>
    <definedName name="DATA15" localSheetId="13">'[3]Marengo II'!#REF!</definedName>
    <definedName name="DATA15" localSheetId="14">'[3]Marengo II'!#REF!</definedName>
    <definedName name="DATA15" localSheetId="15">'[3]Marengo II'!#REF!</definedName>
    <definedName name="DATA15" localSheetId="16">'[3]Marengo II'!#REF!</definedName>
    <definedName name="DATA15" localSheetId="17">'[3]Marengo II'!#REF!</definedName>
    <definedName name="DATA15" localSheetId="18">'[3]Marengo II'!#REF!</definedName>
    <definedName name="DATA15" localSheetId="19">'[3]Marengo II'!#REF!</definedName>
    <definedName name="DATA15" localSheetId="20">'[3]Marengo II'!#REF!</definedName>
    <definedName name="DATA15" localSheetId="21">'[3]Marengo II'!#REF!</definedName>
    <definedName name="DATA15" localSheetId="22">'[3]Marengo II'!#REF!</definedName>
    <definedName name="DATA15" localSheetId="23">'[3]Marengo II'!#REF!</definedName>
    <definedName name="DATA15" localSheetId="24">'[3]Marengo II'!#REF!</definedName>
    <definedName name="DATA15" localSheetId="27">'[3]Marengo II'!#REF!</definedName>
    <definedName name="DATA15" localSheetId="28">'[3]Marengo II'!#REF!</definedName>
    <definedName name="DATA15" localSheetId="29">'[3]Marengo II'!#REF!</definedName>
    <definedName name="DATA15" localSheetId="30">'[3]Marengo II'!#REF!</definedName>
    <definedName name="DATA15" localSheetId="31">'[3]Marengo II'!#REF!</definedName>
    <definedName name="DATA15" localSheetId="32">'[3]Marengo II'!#REF!</definedName>
    <definedName name="DATA15" localSheetId="33">'[3]Marengo II'!#REF!</definedName>
    <definedName name="DATA15" localSheetId="34">'[3]Marengo II'!#REF!</definedName>
    <definedName name="DATA15" localSheetId="35">'[3]Marengo II'!#REF!</definedName>
    <definedName name="DATA15" localSheetId="36">'[3]Marengo II'!#REF!</definedName>
    <definedName name="DATA15" localSheetId="37">'[3]Marengo II'!#REF!</definedName>
    <definedName name="DATA15" localSheetId="39">'[3]Marengo II'!#REF!</definedName>
    <definedName name="DATA15" localSheetId="40">'[3]Marengo II'!#REF!</definedName>
    <definedName name="DATA15" localSheetId="38">'[3]Marengo II'!#REF!</definedName>
    <definedName name="DATA15" localSheetId="41">'[3]Marengo II'!#REF!</definedName>
    <definedName name="DATA15">'[3]Marengo II'!#REF!</definedName>
    <definedName name="DATA16" localSheetId="5">'[3]Marengo II'!#REF!</definedName>
    <definedName name="DATA16" localSheetId="6">'[3]Marengo II'!#REF!</definedName>
    <definedName name="DATA16" localSheetId="7">'[3]Marengo II'!#REF!</definedName>
    <definedName name="DATA16" localSheetId="8">'[3]Marengo II'!#REF!</definedName>
    <definedName name="DATA16" localSheetId="9">'[3]Marengo II'!#REF!</definedName>
    <definedName name="DATA16" localSheetId="10">'[3]Marengo II'!#REF!</definedName>
    <definedName name="DATA16" localSheetId="11">'[3]Marengo II'!#REF!</definedName>
    <definedName name="DATA16" localSheetId="12">'[3]Marengo II'!#REF!</definedName>
    <definedName name="DATA16" localSheetId="13">'[3]Marengo II'!#REF!</definedName>
    <definedName name="DATA16" localSheetId="14">'[3]Marengo II'!#REF!</definedName>
    <definedName name="DATA16" localSheetId="15">'[3]Marengo II'!#REF!</definedName>
    <definedName name="DATA16" localSheetId="16">'[3]Marengo II'!#REF!</definedName>
    <definedName name="DATA16" localSheetId="17">'[3]Marengo II'!#REF!</definedName>
    <definedName name="DATA16" localSheetId="18">'[3]Marengo II'!#REF!</definedName>
    <definedName name="DATA16" localSheetId="19">'[3]Marengo II'!#REF!</definedName>
    <definedName name="DATA16" localSheetId="20">'[3]Marengo II'!#REF!</definedName>
    <definedName name="DATA16" localSheetId="21">'[3]Marengo II'!#REF!</definedName>
    <definedName name="DATA16" localSheetId="22">'[3]Marengo II'!#REF!</definedName>
    <definedName name="DATA16" localSheetId="23">'[3]Marengo II'!#REF!</definedName>
    <definedName name="DATA16" localSheetId="24">'[3]Marengo II'!#REF!</definedName>
    <definedName name="DATA16" localSheetId="27">'[3]Marengo II'!#REF!</definedName>
    <definedName name="DATA16" localSheetId="28">'[3]Marengo II'!#REF!</definedName>
    <definedName name="DATA16" localSheetId="29">'[3]Marengo II'!#REF!</definedName>
    <definedName name="DATA16" localSheetId="30">'[3]Marengo II'!#REF!</definedName>
    <definedName name="DATA16" localSheetId="31">'[3]Marengo II'!#REF!</definedName>
    <definedName name="DATA16" localSheetId="32">'[3]Marengo II'!#REF!</definedName>
    <definedName name="DATA16" localSheetId="33">'[3]Marengo II'!#REF!</definedName>
    <definedName name="DATA16" localSheetId="34">'[3]Marengo II'!#REF!</definedName>
    <definedName name="DATA16" localSheetId="35">'[3]Marengo II'!#REF!</definedName>
    <definedName name="DATA16" localSheetId="36">'[3]Marengo II'!#REF!</definedName>
    <definedName name="DATA16" localSheetId="37">'[3]Marengo II'!#REF!</definedName>
    <definedName name="DATA16" localSheetId="39">'[3]Marengo II'!#REF!</definedName>
    <definedName name="DATA16" localSheetId="40">'[3]Marengo II'!#REF!</definedName>
    <definedName name="DATA16" localSheetId="38">'[3]Marengo II'!#REF!</definedName>
    <definedName name="DATA16" localSheetId="41">'[3]Marengo II'!#REF!</definedName>
    <definedName name="DATA16">'[3]Marengo II'!#REF!</definedName>
    <definedName name="DATA17" localSheetId="5">'[3]Marengo II'!#REF!</definedName>
    <definedName name="DATA17" localSheetId="6">'[3]Marengo II'!#REF!</definedName>
    <definedName name="DATA17" localSheetId="7">'[3]Marengo II'!#REF!</definedName>
    <definedName name="DATA17" localSheetId="8">'[3]Marengo II'!#REF!</definedName>
    <definedName name="DATA17" localSheetId="9">'[3]Marengo II'!#REF!</definedName>
    <definedName name="DATA17" localSheetId="10">'[3]Marengo II'!#REF!</definedName>
    <definedName name="DATA17" localSheetId="11">'[3]Marengo II'!#REF!</definedName>
    <definedName name="DATA17" localSheetId="12">'[3]Marengo II'!#REF!</definedName>
    <definedName name="DATA17" localSheetId="13">'[3]Marengo II'!#REF!</definedName>
    <definedName name="DATA17" localSheetId="14">'[3]Marengo II'!#REF!</definedName>
    <definedName name="DATA17" localSheetId="15">'[3]Marengo II'!#REF!</definedName>
    <definedName name="DATA17" localSheetId="16">'[3]Marengo II'!#REF!</definedName>
    <definedName name="DATA17" localSheetId="17">'[3]Marengo II'!#REF!</definedName>
    <definedName name="DATA17" localSheetId="18">'[3]Marengo II'!#REF!</definedName>
    <definedName name="DATA17" localSheetId="19">'[3]Marengo II'!#REF!</definedName>
    <definedName name="DATA17" localSheetId="20">'[3]Marengo II'!#REF!</definedName>
    <definedName name="DATA17" localSheetId="21">'[3]Marengo II'!#REF!</definedName>
    <definedName name="DATA17" localSheetId="22">'[3]Marengo II'!#REF!</definedName>
    <definedName name="DATA17" localSheetId="23">'[3]Marengo II'!#REF!</definedName>
    <definedName name="DATA17" localSheetId="24">'[3]Marengo II'!#REF!</definedName>
    <definedName name="DATA17" localSheetId="27">'[3]Marengo II'!#REF!</definedName>
    <definedName name="DATA17" localSheetId="28">'[3]Marengo II'!#REF!</definedName>
    <definedName name="DATA17" localSheetId="29">'[3]Marengo II'!#REF!</definedName>
    <definedName name="DATA17" localSheetId="30">'[3]Marengo II'!#REF!</definedName>
    <definedName name="DATA17" localSheetId="31">'[3]Marengo II'!#REF!</definedName>
    <definedName name="DATA17" localSheetId="32">'[3]Marengo II'!#REF!</definedName>
    <definedName name="DATA17" localSheetId="33">'[3]Marengo II'!#REF!</definedName>
    <definedName name="DATA17" localSheetId="34">'[3]Marengo II'!#REF!</definedName>
    <definedName name="DATA17" localSheetId="35">'[3]Marengo II'!#REF!</definedName>
    <definedName name="DATA17" localSheetId="36">'[3]Marengo II'!#REF!</definedName>
    <definedName name="DATA17" localSheetId="37">'[3]Marengo II'!#REF!</definedName>
    <definedName name="DATA17" localSheetId="39">'[3]Marengo II'!#REF!</definedName>
    <definedName name="DATA17" localSheetId="40">'[3]Marengo II'!#REF!</definedName>
    <definedName name="DATA17" localSheetId="38">'[3]Marengo II'!#REF!</definedName>
    <definedName name="DATA17" localSheetId="41">'[3]Marengo II'!#REF!</definedName>
    <definedName name="DATA17">'[3]Marengo II'!#REF!</definedName>
    <definedName name="DATA18" localSheetId="5">'[3]Marengo II'!#REF!</definedName>
    <definedName name="DATA18" localSheetId="6">'[3]Marengo II'!#REF!</definedName>
    <definedName name="DATA18" localSheetId="7">'[3]Marengo II'!#REF!</definedName>
    <definedName name="DATA18" localSheetId="8">'[3]Marengo II'!#REF!</definedName>
    <definedName name="DATA18" localSheetId="9">'[3]Marengo II'!#REF!</definedName>
    <definedName name="DATA18" localSheetId="10">'[3]Marengo II'!#REF!</definedName>
    <definedName name="DATA18" localSheetId="11">'[3]Marengo II'!#REF!</definedName>
    <definedName name="DATA18" localSheetId="12">'[3]Marengo II'!#REF!</definedName>
    <definedName name="DATA18" localSheetId="13">'[3]Marengo II'!#REF!</definedName>
    <definedName name="DATA18" localSheetId="14">'[3]Marengo II'!#REF!</definedName>
    <definedName name="DATA18" localSheetId="15">'[3]Marengo II'!#REF!</definedName>
    <definedName name="DATA18" localSheetId="16">'[3]Marengo II'!#REF!</definedName>
    <definedName name="DATA18" localSheetId="17">'[3]Marengo II'!#REF!</definedName>
    <definedName name="DATA18" localSheetId="18">'[3]Marengo II'!#REF!</definedName>
    <definedName name="DATA18" localSheetId="19">'[3]Marengo II'!#REF!</definedName>
    <definedName name="DATA18" localSheetId="20">'[3]Marengo II'!#REF!</definedName>
    <definedName name="DATA18" localSheetId="21">'[3]Marengo II'!#REF!</definedName>
    <definedName name="DATA18" localSheetId="22">'[3]Marengo II'!#REF!</definedName>
    <definedName name="DATA18" localSheetId="23">'[3]Marengo II'!#REF!</definedName>
    <definedName name="DATA18" localSheetId="24">'[3]Marengo II'!#REF!</definedName>
    <definedName name="DATA18" localSheetId="27">'[3]Marengo II'!#REF!</definedName>
    <definedName name="DATA18" localSheetId="28">'[3]Marengo II'!#REF!</definedName>
    <definedName name="DATA18" localSheetId="29">'[3]Marengo II'!#REF!</definedName>
    <definedName name="DATA18" localSheetId="30">'[3]Marengo II'!#REF!</definedName>
    <definedName name="DATA18" localSheetId="31">'[3]Marengo II'!#REF!</definedName>
    <definedName name="DATA18" localSheetId="32">'[3]Marengo II'!#REF!</definedName>
    <definedName name="DATA18" localSheetId="33">'[3]Marengo II'!#REF!</definedName>
    <definedName name="DATA18" localSheetId="34">'[3]Marengo II'!#REF!</definedName>
    <definedName name="DATA18" localSheetId="35">'[3]Marengo II'!#REF!</definedName>
    <definedName name="DATA18" localSheetId="36">'[3]Marengo II'!#REF!</definedName>
    <definedName name="DATA18" localSheetId="37">'[3]Marengo II'!#REF!</definedName>
    <definedName name="DATA18" localSheetId="39">'[3]Marengo II'!#REF!</definedName>
    <definedName name="DATA18" localSheetId="40">'[3]Marengo II'!#REF!</definedName>
    <definedName name="DATA18" localSheetId="38">'[3]Marengo II'!#REF!</definedName>
    <definedName name="DATA18" localSheetId="41">'[3]Marengo II'!#REF!</definedName>
    <definedName name="DATA18">'[3]Marengo II'!#REF!</definedName>
    <definedName name="DATA19" localSheetId="5">'[3]Marengo II'!#REF!</definedName>
    <definedName name="DATA19" localSheetId="6">'[3]Marengo II'!#REF!</definedName>
    <definedName name="DATA19" localSheetId="7">'[3]Marengo II'!#REF!</definedName>
    <definedName name="DATA19" localSheetId="8">'[3]Marengo II'!#REF!</definedName>
    <definedName name="DATA19" localSheetId="9">'[3]Marengo II'!#REF!</definedName>
    <definedName name="DATA19" localSheetId="10">'[3]Marengo II'!#REF!</definedName>
    <definedName name="DATA19" localSheetId="11">'[3]Marengo II'!#REF!</definedName>
    <definedName name="DATA19" localSheetId="12">'[3]Marengo II'!#REF!</definedName>
    <definedName name="DATA19" localSheetId="13">'[3]Marengo II'!#REF!</definedName>
    <definedName name="DATA19" localSheetId="14">'[3]Marengo II'!#REF!</definedName>
    <definedName name="DATA19" localSheetId="15">'[3]Marengo II'!#REF!</definedName>
    <definedName name="DATA19" localSheetId="16">'[3]Marengo II'!#REF!</definedName>
    <definedName name="DATA19" localSheetId="17">'[3]Marengo II'!#REF!</definedName>
    <definedName name="DATA19" localSheetId="18">'[3]Marengo II'!#REF!</definedName>
    <definedName name="DATA19" localSheetId="19">'[3]Marengo II'!#REF!</definedName>
    <definedName name="DATA19" localSheetId="20">'[3]Marengo II'!#REF!</definedName>
    <definedName name="DATA19" localSheetId="21">'[3]Marengo II'!#REF!</definedName>
    <definedName name="DATA19" localSheetId="22">'[3]Marengo II'!#REF!</definedName>
    <definedName name="DATA19" localSheetId="23">'[3]Marengo II'!#REF!</definedName>
    <definedName name="DATA19" localSheetId="24">'[3]Marengo II'!#REF!</definedName>
    <definedName name="DATA19" localSheetId="27">'[3]Marengo II'!#REF!</definedName>
    <definedName name="DATA19" localSheetId="28">'[3]Marengo II'!#REF!</definedName>
    <definedName name="DATA19" localSheetId="29">'[3]Marengo II'!#REF!</definedName>
    <definedName name="DATA19" localSheetId="30">'[3]Marengo II'!#REF!</definedName>
    <definedName name="DATA19" localSheetId="31">'[3]Marengo II'!#REF!</definedName>
    <definedName name="DATA19" localSheetId="32">'[3]Marengo II'!#REF!</definedName>
    <definedName name="DATA19" localSheetId="33">'[3]Marengo II'!#REF!</definedName>
    <definedName name="DATA19" localSheetId="34">'[3]Marengo II'!#REF!</definedName>
    <definedName name="DATA19" localSheetId="35">'[3]Marengo II'!#REF!</definedName>
    <definedName name="DATA19" localSheetId="36">'[3]Marengo II'!#REF!</definedName>
    <definedName name="DATA19" localSheetId="37">'[3]Marengo II'!#REF!</definedName>
    <definedName name="DATA19" localSheetId="39">'[3]Marengo II'!#REF!</definedName>
    <definedName name="DATA19" localSheetId="40">'[3]Marengo II'!#REF!</definedName>
    <definedName name="DATA19" localSheetId="38">'[3]Marengo II'!#REF!</definedName>
    <definedName name="DATA19" localSheetId="41">'[3]Marengo II'!#REF!</definedName>
    <definedName name="DATA19">'[3]Marengo II'!#REF!</definedName>
    <definedName name="DATA2" localSheetId="5">'[2]OR RPS - Const cost'!#REF!</definedName>
    <definedName name="DATA2" localSheetId="6">'[2]OR RPS - Const cost'!#REF!</definedName>
    <definedName name="DATA2" localSheetId="7">'[2]OR RPS - Const cost'!#REF!</definedName>
    <definedName name="DATA2" localSheetId="8">'[2]OR RPS - Const cost'!#REF!</definedName>
    <definedName name="DATA2" localSheetId="9">'[2]OR RPS - Const cost'!#REF!</definedName>
    <definedName name="DATA2" localSheetId="10">'[2]OR RPS - Const cost'!#REF!</definedName>
    <definedName name="DATA2" localSheetId="11">'[2]OR RPS - Const cost'!#REF!</definedName>
    <definedName name="DATA2" localSheetId="12">'[2]OR RPS - Const cost'!#REF!</definedName>
    <definedName name="DATA2" localSheetId="13">'[2]OR RPS - Const cost'!#REF!</definedName>
    <definedName name="DATA2" localSheetId="14">'[2]OR RPS - Const cost'!#REF!</definedName>
    <definedName name="DATA2" localSheetId="15">'[2]OR RPS - Const cost'!#REF!</definedName>
    <definedName name="DATA2" localSheetId="16">'[2]OR RPS - Const cost'!#REF!</definedName>
    <definedName name="DATA2" localSheetId="17">'[2]OR RPS - Const cost'!#REF!</definedName>
    <definedName name="DATA2" localSheetId="18">'[2]OR RPS - Const cost'!#REF!</definedName>
    <definedName name="DATA2" localSheetId="19">'[2]OR RPS - Const cost'!#REF!</definedName>
    <definedName name="DATA2" localSheetId="20">'[2]OR RPS - Const cost'!#REF!</definedName>
    <definedName name="DATA2" localSheetId="21">'[2]OR RPS - Const cost'!#REF!</definedName>
    <definedName name="DATA2" localSheetId="22">'[2]OR RPS - Const cost'!#REF!</definedName>
    <definedName name="DATA2" localSheetId="23">'[2]OR RPS - Const cost'!#REF!</definedName>
    <definedName name="DATA2" localSheetId="24">'[2]OR RPS - Const cost'!#REF!</definedName>
    <definedName name="DATA2" localSheetId="27">'[2]OR RPS - Const cost'!#REF!</definedName>
    <definedName name="DATA2" localSheetId="28">'[2]OR RPS - Const cost'!#REF!</definedName>
    <definedName name="DATA2" localSheetId="29">'[2]OR RPS - Const cost'!#REF!</definedName>
    <definedName name="DATA2" localSheetId="30">'[2]OR RPS - Const cost'!#REF!</definedName>
    <definedName name="DATA2" localSheetId="31">'[2]OR RPS - Const cost'!#REF!</definedName>
    <definedName name="DATA2" localSheetId="32">'[2]OR RPS - Const cost'!#REF!</definedName>
    <definedName name="DATA2" localSheetId="33">'[2]OR RPS - Const cost'!#REF!</definedName>
    <definedName name="DATA2" localSheetId="34">'[2]OR RPS - Const cost'!#REF!</definedName>
    <definedName name="DATA2" localSheetId="35">'[2]OR RPS - Const cost'!#REF!</definedName>
    <definedName name="DATA2" localSheetId="36">'[2]OR RPS - Const cost'!#REF!</definedName>
    <definedName name="DATA2" localSheetId="37">'[2]OR RPS - Const cost'!#REF!</definedName>
    <definedName name="DATA2" localSheetId="39">'[2]OR RPS - Const cost'!#REF!</definedName>
    <definedName name="DATA2" localSheetId="40">'[2]OR RPS - Const cost'!#REF!</definedName>
    <definedName name="DATA2" localSheetId="38">'[2]OR RPS - Const cost'!#REF!</definedName>
    <definedName name="DATA2" localSheetId="41">'[2]OR RPS - Const cost'!#REF!</definedName>
    <definedName name="DATA2">'[2]OR RPS - Const cost'!#REF!</definedName>
    <definedName name="DATA20" localSheetId="5">'[3]Marengo II'!#REF!</definedName>
    <definedName name="DATA20" localSheetId="6">'[3]Marengo II'!#REF!</definedName>
    <definedName name="DATA20" localSheetId="7">'[3]Marengo II'!#REF!</definedName>
    <definedName name="DATA20" localSheetId="8">'[3]Marengo II'!#REF!</definedName>
    <definedName name="DATA20" localSheetId="9">'[3]Marengo II'!#REF!</definedName>
    <definedName name="DATA20" localSheetId="10">'[3]Marengo II'!#REF!</definedName>
    <definedName name="DATA20" localSheetId="11">'[3]Marengo II'!#REF!</definedName>
    <definedName name="DATA20" localSheetId="12">'[3]Marengo II'!#REF!</definedName>
    <definedName name="DATA20" localSheetId="13">'[3]Marengo II'!#REF!</definedName>
    <definedName name="DATA20" localSheetId="14">'[3]Marengo II'!#REF!</definedName>
    <definedName name="DATA20" localSheetId="15">'[3]Marengo II'!#REF!</definedName>
    <definedName name="DATA20" localSheetId="16">'[3]Marengo II'!#REF!</definedName>
    <definedName name="DATA20" localSheetId="17">'[3]Marengo II'!#REF!</definedName>
    <definedName name="DATA20" localSheetId="18">'[3]Marengo II'!#REF!</definedName>
    <definedName name="DATA20" localSheetId="19">'[3]Marengo II'!#REF!</definedName>
    <definedName name="DATA20" localSheetId="20">'[3]Marengo II'!#REF!</definedName>
    <definedName name="DATA20" localSheetId="21">'[3]Marengo II'!#REF!</definedName>
    <definedName name="DATA20" localSheetId="22">'[3]Marengo II'!#REF!</definedName>
    <definedName name="DATA20" localSheetId="23">'[3]Marengo II'!#REF!</definedName>
    <definedName name="DATA20" localSheetId="24">'[3]Marengo II'!#REF!</definedName>
    <definedName name="DATA20" localSheetId="27">'[3]Marengo II'!#REF!</definedName>
    <definedName name="DATA20" localSheetId="28">'[3]Marengo II'!#REF!</definedName>
    <definedName name="DATA20" localSheetId="29">'[3]Marengo II'!#REF!</definedName>
    <definedName name="DATA20" localSheetId="30">'[3]Marengo II'!#REF!</definedName>
    <definedName name="DATA20" localSheetId="31">'[3]Marengo II'!#REF!</definedName>
    <definedName name="DATA20" localSheetId="32">'[3]Marengo II'!#REF!</definedName>
    <definedName name="DATA20" localSheetId="33">'[3]Marengo II'!#REF!</definedName>
    <definedName name="DATA20" localSheetId="34">'[3]Marengo II'!#REF!</definedName>
    <definedName name="DATA20" localSheetId="35">'[3]Marengo II'!#REF!</definedName>
    <definedName name="DATA20" localSheetId="36">'[3]Marengo II'!#REF!</definedName>
    <definedName name="DATA20" localSheetId="37">'[3]Marengo II'!#REF!</definedName>
    <definedName name="DATA20" localSheetId="39">'[3]Marengo II'!#REF!</definedName>
    <definedName name="DATA20" localSheetId="40">'[3]Marengo II'!#REF!</definedName>
    <definedName name="DATA20" localSheetId="38">'[3]Marengo II'!#REF!</definedName>
    <definedName name="DATA20" localSheetId="41">'[3]Marengo II'!#REF!</definedName>
    <definedName name="DATA20">'[3]Marengo II'!#REF!</definedName>
    <definedName name="DATA21" localSheetId="5">'[3]Marengo II'!#REF!</definedName>
    <definedName name="DATA21" localSheetId="6">'[3]Marengo II'!#REF!</definedName>
    <definedName name="DATA21" localSheetId="7">'[3]Marengo II'!#REF!</definedName>
    <definedName name="DATA21" localSheetId="8">'[3]Marengo II'!#REF!</definedName>
    <definedName name="DATA21" localSheetId="9">'[3]Marengo II'!#REF!</definedName>
    <definedName name="DATA21" localSheetId="10">'[3]Marengo II'!#REF!</definedName>
    <definedName name="DATA21" localSheetId="11">'[3]Marengo II'!#REF!</definedName>
    <definedName name="DATA21" localSheetId="12">'[3]Marengo II'!#REF!</definedName>
    <definedName name="DATA21" localSheetId="13">'[3]Marengo II'!#REF!</definedName>
    <definedName name="DATA21" localSheetId="14">'[3]Marengo II'!#REF!</definedName>
    <definedName name="DATA21" localSheetId="15">'[3]Marengo II'!#REF!</definedName>
    <definedName name="DATA21" localSheetId="16">'[3]Marengo II'!#REF!</definedName>
    <definedName name="DATA21" localSheetId="17">'[3]Marengo II'!#REF!</definedName>
    <definedName name="DATA21" localSheetId="18">'[3]Marengo II'!#REF!</definedName>
    <definedName name="DATA21" localSheetId="19">'[3]Marengo II'!#REF!</definedName>
    <definedName name="DATA21" localSheetId="20">'[3]Marengo II'!#REF!</definedName>
    <definedName name="DATA21" localSheetId="21">'[3]Marengo II'!#REF!</definedName>
    <definedName name="DATA21" localSheetId="22">'[3]Marengo II'!#REF!</definedName>
    <definedName name="DATA21" localSheetId="23">'[3]Marengo II'!#REF!</definedName>
    <definedName name="DATA21" localSheetId="24">'[3]Marengo II'!#REF!</definedName>
    <definedName name="DATA21" localSheetId="27">'[3]Marengo II'!#REF!</definedName>
    <definedName name="DATA21" localSheetId="28">'[3]Marengo II'!#REF!</definedName>
    <definedName name="DATA21" localSheetId="29">'[3]Marengo II'!#REF!</definedName>
    <definedName name="DATA21" localSheetId="30">'[3]Marengo II'!#REF!</definedName>
    <definedName name="DATA21" localSheetId="31">'[3]Marengo II'!#REF!</definedName>
    <definedName name="DATA21" localSheetId="32">'[3]Marengo II'!#REF!</definedName>
    <definedName name="DATA21" localSheetId="33">'[3]Marengo II'!#REF!</definedName>
    <definedName name="DATA21" localSheetId="34">'[3]Marengo II'!#REF!</definedName>
    <definedName name="DATA21" localSheetId="35">'[3]Marengo II'!#REF!</definedName>
    <definedName name="DATA21" localSheetId="36">'[3]Marengo II'!#REF!</definedName>
    <definedName name="DATA21" localSheetId="37">'[3]Marengo II'!#REF!</definedName>
    <definedName name="DATA21" localSheetId="39">'[3]Marengo II'!#REF!</definedName>
    <definedName name="DATA21" localSheetId="40">'[3]Marengo II'!#REF!</definedName>
    <definedName name="DATA21" localSheetId="38">'[3]Marengo II'!#REF!</definedName>
    <definedName name="DATA21" localSheetId="41">'[3]Marengo II'!#REF!</definedName>
    <definedName name="DATA21">'[3]Marengo II'!#REF!</definedName>
    <definedName name="DATA22" localSheetId="5">'[3]Marengo II'!#REF!</definedName>
    <definedName name="DATA22" localSheetId="6">'[3]Marengo II'!#REF!</definedName>
    <definedName name="DATA22" localSheetId="7">'[3]Marengo II'!#REF!</definedName>
    <definedName name="DATA22" localSheetId="8">'[3]Marengo II'!#REF!</definedName>
    <definedName name="DATA22" localSheetId="9">'[3]Marengo II'!#REF!</definedName>
    <definedName name="DATA22" localSheetId="10">'[3]Marengo II'!#REF!</definedName>
    <definedName name="DATA22" localSheetId="11">'[3]Marengo II'!#REF!</definedName>
    <definedName name="DATA22" localSheetId="12">'[3]Marengo II'!#REF!</definedName>
    <definedName name="DATA22" localSheetId="13">'[3]Marengo II'!#REF!</definedName>
    <definedName name="DATA22" localSheetId="14">'[3]Marengo II'!#REF!</definedName>
    <definedName name="DATA22" localSheetId="15">'[3]Marengo II'!#REF!</definedName>
    <definedName name="DATA22" localSheetId="16">'[3]Marengo II'!#REF!</definedName>
    <definedName name="DATA22" localSheetId="17">'[3]Marengo II'!#REF!</definedName>
    <definedName name="DATA22" localSheetId="18">'[3]Marengo II'!#REF!</definedName>
    <definedName name="DATA22" localSheetId="19">'[3]Marengo II'!#REF!</definedName>
    <definedName name="DATA22" localSheetId="20">'[3]Marengo II'!#REF!</definedName>
    <definedName name="DATA22" localSheetId="21">'[3]Marengo II'!#REF!</definedName>
    <definedName name="DATA22" localSheetId="22">'[3]Marengo II'!#REF!</definedName>
    <definedName name="DATA22" localSheetId="23">'[3]Marengo II'!#REF!</definedName>
    <definedName name="DATA22" localSheetId="24">'[3]Marengo II'!#REF!</definedName>
    <definedName name="DATA22" localSheetId="27">'[3]Marengo II'!#REF!</definedName>
    <definedName name="DATA22" localSheetId="28">'[3]Marengo II'!#REF!</definedName>
    <definedName name="DATA22" localSheetId="29">'[3]Marengo II'!#REF!</definedName>
    <definedName name="DATA22" localSheetId="30">'[3]Marengo II'!#REF!</definedName>
    <definedName name="DATA22" localSheetId="31">'[3]Marengo II'!#REF!</definedName>
    <definedName name="DATA22" localSheetId="32">'[3]Marengo II'!#REF!</definedName>
    <definedName name="DATA22" localSheetId="33">'[3]Marengo II'!#REF!</definedName>
    <definedName name="DATA22" localSheetId="34">'[3]Marengo II'!#REF!</definedName>
    <definedName name="DATA22" localSheetId="35">'[3]Marengo II'!#REF!</definedName>
    <definedName name="DATA22" localSheetId="36">'[3]Marengo II'!#REF!</definedName>
    <definedName name="DATA22" localSheetId="37">'[3]Marengo II'!#REF!</definedName>
    <definedName name="DATA22" localSheetId="39">'[3]Marengo II'!#REF!</definedName>
    <definedName name="DATA22" localSheetId="40">'[3]Marengo II'!#REF!</definedName>
    <definedName name="DATA22" localSheetId="38">'[3]Marengo II'!#REF!</definedName>
    <definedName name="DATA22" localSheetId="41">'[3]Marengo II'!#REF!</definedName>
    <definedName name="DATA22">'[3]Marengo II'!#REF!</definedName>
    <definedName name="DATA23" localSheetId="5">'[3]Marengo II'!#REF!</definedName>
    <definedName name="DATA23" localSheetId="6">'[3]Marengo II'!#REF!</definedName>
    <definedName name="DATA23" localSheetId="7">'[3]Marengo II'!#REF!</definedName>
    <definedName name="DATA23" localSheetId="8">'[3]Marengo II'!#REF!</definedName>
    <definedName name="DATA23" localSheetId="9">'[3]Marengo II'!#REF!</definedName>
    <definedName name="DATA23" localSheetId="10">'[3]Marengo II'!#REF!</definedName>
    <definedName name="DATA23" localSheetId="11">'[3]Marengo II'!#REF!</definedName>
    <definedName name="DATA23" localSheetId="12">'[3]Marengo II'!#REF!</definedName>
    <definedName name="DATA23" localSheetId="13">'[3]Marengo II'!#REF!</definedName>
    <definedName name="DATA23" localSheetId="14">'[3]Marengo II'!#REF!</definedName>
    <definedName name="DATA23" localSheetId="15">'[3]Marengo II'!#REF!</definedName>
    <definedName name="DATA23" localSheetId="16">'[3]Marengo II'!#REF!</definedName>
    <definedName name="DATA23" localSheetId="17">'[3]Marengo II'!#REF!</definedName>
    <definedName name="DATA23" localSheetId="18">'[3]Marengo II'!#REF!</definedName>
    <definedName name="DATA23" localSheetId="19">'[3]Marengo II'!#REF!</definedName>
    <definedName name="DATA23" localSheetId="20">'[3]Marengo II'!#REF!</definedName>
    <definedName name="DATA23" localSheetId="21">'[3]Marengo II'!#REF!</definedName>
    <definedName name="DATA23" localSheetId="22">'[3]Marengo II'!#REF!</definedName>
    <definedName name="DATA23" localSheetId="23">'[3]Marengo II'!#REF!</definedName>
    <definedName name="DATA23" localSheetId="24">'[3]Marengo II'!#REF!</definedName>
    <definedName name="DATA23" localSheetId="27">'[3]Marengo II'!#REF!</definedName>
    <definedName name="DATA23" localSheetId="28">'[3]Marengo II'!#REF!</definedName>
    <definedName name="DATA23" localSheetId="29">'[3]Marengo II'!#REF!</definedName>
    <definedName name="DATA23" localSheetId="30">'[3]Marengo II'!#REF!</definedName>
    <definedName name="DATA23" localSheetId="31">'[3]Marengo II'!#REF!</definedName>
    <definedName name="DATA23" localSheetId="32">'[3]Marengo II'!#REF!</definedName>
    <definedName name="DATA23" localSheetId="33">'[3]Marengo II'!#REF!</definedName>
    <definedName name="DATA23" localSheetId="34">'[3]Marengo II'!#REF!</definedName>
    <definedName name="DATA23" localSheetId="35">'[3]Marengo II'!#REF!</definedName>
    <definedName name="DATA23" localSheetId="36">'[3]Marengo II'!#REF!</definedName>
    <definedName name="DATA23" localSheetId="37">'[3]Marengo II'!#REF!</definedName>
    <definedName name="DATA23" localSheetId="39">'[3]Marengo II'!#REF!</definedName>
    <definedName name="DATA23" localSheetId="40">'[3]Marengo II'!#REF!</definedName>
    <definedName name="DATA23" localSheetId="38">'[3]Marengo II'!#REF!</definedName>
    <definedName name="DATA23" localSheetId="41">'[3]Marengo II'!#REF!</definedName>
    <definedName name="DATA23">'[3]Marengo II'!#REF!</definedName>
    <definedName name="DATA24" localSheetId="5">'[3]Marengo II'!#REF!</definedName>
    <definedName name="DATA24" localSheetId="6">'[3]Marengo II'!#REF!</definedName>
    <definedName name="DATA24" localSheetId="7">'[3]Marengo II'!#REF!</definedName>
    <definedName name="DATA24" localSheetId="8">'[3]Marengo II'!#REF!</definedName>
    <definedName name="DATA24" localSheetId="9">'[3]Marengo II'!#REF!</definedName>
    <definedName name="DATA24" localSheetId="10">'[3]Marengo II'!#REF!</definedName>
    <definedName name="DATA24" localSheetId="11">'[3]Marengo II'!#REF!</definedName>
    <definedName name="DATA24" localSheetId="12">'[3]Marengo II'!#REF!</definedName>
    <definedName name="DATA24" localSheetId="13">'[3]Marengo II'!#REF!</definedName>
    <definedName name="DATA24" localSheetId="14">'[3]Marengo II'!#REF!</definedName>
    <definedName name="DATA24" localSheetId="15">'[3]Marengo II'!#REF!</definedName>
    <definedName name="DATA24" localSheetId="16">'[3]Marengo II'!#REF!</definedName>
    <definedName name="DATA24" localSheetId="17">'[3]Marengo II'!#REF!</definedName>
    <definedName name="DATA24" localSheetId="18">'[3]Marengo II'!#REF!</definedName>
    <definedName name="DATA24" localSheetId="19">'[3]Marengo II'!#REF!</definedName>
    <definedName name="DATA24" localSheetId="20">'[3]Marengo II'!#REF!</definedName>
    <definedName name="DATA24" localSheetId="21">'[3]Marengo II'!#REF!</definedName>
    <definedName name="DATA24" localSheetId="22">'[3]Marengo II'!#REF!</definedName>
    <definedName name="DATA24" localSheetId="23">'[3]Marengo II'!#REF!</definedName>
    <definedName name="DATA24" localSheetId="24">'[3]Marengo II'!#REF!</definedName>
    <definedName name="DATA24" localSheetId="27">'[3]Marengo II'!#REF!</definedName>
    <definedName name="DATA24" localSheetId="28">'[3]Marengo II'!#REF!</definedName>
    <definedName name="DATA24" localSheetId="29">'[3]Marengo II'!#REF!</definedName>
    <definedName name="DATA24" localSheetId="30">'[3]Marengo II'!#REF!</definedName>
    <definedName name="DATA24" localSheetId="31">'[3]Marengo II'!#REF!</definedName>
    <definedName name="DATA24" localSheetId="32">'[3]Marengo II'!#REF!</definedName>
    <definedName name="DATA24" localSheetId="33">'[3]Marengo II'!#REF!</definedName>
    <definedName name="DATA24" localSheetId="34">'[3]Marengo II'!#REF!</definedName>
    <definedName name="DATA24" localSheetId="35">'[3]Marengo II'!#REF!</definedName>
    <definedName name="DATA24" localSheetId="36">'[3]Marengo II'!#REF!</definedName>
    <definedName name="DATA24" localSheetId="37">'[3]Marengo II'!#REF!</definedName>
    <definedName name="DATA24" localSheetId="39">'[3]Marengo II'!#REF!</definedName>
    <definedName name="DATA24" localSheetId="40">'[3]Marengo II'!#REF!</definedName>
    <definedName name="DATA24" localSheetId="38">'[3]Marengo II'!#REF!</definedName>
    <definedName name="DATA24" localSheetId="41">'[3]Marengo II'!#REF!</definedName>
    <definedName name="DATA24">'[3]Marengo II'!#REF!</definedName>
    <definedName name="DATA25" localSheetId="5">'[3]Marengo II'!#REF!</definedName>
    <definedName name="DATA25" localSheetId="6">'[3]Marengo II'!#REF!</definedName>
    <definedName name="DATA25" localSheetId="7">'[3]Marengo II'!#REF!</definedName>
    <definedName name="DATA25" localSheetId="8">'[3]Marengo II'!#REF!</definedName>
    <definedName name="DATA25" localSheetId="9">'[3]Marengo II'!#REF!</definedName>
    <definedName name="DATA25" localSheetId="10">'[3]Marengo II'!#REF!</definedName>
    <definedName name="DATA25" localSheetId="11">'[3]Marengo II'!#REF!</definedName>
    <definedName name="DATA25" localSheetId="12">'[3]Marengo II'!#REF!</definedName>
    <definedName name="DATA25" localSheetId="13">'[3]Marengo II'!#REF!</definedName>
    <definedName name="DATA25" localSheetId="14">'[3]Marengo II'!#REF!</definedName>
    <definedName name="DATA25" localSheetId="15">'[3]Marengo II'!#REF!</definedName>
    <definedName name="DATA25" localSheetId="16">'[3]Marengo II'!#REF!</definedName>
    <definedName name="DATA25" localSheetId="17">'[3]Marengo II'!#REF!</definedName>
    <definedName name="DATA25" localSheetId="18">'[3]Marengo II'!#REF!</definedName>
    <definedName name="DATA25" localSheetId="19">'[3]Marengo II'!#REF!</definedName>
    <definedName name="DATA25" localSheetId="20">'[3]Marengo II'!#REF!</definedName>
    <definedName name="DATA25" localSheetId="21">'[3]Marengo II'!#REF!</definedName>
    <definedName name="DATA25" localSheetId="22">'[3]Marengo II'!#REF!</definedName>
    <definedName name="DATA25" localSheetId="23">'[3]Marengo II'!#REF!</definedName>
    <definedName name="DATA25" localSheetId="24">'[3]Marengo II'!#REF!</definedName>
    <definedName name="DATA25" localSheetId="27">'[3]Marengo II'!#REF!</definedName>
    <definedName name="DATA25" localSheetId="28">'[3]Marengo II'!#REF!</definedName>
    <definedName name="DATA25" localSheetId="29">'[3]Marengo II'!#REF!</definedName>
    <definedName name="DATA25" localSheetId="30">'[3]Marengo II'!#REF!</definedName>
    <definedName name="DATA25" localSheetId="31">'[3]Marengo II'!#REF!</definedName>
    <definedName name="DATA25" localSheetId="32">'[3]Marengo II'!#REF!</definedName>
    <definedName name="DATA25" localSheetId="33">'[3]Marengo II'!#REF!</definedName>
    <definedName name="DATA25" localSheetId="34">'[3]Marengo II'!#REF!</definedName>
    <definedName name="DATA25" localSheetId="35">'[3]Marengo II'!#REF!</definedName>
    <definedName name="DATA25" localSheetId="36">'[3]Marengo II'!#REF!</definedName>
    <definedName name="DATA25" localSheetId="37">'[3]Marengo II'!#REF!</definedName>
    <definedName name="DATA25" localSheetId="39">'[3]Marengo II'!#REF!</definedName>
    <definedName name="DATA25" localSheetId="40">'[3]Marengo II'!#REF!</definedName>
    <definedName name="DATA25" localSheetId="38">'[3]Marengo II'!#REF!</definedName>
    <definedName name="DATA25" localSheetId="41">'[3]Marengo II'!#REF!</definedName>
    <definedName name="DATA25">'[3]Marengo II'!#REF!</definedName>
    <definedName name="DATA26" localSheetId="5">'[3]Marengo II'!#REF!</definedName>
    <definedName name="DATA26" localSheetId="6">'[3]Marengo II'!#REF!</definedName>
    <definedName name="DATA26" localSheetId="7">'[3]Marengo II'!#REF!</definedName>
    <definedName name="DATA26" localSheetId="8">'[3]Marengo II'!#REF!</definedName>
    <definedName name="DATA26" localSheetId="9">'[3]Marengo II'!#REF!</definedName>
    <definedName name="DATA26" localSheetId="10">'[3]Marengo II'!#REF!</definedName>
    <definedName name="DATA26" localSheetId="11">'[3]Marengo II'!#REF!</definedName>
    <definedName name="DATA26" localSheetId="12">'[3]Marengo II'!#REF!</definedName>
    <definedName name="DATA26" localSheetId="13">'[3]Marengo II'!#REF!</definedName>
    <definedName name="DATA26" localSheetId="14">'[3]Marengo II'!#REF!</definedName>
    <definedName name="DATA26" localSheetId="15">'[3]Marengo II'!#REF!</definedName>
    <definedName name="DATA26" localSheetId="16">'[3]Marengo II'!#REF!</definedName>
    <definedName name="DATA26" localSheetId="17">'[3]Marengo II'!#REF!</definedName>
    <definedName name="DATA26" localSheetId="18">'[3]Marengo II'!#REF!</definedName>
    <definedName name="DATA26" localSheetId="19">'[3]Marengo II'!#REF!</definedName>
    <definedName name="DATA26" localSheetId="20">'[3]Marengo II'!#REF!</definedName>
    <definedName name="DATA26" localSheetId="21">'[3]Marengo II'!#REF!</definedName>
    <definedName name="DATA26" localSheetId="22">'[3]Marengo II'!#REF!</definedName>
    <definedName name="DATA26" localSheetId="23">'[3]Marengo II'!#REF!</definedName>
    <definedName name="DATA26" localSheetId="24">'[3]Marengo II'!#REF!</definedName>
    <definedName name="DATA26" localSheetId="27">'[3]Marengo II'!#REF!</definedName>
    <definedName name="DATA26" localSheetId="28">'[3]Marengo II'!#REF!</definedName>
    <definedName name="DATA26" localSheetId="29">'[3]Marengo II'!#REF!</definedName>
    <definedName name="DATA26" localSheetId="30">'[3]Marengo II'!#REF!</definedName>
    <definedName name="DATA26" localSheetId="31">'[3]Marengo II'!#REF!</definedName>
    <definedName name="DATA26" localSheetId="32">'[3]Marengo II'!#REF!</definedName>
    <definedName name="DATA26" localSheetId="33">'[3]Marengo II'!#REF!</definedName>
    <definedName name="DATA26" localSheetId="34">'[3]Marengo II'!#REF!</definedName>
    <definedName name="DATA26" localSheetId="35">'[3]Marengo II'!#REF!</definedName>
    <definedName name="DATA26" localSheetId="36">'[3]Marengo II'!#REF!</definedName>
    <definedName name="DATA26" localSheetId="37">'[3]Marengo II'!#REF!</definedName>
    <definedName name="DATA26" localSheetId="39">'[3]Marengo II'!#REF!</definedName>
    <definedName name="DATA26" localSheetId="40">'[3]Marengo II'!#REF!</definedName>
    <definedName name="DATA26" localSheetId="38">'[3]Marengo II'!#REF!</definedName>
    <definedName name="DATA26" localSheetId="41">'[3]Marengo II'!#REF!</definedName>
    <definedName name="DATA26">'[3]Marengo II'!#REF!</definedName>
    <definedName name="DATA27" localSheetId="5">'[3]Marengo II'!#REF!</definedName>
    <definedName name="DATA27" localSheetId="6">'[3]Marengo II'!#REF!</definedName>
    <definedName name="DATA27" localSheetId="7">'[3]Marengo II'!#REF!</definedName>
    <definedName name="DATA27" localSheetId="8">'[3]Marengo II'!#REF!</definedName>
    <definedName name="DATA27" localSheetId="9">'[3]Marengo II'!#REF!</definedName>
    <definedName name="DATA27" localSheetId="10">'[3]Marengo II'!#REF!</definedName>
    <definedName name="DATA27" localSheetId="11">'[3]Marengo II'!#REF!</definedName>
    <definedName name="DATA27" localSheetId="12">'[3]Marengo II'!#REF!</definedName>
    <definedName name="DATA27" localSheetId="13">'[3]Marengo II'!#REF!</definedName>
    <definedName name="DATA27" localSheetId="14">'[3]Marengo II'!#REF!</definedName>
    <definedName name="DATA27" localSheetId="15">'[3]Marengo II'!#REF!</definedName>
    <definedName name="DATA27" localSheetId="16">'[3]Marengo II'!#REF!</definedName>
    <definedName name="DATA27" localSheetId="17">'[3]Marengo II'!#REF!</definedName>
    <definedName name="DATA27" localSheetId="18">'[3]Marengo II'!#REF!</definedName>
    <definedName name="DATA27" localSheetId="19">'[3]Marengo II'!#REF!</definedName>
    <definedName name="DATA27" localSheetId="20">'[3]Marengo II'!#REF!</definedName>
    <definedName name="DATA27" localSheetId="21">'[3]Marengo II'!#REF!</definedName>
    <definedName name="DATA27" localSheetId="22">'[3]Marengo II'!#REF!</definedName>
    <definedName name="DATA27" localSheetId="23">'[3]Marengo II'!#REF!</definedName>
    <definedName name="DATA27" localSheetId="24">'[3]Marengo II'!#REF!</definedName>
    <definedName name="DATA27" localSheetId="27">'[3]Marengo II'!#REF!</definedName>
    <definedName name="DATA27" localSheetId="28">'[3]Marengo II'!#REF!</definedName>
    <definedName name="DATA27" localSheetId="29">'[3]Marengo II'!#REF!</definedName>
    <definedName name="DATA27" localSheetId="30">'[3]Marengo II'!#REF!</definedName>
    <definedName name="DATA27" localSheetId="31">'[3]Marengo II'!#REF!</definedName>
    <definedName name="DATA27" localSheetId="32">'[3]Marengo II'!#REF!</definedName>
    <definedName name="DATA27" localSheetId="33">'[3]Marengo II'!#REF!</definedName>
    <definedName name="DATA27" localSheetId="34">'[3]Marengo II'!#REF!</definedName>
    <definedName name="DATA27" localSheetId="35">'[3]Marengo II'!#REF!</definedName>
    <definedName name="DATA27" localSheetId="36">'[3]Marengo II'!#REF!</definedName>
    <definedName name="DATA27" localSheetId="37">'[3]Marengo II'!#REF!</definedName>
    <definedName name="DATA27" localSheetId="39">'[3]Marengo II'!#REF!</definedName>
    <definedName name="DATA27" localSheetId="40">'[3]Marengo II'!#REF!</definedName>
    <definedName name="DATA27" localSheetId="38">'[3]Marengo II'!#REF!</definedName>
    <definedName name="DATA27" localSheetId="41">'[3]Marengo II'!#REF!</definedName>
    <definedName name="DATA27">'[3]Marengo II'!#REF!</definedName>
    <definedName name="DATA28" localSheetId="5">'[3]Marengo II'!#REF!</definedName>
    <definedName name="DATA28" localSheetId="6">'[3]Marengo II'!#REF!</definedName>
    <definedName name="DATA28" localSheetId="7">'[3]Marengo II'!#REF!</definedName>
    <definedName name="DATA28" localSheetId="8">'[3]Marengo II'!#REF!</definedName>
    <definedName name="DATA28" localSheetId="9">'[3]Marengo II'!#REF!</definedName>
    <definedName name="DATA28" localSheetId="10">'[3]Marengo II'!#REF!</definedName>
    <definedName name="DATA28" localSheetId="11">'[3]Marengo II'!#REF!</definedName>
    <definedName name="DATA28" localSheetId="12">'[3]Marengo II'!#REF!</definedName>
    <definedName name="DATA28" localSheetId="13">'[3]Marengo II'!#REF!</definedName>
    <definedName name="DATA28" localSheetId="14">'[3]Marengo II'!#REF!</definedName>
    <definedName name="DATA28" localSheetId="15">'[3]Marengo II'!#REF!</definedName>
    <definedName name="DATA28" localSheetId="16">'[3]Marengo II'!#REF!</definedName>
    <definedName name="DATA28" localSheetId="17">'[3]Marengo II'!#REF!</definedName>
    <definedName name="DATA28" localSheetId="18">'[3]Marengo II'!#REF!</definedName>
    <definedName name="DATA28" localSheetId="19">'[3]Marengo II'!#REF!</definedName>
    <definedName name="DATA28" localSheetId="20">'[3]Marengo II'!#REF!</definedName>
    <definedName name="DATA28" localSheetId="21">'[3]Marengo II'!#REF!</definedName>
    <definedName name="DATA28" localSheetId="22">'[3]Marengo II'!#REF!</definedName>
    <definedName name="DATA28" localSheetId="23">'[3]Marengo II'!#REF!</definedName>
    <definedName name="DATA28" localSheetId="24">'[3]Marengo II'!#REF!</definedName>
    <definedName name="DATA28" localSheetId="27">'[3]Marengo II'!#REF!</definedName>
    <definedName name="DATA28" localSheetId="28">'[3]Marengo II'!#REF!</definedName>
    <definedName name="DATA28" localSheetId="29">'[3]Marengo II'!#REF!</definedName>
    <definedName name="DATA28" localSheetId="30">'[3]Marengo II'!#REF!</definedName>
    <definedName name="DATA28" localSheetId="31">'[3]Marengo II'!#REF!</definedName>
    <definedName name="DATA28" localSheetId="32">'[3]Marengo II'!#REF!</definedName>
    <definedName name="DATA28" localSheetId="33">'[3]Marengo II'!#REF!</definedName>
    <definedName name="DATA28" localSheetId="34">'[3]Marengo II'!#REF!</definedName>
    <definedName name="DATA28" localSheetId="35">'[3]Marengo II'!#REF!</definedName>
    <definedName name="DATA28" localSheetId="36">'[3]Marengo II'!#REF!</definedName>
    <definedName name="DATA28" localSheetId="37">'[3]Marengo II'!#REF!</definedName>
    <definedName name="DATA28" localSheetId="39">'[3]Marengo II'!#REF!</definedName>
    <definedName name="DATA28" localSheetId="40">'[3]Marengo II'!#REF!</definedName>
    <definedName name="DATA28" localSheetId="38">'[3]Marengo II'!#REF!</definedName>
    <definedName name="DATA28" localSheetId="41">'[3]Marengo II'!#REF!</definedName>
    <definedName name="DATA28">'[3]Marengo II'!#REF!</definedName>
    <definedName name="DATA29" localSheetId="5">'[3]Marengo II'!#REF!</definedName>
    <definedName name="DATA29" localSheetId="6">'[3]Marengo II'!#REF!</definedName>
    <definedName name="DATA29" localSheetId="7">'[3]Marengo II'!#REF!</definedName>
    <definedName name="DATA29" localSheetId="8">'[3]Marengo II'!#REF!</definedName>
    <definedName name="DATA29" localSheetId="9">'[3]Marengo II'!#REF!</definedName>
    <definedName name="DATA29" localSheetId="10">'[3]Marengo II'!#REF!</definedName>
    <definedName name="DATA29" localSheetId="11">'[3]Marengo II'!#REF!</definedName>
    <definedName name="DATA29" localSheetId="12">'[3]Marengo II'!#REF!</definedName>
    <definedName name="DATA29" localSheetId="13">'[3]Marengo II'!#REF!</definedName>
    <definedName name="DATA29" localSheetId="14">'[3]Marengo II'!#REF!</definedName>
    <definedName name="DATA29" localSheetId="15">'[3]Marengo II'!#REF!</definedName>
    <definedName name="DATA29" localSheetId="16">'[3]Marengo II'!#REF!</definedName>
    <definedName name="DATA29" localSheetId="17">'[3]Marengo II'!#REF!</definedName>
    <definedName name="DATA29" localSheetId="18">'[3]Marengo II'!#REF!</definedName>
    <definedName name="DATA29" localSheetId="19">'[3]Marengo II'!#REF!</definedName>
    <definedName name="DATA29" localSheetId="20">'[3]Marengo II'!#REF!</definedName>
    <definedName name="DATA29" localSheetId="21">'[3]Marengo II'!#REF!</definedName>
    <definedName name="DATA29" localSheetId="22">'[3]Marengo II'!#REF!</definedName>
    <definedName name="DATA29" localSheetId="23">'[3]Marengo II'!#REF!</definedName>
    <definedName name="DATA29" localSheetId="24">'[3]Marengo II'!#REF!</definedName>
    <definedName name="DATA29" localSheetId="27">'[3]Marengo II'!#REF!</definedName>
    <definedName name="DATA29" localSheetId="28">'[3]Marengo II'!#REF!</definedName>
    <definedName name="DATA29" localSheetId="29">'[3]Marengo II'!#REF!</definedName>
    <definedName name="DATA29" localSheetId="30">'[3]Marengo II'!#REF!</definedName>
    <definedName name="DATA29" localSheetId="31">'[3]Marengo II'!#REF!</definedName>
    <definedName name="DATA29" localSheetId="32">'[3]Marengo II'!#REF!</definedName>
    <definedName name="DATA29" localSheetId="33">'[3]Marengo II'!#REF!</definedName>
    <definedName name="DATA29" localSheetId="34">'[3]Marengo II'!#REF!</definedName>
    <definedName name="DATA29" localSheetId="35">'[3]Marengo II'!#REF!</definedName>
    <definedName name="DATA29" localSheetId="36">'[3]Marengo II'!#REF!</definedName>
    <definedName name="DATA29" localSheetId="37">'[3]Marengo II'!#REF!</definedName>
    <definedName name="DATA29" localSheetId="39">'[3]Marengo II'!#REF!</definedName>
    <definedName name="DATA29" localSheetId="40">'[3]Marengo II'!#REF!</definedName>
    <definedName name="DATA29" localSheetId="38">'[3]Marengo II'!#REF!</definedName>
    <definedName name="DATA29" localSheetId="41">'[3]Marengo II'!#REF!</definedName>
    <definedName name="DATA29">'[3]Marengo II'!#REF!</definedName>
    <definedName name="DATA3">'[3]Marengo II'!$B$4:$B$41</definedName>
    <definedName name="DATA30" localSheetId="5">'[3]Marengo II'!#REF!</definedName>
    <definedName name="DATA30" localSheetId="6">'[3]Marengo II'!#REF!</definedName>
    <definedName name="DATA30" localSheetId="7">'[3]Marengo II'!#REF!</definedName>
    <definedName name="DATA30" localSheetId="8">'[3]Marengo II'!#REF!</definedName>
    <definedName name="DATA30" localSheetId="9">'[3]Marengo II'!#REF!</definedName>
    <definedName name="DATA30" localSheetId="10">'[3]Marengo II'!#REF!</definedName>
    <definedName name="DATA30" localSheetId="11">'[3]Marengo II'!#REF!</definedName>
    <definedName name="DATA30" localSheetId="12">'[3]Marengo II'!#REF!</definedName>
    <definedName name="DATA30" localSheetId="13">'[3]Marengo II'!#REF!</definedName>
    <definedName name="DATA30" localSheetId="14">'[3]Marengo II'!#REF!</definedName>
    <definedName name="DATA30" localSheetId="15">'[3]Marengo II'!#REF!</definedName>
    <definedName name="DATA30" localSheetId="16">'[3]Marengo II'!#REF!</definedName>
    <definedName name="DATA30" localSheetId="17">'[3]Marengo II'!#REF!</definedName>
    <definedName name="DATA30" localSheetId="18">'[3]Marengo II'!#REF!</definedName>
    <definedName name="DATA30" localSheetId="19">'[3]Marengo II'!#REF!</definedName>
    <definedName name="DATA30" localSheetId="20">'[3]Marengo II'!#REF!</definedName>
    <definedName name="DATA30" localSheetId="21">'[3]Marengo II'!#REF!</definedName>
    <definedName name="DATA30" localSheetId="22">'[3]Marengo II'!#REF!</definedName>
    <definedName name="DATA30" localSheetId="23">'[3]Marengo II'!#REF!</definedName>
    <definedName name="DATA30" localSheetId="24">'[3]Marengo II'!#REF!</definedName>
    <definedName name="DATA30" localSheetId="27">'[3]Marengo II'!#REF!</definedName>
    <definedName name="DATA30" localSheetId="28">'[3]Marengo II'!#REF!</definedName>
    <definedName name="DATA30" localSheetId="29">'[3]Marengo II'!#REF!</definedName>
    <definedName name="DATA30" localSheetId="30">'[3]Marengo II'!#REF!</definedName>
    <definedName name="DATA30" localSheetId="31">'[3]Marengo II'!#REF!</definedName>
    <definedName name="DATA30" localSheetId="32">'[3]Marengo II'!#REF!</definedName>
    <definedName name="DATA30" localSheetId="33">'[3]Marengo II'!#REF!</definedName>
    <definedName name="DATA30" localSheetId="34">'[3]Marengo II'!#REF!</definedName>
    <definedName name="DATA30" localSheetId="35">'[3]Marengo II'!#REF!</definedName>
    <definedName name="DATA30" localSheetId="36">'[3]Marengo II'!#REF!</definedName>
    <definedName name="DATA30" localSheetId="37">'[3]Marengo II'!#REF!</definedName>
    <definedName name="DATA30" localSheetId="39">'[3]Marengo II'!#REF!</definedName>
    <definedName name="DATA30" localSheetId="40">'[3]Marengo II'!#REF!</definedName>
    <definedName name="DATA30" localSheetId="38">'[3]Marengo II'!#REF!</definedName>
    <definedName name="DATA30" localSheetId="41">'[3]Marengo II'!#REF!</definedName>
    <definedName name="DATA30" localSheetId="0">'[3]Marengo II'!#REF!</definedName>
    <definedName name="DATA30">'[3]Marengo II'!#REF!</definedName>
    <definedName name="DATA31" localSheetId="5">'[3]Marengo II'!#REF!</definedName>
    <definedName name="DATA31" localSheetId="6">'[3]Marengo II'!#REF!</definedName>
    <definedName name="DATA31" localSheetId="7">'[3]Marengo II'!#REF!</definedName>
    <definedName name="DATA31" localSheetId="8">'[3]Marengo II'!#REF!</definedName>
    <definedName name="DATA31" localSheetId="9">'[3]Marengo II'!#REF!</definedName>
    <definedName name="DATA31" localSheetId="10">'[3]Marengo II'!#REF!</definedName>
    <definedName name="DATA31" localSheetId="11">'[3]Marengo II'!#REF!</definedName>
    <definedName name="DATA31" localSheetId="12">'[3]Marengo II'!#REF!</definedName>
    <definedName name="DATA31" localSheetId="13">'[3]Marengo II'!#REF!</definedName>
    <definedName name="DATA31" localSheetId="14">'[3]Marengo II'!#REF!</definedName>
    <definedName name="DATA31" localSheetId="15">'[3]Marengo II'!#REF!</definedName>
    <definedName name="DATA31" localSheetId="16">'[3]Marengo II'!#REF!</definedName>
    <definedName name="DATA31" localSheetId="17">'[3]Marengo II'!#REF!</definedName>
    <definedName name="DATA31" localSheetId="18">'[3]Marengo II'!#REF!</definedName>
    <definedName name="DATA31" localSheetId="19">'[3]Marengo II'!#REF!</definedName>
    <definedName name="DATA31" localSheetId="20">'[3]Marengo II'!#REF!</definedName>
    <definedName name="DATA31" localSheetId="21">'[3]Marengo II'!#REF!</definedName>
    <definedName name="DATA31" localSheetId="22">'[3]Marengo II'!#REF!</definedName>
    <definedName name="DATA31" localSheetId="23">'[3]Marengo II'!#REF!</definedName>
    <definedName name="DATA31" localSheetId="24">'[3]Marengo II'!#REF!</definedName>
    <definedName name="DATA31" localSheetId="27">'[3]Marengo II'!#REF!</definedName>
    <definedName name="DATA31" localSheetId="28">'[3]Marengo II'!#REF!</definedName>
    <definedName name="DATA31" localSheetId="29">'[3]Marengo II'!#REF!</definedName>
    <definedName name="DATA31" localSheetId="30">'[3]Marengo II'!#REF!</definedName>
    <definedName name="DATA31" localSheetId="31">'[3]Marengo II'!#REF!</definedName>
    <definedName name="DATA31" localSheetId="32">'[3]Marengo II'!#REF!</definedName>
    <definedName name="DATA31" localSheetId="33">'[3]Marengo II'!#REF!</definedName>
    <definedName name="DATA31" localSheetId="34">'[3]Marengo II'!#REF!</definedName>
    <definedName name="DATA31" localSheetId="35">'[3]Marengo II'!#REF!</definedName>
    <definedName name="DATA31" localSheetId="36">'[3]Marengo II'!#REF!</definedName>
    <definedName name="DATA31" localSheetId="37">'[3]Marengo II'!#REF!</definedName>
    <definedName name="DATA31" localSheetId="39">'[3]Marengo II'!#REF!</definedName>
    <definedName name="DATA31" localSheetId="40">'[3]Marengo II'!#REF!</definedName>
    <definedName name="DATA31" localSheetId="38">'[3]Marengo II'!#REF!</definedName>
    <definedName name="DATA31" localSheetId="41">'[3]Marengo II'!#REF!</definedName>
    <definedName name="DATA31">'[3]Marengo II'!#REF!</definedName>
    <definedName name="DATA32" localSheetId="5">'[3]Marengo II'!#REF!</definedName>
    <definedName name="DATA32" localSheetId="6">'[3]Marengo II'!#REF!</definedName>
    <definedName name="DATA32" localSheetId="7">'[3]Marengo II'!#REF!</definedName>
    <definedName name="DATA32" localSheetId="8">'[3]Marengo II'!#REF!</definedName>
    <definedName name="DATA32" localSheetId="9">'[3]Marengo II'!#REF!</definedName>
    <definedName name="DATA32" localSheetId="10">'[3]Marengo II'!#REF!</definedName>
    <definedName name="DATA32" localSheetId="11">'[3]Marengo II'!#REF!</definedName>
    <definedName name="DATA32" localSheetId="12">'[3]Marengo II'!#REF!</definedName>
    <definedName name="DATA32" localSheetId="13">'[3]Marengo II'!#REF!</definedName>
    <definedName name="DATA32" localSheetId="14">'[3]Marengo II'!#REF!</definedName>
    <definedName name="DATA32" localSheetId="15">'[3]Marengo II'!#REF!</definedName>
    <definedName name="DATA32" localSheetId="16">'[3]Marengo II'!#REF!</definedName>
    <definedName name="DATA32" localSheetId="17">'[3]Marengo II'!#REF!</definedName>
    <definedName name="DATA32" localSheetId="18">'[3]Marengo II'!#REF!</definedName>
    <definedName name="DATA32" localSheetId="19">'[3]Marengo II'!#REF!</definedName>
    <definedName name="DATA32" localSheetId="20">'[3]Marengo II'!#REF!</definedName>
    <definedName name="DATA32" localSheetId="21">'[3]Marengo II'!#REF!</definedName>
    <definedName name="DATA32" localSheetId="22">'[3]Marengo II'!#REF!</definedName>
    <definedName name="DATA32" localSheetId="23">'[3]Marengo II'!#REF!</definedName>
    <definedName name="DATA32" localSheetId="24">'[3]Marengo II'!#REF!</definedName>
    <definedName name="DATA32" localSheetId="27">'[3]Marengo II'!#REF!</definedName>
    <definedName name="DATA32" localSheetId="28">'[3]Marengo II'!#REF!</definedName>
    <definedName name="DATA32" localSheetId="29">'[3]Marengo II'!#REF!</definedName>
    <definedName name="DATA32" localSheetId="30">'[3]Marengo II'!#REF!</definedName>
    <definedName name="DATA32" localSheetId="31">'[3]Marengo II'!#REF!</definedName>
    <definedName name="DATA32" localSheetId="32">'[3]Marengo II'!#REF!</definedName>
    <definedName name="DATA32" localSheetId="33">'[3]Marengo II'!#REF!</definedName>
    <definedName name="DATA32" localSheetId="34">'[3]Marengo II'!#REF!</definedName>
    <definedName name="DATA32" localSheetId="35">'[3]Marengo II'!#REF!</definedName>
    <definedName name="DATA32" localSheetId="36">'[3]Marengo II'!#REF!</definedName>
    <definedName name="DATA32" localSheetId="37">'[3]Marengo II'!#REF!</definedName>
    <definedName name="DATA32" localSheetId="39">'[3]Marengo II'!#REF!</definedName>
    <definedName name="DATA32" localSheetId="40">'[3]Marengo II'!#REF!</definedName>
    <definedName name="DATA32" localSheetId="38">'[3]Marengo II'!#REF!</definedName>
    <definedName name="DATA32" localSheetId="41">'[3]Marengo II'!#REF!</definedName>
    <definedName name="DATA32">'[3]Marengo II'!#REF!</definedName>
    <definedName name="DATA33" localSheetId="5">'[3]Marengo II'!#REF!</definedName>
    <definedName name="DATA33" localSheetId="6">'[3]Marengo II'!#REF!</definedName>
    <definedName name="DATA33" localSheetId="7">'[3]Marengo II'!#REF!</definedName>
    <definedName name="DATA33" localSheetId="8">'[3]Marengo II'!#REF!</definedName>
    <definedName name="DATA33" localSheetId="9">'[3]Marengo II'!#REF!</definedName>
    <definedName name="DATA33" localSheetId="10">'[3]Marengo II'!#REF!</definedName>
    <definedName name="DATA33" localSheetId="11">'[3]Marengo II'!#REF!</definedName>
    <definedName name="DATA33" localSheetId="12">'[3]Marengo II'!#REF!</definedName>
    <definedName name="DATA33" localSheetId="13">'[3]Marengo II'!#REF!</definedName>
    <definedName name="DATA33" localSheetId="14">'[3]Marengo II'!#REF!</definedName>
    <definedName name="DATA33" localSheetId="15">'[3]Marengo II'!#REF!</definedName>
    <definedName name="DATA33" localSheetId="16">'[3]Marengo II'!#REF!</definedName>
    <definedName name="DATA33" localSheetId="17">'[3]Marengo II'!#REF!</definedName>
    <definedName name="DATA33" localSheetId="18">'[3]Marengo II'!#REF!</definedName>
    <definedName name="DATA33" localSheetId="19">'[3]Marengo II'!#REF!</definedName>
    <definedName name="DATA33" localSheetId="20">'[3]Marengo II'!#REF!</definedName>
    <definedName name="DATA33" localSheetId="21">'[3]Marengo II'!#REF!</definedName>
    <definedName name="DATA33" localSheetId="22">'[3]Marengo II'!#REF!</definedName>
    <definedName name="DATA33" localSheetId="23">'[3]Marengo II'!#REF!</definedName>
    <definedName name="DATA33" localSheetId="24">'[3]Marengo II'!#REF!</definedName>
    <definedName name="DATA33" localSheetId="27">'[3]Marengo II'!#REF!</definedName>
    <definedName name="DATA33" localSheetId="28">'[3]Marengo II'!#REF!</definedName>
    <definedName name="DATA33" localSheetId="29">'[3]Marengo II'!#REF!</definedName>
    <definedName name="DATA33" localSheetId="30">'[3]Marengo II'!#REF!</definedName>
    <definedName name="DATA33" localSheetId="31">'[3]Marengo II'!#REF!</definedName>
    <definedName name="DATA33" localSheetId="32">'[3]Marengo II'!#REF!</definedName>
    <definedName name="DATA33" localSheetId="33">'[3]Marengo II'!#REF!</definedName>
    <definedName name="DATA33" localSheetId="34">'[3]Marengo II'!#REF!</definedName>
    <definedName name="DATA33" localSheetId="35">'[3]Marengo II'!#REF!</definedName>
    <definedName name="DATA33" localSheetId="36">'[3]Marengo II'!#REF!</definedName>
    <definedName name="DATA33" localSheetId="37">'[3]Marengo II'!#REF!</definedName>
    <definedName name="DATA33" localSheetId="39">'[3]Marengo II'!#REF!</definedName>
    <definedName name="DATA33" localSheetId="40">'[3]Marengo II'!#REF!</definedName>
    <definedName name="DATA33" localSheetId="38">'[3]Marengo II'!#REF!</definedName>
    <definedName name="DATA33" localSheetId="41">'[3]Marengo II'!#REF!</definedName>
    <definedName name="DATA33">'[3]Marengo II'!#REF!</definedName>
    <definedName name="DATA34" localSheetId="5">'[3]Marengo II'!#REF!</definedName>
    <definedName name="DATA34" localSheetId="6">'[3]Marengo II'!#REF!</definedName>
    <definedName name="DATA34" localSheetId="7">'[3]Marengo II'!#REF!</definedName>
    <definedName name="DATA34" localSheetId="8">'[3]Marengo II'!#REF!</definedName>
    <definedName name="DATA34" localSheetId="9">'[3]Marengo II'!#REF!</definedName>
    <definedName name="DATA34" localSheetId="10">'[3]Marengo II'!#REF!</definedName>
    <definedName name="DATA34" localSheetId="11">'[3]Marengo II'!#REF!</definedName>
    <definedName name="DATA34" localSheetId="12">'[3]Marengo II'!#REF!</definedName>
    <definedName name="DATA34" localSheetId="13">'[3]Marengo II'!#REF!</definedName>
    <definedName name="DATA34" localSheetId="14">'[3]Marengo II'!#REF!</definedName>
    <definedName name="DATA34" localSheetId="15">'[3]Marengo II'!#REF!</definedName>
    <definedName name="DATA34" localSheetId="16">'[3]Marengo II'!#REF!</definedName>
    <definedName name="DATA34" localSheetId="17">'[3]Marengo II'!#REF!</definedName>
    <definedName name="DATA34" localSheetId="18">'[3]Marengo II'!#REF!</definedName>
    <definedName name="DATA34" localSheetId="19">'[3]Marengo II'!#REF!</definedName>
    <definedName name="DATA34" localSheetId="20">'[3]Marengo II'!#REF!</definedName>
    <definedName name="DATA34" localSheetId="21">'[3]Marengo II'!#REF!</definedName>
    <definedName name="DATA34" localSheetId="22">'[3]Marengo II'!#REF!</definedName>
    <definedName name="DATA34" localSheetId="23">'[3]Marengo II'!#REF!</definedName>
    <definedName name="DATA34" localSheetId="24">'[3]Marengo II'!#REF!</definedName>
    <definedName name="DATA34" localSheetId="27">'[3]Marengo II'!#REF!</definedName>
    <definedName name="DATA34" localSheetId="28">'[3]Marengo II'!#REF!</definedName>
    <definedName name="DATA34" localSheetId="29">'[3]Marengo II'!#REF!</definedName>
    <definedName name="DATA34" localSheetId="30">'[3]Marengo II'!#REF!</definedName>
    <definedName name="DATA34" localSheetId="31">'[3]Marengo II'!#REF!</definedName>
    <definedName name="DATA34" localSheetId="32">'[3]Marengo II'!#REF!</definedName>
    <definedName name="DATA34" localSheetId="33">'[3]Marengo II'!#REF!</definedName>
    <definedName name="DATA34" localSheetId="34">'[3]Marengo II'!#REF!</definedName>
    <definedName name="DATA34" localSheetId="35">'[3]Marengo II'!#REF!</definedName>
    <definedName name="DATA34" localSheetId="36">'[3]Marengo II'!#REF!</definedName>
    <definedName name="DATA34" localSheetId="37">'[3]Marengo II'!#REF!</definedName>
    <definedName name="DATA34" localSheetId="39">'[3]Marengo II'!#REF!</definedName>
    <definedName name="DATA34" localSheetId="40">'[3]Marengo II'!#REF!</definedName>
    <definedName name="DATA34" localSheetId="38">'[3]Marengo II'!#REF!</definedName>
    <definedName name="DATA34" localSheetId="41">'[3]Marengo II'!#REF!</definedName>
    <definedName name="DATA34">'[3]Marengo II'!#REF!</definedName>
    <definedName name="DATA35" localSheetId="5">'[3]Marengo II'!#REF!</definedName>
    <definedName name="DATA35" localSheetId="6">'[3]Marengo II'!#REF!</definedName>
    <definedName name="DATA35" localSheetId="7">'[3]Marengo II'!#REF!</definedName>
    <definedName name="DATA35" localSheetId="8">'[3]Marengo II'!#REF!</definedName>
    <definedName name="DATA35" localSheetId="9">'[3]Marengo II'!#REF!</definedName>
    <definedName name="DATA35" localSheetId="10">'[3]Marengo II'!#REF!</definedName>
    <definedName name="DATA35" localSheetId="11">'[3]Marengo II'!#REF!</definedName>
    <definedName name="DATA35" localSheetId="12">'[3]Marengo II'!#REF!</definedName>
    <definedName name="DATA35" localSheetId="13">'[3]Marengo II'!#REF!</definedName>
    <definedName name="DATA35" localSheetId="14">'[3]Marengo II'!#REF!</definedName>
    <definedName name="DATA35" localSheetId="15">'[3]Marengo II'!#REF!</definedName>
    <definedName name="DATA35" localSheetId="16">'[3]Marengo II'!#REF!</definedName>
    <definedName name="DATA35" localSheetId="17">'[3]Marengo II'!#REF!</definedName>
    <definedName name="DATA35" localSheetId="18">'[3]Marengo II'!#REF!</definedName>
    <definedName name="DATA35" localSheetId="19">'[3]Marengo II'!#REF!</definedName>
    <definedName name="DATA35" localSheetId="20">'[3]Marengo II'!#REF!</definedName>
    <definedName name="DATA35" localSheetId="21">'[3]Marengo II'!#REF!</definedName>
    <definedName name="DATA35" localSheetId="22">'[3]Marengo II'!#REF!</definedName>
    <definedName name="DATA35" localSheetId="23">'[3]Marengo II'!#REF!</definedName>
    <definedName name="DATA35" localSheetId="24">'[3]Marengo II'!#REF!</definedName>
    <definedName name="DATA35" localSheetId="27">'[3]Marengo II'!#REF!</definedName>
    <definedName name="DATA35" localSheetId="28">'[3]Marengo II'!#REF!</definedName>
    <definedName name="DATA35" localSheetId="29">'[3]Marengo II'!#REF!</definedName>
    <definedName name="DATA35" localSheetId="30">'[3]Marengo II'!#REF!</definedName>
    <definedName name="DATA35" localSheetId="31">'[3]Marengo II'!#REF!</definedName>
    <definedName name="DATA35" localSheetId="32">'[3]Marengo II'!#REF!</definedName>
    <definedName name="DATA35" localSheetId="33">'[3]Marengo II'!#REF!</definedName>
    <definedName name="DATA35" localSheetId="34">'[3]Marengo II'!#REF!</definedName>
    <definedName name="DATA35" localSheetId="35">'[3]Marengo II'!#REF!</definedName>
    <definedName name="DATA35" localSheetId="36">'[3]Marengo II'!#REF!</definedName>
    <definedName name="DATA35" localSheetId="37">'[3]Marengo II'!#REF!</definedName>
    <definedName name="DATA35" localSheetId="39">'[3]Marengo II'!#REF!</definedName>
    <definedName name="DATA35" localSheetId="40">'[3]Marengo II'!#REF!</definedName>
    <definedName name="DATA35" localSheetId="38">'[3]Marengo II'!#REF!</definedName>
    <definedName name="DATA35" localSheetId="41">'[3]Marengo II'!#REF!</definedName>
    <definedName name="DATA35">'[3]Marengo II'!#REF!</definedName>
    <definedName name="DATA36" localSheetId="5">'[3]Marengo II'!#REF!</definedName>
    <definedName name="DATA36" localSheetId="6">'[3]Marengo II'!#REF!</definedName>
    <definedName name="DATA36" localSheetId="7">'[3]Marengo II'!#REF!</definedName>
    <definedName name="DATA36" localSheetId="8">'[3]Marengo II'!#REF!</definedName>
    <definedName name="DATA36" localSheetId="9">'[3]Marengo II'!#REF!</definedName>
    <definedName name="DATA36" localSheetId="10">'[3]Marengo II'!#REF!</definedName>
    <definedName name="DATA36" localSheetId="11">'[3]Marengo II'!#REF!</definedName>
    <definedName name="DATA36" localSheetId="12">'[3]Marengo II'!#REF!</definedName>
    <definedName name="DATA36" localSheetId="13">'[3]Marengo II'!#REF!</definedName>
    <definedName name="DATA36" localSheetId="14">'[3]Marengo II'!#REF!</definedName>
    <definedName name="DATA36" localSheetId="15">'[3]Marengo II'!#REF!</definedName>
    <definedName name="DATA36" localSheetId="16">'[3]Marengo II'!#REF!</definedName>
    <definedName name="DATA36" localSheetId="17">'[3]Marengo II'!#REF!</definedName>
    <definedName name="DATA36" localSheetId="18">'[3]Marengo II'!#REF!</definedName>
    <definedName name="DATA36" localSheetId="19">'[3]Marengo II'!#REF!</definedName>
    <definedName name="DATA36" localSheetId="20">'[3]Marengo II'!#REF!</definedName>
    <definedName name="DATA36" localSheetId="21">'[3]Marengo II'!#REF!</definedName>
    <definedName name="DATA36" localSheetId="22">'[3]Marengo II'!#REF!</definedName>
    <definedName name="DATA36" localSheetId="23">'[3]Marengo II'!#REF!</definedName>
    <definedName name="DATA36" localSheetId="24">'[3]Marengo II'!#REF!</definedName>
    <definedName name="DATA36" localSheetId="27">'[3]Marengo II'!#REF!</definedName>
    <definedName name="DATA36" localSheetId="28">'[3]Marengo II'!#REF!</definedName>
    <definedName name="DATA36" localSheetId="29">'[3]Marengo II'!#REF!</definedName>
    <definedName name="DATA36" localSheetId="30">'[3]Marengo II'!#REF!</definedName>
    <definedName name="DATA36" localSheetId="31">'[3]Marengo II'!#REF!</definedName>
    <definedName name="DATA36" localSheetId="32">'[3]Marengo II'!#REF!</definedName>
    <definedName name="DATA36" localSheetId="33">'[3]Marengo II'!#REF!</definedName>
    <definedName name="DATA36" localSheetId="34">'[3]Marengo II'!#REF!</definedName>
    <definedName name="DATA36" localSheetId="35">'[3]Marengo II'!#REF!</definedName>
    <definedName name="DATA36" localSheetId="36">'[3]Marengo II'!#REF!</definedName>
    <definedName name="DATA36" localSheetId="37">'[3]Marengo II'!#REF!</definedName>
    <definedName name="DATA36" localSheetId="39">'[3]Marengo II'!#REF!</definedName>
    <definedName name="DATA36" localSheetId="40">'[3]Marengo II'!#REF!</definedName>
    <definedName name="DATA36" localSheetId="38">'[3]Marengo II'!#REF!</definedName>
    <definedName name="DATA36" localSheetId="41">'[3]Marengo II'!#REF!</definedName>
    <definedName name="DATA36">'[3]Marengo II'!#REF!</definedName>
    <definedName name="DATA37" localSheetId="5">'[3]Marengo II'!#REF!</definedName>
    <definedName name="DATA37" localSheetId="6">'[3]Marengo II'!#REF!</definedName>
    <definedName name="DATA37" localSheetId="7">'[3]Marengo II'!#REF!</definedName>
    <definedName name="DATA37" localSheetId="8">'[3]Marengo II'!#REF!</definedName>
    <definedName name="DATA37" localSheetId="9">'[3]Marengo II'!#REF!</definedName>
    <definedName name="DATA37" localSheetId="10">'[3]Marengo II'!#REF!</definedName>
    <definedName name="DATA37" localSheetId="11">'[3]Marengo II'!#REF!</definedName>
    <definedName name="DATA37" localSheetId="12">'[3]Marengo II'!#REF!</definedName>
    <definedName name="DATA37" localSheetId="13">'[3]Marengo II'!#REF!</definedName>
    <definedName name="DATA37" localSheetId="14">'[3]Marengo II'!#REF!</definedName>
    <definedName name="DATA37" localSheetId="15">'[3]Marengo II'!#REF!</definedName>
    <definedName name="DATA37" localSheetId="16">'[3]Marengo II'!#REF!</definedName>
    <definedName name="DATA37" localSheetId="17">'[3]Marengo II'!#REF!</definedName>
    <definedName name="DATA37" localSheetId="18">'[3]Marengo II'!#REF!</definedName>
    <definedName name="DATA37" localSheetId="19">'[3]Marengo II'!#REF!</definedName>
    <definedName name="DATA37" localSheetId="20">'[3]Marengo II'!#REF!</definedName>
    <definedName name="DATA37" localSheetId="21">'[3]Marengo II'!#REF!</definedName>
    <definedName name="DATA37" localSheetId="22">'[3]Marengo II'!#REF!</definedName>
    <definedName name="DATA37" localSheetId="23">'[3]Marengo II'!#REF!</definedName>
    <definedName name="DATA37" localSheetId="24">'[3]Marengo II'!#REF!</definedName>
    <definedName name="DATA37" localSheetId="27">'[3]Marengo II'!#REF!</definedName>
    <definedName name="DATA37" localSheetId="28">'[3]Marengo II'!#REF!</definedName>
    <definedName name="DATA37" localSheetId="29">'[3]Marengo II'!#REF!</definedName>
    <definedName name="DATA37" localSheetId="30">'[3]Marengo II'!#REF!</definedName>
    <definedName name="DATA37" localSheetId="31">'[3]Marengo II'!#REF!</definedName>
    <definedName name="DATA37" localSheetId="32">'[3]Marengo II'!#REF!</definedName>
    <definedName name="DATA37" localSheetId="33">'[3]Marengo II'!#REF!</definedName>
    <definedName name="DATA37" localSheetId="34">'[3]Marengo II'!#REF!</definedName>
    <definedName name="DATA37" localSheetId="35">'[3]Marengo II'!#REF!</definedName>
    <definedName name="DATA37" localSheetId="36">'[3]Marengo II'!#REF!</definedName>
    <definedName name="DATA37" localSheetId="37">'[3]Marengo II'!#REF!</definedName>
    <definedName name="DATA37" localSheetId="39">'[3]Marengo II'!#REF!</definedName>
    <definedName name="DATA37" localSheetId="40">'[3]Marengo II'!#REF!</definedName>
    <definedName name="DATA37" localSheetId="38">'[3]Marengo II'!#REF!</definedName>
    <definedName name="DATA37" localSheetId="41">'[3]Marengo II'!#REF!</definedName>
    <definedName name="DATA37">'[3]Marengo II'!#REF!</definedName>
    <definedName name="DATA38" localSheetId="5">'[3]Marengo II'!#REF!</definedName>
    <definedName name="DATA38" localSheetId="6">'[3]Marengo II'!#REF!</definedName>
    <definedName name="DATA38" localSheetId="7">'[3]Marengo II'!#REF!</definedName>
    <definedName name="DATA38" localSheetId="8">'[3]Marengo II'!#REF!</definedName>
    <definedName name="DATA38" localSheetId="9">'[3]Marengo II'!#REF!</definedName>
    <definedName name="DATA38" localSheetId="10">'[3]Marengo II'!#REF!</definedName>
    <definedName name="DATA38" localSheetId="11">'[3]Marengo II'!#REF!</definedName>
    <definedName name="DATA38" localSheetId="12">'[3]Marengo II'!#REF!</definedName>
    <definedName name="DATA38" localSheetId="13">'[3]Marengo II'!#REF!</definedName>
    <definedName name="DATA38" localSheetId="14">'[3]Marengo II'!#REF!</definedName>
    <definedName name="DATA38" localSheetId="15">'[3]Marengo II'!#REF!</definedName>
    <definedName name="DATA38" localSheetId="16">'[3]Marengo II'!#REF!</definedName>
    <definedName name="DATA38" localSheetId="17">'[3]Marengo II'!#REF!</definedName>
    <definedName name="DATA38" localSheetId="18">'[3]Marengo II'!#REF!</definedName>
    <definedName name="DATA38" localSheetId="19">'[3]Marengo II'!#REF!</definedName>
    <definedName name="DATA38" localSheetId="20">'[3]Marengo II'!#REF!</definedName>
    <definedName name="DATA38" localSheetId="21">'[3]Marengo II'!#REF!</definedName>
    <definedName name="DATA38" localSheetId="22">'[3]Marengo II'!#REF!</definedName>
    <definedName name="DATA38" localSheetId="23">'[3]Marengo II'!#REF!</definedName>
    <definedName name="DATA38" localSheetId="24">'[3]Marengo II'!#REF!</definedName>
    <definedName name="DATA38" localSheetId="27">'[3]Marengo II'!#REF!</definedName>
    <definedName name="DATA38" localSheetId="28">'[3]Marengo II'!#REF!</definedName>
    <definedName name="DATA38" localSheetId="29">'[3]Marengo II'!#REF!</definedName>
    <definedName name="DATA38" localSheetId="30">'[3]Marengo II'!#REF!</definedName>
    <definedName name="DATA38" localSheetId="31">'[3]Marengo II'!#REF!</definedName>
    <definedName name="DATA38" localSheetId="32">'[3]Marengo II'!#REF!</definedName>
    <definedName name="DATA38" localSheetId="33">'[3]Marengo II'!#REF!</definedName>
    <definedName name="DATA38" localSheetId="34">'[3]Marengo II'!#REF!</definedName>
    <definedName name="DATA38" localSheetId="35">'[3]Marengo II'!#REF!</definedName>
    <definedName name="DATA38" localSheetId="36">'[3]Marengo II'!#REF!</definedName>
    <definedName name="DATA38" localSheetId="37">'[3]Marengo II'!#REF!</definedName>
    <definedName name="DATA38" localSheetId="39">'[3]Marengo II'!#REF!</definedName>
    <definedName name="DATA38" localSheetId="40">'[3]Marengo II'!#REF!</definedName>
    <definedName name="DATA38" localSheetId="38">'[3]Marengo II'!#REF!</definedName>
    <definedName name="DATA38" localSheetId="41">'[3]Marengo II'!#REF!</definedName>
    <definedName name="DATA38">'[3]Marengo II'!#REF!</definedName>
    <definedName name="DATA39" localSheetId="5">'[3]Marengo II'!#REF!</definedName>
    <definedName name="DATA39" localSheetId="6">'[3]Marengo II'!#REF!</definedName>
    <definedName name="DATA39" localSheetId="7">'[3]Marengo II'!#REF!</definedName>
    <definedName name="DATA39" localSheetId="8">'[3]Marengo II'!#REF!</definedName>
    <definedName name="DATA39" localSheetId="9">'[3]Marengo II'!#REF!</definedName>
    <definedName name="DATA39" localSheetId="10">'[3]Marengo II'!#REF!</definedName>
    <definedName name="DATA39" localSheetId="11">'[3]Marengo II'!#REF!</definedName>
    <definedName name="DATA39" localSheetId="12">'[3]Marengo II'!#REF!</definedName>
    <definedName name="DATA39" localSheetId="13">'[3]Marengo II'!#REF!</definedName>
    <definedName name="DATA39" localSheetId="14">'[3]Marengo II'!#REF!</definedName>
    <definedName name="DATA39" localSheetId="15">'[3]Marengo II'!#REF!</definedName>
    <definedName name="DATA39" localSheetId="16">'[3]Marengo II'!#REF!</definedName>
    <definedName name="DATA39" localSheetId="17">'[3]Marengo II'!#REF!</definedName>
    <definedName name="DATA39" localSheetId="18">'[3]Marengo II'!#REF!</definedName>
    <definedName name="DATA39" localSheetId="19">'[3]Marengo II'!#REF!</definedName>
    <definedName name="DATA39" localSheetId="20">'[3]Marengo II'!#REF!</definedName>
    <definedName name="DATA39" localSheetId="21">'[3]Marengo II'!#REF!</definedName>
    <definedName name="DATA39" localSheetId="22">'[3]Marengo II'!#REF!</definedName>
    <definedName name="DATA39" localSheetId="23">'[3]Marengo II'!#REF!</definedName>
    <definedName name="DATA39" localSheetId="24">'[3]Marengo II'!#REF!</definedName>
    <definedName name="DATA39" localSheetId="27">'[3]Marengo II'!#REF!</definedName>
    <definedName name="DATA39" localSheetId="28">'[3]Marengo II'!#REF!</definedName>
    <definedName name="DATA39" localSheetId="29">'[3]Marengo II'!#REF!</definedName>
    <definedName name="DATA39" localSheetId="30">'[3]Marengo II'!#REF!</definedName>
    <definedName name="DATA39" localSheetId="31">'[3]Marengo II'!#REF!</definedName>
    <definedName name="DATA39" localSheetId="32">'[3]Marengo II'!#REF!</definedName>
    <definedName name="DATA39" localSheetId="33">'[3]Marengo II'!#REF!</definedName>
    <definedName name="DATA39" localSheetId="34">'[3]Marengo II'!#REF!</definedName>
    <definedName name="DATA39" localSheetId="35">'[3]Marengo II'!#REF!</definedName>
    <definedName name="DATA39" localSheetId="36">'[3]Marengo II'!#REF!</definedName>
    <definedName name="DATA39" localSheetId="37">'[3]Marengo II'!#REF!</definedName>
    <definedName name="DATA39" localSheetId="39">'[3]Marengo II'!#REF!</definedName>
    <definedName name="DATA39" localSheetId="40">'[3]Marengo II'!#REF!</definedName>
    <definedName name="DATA39" localSheetId="38">'[3]Marengo II'!#REF!</definedName>
    <definedName name="DATA39" localSheetId="41">'[3]Marengo II'!#REF!</definedName>
    <definedName name="DATA39">'[3]Marengo II'!#REF!</definedName>
    <definedName name="DATA4" localSheetId="5">'[2]OR RPS - Const cost'!#REF!</definedName>
    <definedName name="DATA4" localSheetId="6">'[2]OR RPS - Const cost'!#REF!</definedName>
    <definedName name="DATA4" localSheetId="7">'[2]OR RPS - Const cost'!#REF!</definedName>
    <definedName name="DATA4" localSheetId="8">'[2]OR RPS - Const cost'!#REF!</definedName>
    <definedName name="DATA4" localSheetId="9">'[2]OR RPS - Const cost'!#REF!</definedName>
    <definedName name="DATA4" localSheetId="10">'[2]OR RPS - Const cost'!#REF!</definedName>
    <definedName name="DATA4" localSheetId="11">'[2]OR RPS - Const cost'!#REF!</definedName>
    <definedName name="DATA4" localSheetId="12">'[2]OR RPS - Const cost'!#REF!</definedName>
    <definedName name="DATA4" localSheetId="13">'[2]OR RPS - Const cost'!#REF!</definedName>
    <definedName name="DATA4" localSheetId="14">'[2]OR RPS - Const cost'!#REF!</definedName>
    <definedName name="DATA4" localSheetId="15">'[2]OR RPS - Const cost'!#REF!</definedName>
    <definedName name="DATA4" localSheetId="16">'[2]OR RPS - Const cost'!#REF!</definedName>
    <definedName name="DATA4" localSheetId="17">'[2]OR RPS - Const cost'!#REF!</definedName>
    <definedName name="DATA4" localSheetId="18">'[2]OR RPS - Const cost'!#REF!</definedName>
    <definedName name="DATA4" localSheetId="19">'[2]OR RPS - Const cost'!#REF!</definedName>
    <definedName name="DATA4" localSheetId="20">'[2]OR RPS - Const cost'!#REF!</definedName>
    <definedName name="DATA4" localSheetId="21">'[2]OR RPS - Const cost'!#REF!</definedName>
    <definedName name="DATA4" localSheetId="22">'[2]OR RPS - Const cost'!#REF!</definedName>
    <definedName name="DATA4" localSheetId="23">'[2]OR RPS - Const cost'!#REF!</definedName>
    <definedName name="DATA4" localSheetId="24">'[2]OR RPS - Const cost'!#REF!</definedName>
    <definedName name="DATA4" localSheetId="27">'[2]OR RPS - Const cost'!#REF!</definedName>
    <definedName name="DATA4" localSheetId="28">'[2]OR RPS - Const cost'!#REF!</definedName>
    <definedName name="DATA4" localSheetId="29">'[2]OR RPS - Const cost'!#REF!</definedName>
    <definedName name="DATA4" localSheetId="30">'[2]OR RPS - Const cost'!#REF!</definedName>
    <definedName name="DATA4" localSheetId="31">'[2]OR RPS - Const cost'!#REF!</definedName>
    <definedName name="DATA4" localSheetId="32">'[2]OR RPS - Const cost'!#REF!</definedName>
    <definedName name="DATA4" localSheetId="33">'[2]OR RPS - Const cost'!#REF!</definedName>
    <definedName name="DATA4" localSheetId="34">'[2]OR RPS - Const cost'!#REF!</definedName>
    <definedName name="DATA4" localSheetId="35">'[2]OR RPS - Const cost'!#REF!</definedName>
    <definedName name="DATA4" localSheetId="36">'[2]OR RPS - Const cost'!#REF!</definedName>
    <definedName name="DATA4" localSheetId="37">'[2]OR RPS - Const cost'!#REF!</definedName>
    <definedName name="DATA4" localSheetId="39">'[2]OR RPS - Const cost'!#REF!</definedName>
    <definedName name="DATA4" localSheetId="40">'[2]OR RPS - Const cost'!#REF!</definedName>
    <definedName name="DATA4" localSheetId="38">'[2]OR RPS - Const cost'!#REF!</definedName>
    <definedName name="DATA4" localSheetId="41">'[2]OR RPS - Const cost'!#REF!</definedName>
    <definedName name="DATA4">'[2]OR RPS - Const cost'!#REF!</definedName>
    <definedName name="DATA40" localSheetId="5">'[3]Marengo II'!#REF!</definedName>
    <definedName name="DATA40" localSheetId="6">'[3]Marengo II'!#REF!</definedName>
    <definedName name="DATA40" localSheetId="7">'[3]Marengo II'!#REF!</definedName>
    <definedName name="DATA40" localSheetId="8">'[3]Marengo II'!#REF!</definedName>
    <definedName name="DATA40" localSheetId="9">'[3]Marengo II'!#REF!</definedName>
    <definedName name="DATA40" localSheetId="10">'[3]Marengo II'!#REF!</definedName>
    <definedName name="DATA40" localSheetId="11">'[3]Marengo II'!#REF!</definedName>
    <definedName name="DATA40" localSheetId="12">'[3]Marengo II'!#REF!</definedName>
    <definedName name="DATA40" localSheetId="13">'[3]Marengo II'!#REF!</definedName>
    <definedName name="DATA40" localSheetId="14">'[3]Marengo II'!#REF!</definedName>
    <definedName name="DATA40" localSheetId="15">'[3]Marengo II'!#REF!</definedName>
    <definedName name="DATA40" localSheetId="16">'[3]Marengo II'!#REF!</definedName>
    <definedName name="DATA40" localSheetId="17">'[3]Marengo II'!#REF!</definedName>
    <definedName name="DATA40" localSheetId="18">'[3]Marengo II'!#REF!</definedName>
    <definedName name="DATA40" localSheetId="19">'[3]Marengo II'!#REF!</definedName>
    <definedName name="DATA40" localSheetId="20">'[3]Marengo II'!#REF!</definedName>
    <definedName name="DATA40" localSheetId="21">'[3]Marengo II'!#REF!</definedName>
    <definedName name="DATA40" localSheetId="22">'[3]Marengo II'!#REF!</definedName>
    <definedName name="DATA40" localSheetId="23">'[3]Marengo II'!#REF!</definedName>
    <definedName name="DATA40" localSheetId="24">'[3]Marengo II'!#REF!</definedName>
    <definedName name="DATA40" localSheetId="27">'[3]Marengo II'!#REF!</definedName>
    <definedName name="DATA40" localSheetId="28">'[3]Marengo II'!#REF!</definedName>
    <definedName name="DATA40" localSheetId="29">'[3]Marengo II'!#REF!</definedName>
    <definedName name="DATA40" localSheetId="30">'[3]Marengo II'!#REF!</definedName>
    <definedName name="DATA40" localSheetId="31">'[3]Marengo II'!#REF!</definedName>
    <definedName name="DATA40" localSheetId="32">'[3]Marengo II'!#REF!</definedName>
    <definedName name="DATA40" localSheetId="33">'[3]Marengo II'!#REF!</definedName>
    <definedName name="DATA40" localSheetId="34">'[3]Marengo II'!#REF!</definedName>
    <definedName name="DATA40" localSheetId="35">'[3]Marengo II'!#REF!</definedName>
    <definedName name="DATA40" localSheetId="36">'[3]Marengo II'!#REF!</definedName>
    <definedName name="DATA40" localSheetId="37">'[3]Marengo II'!#REF!</definedName>
    <definedName name="DATA40" localSheetId="39">'[3]Marengo II'!#REF!</definedName>
    <definedName name="DATA40" localSheetId="40">'[3]Marengo II'!#REF!</definedName>
    <definedName name="DATA40" localSheetId="38">'[3]Marengo II'!#REF!</definedName>
    <definedName name="DATA40" localSheetId="41">'[3]Marengo II'!#REF!</definedName>
    <definedName name="DATA40">'[3]Marengo II'!#REF!</definedName>
    <definedName name="DATA41" localSheetId="5">'[3]Marengo II'!#REF!</definedName>
    <definedName name="DATA41" localSheetId="6">'[3]Marengo II'!#REF!</definedName>
    <definedName name="DATA41" localSheetId="7">'[3]Marengo II'!#REF!</definedName>
    <definedName name="DATA41" localSheetId="8">'[3]Marengo II'!#REF!</definedName>
    <definedName name="DATA41" localSheetId="9">'[3]Marengo II'!#REF!</definedName>
    <definedName name="DATA41" localSheetId="10">'[3]Marengo II'!#REF!</definedName>
    <definedName name="DATA41" localSheetId="11">'[3]Marengo II'!#REF!</definedName>
    <definedName name="DATA41" localSheetId="12">'[3]Marengo II'!#REF!</definedName>
    <definedName name="DATA41" localSheetId="13">'[3]Marengo II'!#REF!</definedName>
    <definedName name="DATA41" localSheetId="14">'[3]Marengo II'!#REF!</definedName>
    <definedName name="DATA41" localSheetId="15">'[3]Marengo II'!#REF!</definedName>
    <definedName name="DATA41" localSheetId="16">'[3]Marengo II'!#REF!</definedName>
    <definedName name="DATA41" localSheetId="17">'[3]Marengo II'!#REF!</definedName>
    <definedName name="DATA41" localSheetId="18">'[3]Marengo II'!#REF!</definedName>
    <definedName name="DATA41" localSheetId="19">'[3]Marengo II'!#REF!</definedName>
    <definedName name="DATA41" localSheetId="20">'[3]Marengo II'!#REF!</definedName>
    <definedName name="DATA41" localSheetId="21">'[3]Marengo II'!#REF!</definedName>
    <definedName name="DATA41" localSheetId="22">'[3]Marengo II'!#REF!</definedName>
    <definedName name="DATA41" localSheetId="23">'[3]Marengo II'!#REF!</definedName>
    <definedName name="DATA41" localSheetId="24">'[3]Marengo II'!#REF!</definedName>
    <definedName name="DATA41" localSheetId="27">'[3]Marengo II'!#REF!</definedName>
    <definedName name="DATA41" localSheetId="28">'[3]Marengo II'!#REF!</definedName>
    <definedName name="DATA41" localSheetId="29">'[3]Marengo II'!#REF!</definedName>
    <definedName name="DATA41" localSheetId="30">'[3]Marengo II'!#REF!</definedName>
    <definedName name="DATA41" localSheetId="31">'[3]Marengo II'!#REF!</definedName>
    <definedName name="DATA41" localSheetId="32">'[3]Marengo II'!#REF!</definedName>
    <definedName name="DATA41" localSheetId="33">'[3]Marengo II'!#REF!</definedName>
    <definedName name="DATA41" localSheetId="34">'[3]Marengo II'!#REF!</definedName>
    <definedName name="DATA41" localSheetId="35">'[3]Marengo II'!#REF!</definedName>
    <definedName name="DATA41" localSheetId="36">'[3]Marengo II'!#REF!</definedName>
    <definedName name="DATA41" localSheetId="37">'[3]Marengo II'!#REF!</definedName>
    <definedName name="DATA41" localSheetId="39">'[3]Marengo II'!#REF!</definedName>
    <definedName name="DATA41" localSheetId="40">'[3]Marengo II'!#REF!</definedName>
    <definedName name="DATA41" localSheetId="38">'[3]Marengo II'!#REF!</definedName>
    <definedName name="DATA41" localSheetId="41">'[3]Marengo II'!#REF!</definedName>
    <definedName name="DATA41">'[3]Marengo II'!#REF!</definedName>
    <definedName name="DATA42" localSheetId="5">'[3]Marengo II'!#REF!</definedName>
    <definedName name="DATA42" localSheetId="6">'[3]Marengo II'!#REF!</definedName>
    <definedName name="DATA42" localSheetId="7">'[3]Marengo II'!#REF!</definedName>
    <definedName name="DATA42" localSheetId="8">'[3]Marengo II'!#REF!</definedName>
    <definedName name="DATA42" localSheetId="9">'[3]Marengo II'!#REF!</definedName>
    <definedName name="DATA42" localSheetId="10">'[3]Marengo II'!#REF!</definedName>
    <definedName name="DATA42" localSheetId="11">'[3]Marengo II'!#REF!</definedName>
    <definedName name="DATA42" localSheetId="12">'[3]Marengo II'!#REF!</definedName>
    <definedName name="DATA42" localSheetId="13">'[3]Marengo II'!#REF!</definedName>
    <definedName name="DATA42" localSheetId="14">'[3]Marengo II'!#REF!</definedName>
    <definedName name="DATA42" localSheetId="15">'[3]Marengo II'!#REF!</definedName>
    <definedName name="DATA42" localSheetId="16">'[3]Marengo II'!#REF!</definedName>
    <definedName name="DATA42" localSheetId="17">'[3]Marengo II'!#REF!</definedName>
    <definedName name="DATA42" localSheetId="18">'[3]Marengo II'!#REF!</definedName>
    <definedName name="DATA42" localSheetId="19">'[3]Marengo II'!#REF!</definedName>
    <definedName name="DATA42" localSheetId="20">'[3]Marengo II'!#REF!</definedName>
    <definedName name="DATA42" localSheetId="21">'[3]Marengo II'!#REF!</definedName>
    <definedName name="DATA42" localSheetId="22">'[3]Marengo II'!#REF!</definedName>
    <definedName name="DATA42" localSheetId="23">'[3]Marengo II'!#REF!</definedName>
    <definedName name="DATA42" localSheetId="24">'[3]Marengo II'!#REF!</definedName>
    <definedName name="DATA42" localSheetId="27">'[3]Marengo II'!#REF!</definedName>
    <definedName name="DATA42" localSheetId="28">'[3]Marengo II'!#REF!</definedName>
    <definedName name="DATA42" localSheetId="29">'[3]Marengo II'!#REF!</definedName>
    <definedName name="DATA42" localSheetId="30">'[3]Marengo II'!#REF!</definedName>
    <definedName name="DATA42" localSheetId="31">'[3]Marengo II'!#REF!</definedName>
    <definedName name="DATA42" localSheetId="32">'[3]Marengo II'!#REF!</definedName>
    <definedName name="DATA42" localSheetId="33">'[3]Marengo II'!#REF!</definedName>
    <definedName name="DATA42" localSheetId="34">'[3]Marengo II'!#REF!</definedName>
    <definedName name="DATA42" localSheetId="35">'[3]Marengo II'!#REF!</definedName>
    <definedName name="DATA42" localSheetId="36">'[3]Marengo II'!#REF!</definedName>
    <definedName name="DATA42" localSheetId="37">'[3]Marengo II'!#REF!</definedName>
    <definedName name="DATA42" localSheetId="39">'[3]Marengo II'!#REF!</definedName>
    <definedName name="DATA42" localSheetId="40">'[3]Marengo II'!#REF!</definedName>
    <definedName name="DATA42" localSheetId="38">'[3]Marengo II'!#REF!</definedName>
    <definedName name="DATA42" localSheetId="41">'[3]Marengo II'!#REF!</definedName>
    <definedName name="DATA42">'[3]Marengo II'!#REF!</definedName>
    <definedName name="DATA43" localSheetId="5">'[3]Marengo II'!#REF!</definedName>
    <definedName name="DATA43" localSheetId="6">'[3]Marengo II'!#REF!</definedName>
    <definedName name="DATA43" localSheetId="7">'[3]Marengo II'!#REF!</definedName>
    <definedName name="DATA43" localSheetId="8">'[3]Marengo II'!#REF!</definedName>
    <definedName name="DATA43" localSheetId="9">'[3]Marengo II'!#REF!</definedName>
    <definedName name="DATA43" localSheetId="10">'[3]Marengo II'!#REF!</definedName>
    <definedName name="DATA43" localSheetId="11">'[3]Marengo II'!#REF!</definedName>
    <definedName name="DATA43" localSheetId="12">'[3]Marengo II'!#REF!</definedName>
    <definedName name="DATA43" localSheetId="13">'[3]Marengo II'!#REF!</definedName>
    <definedName name="DATA43" localSheetId="14">'[3]Marengo II'!#REF!</definedName>
    <definedName name="DATA43" localSheetId="15">'[3]Marengo II'!#REF!</definedName>
    <definedName name="DATA43" localSheetId="16">'[3]Marengo II'!#REF!</definedName>
    <definedName name="DATA43" localSheetId="17">'[3]Marengo II'!#REF!</definedName>
    <definedName name="DATA43" localSheetId="18">'[3]Marengo II'!#REF!</definedName>
    <definedName name="DATA43" localSheetId="19">'[3]Marengo II'!#REF!</definedName>
    <definedName name="DATA43" localSheetId="20">'[3]Marengo II'!#REF!</definedName>
    <definedName name="DATA43" localSheetId="21">'[3]Marengo II'!#REF!</definedName>
    <definedName name="DATA43" localSheetId="22">'[3]Marengo II'!#REF!</definedName>
    <definedName name="DATA43" localSheetId="23">'[3]Marengo II'!#REF!</definedName>
    <definedName name="DATA43" localSheetId="24">'[3]Marengo II'!#REF!</definedName>
    <definedName name="DATA43" localSheetId="27">'[3]Marengo II'!#REF!</definedName>
    <definedName name="DATA43" localSheetId="28">'[3]Marengo II'!#REF!</definedName>
    <definedName name="DATA43" localSheetId="29">'[3]Marengo II'!#REF!</definedName>
    <definedName name="DATA43" localSheetId="30">'[3]Marengo II'!#REF!</definedName>
    <definedName name="DATA43" localSheetId="31">'[3]Marengo II'!#REF!</definedName>
    <definedName name="DATA43" localSheetId="32">'[3]Marengo II'!#REF!</definedName>
    <definedName name="DATA43" localSheetId="33">'[3]Marengo II'!#REF!</definedName>
    <definedName name="DATA43" localSheetId="34">'[3]Marengo II'!#REF!</definedName>
    <definedName name="DATA43" localSheetId="35">'[3]Marengo II'!#REF!</definedName>
    <definedName name="DATA43" localSheetId="36">'[3]Marengo II'!#REF!</definedName>
    <definedName name="DATA43" localSheetId="37">'[3]Marengo II'!#REF!</definedName>
    <definedName name="DATA43" localSheetId="39">'[3]Marengo II'!#REF!</definedName>
    <definedName name="DATA43" localSheetId="40">'[3]Marengo II'!#REF!</definedName>
    <definedName name="DATA43" localSheetId="38">'[3]Marengo II'!#REF!</definedName>
    <definedName name="DATA43" localSheetId="41">'[3]Marengo II'!#REF!</definedName>
    <definedName name="DATA43">'[3]Marengo II'!#REF!</definedName>
    <definedName name="DATA44" localSheetId="5">'[3]Marengo II'!#REF!</definedName>
    <definedName name="DATA44" localSheetId="6">'[3]Marengo II'!#REF!</definedName>
    <definedName name="DATA44" localSheetId="7">'[3]Marengo II'!#REF!</definedName>
    <definedName name="DATA44" localSheetId="8">'[3]Marengo II'!#REF!</definedName>
    <definedName name="DATA44" localSheetId="9">'[3]Marengo II'!#REF!</definedName>
    <definedName name="DATA44" localSheetId="10">'[3]Marengo II'!#REF!</definedName>
    <definedName name="DATA44" localSheetId="11">'[3]Marengo II'!#REF!</definedName>
    <definedName name="DATA44" localSheetId="12">'[3]Marengo II'!#REF!</definedName>
    <definedName name="DATA44" localSheetId="13">'[3]Marengo II'!#REF!</definedName>
    <definedName name="DATA44" localSheetId="14">'[3]Marengo II'!#REF!</definedName>
    <definedName name="DATA44" localSheetId="15">'[3]Marengo II'!#REF!</definedName>
    <definedName name="DATA44" localSheetId="16">'[3]Marengo II'!#REF!</definedName>
    <definedName name="DATA44" localSheetId="17">'[3]Marengo II'!#REF!</definedName>
    <definedName name="DATA44" localSheetId="18">'[3]Marengo II'!#REF!</definedName>
    <definedName name="DATA44" localSheetId="19">'[3]Marengo II'!#REF!</definedName>
    <definedName name="DATA44" localSheetId="20">'[3]Marengo II'!#REF!</definedName>
    <definedName name="DATA44" localSheetId="21">'[3]Marengo II'!#REF!</definedName>
    <definedName name="DATA44" localSheetId="22">'[3]Marengo II'!#REF!</definedName>
    <definedName name="DATA44" localSheetId="23">'[3]Marengo II'!#REF!</definedName>
    <definedName name="DATA44" localSheetId="24">'[3]Marengo II'!#REF!</definedName>
    <definedName name="DATA44" localSheetId="27">'[3]Marengo II'!#REF!</definedName>
    <definedName name="DATA44" localSheetId="28">'[3]Marengo II'!#REF!</definedName>
    <definedName name="DATA44" localSheetId="29">'[3]Marengo II'!#REF!</definedName>
    <definedName name="DATA44" localSheetId="30">'[3]Marengo II'!#REF!</definedName>
    <definedName name="DATA44" localSheetId="31">'[3]Marengo II'!#REF!</definedName>
    <definedName name="DATA44" localSheetId="32">'[3]Marengo II'!#REF!</definedName>
    <definedName name="DATA44" localSheetId="33">'[3]Marengo II'!#REF!</definedName>
    <definedName name="DATA44" localSheetId="34">'[3]Marengo II'!#REF!</definedName>
    <definedName name="DATA44" localSheetId="35">'[3]Marengo II'!#REF!</definedName>
    <definedName name="DATA44" localSheetId="36">'[3]Marengo II'!#REF!</definedName>
    <definedName name="DATA44" localSheetId="37">'[3]Marengo II'!#REF!</definedName>
    <definedName name="DATA44" localSheetId="39">'[3]Marengo II'!#REF!</definedName>
    <definedName name="DATA44" localSheetId="40">'[3]Marengo II'!#REF!</definedName>
    <definedName name="DATA44" localSheetId="38">'[3]Marengo II'!#REF!</definedName>
    <definedName name="DATA44" localSheetId="41">'[3]Marengo II'!#REF!</definedName>
    <definedName name="DATA44">'[3]Marengo II'!#REF!</definedName>
    <definedName name="DATA45" localSheetId="5">'[3]Marengo II'!#REF!</definedName>
    <definedName name="DATA45" localSheetId="6">'[3]Marengo II'!#REF!</definedName>
    <definedName name="DATA45" localSheetId="7">'[3]Marengo II'!#REF!</definedName>
    <definedName name="DATA45" localSheetId="8">'[3]Marengo II'!#REF!</definedName>
    <definedName name="DATA45" localSheetId="9">'[3]Marengo II'!#REF!</definedName>
    <definedName name="DATA45" localSheetId="10">'[3]Marengo II'!#REF!</definedName>
    <definedName name="DATA45" localSheetId="11">'[3]Marengo II'!#REF!</definedName>
    <definedName name="DATA45" localSheetId="12">'[3]Marengo II'!#REF!</definedName>
    <definedName name="DATA45" localSheetId="13">'[3]Marengo II'!#REF!</definedName>
    <definedName name="DATA45" localSheetId="14">'[3]Marengo II'!#REF!</definedName>
    <definedName name="DATA45" localSheetId="15">'[3]Marengo II'!#REF!</definedName>
    <definedName name="DATA45" localSheetId="16">'[3]Marengo II'!#REF!</definedName>
    <definedName name="DATA45" localSheetId="17">'[3]Marengo II'!#REF!</definedName>
    <definedName name="DATA45" localSheetId="18">'[3]Marengo II'!#REF!</definedName>
    <definedName name="DATA45" localSheetId="19">'[3]Marengo II'!#REF!</definedName>
    <definedName name="DATA45" localSheetId="20">'[3]Marengo II'!#REF!</definedName>
    <definedName name="DATA45" localSheetId="21">'[3]Marengo II'!#REF!</definedName>
    <definedName name="DATA45" localSheetId="22">'[3]Marengo II'!#REF!</definedName>
    <definedName name="DATA45" localSheetId="23">'[3]Marengo II'!#REF!</definedName>
    <definedName name="DATA45" localSheetId="24">'[3]Marengo II'!#REF!</definedName>
    <definedName name="DATA45" localSheetId="27">'[3]Marengo II'!#REF!</definedName>
    <definedName name="DATA45" localSheetId="28">'[3]Marengo II'!#REF!</definedName>
    <definedName name="DATA45" localSheetId="29">'[3]Marengo II'!#REF!</definedName>
    <definedName name="DATA45" localSheetId="30">'[3]Marengo II'!#REF!</definedName>
    <definedName name="DATA45" localSheetId="31">'[3]Marengo II'!#REF!</definedName>
    <definedName name="DATA45" localSheetId="32">'[3]Marengo II'!#REF!</definedName>
    <definedName name="DATA45" localSheetId="33">'[3]Marengo II'!#REF!</definedName>
    <definedName name="DATA45" localSheetId="34">'[3]Marengo II'!#REF!</definedName>
    <definedName name="DATA45" localSheetId="35">'[3]Marengo II'!#REF!</definedName>
    <definedName name="DATA45" localSheetId="36">'[3]Marengo II'!#REF!</definedName>
    <definedName name="DATA45" localSheetId="37">'[3]Marengo II'!#REF!</definedName>
    <definedName name="DATA45" localSheetId="39">'[3]Marengo II'!#REF!</definedName>
    <definedName name="DATA45" localSheetId="40">'[3]Marengo II'!#REF!</definedName>
    <definedName name="DATA45" localSheetId="38">'[3]Marengo II'!#REF!</definedName>
    <definedName name="DATA45" localSheetId="41">'[3]Marengo II'!#REF!</definedName>
    <definedName name="DATA45">'[3]Marengo II'!#REF!</definedName>
    <definedName name="DATA5" localSheetId="5">'[3]Marengo II'!#REF!</definedName>
    <definedName name="DATA5" localSheetId="6">'[3]Marengo II'!#REF!</definedName>
    <definedName name="DATA5" localSheetId="7">'[3]Marengo II'!#REF!</definedName>
    <definedName name="DATA5" localSheetId="8">'[3]Marengo II'!#REF!</definedName>
    <definedName name="DATA5" localSheetId="9">'[3]Marengo II'!#REF!</definedName>
    <definedName name="DATA5" localSheetId="10">'[3]Marengo II'!#REF!</definedName>
    <definedName name="DATA5" localSheetId="11">'[3]Marengo II'!#REF!</definedName>
    <definedName name="DATA5" localSheetId="12">'[3]Marengo II'!#REF!</definedName>
    <definedName name="DATA5" localSheetId="13">'[3]Marengo II'!#REF!</definedName>
    <definedName name="DATA5" localSheetId="14">'[3]Marengo II'!#REF!</definedName>
    <definedName name="DATA5" localSheetId="15">'[3]Marengo II'!#REF!</definedName>
    <definedName name="DATA5" localSheetId="16">'[3]Marengo II'!#REF!</definedName>
    <definedName name="DATA5" localSheetId="17">'[3]Marengo II'!#REF!</definedName>
    <definedName name="DATA5" localSheetId="18">'[3]Marengo II'!#REF!</definedName>
    <definedName name="DATA5" localSheetId="19">'[3]Marengo II'!#REF!</definedName>
    <definedName name="DATA5" localSheetId="20">'[3]Marengo II'!#REF!</definedName>
    <definedName name="DATA5" localSheetId="21">'[3]Marengo II'!#REF!</definedName>
    <definedName name="DATA5" localSheetId="22">'[3]Marengo II'!#REF!</definedName>
    <definedName name="DATA5" localSheetId="23">'[3]Marengo II'!#REF!</definedName>
    <definedName name="DATA5" localSheetId="24">'[3]Marengo II'!#REF!</definedName>
    <definedName name="DATA5" localSheetId="27">'[3]Marengo II'!#REF!</definedName>
    <definedName name="DATA5" localSheetId="28">'[3]Marengo II'!#REF!</definedName>
    <definedName name="DATA5" localSheetId="29">'[3]Marengo II'!#REF!</definedName>
    <definedName name="DATA5" localSheetId="30">'[3]Marengo II'!#REF!</definedName>
    <definedName name="DATA5" localSheetId="31">'[3]Marengo II'!#REF!</definedName>
    <definedName name="DATA5" localSheetId="32">'[3]Marengo II'!#REF!</definedName>
    <definedName name="DATA5" localSheetId="33">'[3]Marengo II'!#REF!</definedName>
    <definedName name="DATA5" localSheetId="34">'[3]Marengo II'!#REF!</definedName>
    <definedName name="DATA5" localSheetId="35">'[3]Marengo II'!#REF!</definedName>
    <definedName name="DATA5" localSheetId="36">'[3]Marengo II'!#REF!</definedName>
    <definedName name="DATA5" localSheetId="37">'[3]Marengo II'!#REF!</definedName>
    <definedName name="DATA5" localSheetId="39">'[3]Marengo II'!#REF!</definedName>
    <definedName name="DATA5" localSheetId="40">'[3]Marengo II'!#REF!</definedName>
    <definedName name="DATA5" localSheetId="38">'[3]Marengo II'!#REF!</definedName>
    <definedName name="DATA5" localSheetId="41">'[3]Marengo II'!#REF!</definedName>
    <definedName name="DATA5">'[3]Marengo II'!#REF!</definedName>
    <definedName name="DATA6" localSheetId="5">'[2]OR RPS - Const cost'!#REF!</definedName>
    <definedName name="DATA6" localSheetId="6">'[2]OR RPS - Const cost'!#REF!</definedName>
    <definedName name="DATA6" localSheetId="7">'[2]OR RPS - Const cost'!#REF!</definedName>
    <definedName name="DATA6" localSheetId="8">'[2]OR RPS - Const cost'!#REF!</definedName>
    <definedName name="DATA6" localSheetId="9">'[2]OR RPS - Const cost'!#REF!</definedName>
    <definedName name="DATA6" localSheetId="10">'[2]OR RPS - Const cost'!#REF!</definedName>
    <definedName name="DATA6" localSheetId="11">'[2]OR RPS - Const cost'!#REF!</definedName>
    <definedName name="DATA6" localSheetId="12">'[2]OR RPS - Const cost'!#REF!</definedName>
    <definedName name="DATA6" localSheetId="13">'[2]OR RPS - Const cost'!#REF!</definedName>
    <definedName name="DATA6" localSheetId="14">'[2]OR RPS - Const cost'!#REF!</definedName>
    <definedName name="DATA6" localSheetId="15">'[2]OR RPS - Const cost'!#REF!</definedName>
    <definedName name="DATA6" localSheetId="16">'[2]OR RPS - Const cost'!#REF!</definedName>
    <definedName name="DATA6" localSheetId="17">'[2]OR RPS - Const cost'!#REF!</definedName>
    <definedName name="DATA6" localSheetId="18">'[2]OR RPS - Const cost'!#REF!</definedName>
    <definedName name="DATA6" localSheetId="19">'[2]OR RPS - Const cost'!#REF!</definedName>
    <definedName name="DATA6" localSheetId="20">'[2]OR RPS - Const cost'!#REF!</definedName>
    <definedName name="DATA6" localSheetId="21">'[2]OR RPS - Const cost'!#REF!</definedName>
    <definedName name="DATA6" localSheetId="22">'[2]OR RPS - Const cost'!#REF!</definedName>
    <definedName name="DATA6" localSheetId="23">'[2]OR RPS - Const cost'!#REF!</definedName>
    <definedName name="DATA6" localSheetId="24">'[2]OR RPS - Const cost'!#REF!</definedName>
    <definedName name="DATA6" localSheetId="27">'[2]OR RPS - Const cost'!#REF!</definedName>
    <definedName name="DATA6" localSheetId="28">'[2]OR RPS - Const cost'!#REF!</definedName>
    <definedName name="DATA6" localSheetId="29">'[2]OR RPS - Const cost'!#REF!</definedName>
    <definedName name="DATA6" localSheetId="30">'[2]OR RPS - Const cost'!#REF!</definedName>
    <definedName name="DATA6" localSheetId="31">'[2]OR RPS - Const cost'!#REF!</definedName>
    <definedName name="DATA6" localSheetId="32">'[2]OR RPS - Const cost'!#REF!</definedName>
    <definedName name="DATA6" localSheetId="33">'[2]OR RPS - Const cost'!#REF!</definedName>
    <definedName name="DATA6" localSheetId="34">'[2]OR RPS - Const cost'!#REF!</definedName>
    <definedName name="DATA6" localSheetId="35">'[2]OR RPS - Const cost'!#REF!</definedName>
    <definedName name="DATA6" localSheetId="36">'[2]OR RPS - Const cost'!#REF!</definedName>
    <definedName name="DATA6" localSheetId="37">'[2]OR RPS - Const cost'!#REF!</definedName>
    <definedName name="DATA6" localSheetId="39">'[2]OR RPS - Const cost'!#REF!</definedName>
    <definedName name="DATA6" localSheetId="40">'[2]OR RPS - Const cost'!#REF!</definedName>
    <definedName name="DATA6" localSheetId="38">'[2]OR RPS - Const cost'!#REF!</definedName>
    <definedName name="DATA6" localSheetId="41">'[2]OR RPS - Const cost'!#REF!</definedName>
    <definedName name="DATA6">'[2]OR RPS - Const cost'!#REF!</definedName>
    <definedName name="DATA7" localSheetId="5">'[2]OR RPS - Const cost'!#REF!</definedName>
    <definedName name="DATA7" localSheetId="6">'[2]OR RPS - Const cost'!#REF!</definedName>
    <definedName name="DATA7" localSheetId="7">'[2]OR RPS - Const cost'!#REF!</definedName>
    <definedName name="DATA7" localSheetId="8">'[2]OR RPS - Const cost'!#REF!</definedName>
    <definedName name="DATA7" localSheetId="9">'[2]OR RPS - Const cost'!#REF!</definedName>
    <definedName name="DATA7" localSheetId="10">'[2]OR RPS - Const cost'!#REF!</definedName>
    <definedName name="DATA7" localSheetId="11">'[2]OR RPS - Const cost'!#REF!</definedName>
    <definedName name="DATA7" localSheetId="12">'[2]OR RPS - Const cost'!#REF!</definedName>
    <definedName name="DATA7" localSheetId="13">'[2]OR RPS - Const cost'!#REF!</definedName>
    <definedName name="DATA7" localSheetId="14">'[2]OR RPS - Const cost'!#REF!</definedName>
    <definedName name="DATA7" localSheetId="15">'[2]OR RPS - Const cost'!#REF!</definedName>
    <definedName name="DATA7" localSheetId="16">'[2]OR RPS - Const cost'!#REF!</definedName>
    <definedName name="DATA7" localSheetId="17">'[2]OR RPS - Const cost'!#REF!</definedName>
    <definedName name="DATA7" localSheetId="18">'[2]OR RPS - Const cost'!#REF!</definedName>
    <definedName name="DATA7" localSheetId="19">'[2]OR RPS - Const cost'!#REF!</definedName>
    <definedName name="DATA7" localSheetId="20">'[2]OR RPS - Const cost'!#REF!</definedName>
    <definedName name="DATA7" localSheetId="21">'[2]OR RPS - Const cost'!#REF!</definedName>
    <definedName name="DATA7" localSheetId="22">'[2]OR RPS - Const cost'!#REF!</definedName>
    <definedName name="DATA7" localSheetId="23">'[2]OR RPS - Const cost'!#REF!</definedName>
    <definedName name="DATA7" localSheetId="24">'[2]OR RPS - Const cost'!#REF!</definedName>
    <definedName name="DATA7" localSheetId="27">'[2]OR RPS - Const cost'!#REF!</definedName>
    <definedName name="DATA7" localSheetId="28">'[2]OR RPS - Const cost'!#REF!</definedName>
    <definedName name="DATA7" localSheetId="29">'[2]OR RPS - Const cost'!#REF!</definedName>
    <definedName name="DATA7" localSheetId="30">'[2]OR RPS - Const cost'!#REF!</definedName>
    <definedName name="DATA7" localSheetId="31">'[2]OR RPS - Const cost'!#REF!</definedName>
    <definedName name="DATA7" localSheetId="32">'[2]OR RPS - Const cost'!#REF!</definedName>
    <definedName name="DATA7" localSheetId="33">'[2]OR RPS - Const cost'!#REF!</definedName>
    <definedName name="DATA7" localSheetId="34">'[2]OR RPS - Const cost'!#REF!</definedName>
    <definedName name="DATA7" localSheetId="35">'[2]OR RPS - Const cost'!#REF!</definedName>
    <definedName name="DATA7" localSheetId="36">'[2]OR RPS - Const cost'!#REF!</definedName>
    <definedName name="DATA7" localSheetId="37">'[2]OR RPS - Const cost'!#REF!</definedName>
    <definedName name="DATA7" localSheetId="39">'[2]OR RPS - Const cost'!#REF!</definedName>
    <definedName name="DATA7" localSheetId="40">'[2]OR RPS - Const cost'!#REF!</definedName>
    <definedName name="DATA7" localSheetId="38">'[2]OR RPS - Const cost'!#REF!</definedName>
    <definedName name="DATA7" localSheetId="41">'[2]OR RPS - Const cost'!#REF!</definedName>
    <definedName name="DATA7">'[2]OR RPS - Const cost'!#REF!</definedName>
    <definedName name="DATA8" localSheetId="5">'[2]OR RPS - Const cost'!#REF!</definedName>
    <definedName name="DATA8" localSheetId="6">'[2]OR RPS - Const cost'!#REF!</definedName>
    <definedName name="DATA8" localSheetId="7">'[2]OR RPS - Const cost'!#REF!</definedName>
    <definedName name="DATA8" localSheetId="8">'[2]OR RPS - Const cost'!#REF!</definedName>
    <definedName name="DATA8" localSheetId="9">'[2]OR RPS - Const cost'!#REF!</definedName>
    <definedName name="DATA8" localSheetId="10">'[2]OR RPS - Const cost'!#REF!</definedName>
    <definedName name="DATA8" localSheetId="11">'[2]OR RPS - Const cost'!#REF!</definedName>
    <definedName name="DATA8" localSheetId="12">'[2]OR RPS - Const cost'!#REF!</definedName>
    <definedName name="DATA8" localSheetId="13">'[2]OR RPS - Const cost'!#REF!</definedName>
    <definedName name="DATA8" localSheetId="14">'[2]OR RPS - Const cost'!#REF!</definedName>
    <definedName name="DATA8" localSheetId="15">'[2]OR RPS - Const cost'!#REF!</definedName>
    <definedName name="DATA8" localSheetId="16">'[2]OR RPS - Const cost'!#REF!</definedName>
    <definedName name="DATA8" localSheetId="17">'[2]OR RPS - Const cost'!#REF!</definedName>
    <definedName name="DATA8" localSheetId="18">'[2]OR RPS - Const cost'!#REF!</definedName>
    <definedName name="DATA8" localSheetId="19">'[2]OR RPS - Const cost'!#REF!</definedName>
    <definedName name="DATA8" localSheetId="20">'[2]OR RPS - Const cost'!#REF!</definedName>
    <definedName name="DATA8" localSheetId="21">'[2]OR RPS - Const cost'!#REF!</definedName>
    <definedName name="DATA8" localSheetId="22">'[2]OR RPS - Const cost'!#REF!</definedName>
    <definedName name="DATA8" localSheetId="23">'[2]OR RPS - Const cost'!#REF!</definedName>
    <definedName name="DATA8" localSheetId="24">'[2]OR RPS - Const cost'!#REF!</definedName>
    <definedName name="DATA8" localSheetId="27">'[2]OR RPS - Const cost'!#REF!</definedName>
    <definedName name="DATA8" localSheetId="28">'[2]OR RPS - Const cost'!#REF!</definedName>
    <definedName name="DATA8" localSheetId="29">'[2]OR RPS - Const cost'!#REF!</definedName>
    <definedName name="DATA8" localSheetId="30">'[2]OR RPS - Const cost'!#REF!</definedName>
    <definedName name="DATA8" localSheetId="31">'[2]OR RPS - Const cost'!#REF!</definedName>
    <definedName name="DATA8" localSheetId="32">'[2]OR RPS - Const cost'!#REF!</definedName>
    <definedName name="DATA8" localSheetId="33">'[2]OR RPS - Const cost'!#REF!</definedName>
    <definedName name="DATA8" localSheetId="34">'[2]OR RPS - Const cost'!#REF!</definedName>
    <definedName name="DATA8" localSheetId="35">'[2]OR RPS - Const cost'!#REF!</definedName>
    <definedName name="DATA8" localSheetId="36">'[2]OR RPS - Const cost'!#REF!</definedName>
    <definedName name="DATA8" localSheetId="37">'[2]OR RPS - Const cost'!#REF!</definedName>
    <definedName name="DATA8" localSheetId="39">'[2]OR RPS - Const cost'!#REF!</definedName>
    <definedName name="DATA8" localSheetId="40">'[2]OR RPS - Const cost'!#REF!</definedName>
    <definedName name="DATA8" localSheetId="38">'[2]OR RPS - Const cost'!#REF!</definedName>
    <definedName name="DATA8" localSheetId="41">'[2]OR RPS - Const cost'!#REF!</definedName>
    <definedName name="DATA8">'[2]OR RPS - Const cost'!#REF!</definedName>
    <definedName name="DATA9" localSheetId="5">'[3]Marengo II'!#REF!</definedName>
    <definedName name="DATA9" localSheetId="6">'[3]Marengo II'!#REF!</definedName>
    <definedName name="DATA9" localSheetId="7">'[3]Marengo II'!#REF!</definedName>
    <definedName name="DATA9" localSheetId="8">'[3]Marengo II'!#REF!</definedName>
    <definedName name="DATA9" localSheetId="9">'[3]Marengo II'!#REF!</definedName>
    <definedName name="DATA9" localSheetId="10">'[3]Marengo II'!#REF!</definedName>
    <definedName name="DATA9" localSheetId="11">'[3]Marengo II'!#REF!</definedName>
    <definedName name="DATA9" localSheetId="12">'[3]Marengo II'!#REF!</definedName>
    <definedName name="DATA9" localSheetId="13">'[3]Marengo II'!#REF!</definedName>
    <definedName name="DATA9" localSheetId="14">'[3]Marengo II'!#REF!</definedName>
    <definedName name="DATA9" localSheetId="15">'[3]Marengo II'!#REF!</definedName>
    <definedName name="DATA9" localSheetId="16">'[3]Marengo II'!#REF!</definedName>
    <definedName name="DATA9" localSheetId="17">'[3]Marengo II'!#REF!</definedName>
    <definedName name="DATA9" localSheetId="18">'[3]Marengo II'!#REF!</definedName>
    <definedName name="DATA9" localSheetId="19">'[3]Marengo II'!#REF!</definedName>
    <definedName name="DATA9" localSheetId="20">'[3]Marengo II'!#REF!</definedName>
    <definedName name="DATA9" localSheetId="21">'[3]Marengo II'!#REF!</definedName>
    <definedName name="DATA9" localSheetId="22">'[3]Marengo II'!#REF!</definedName>
    <definedName name="DATA9" localSheetId="23">'[3]Marengo II'!#REF!</definedName>
    <definedName name="DATA9" localSheetId="24">'[3]Marengo II'!#REF!</definedName>
    <definedName name="DATA9" localSheetId="27">'[3]Marengo II'!#REF!</definedName>
    <definedName name="DATA9" localSheetId="28">'[3]Marengo II'!#REF!</definedName>
    <definedName name="DATA9" localSheetId="29">'[3]Marengo II'!#REF!</definedName>
    <definedName name="DATA9" localSheetId="30">'[3]Marengo II'!#REF!</definedName>
    <definedName name="DATA9" localSheetId="31">'[3]Marengo II'!#REF!</definedName>
    <definedName name="DATA9" localSheetId="32">'[3]Marengo II'!#REF!</definedName>
    <definedName name="DATA9" localSheetId="33">'[3]Marengo II'!#REF!</definedName>
    <definedName name="DATA9" localSheetId="34">'[3]Marengo II'!#REF!</definedName>
    <definedName name="DATA9" localSheetId="35">'[3]Marengo II'!#REF!</definedName>
    <definedName name="DATA9" localSheetId="36">'[3]Marengo II'!#REF!</definedName>
    <definedName name="DATA9" localSheetId="37">'[3]Marengo II'!#REF!</definedName>
    <definedName name="DATA9" localSheetId="39">'[3]Marengo II'!#REF!</definedName>
    <definedName name="DATA9" localSheetId="40">'[3]Marengo II'!#REF!</definedName>
    <definedName name="DATA9" localSheetId="38">'[3]Marengo II'!#REF!</definedName>
    <definedName name="DATA9" localSheetId="41">'[3]Marengo II'!#REF!</definedName>
    <definedName name="DATA9">'[3]Marengo II'!#REF!</definedName>
    <definedName name="disc">[1]Levelizer!$C$4</definedName>
    <definedName name="Disc_Rate" localSheetId="13">[4]Assumptions!$B$5</definedName>
    <definedName name="Disc_Rate" localSheetId="14">[4]Assumptions!$B$5</definedName>
    <definedName name="Disc_Rate" localSheetId="16">[4]Assumptions!$B$5</definedName>
    <definedName name="Disc_Rate" localSheetId="19">[4]Assumptions!$B$5</definedName>
    <definedName name="Disc_Rate" localSheetId="22">[4]Assumptions!$B$5</definedName>
    <definedName name="Disc_Rate" localSheetId="23">[4]Assumptions!$B$5</definedName>
    <definedName name="Disc_Rate" localSheetId="24">[4]Assumptions!$B$5</definedName>
    <definedName name="Disc_Rate" localSheetId="31">[4]Assumptions!$B$5</definedName>
    <definedName name="Disc_Rate" localSheetId="35">[4]Assumptions!$B$5</definedName>
    <definedName name="Disc_Rate" localSheetId="36">[4]Assumptions!$B$5</definedName>
    <definedName name="Disc_Rate">[5]Assumptions!$B$5</definedName>
    <definedName name="ene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uel_Scenario_Name">'[6](1.a) Filing Summary'!$C$3</definedName>
    <definedName name="Fuel_Scenario_Name_DJ">'[4]Filing Summary'!$C$14</definedName>
    <definedName name="Fuel_Scenario_Name_LS">'[4]Filing Summary'!$C$3</definedName>
    <definedName name="Fuel_Scenario_Name_West">'[4]Filing Summary'!$C$24</definedName>
    <definedName name="Gas_Sce_Number">'[6](1.a) Filing Summary'!$B$3</definedName>
    <definedName name="Gas_Sce_Number_DJ">'[4]Filing Summary'!$B$14</definedName>
    <definedName name="Gas_Sce_Number_LS">'[4]Filing Summary'!$B$3</definedName>
    <definedName name="Gas_Sce_Number_West">'[4]Filing Summary'!$B$24</definedName>
    <definedName name="HROptim" localSheetId="1" hidden="1">{#N/A,#N/A,FALSE,"Summary";#N/A,#N/A,FALSE,"SmPlants";#N/A,#N/A,FALSE,"Utah";#N/A,#N/A,FALSE,"Idaho";#N/A,#N/A,FALSE,"Lewis River";#N/A,#N/A,FALSE,"NrthUmpq";#N/A,#N/A,FALSE,"KlamRog"}</definedName>
    <definedName name="HROptim" localSheetId="3" hidden="1">{#N/A,#N/A,FALSE,"Summary";#N/A,#N/A,FALSE,"SmPlants";#N/A,#N/A,FALSE,"Utah";#N/A,#N/A,FALSE,"Idaho";#N/A,#N/A,FALSE,"Lewis River";#N/A,#N/A,FALSE,"NrthUmpq";#N/A,#N/A,FALSE,"KlamRog"}</definedName>
    <definedName name="HROptim" localSheetId="4" hidden="1">{#N/A,#N/A,FALSE,"Summary";#N/A,#N/A,FALSE,"SmPlants";#N/A,#N/A,FALSE,"Utah";#N/A,#N/A,FALSE,"Idaho";#N/A,#N/A,FALSE,"Lewis River";#N/A,#N/A,FALSE,"NrthUmpq";#N/A,#N/A,FALSE,"KlamRog"}</definedName>
    <definedName name="HROptim" localSheetId="13" hidden="1">{#N/A,#N/A,FALSE,"Summary";#N/A,#N/A,FALSE,"SmPlants";#N/A,#N/A,FALSE,"Utah";#N/A,#N/A,FALSE,"Idaho";#N/A,#N/A,FALSE,"Lewis River";#N/A,#N/A,FALSE,"NrthUmpq";#N/A,#N/A,FALSE,"KlamRog"}</definedName>
    <definedName name="HROptim" localSheetId="14" hidden="1">{#N/A,#N/A,FALSE,"Summary";#N/A,#N/A,FALSE,"SmPlants";#N/A,#N/A,FALSE,"Utah";#N/A,#N/A,FALSE,"Idaho";#N/A,#N/A,FALSE,"Lewis River";#N/A,#N/A,FALSE,"NrthUmpq";#N/A,#N/A,FALSE,"KlamRog"}</definedName>
    <definedName name="HROptim" localSheetId="15" hidden="1">{#N/A,#N/A,FALSE,"Summary";#N/A,#N/A,FALSE,"SmPlants";#N/A,#N/A,FALSE,"Utah";#N/A,#N/A,FALSE,"Idaho";#N/A,#N/A,FALSE,"Lewis River";#N/A,#N/A,FALSE,"NrthUmpq";#N/A,#N/A,FALSE,"KlamRog"}</definedName>
    <definedName name="HROptim" localSheetId="16" hidden="1">{#N/A,#N/A,FALSE,"Summary";#N/A,#N/A,FALSE,"SmPlants";#N/A,#N/A,FALSE,"Utah";#N/A,#N/A,FALSE,"Idaho";#N/A,#N/A,FALSE,"Lewis River";#N/A,#N/A,FALSE,"NrthUmpq";#N/A,#N/A,FALSE,"KlamRog"}</definedName>
    <definedName name="HROptim" localSheetId="19" hidden="1">{#N/A,#N/A,FALSE,"Summary";#N/A,#N/A,FALSE,"SmPlants";#N/A,#N/A,FALSE,"Utah";#N/A,#N/A,FALSE,"Idaho";#N/A,#N/A,FALSE,"Lewis River";#N/A,#N/A,FALSE,"NrthUmpq";#N/A,#N/A,FALSE,"KlamRog"}</definedName>
    <definedName name="HROptim" localSheetId="22" hidden="1">{#N/A,#N/A,FALSE,"Summary";#N/A,#N/A,FALSE,"SmPlants";#N/A,#N/A,FALSE,"Utah";#N/A,#N/A,FALSE,"Idaho";#N/A,#N/A,FALSE,"Lewis River";#N/A,#N/A,FALSE,"NrthUmpq";#N/A,#N/A,FALSE,"KlamRog"}</definedName>
    <definedName name="HROptim" localSheetId="23" hidden="1">{#N/A,#N/A,FALSE,"Summary";#N/A,#N/A,FALSE,"SmPlants";#N/A,#N/A,FALSE,"Utah";#N/A,#N/A,FALSE,"Idaho";#N/A,#N/A,FALSE,"Lewis River";#N/A,#N/A,FALSE,"NrthUmpq";#N/A,#N/A,FALSE,"KlamRog"}</definedName>
    <definedName name="HROptim" localSheetId="24" hidden="1">{#N/A,#N/A,FALSE,"Summary";#N/A,#N/A,FALSE,"SmPlants";#N/A,#N/A,FALSE,"Utah";#N/A,#N/A,FALSE,"Idaho";#N/A,#N/A,FALSE,"Lewis River";#N/A,#N/A,FALSE,"NrthUmpq";#N/A,#N/A,FALSE,"KlamRog"}</definedName>
    <definedName name="HROptim" localSheetId="25" hidden="1">{#N/A,#N/A,FALSE,"Summary";#N/A,#N/A,FALSE,"SmPlants";#N/A,#N/A,FALSE,"Utah";#N/A,#N/A,FALSE,"Idaho";#N/A,#N/A,FALSE,"Lewis River";#N/A,#N/A,FALSE,"NrthUmpq";#N/A,#N/A,FALSE,"KlamRog"}</definedName>
    <definedName name="HROptim" localSheetId="26" hidden="1">{#N/A,#N/A,FALSE,"Summary";#N/A,#N/A,FALSE,"SmPlants";#N/A,#N/A,FALSE,"Utah";#N/A,#N/A,FALSE,"Idaho";#N/A,#N/A,FALSE,"Lewis River";#N/A,#N/A,FALSE,"NrthUmpq";#N/A,#N/A,FALSE,"KlamRog"}</definedName>
    <definedName name="HROptim" localSheetId="31" hidden="1">{#N/A,#N/A,FALSE,"Summary";#N/A,#N/A,FALSE,"SmPlants";#N/A,#N/A,FALSE,"Utah";#N/A,#N/A,FALSE,"Idaho";#N/A,#N/A,FALSE,"Lewis River";#N/A,#N/A,FALSE,"NrthUmpq";#N/A,#N/A,FALSE,"KlamRog"}</definedName>
    <definedName name="HROptim" localSheetId="35" hidden="1">{#N/A,#N/A,FALSE,"Summary";#N/A,#N/A,FALSE,"SmPlants";#N/A,#N/A,FALSE,"Utah";#N/A,#N/A,FALSE,"Idaho";#N/A,#N/A,FALSE,"Lewis River";#N/A,#N/A,FALSE,"NrthUmpq";#N/A,#N/A,FALSE,"KlamRog"}</definedName>
    <definedName name="HROptim" localSheetId="36" hidden="1">{#N/A,#N/A,FALSE,"Summary";#N/A,#N/A,FALSE,"SmPlants";#N/A,#N/A,FALSE,"Utah";#N/A,#N/A,FALSE,"Idaho";#N/A,#N/A,FALSE,"Lewis River";#N/A,#N/A,FALSE,"NrthUmpq";#N/A,#N/A,FALSE,"KlamRog"}</definedName>
    <definedName name="HROptim" localSheetId="0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Optim_1" localSheetId="1" hidden="1">{#N/A,#N/A,FALSE,"Summary";#N/A,#N/A,FALSE,"SmPlants";#N/A,#N/A,FALSE,"Utah";#N/A,#N/A,FALSE,"Idaho";#N/A,#N/A,FALSE,"Lewis River";#N/A,#N/A,FALSE,"NrthUmpq";#N/A,#N/A,FALSE,"KlamRog"}</definedName>
    <definedName name="HROptim_1" localSheetId="3" hidden="1">{#N/A,#N/A,FALSE,"Summary";#N/A,#N/A,FALSE,"SmPlants";#N/A,#N/A,FALSE,"Utah";#N/A,#N/A,FALSE,"Idaho";#N/A,#N/A,FALSE,"Lewis River";#N/A,#N/A,FALSE,"NrthUmpq";#N/A,#N/A,FALSE,"KlamRog"}</definedName>
    <definedName name="HROptim_1" localSheetId="4" hidden="1">{#N/A,#N/A,FALSE,"Summary";#N/A,#N/A,FALSE,"SmPlants";#N/A,#N/A,FALSE,"Utah";#N/A,#N/A,FALSE,"Idaho";#N/A,#N/A,FALSE,"Lewis River";#N/A,#N/A,FALSE,"NrthUmpq";#N/A,#N/A,FALSE,"KlamRog"}</definedName>
    <definedName name="HROptim_1" localSheetId="13" hidden="1">{#N/A,#N/A,FALSE,"Summary";#N/A,#N/A,FALSE,"SmPlants";#N/A,#N/A,FALSE,"Utah";#N/A,#N/A,FALSE,"Idaho";#N/A,#N/A,FALSE,"Lewis River";#N/A,#N/A,FALSE,"NrthUmpq";#N/A,#N/A,FALSE,"KlamRog"}</definedName>
    <definedName name="HROptim_1" localSheetId="14" hidden="1">{#N/A,#N/A,FALSE,"Summary";#N/A,#N/A,FALSE,"SmPlants";#N/A,#N/A,FALSE,"Utah";#N/A,#N/A,FALSE,"Idaho";#N/A,#N/A,FALSE,"Lewis River";#N/A,#N/A,FALSE,"NrthUmpq";#N/A,#N/A,FALSE,"KlamRog"}</definedName>
    <definedName name="HROptim_1" localSheetId="15" hidden="1">{#N/A,#N/A,FALSE,"Summary";#N/A,#N/A,FALSE,"SmPlants";#N/A,#N/A,FALSE,"Utah";#N/A,#N/A,FALSE,"Idaho";#N/A,#N/A,FALSE,"Lewis River";#N/A,#N/A,FALSE,"NrthUmpq";#N/A,#N/A,FALSE,"KlamRog"}</definedName>
    <definedName name="HROptim_1" localSheetId="16" hidden="1">{#N/A,#N/A,FALSE,"Summary";#N/A,#N/A,FALSE,"SmPlants";#N/A,#N/A,FALSE,"Utah";#N/A,#N/A,FALSE,"Idaho";#N/A,#N/A,FALSE,"Lewis River";#N/A,#N/A,FALSE,"NrthUmpq";#N/A,#N/A,FALSE,"KlamRog"}</definedName>
    <definedName name="HROptim_1" localSheetId="19" hidden="1">{#N/A,#N/A,FALSE,"Summary";#N/A,#N/A,FALSE,"SmPlants";#N/A,#N/A,FALSE,"Utah";#N/A,#N/A,FALSE,"Idaho";#N/A,#N/A,FALSE,"Lewis River";#N/A,#N/A,FALSE,"NrthUmpq";#N/A,#N/A,FALSE,"KlamRog"}</definedName>
    <definedName name="HROptim_1" localSheetId="22" hidden="1">{#N/A,#N/A,FALSE,"Summary";#N/A,#N/A,FALSE,"SmPlants";#N/A,#N/A,FALSE,"Utah";#N/A,#N/A,FALSE,"Idaho";#N/A,#N/A,FALSE,"Lewis River";#N/A,#N/A,FALSE,"NrthUmpq";#N/A,#N/A,FALSE,"KlamRog"}</definedName>
    <definedName name="HROptim_1" localSheetId="23" hidden="1">{#N/A,#N/A,FALSE,"Summary";#N/A,#N/A,FALSE,"SmPlants";#N/A,#N/A,FALSE,"Utah";#N/A,#N/A,FALSE,"Idaho";#N/A,#N/A,FALSE,"Lewis River";#N/A,#N/A,FALSE,"NrthUmpq";#N/A,#N/A,FALSE,"KlamRog"}</definedName>
    <definedName name="HROptim_1" localSheetId="24" hidden="1">{#N/A,#N/A,FALSE,"Summary";#N/A,#N/A,FALSE,"SmPlants";#N/A,#N/A,FALSE,"Utah";#N/A,#N/A,FALSE,"Idaho";#N/A,#N/A,FALSE,"Lewis River";#N/A,#N/A,FALSE,"NrthUmpq";#N/A,#N/A,FALSE,"KlamRog"}</definedName>
    <definedName name="HROptim_1" localSheetId="25" hidden="1">{#N/A,#N/A,FALSE,"Summary";#N/A,#N/A,FALSE,"SmPlants";#N/A,#N/A,FALSE,"Utah";#N/A,#N/A,FALSE,"Idaho";#N/A,#N/A,FALSE,"Lewis River";#N/A,#N/A,FALSE,"NrthUmpq";#N/A,#N/A,FALSE,"KlamRog"}</definedName>
    <definedName name="HROptim_1" localSheetId="26" hidden="1">{#N/A,#N/A,FALSE,"Summary";#N/A,#N/A,FALSE,"SmPlants";#N/A,#N/A,FALSE,"Utah";#N/A,#N/A,FALSE,"Idaho";#N/A,#N/A,FALSE,"Lewis River";#N/A,#N/A,FALSE,"NrthUmpq";#N/A,#N/A,FALSE,"KlamRog"}</definedName>
    <definedName name="HROptim_1" localSheetId="31" hidden="1">{#N/A,#N/A,FALSE,"Summary";#N/A,#N/A,FALSE,"SmPlants";#N/A,#N/A,FALSE,"Utah";#N/A,#N/A,FALSE,"Idaho";#N/A,#N/A,FALSE,"Lewis River";#N/A,#N/A,FALSE,"NrthUmpq";#N/A,#N/A,FALSE,"KlamRog"}</definedName>
    <definedName name="HROptim_1" localSheetId="35" hidden="1">{#N/A,#N/A,FALSE,"Summary";#N/A,#N/A,FALSE,"SmPlants";#N/A,#N/A,FALSE,"Utah";#N/A,#N/A,FALSE,"Idaho";#N/A,#N/A,FALSE,"Lewis River";#N/A,#N/A,FALSE,"NrthUmpq";#N/A,#N/A,FALSE,"KlamRog"}</definedName>
    <definedName name="HROptim_1" localSheetId="36" hidden="1">{#N/A,#N/A,FALSE,"Summary";#N/A,#N/A,FALSE,"SmPlants";#N/A,#N/A,FALSE,"Utah";#N/A,#N/A,FALSE,"Idaho";#N/A,#N/A,FALSE,"Lewis River";#N/A,#N/A,FALSE,"NrthUmpq";#N/A,#N/A,FALSE,"KlamRog"}</definedName>
    <definedName name="HROptim_1" localSheetId="0" hidden="1">{#N/A,#N/A,FALSE,"Summary";#N/A,#N/A,FALSE,"SmPlants";#N/A,#N/A,FALSE,"Utah";#N/A,#N/A,FALSE,"Idaho";#N/A,#N/A,FALSE,"Lewis River";#N/A,#N/A,FALSE,"NrthUmpq";#N/A,#N/A,FALSE,"KlamRog"}</definedName>
    <definedName name="HROptim_1" hidden="1">{#N/A,#N/A,FALSE,"Summary";#N/A,#N/A,FALSE,"SmPlants";#N/A,#N/A,FALSE,"Utah";#N/A,#N/A,FALSE,"Idaho";#N/A,#N/A,FALSE,"Lewis River";#N/A,#N/A,FALSE,"NrthUmpq";#N/A,#N/A,FALSE,"KlamRog"}</definedName>
    <definedName name="HROptim_2" localSheetId="1" hidden="1">{#N/A,#N/A,FALSE,"Summary";#N/A,#N/A,FALSE,"SmPlants";#N/A,#N/A,FALSE,"Utah";#N/A,#N/A,FALSE,"Idaho";#N/A,#N/A,FALSE,"Lewis River";#N/A,#N/A,FALSE,"NrthUmpq";#N/A,#N/A,FALSE,"KlamRog"}</definedName>
    <definedName name="HROptim_2" localSheetId="3" hidden="1">{#N/A,#N/A,FALSE,"Summary";#N/A,#N/A,FALSE,"SmPlants";#N/A,#N/A,FALSE,"Utah";#N/A,#N/A,FALSE,"Idaho";#N/A,#N/A,FALSE,"Lewis River";#N/A,#N/A,FALSE,"NrthUmpq";#N/A,#N/A,FALSE,"KlamRog"}</definedName>
    <definedName name="HROptim_2" localSheetId="4" hidden="1">{#N/A,#N/A,FALSE,"Summary";#N/A,#N/A,FALSE,"SmPlants";#N/A,#N/A,FALSE,"Utah";#N/A,#N/A,FALSE,"Idaho";#N/A,#N/A,FALSE,"Lewis River";#N/A,#N/A,FALSE,"NrthUmpq";#N/A,#N/A,FALSE,"KlamRog"}</definedName>
    <definedName name="HROptim_2" localSheetId="13" hidden="1">{#N/A,#N/A,FALSE,"Summary";#N/A,#N/A,FALSE,"SmPlants";#N/A,#N/A,FALSE,"Utah";#N/A,#N/A,FALSE,"Idaho";#N/A,#N/A,FALSE,"Lewis River";#N/A,#N/A,FALSE,"NrthUmpq";#N/A,#N/A,FALSE,"KlamRog"}</definedName>
    <definedName name="HROptim_2" localSheetId="14" hidden="1">{#N/A,#N/A,FALSE,"Summary";#N/A,#N/A,FALSE,"SmPlants";#N/A,#N/A,FALSE,"Utah";#N/A,#N/A,FALSE,"Idaho";#N/A,#N/A,FALSE,"Lewis River";#N/A,#N/A,FALSE,"NrthUmpq";#N/A,#N/A,FALSE,"KlamRog"}</definedName>
    <definedName name="HROptim_2" localSheetId="15" hidden="1">{#N/A,#N/A,FALSE,"Summary";#N/A,#N/A,FALSE,"SmPlants";#N/A,#N/A,FALSE,"Utah";#N/A,#N/A,FALSE,"Idaho";#N/A,#N/A,FALSE,"Lewis River";#N/A,#N/A,FALSE,"NrthUmpq";#N/A,#N/A,FALSE,"KlamRog"}</definedName>
    <definedName name="HROptim_2" localSheetId="16" hidden="1">{#N/A,#N/A,FALSE,"Summary";#N/A,#N/A,FALSE,"SmPlants";#N/A,#N/A,FALSE,"Utah";#N/A,#N/A,FALSE,"Idaho";#N/A,#N/A,FALSE,"Lewis River";#N/A,#N/A,FALSE,"NrthUmpq";#N/A,#N/A,FALSE,"KlamRog"}</definedName>
    <definedName name="HROptim_2" localSheetId="19" hidden="1">{#N/A,#N/A,FALSE,"Summary";#N/A,#N/A,FALSE,"SmPlants";#N/A,#N/A,FALSE,"Utah";#N/A,#N/A,FALSE,"Idaho";#N/A,#N/A,FALSE,"Lewis River";#N/A,#N/A,FALSE,"NrthUmpq";#N/A,#N/A,FALSE,"KlamRog"}</definedName>
    <definedName name="HROptim_2" localSheetId="22" hidden="1">{#N/A,#N/A,FALSE,"Summary";#N/A,#N/A,FALSE,"SmPlants";#N/A,#N/A,FALSE,"Utah";#N/A,#N/A,FALSE,"Idaho";#N/A,#N/A,FALSE,"Lewis River";#N/A,#N/A,FALSE,"NrthUmpq";#N/A,#N/A,FALSE,"KlamRog"}</definedName>
    <definedName name="HROptim_2" localSheetId="23" hidden="1">{#N/A,#N/A,FALSE,"Summary";#N/A,#N/A,FALSE,"SmPlants";#N/A,#N/A,FALSE,"Utah";#N/A,#N/A,FALSE,"Idaho";#N/A,#N/A,FALSE,"Lewis River";#N/A,#N/A,FALSE,"NrthUmpq";#N/A,#N/A,FALSE,"KlamRog"}</definedName>
    <definedName name="HROptim_2" localSheetId="24" hidden="1">{#N/A,#N/A,FALSE,"Summary";#N/A,#N/A,FALSE,"SmPlants";#N/A,#N/A,FALSE,"Utah";#N/A,#N/A,FALSE,"Idaho";#N/A,#N/A,FALSE,"Lewis River";#N/A,#N/A,FALSE,"NrthUmpq";#N/A,#N/A,FALSE,"KlamRog"}</definedName>
    <definedName name="HROptim_2" localSheetId="25" hidden="1">{#N/A,#N/A,FALSE,"Summary";#N/A,#N/A,FALSE,"SmPlants";#N/A,#N/A,FALSE,"Utah";#N/A,#N/A,FALSE,"Idaho";#N/A,#N/A,FALSE,"Lewis River";#N/A,#N/A,FALSE,"NrthUmpq";#N/A,#N/A,FALSE,"KlamRog"}</definedName>
    <definedName name="HROptim_2" localSheetId="26" hidden="1">{#N/A,#N/A,FALSE,"Summary";#N/A,#N/A,FALSE,"SmPlants";#N/A,#N/A,FALSE,"Utah";#N/A,#N/A,FALSE,"Idaho";#N/A,#N/A,FALSE,"Lewis River";#N/A,#N/A,FALSE,"NrthUmpq";#N/A,#N/A,FALSE,"KlamRog"}</definedName>
    <definedName name="HROptim_2" localSheetId="31" hidden="1">{#N/A,#N/A,FALSE,"Summary";#N/A,#N/A,FALSE,"SmPlants";#N/A,#N/A,FALSE,"Utah";#N/A,#N/A,FALSE,"Idaho";#N/A,#N/A,FALSE,"Lewis River";#N/A,#N/A,FALSE,"NrthUmpq";#N/A,#N/A,FALSE,"KlamRog"}</definedName>
    <definedName name="HROptim_2" localSheetId="35" hidden="1">{#N/A,#N/A,FALSE,"Summary";#N/A,#N/A,FALSE,"SmPlants";#N/A,#N/A,FALSE,"Utah";#N/A,#N/A,FALSE,"Idaho";#N/A,#N/A,FALSE,"Lewis River";#N/A,#N/A,FALSE,"NrthUmpq";#N/A,#N/A,FALSE,"KlamRog"}</definedName>
    <definedName name="HROptim_2" localSheetId="36" hidden="1">{#N/A,#N/A,FALSE,"Summary";#N/A,#N/A,FALSE,"SmPlants";#N/A,#N/A,FALSE,"Utah";#N/A,#N/A,FALSE,"Idaho";#N/A,#N/A,FALSE,"Lewis River";#N/A,#N/A,FALSE,"NrthUmpq";#N/A,#N/A,FALSE,"KlamRog"}</definedName>
    <definedName name="HROptim_2" localSheetId="0" hidden="1">{#N/A,#N/A,FALSE,"Summary";#N/A,#N/A,FALSE,"SmPlants";#N/A,#N/A,FALSE,"Utah";#N/A,#N/A,FALSE,"Idaho";#N/A,#N/A,FALSE,"Lewis River";#N/A,#N/A,FALSE,"NrthUmpq";#N/A,#N/A,FALSE,"KlamRog"}</definedName>
    <definedName name="HROptim_2" hidden="1">{#N/A,#N/A,FALSE,"Summary";#N/A,#N/A,FALSE,"SmPlants";#N/A,#N/A,FALSE,"Utah";#N/A,#N/A,FALSE,"Idaho";#N/A,#N/A,FALSE,"Lewis River";#N/A,#N/A,FALSE,"NrthUmpq";#N/A,#N/A,FALSE,"KlamRog"}</definedName>
    <definedName name="HROptim_3" localSheetId="1" hidden="1">{#N/A,#N/A,FALSE,"Summary";#N/A,#N/A,FALSE,"SmPlants";#N/A,#N/A,FALSE,"Utah";#N/A,#N/A,FALSE,"Idaho";#N/A,#N/A,FALSE,"Lewis River";#N/A,#N/A,FALSE,"NrthUmpq";#N/A,#N/A,FALSE,"KlamRog"}</definedName>
    <definedName name="HROptim_3" localSheetId="3" hidden="1">{#N/A,#N/A,FALSE,"Summary";#N/A,#N/A,FALSE,"SmPlants";#N/A,#N/A,FALSE,"Utah";#N/A,#N/A,FALSE,"Idaho";#N/A,#N/A,FALSE,"Lewis River";#N/A,#N/A,FALSE,"NrthUmpq";#N/A,#N/A,FALSE,"KlamRog"}</definedName>
    <definedName name="HROptim_3" localSheetId="4" hidden="1">{#N/A,#N/A,FALSE,"Summary";#N/A,#N/A,FALSE,"SmPlants";#N/A,#N/A,FALSE,"Utah";#N/A,#N/A,FALSE,"Idaho";#N/A,#N/A,FALSE,"Lewis River";#N/A,#N/A,FALSE,"NrthUmpq";#N/A,#N/A,FALSE,"KlamRog"}</definedName>
    <definedName name="HROptim_3" localSheetId="13" hidden="1">{#N/A,#N/A,FALSE,"Summary";#N/A,#N/A,FALSE,"SmPlants";#N/A,#N/A,FALSE,"Utah";#N/A,#N/A,FALSE,"Idaho";#N/A,#N/A,FALSE,"Lewis River";#N/A,#N/A,FALSE,"NrthUmpq";#N/A,#N/A,FALSE,"KlamRog"}</definedName>
    <definedName name="HROptim_3" localSheetId="14" hidden="1">{#N/A,#N/A,FALSE,"Summary";#N/A,#N/A,FALSE,"SmPlants";#N/A,#N/A,FALSE,"Utah";#N/A,#N/A,FALSE,"Idaho";#N/A,#N/A,FALSE,"Lewis River";#N/A,#N/A,FALSE,"NrthUmpq";#N/A,#N/A,FALSE,"KlamRog"}</definedName>
    <definedName name="HROptim_3" localSheetId="15" hidden="1">{#N/A,#N/A,FALSE,"Summary";#N/A,#N/A,FALSE,"SmPlants";#N/A,#N/A,FALSE,"Utah";#N/A,#N/A,FALSE,"Idaho";#N/A,#N/A,FALSE,"Lewis River";#N/A,#N/A,FALSE,"NrthUmpq";#N/A,#N/A,FALSE,"KlamRog"}</definedName>
    <definedName name="HROptim_3" localSheetId="16" hidden="1">{#N/A,#N/A,FALSE,"Summary";#N/A,#N/A,FALSE,"SmPlants";#N/A,#N/A,FALSE,"Utah";#N/A,#N/A,FALSE,"Idaho";#N/A,#N/A,FALSE,"Lewis River";#N/A,#N/A,FALSE,"NrthUmpq";#N/A,#N/A,FALSE,"KlamRog"}</definedName>
    <definedName name="HROptim_3" localSheetId="19" hidden="1">{#N/A,#N/A,FALSE,"Summary";#N/A,#N/A,FALSE,"SmPlants";#N/A,#N/A,FALSE,"Utah";#N/A,#N/A,FALSE,"Idaho";#N/A,#N/A,FALSE,"Lewis River";#N/A,#N/A,FALSE,"NrthUmpq";#N/A,#N/A,FALSE,"KlamRog"}</definedName>
    <definedName name="HROptim_3" localSheetId="22" hidden="1">{#N/A,#N/A,FALSE,"Summary";#N/A,#N/A,FALSE,"SmPlants";#N/A,#N/A,FALSE,"Utah";#N/A,#N/A,FALSE,"Idaho";#N/A,#N/A,FALSE,"Lewis River";#N/A,#N/A,FALSE,"NrthUmpq";#N/A,#N/A,FALSE,"KlamRog"}</definedName>
    <definedName name="HROptim_3" localSheetId="23" hidden="1">{#N/A,#N/A,FALSE,"Summary";#N/A,#N/A,FALSE,"SmPlants";#N/A,#N/A,FALSE,"Utah";#N/A,#N/A,FALSE,"Idaho";#N/A,#N/A,FALSE,"Lewis River";#N/A,#N/A,FALSE,"NrthUmpq";#N/A,#N/A,FALSE,"KlamRog"}</definedName>
    <definedName name="HROptim_3" localSheetId="24" hidden="1">{#N/A,#N/A,FALSE,"Summary";#N/A,#N/A,FALSE,"SmPlants";#N/A,#N/A,FALSE,"Utah";#N/A,#N/A,FALSE,"Idaho";#N/A,#N/A,FALSE,"Lewis River";#N/A,#N/A,FALSE,"NrthUmpq";#N/A,#N/A,FALSE,"KlamRog"}</definedName>
    <definedName name="HROptim_3" localSheetId="25" hidden="1">{#N/A,#N/A,FALSE,"Summary";#N/A,#N/A,FALSE,"SmPlants";#N/A,#N/A,FALSE,"Utah";#N/A,#N/A,FALSE,"Idaho";#N/A,#N/A,FALSE,"Lewis River";#N/A,#N/A,FALSE,"NrthUmpq";#N/A,#N/A,FALSE,"KlamRog"}</definedName>
    <definedName name="HROptim_3" localSheetId="26" hidden="1">{#N/A,#N/A,FALSE,"Summary";#N/A,#N/A,FALSE,"SmPlants";#N/A,#N/A,FALSE,"Utah";#N/A,#N/A,FALSE,"Idaho";#N/A,#N/A,FALSE,"Lewis River";#N/A,#N/A,FALSE,"NrthUmpq";#N/A,#N/A,FALSE,"KlamRog"}</definedName>
    <definedName name="HROptim_3" localSheetId="31" hidden="1">{#N/A,#N/A,FALSE,"Summary";#N/A,#N/A,FALSE,"SmPlants";#N/A,#N/A,FALSE,"Utah";#N/A,#N/A,FALSE,"Idaho";#N/A,#N/A,FALSE,"Lewis River";#N/A,#N/A,FALSE,"NrthUmpq";#N/A,#N/A,FALSE,"KlamRog"}</definedName>
    <definedName name="HROptim_3" localSheetId="35" hidden="1">{#N/A,#N/A,FALSE,"Summary";#N/A,#N/A,FALSE,"SmPlants";#N/A,#N/A,FALSE,"Utah";#N/A,#N/A,FALSE,"Idaho";#N/A,#N/A,FALSE,"Lewis River";#N/A,#N/A,FALSE,"NrthUmpq";#N/A,#N/A,FALSE,"KlamRog"}</definedName>
    <definedName name="HROptim_3" localSheetId="36" hidden="1">{#N/A,#N/A,FALSE,"Summary";#N/A,#N/A,FALSE,"SmPlants";#N/A,#N/A,FALSE,"Utah";#N/A,#N/A,FALSE,"Idaho";#N/A,#N/A,FALSE,"Lewis River";#N/A,#N/A,FALSE,"NrthUmpq";#N/A,#N/A,FALSE,"KlamRog"}</definedName>
    <definedName name="HROptim_3" localSheetId="0" hidden="1">{#N/A,#N/A,FALSE,"Summary";#N/A,#N/A,FALSE,"SmPlants";#N/A,#N/A,FALSE,"Utah";#N/A,#N/A,FALSE,"Idaho";#N/A,#N/A,FALSE,"Lewis River";#N/A,#N/A,FALSE,"NrthUmpq";#N/A,#N/A,FALSE,"KlamRog"}</definedName>
    <definedName name="HROptim_3" hidden="1">{#N/A,#N/A,FALSE,"Summary";#N/A,#N/A,FALSE,"SmPlants";#N/A,#N/A,FALSE,"Utah";#N/A,#N/A,FALSE,"Idaho";#N/A,#N/A,FALSE,"Lewis River";#N/A,#N/A,FALSE,"NrthUmpq";#N/A,#N/A,FALSE,"KlamRog"}</definedName>
    <definedName name="HROptim_4" localSheetId="1" hidden="1">{#N/A,#N/A,FALSE,"Summary";#N/A,#N/A,FALSE,"SmPlants";#N/A,#N/A,FALSE,"Utah";#N/A,#N/A,FALSE,"Idaho";#N/A,#N/A,FALSE,"Lewis River";#N/A,#N/A,FALSE,"NrthUmpq";#N/A,#N/A,FALSE,"KlamRog"}</definedName>
    <definedName name="HROptim_4" localSheetId="3" hidden="1">{#N/A,#N/A,FALSE,"Summary";#N/A,#N/A,FALSE,"SmPlants";#N/A,#N/A,FALSE,"Utah";#N/A,#N/A,FALSE,"Idaho";#N/A,#N/A,FALSE,"Lewis River";#N/A,#N/A,FALSE,"NrthUmpq";#N/A,#N/A,FALSE,"KlamRog"}</definedName>
    <definedName name="HROptim_4" localSheetId="4" hidden="1">{#N/A,#N/A,FALSE,"Summary";#N/A,#N/A,FALSE,"SmPlants";#N/A,#N/A,FALSE,"Utah";#N/A,#N/A,FALSE,"Idaho";#N/A,#N/A,FALSE,"Lewis River";#N/A,#N/A,FALSE,"NrthUmpq";#N/A,#N/A,FALSE,"KlamRog"}</definedName>
    <definedName name="HROptim_4" localSheetId="13" hidden="1">{#N/A,#N/A,FALSE,"Summary";#N/A,#N/A,FALSE,"SmPlants";#N/A,#N/A,FALSE,"Utah";#N/A,#N/A,FALSE,"Idaho";#N/A,#N/A,FALSE,"Lewis River";#N/A,#N/A,FALSE,"NrthUmpq";#N/A,#N/A,FALSE,"KlamRog"}</definedName>
    <definedName name="HROptim_4" localSheetId="14" hidden="1">{#N/A,#N/A,FALSE,"Summary";#N/A,#N/A,FALSE,"SmPlants";#N/A,#N/A,FALSE,"Utah";#N/A,#N/A,FALSE,"Idaho";#N/A,#N/A,FALSE,"Lewis River";#N/A,#N/A,FALSE,"NrthUmpq";#N/A,#N/A,FALSE,"KlamRog"}</definedName>
    <definedName name="HROptim_4" localSheetId="15" hidden="1">{#N/A,#N/A,FALSE,"Summary";#N/A,#N/A,FALSE,"SmPlants";#N/A,#N/A,FALSE,"Utah";#N/A,#N/A,FALSE,"Idaho";#N/A,#N/A,FALSE,"Lewis River";#N/A,#N/A,FALSE,"NrthUmpq";#N/A,#N/A,FALSE,"KlamRog"}</definedName>
    <definedName name="HROptim_4" localSheetId="16" hidden="1">{#N/A,#N/A,FALSE,"Summary";#N/A,#N/A,FALSE,"SmPlants";#N/A,#N/A,FALSE,"Utah";#N/A,#N/A,FALSE,"Idaho";#N/A,#N/A,FALSE,"Lewis River";#N/A,#N/A,FALSE,"NrthUmpq";#N/A,#N/A,FALSE,"KlamRog"}</definedName>
    <definedName name="HROptim_4" localSheetId="19" hidden="1">{#N/A,#N/A,FALSE,"Summary";#N/A,#N/A,FALSE,"SmPlants";#N/A,#N/A,FALSE,"Utah";#N/A,#N/A,FALSE,"Idaho";#N/A,#N/A,FALSE,"Lewis River";#N/A,#N/A,FALSE,"NrthUmpq";#N/A,#N/A,FALSE,"KlamRog"}</definedName>
    <definedName name="HROptim_4" localSheetId="22" hidden="1">{#N/A,#N/A,FALSE,"Summary";#N/A,#N/A,FALSE,"SmPlants";#N/A,#N/A,FALSE,"Utah";#N/A,#N/A,FALSE,"Idaho";#N/A,#N/A,FALSE,"Lewis River";#N/A,#N/A,FALSE,"NrthUmpq";#N/A,#N/A,FALSE,"KlamRog"}</definedName>
    <definedName name="HROptim_4" localSheetId="23" hidden="1">{#N/A,#N/A,FALSE,"Summary";#N/A,#N/A,FALSE,"SmPlants";#N/A,#N/A,FALSE,"Utah";#N/A,#N/A,FALSE,"Idaho";#N/A,#N/A,FALSE,"Lewis River";#N/A,#N/A,FALSE,"NrthUmpq";#N/A,#N/A,FALSE,"KlamRog"}</definedName>
    <definedName name="HROptim_4" localSheetId="24" hidden="1">{#N/A,#N/A,FALSE,"Summary";#N/A,#N/A,FALSE,"SmPlants";#N/A,#N/A,FALSE,"Utah";#N/A,#N/A,FALSE,"Idaho";#N/A,#N/A,FALSE,"Lewis River";#N/A,#N/A,FALSE,"NrthUmpq";#N/A,#N/A,FALSE,"KlamRog"}</definedName>
    <definedName name="HROptim_4" localSheetId="25" hidden="1">{#N/A,#N/A,FALSE,"Summary";#N/A,#N/A,FALSE,"SmPlants";#N/A,#N/A,FALSE,"Utah";#N/A,#N/A,FALSE,"Idaho";#N/A,#N/A,FALSE,"Lewis River";#N/A,#N/A,FALSE,"NrthUmpq";#N/A,#N/A,FALSE,"KlamRog"}</definedName>
    <definedName name="HROptim_4" localSheetId="26" hidden="1">{#N/A,#N/A,FALSE,"Summary";#N/A,#N/A,FALSE,"SmPlants";#N/A,#N/A,FALSE,"Utah";#N/A,#N/A,FALSE,"Idaho";#N/A,#N/A,FALSE,"Lewis River";#N/A,#N/A,FALSE,"NrthUmpq";#N/A,#N/A,FALSE,"KlamRog"}</definedName>
    <definedName name="HROptim_4" localSheetId="31" hidden="1">{#N/A,#N/A,FALSE,"Summary";#N/A,#N/A,FALSE,"SmPlants";#N/A,#N/A,FALSE,"Utah";#N/A,#N/A,FALSE,"Idaho";#N/A,#N/A,FALSE,"Lewis River";#N/A,#N/A,FALSE,"NrthUmpq";#N/A,#N/A,FALSE,"KlamRog"}</definedName>
    <definedName name="HROptim_4" localSheetId="35" hidden="1">{#N/A,#N/A,FALSE,"Summary";#N/A,#N/A,FALSE,"SmPlants";#N/A,#N/A,FALSE,"Utah";#N/A,#N/A,FALSE,"Idaho";#N/A,#N/A,FALSE,"Lewis River";#N/A,#N/A,FALSE,"NrthUmpq";#N/A,#N/A,FALSE,"KlamRog"}</definedName>
    <definedName name="HROptim_4" localSheetId="36" hidden="1">{#N/A,#N/A,FALSE,"Summary";#N/A,#N/A,FALSE,"SmPlants";#N/A,#N/A,FALSE,"Utah";#N/A,#N/A,FALSE,"Idaho";#N/A,#N/A,FALSE,"Lewis River";#N/A,#N/A,FALSE,"NrthUmpq";#N/A,#N/A,FALSE,"KlamRog"}</definedName>
    <definedName name="HROptim_4" localSheetId="0" hidden="1">{#N/A,#N/A,FALSE,"Summary";#N/A,#N/A,FALSE,"SmPlants";#N/A,#N/A,FALSE,"Utah";#N/A,#N/A,FALSE,"Idaho";#N/A,#N/A,FALSE,"Lewis River";#N/A,#N/A,FALSE,"NrthUmpq";#N/A,#N/A,FALSE,"KlamRog"}</definedName>
    <definedName name="HROptim_4" hidden="1">{#N/A,#N/A,FALSE,"Summary";#N/A,#N/A,FALSE,"SmPlants";#N/A,#N/A,FALSE,"Utah";#N/A,#N/A,FALSE,"Idaho";#N/A,#N/A,FALSE,"Lewis River";#N/A,#N/A,FALSE,"NrthUmpq";#N/A,#N/A,FALSE,"KlamRog"}</definedName>
    <definedName name="HROptim_5" localSheetId="1" hidden="1">{#N/A,#N/A,FALSE,"Summary";#N/A,#N/A,FALSE,"SmPlants";#N/A,#N/A,FALSE,"Utah";#N/A,#N/A,FALSE,"Idaho";#N/A,#N/A,FALSE,"Lewis River";#N/A,#N/A,FALSE,"NrthUmpq";#N/A,#N/A,FALSE,"KlamRog"}</definedName>
    <definedName name="HROptim_5" localSheetId="3" hidden="1">{#N/A,#N/A,FALSE,"Summary";#N/A,#N/A,FALSE,"SmPlants";#N/A,#N/A,FALSE,"Utah";#N/A,#N/A,FALSE,"Idaho";#N/A,#N/A,FALSE,"Lewis River";#N/A,#N/A,FALSE,"NrthUmpq";#N/A,#N/A,FALSE,"KlamRog"}</definedName>
    <definedName name="HROptim_5" localSheetId="4" hidden="1">{#N/A,#N/A,FALSE,"Summary";#N/A,#N/A,FALSE,"SmPlants";#N/A,#N/A,FALSE,"Utah";#N/A,#N/A,FALSE,"Idaho";#N/A,#N/A,FALSE,"Lewis River";#N/A,#N/A,FALSE,"NrthUmpq";#N/A,#N/A,FALSE,"KlamRog"}</definedName>
    <definedName name="HROptim_5" localSheetId="13" hidden="1">{#N/A,#N/A,FALSE,"Summary";#N/A,#N/A,FALSE,"SmPlants";#N/A,#N/A,FALSE,"Utah";#N/A,#N/A,FALSE,"Idaho";#N/A,#N/A,FALSE,"Lewis River";#N/A,#N/A,FALSE,"NrthUmpq";#N/A,#N/A,FALSE,"KlamRog"}</definedName>
    <definedName name="HROptim_5" localSheetId="14" hidden="1">{#N/A,#N/A,FALSE,"Summary";#N/A,#N/A,FALSE,"SmPlants";#N/A,#N/A,FALSE,"Utah";#N/A,#N/A,FALSE,"Idaho";#N/A,#N/A,FALSE,"Lewis River";#N/A,#N/A,FALSE,"NrthUmpq";#N/A,#N/A,FALSE,"KlamRog"}</definedName>
    <definedName name="HROptim_5" localSheetId="15" hidden="1">{#N/A,#N/A,FALSE,"Summary";#N/A,#N/A,FALSE,"SmPlants";#N/A,#N/A,FALSE,"Utah";#N/A,#N/A,FALSE,"Idaho";#N/A,#N/A,FALSE,"Lewis River";#N/A,#N/A,FALSE,"NrthUmpq";#N/A,#N/A,FALSE,"KlamRog"}</definedName>
    <definedName name="HROptim_5" localSheetId="16" hidden="1">{#N/A,#N/A,FALSE,"Summary";#N/A,#N/A,FALSE,"SmPlants";#N/A,#N/A,FALSE,"Utah";#N/A,#N/A,FALSE,"Idaho";#N/A,#N/A,FALSE,"Lewis River";#N/A,#N/A,FALSE,"NrthUmpq";#N/A,#N/A,FALSE,"KlamRog"}</definedName>
    <definedName name="HROptim_5" localSheetId="19" hidden="1">{#N/A,#N/A,FALSE,"Summary";#N/A,#N/A,FALSE,"SmPlants";#N/A,#N/A,FALSE,"Utah";#N/A,#N/A,FALSE,"Idaho";#N/A,#N/A,FALSE,"Lewis River";#N/A,#N/A,FALSE,"NrthUmpq";#N/A,#N/A,FALSE,"KlamRog"}</definedName>
    <definedName name="HROptim_5" localSheetId="22" hidden="1">{#N/A,#N/A,FALSE,"Summary";#N/A,#N/A,FALSE,"SmPlants";#N/A,#N/A,FALSE,"Utah";#N/A,#N/A,FALSE,"Idaho";#N/A,#N/A,FALSE,"Lewis River";#N/A,#N/A,FALSE,"NrthUmpq";#N/A,#N/A,FALSE,"KlamRog"}</definedName>
    <definedName name="HROptim_5" localSheetId="23" hidden="1">{#N/A,#N/A,FALSE,"Summary";#N/A,#N/A,FALSE,"SmPlants";#N/A,#N/A,FALSE,"Utah";#N/A,#N/A,FALSE,"Idaho";#N/A,#N/A,FALSE,"Lewis River";#N/A,#N/A,FALSE,"NrthUmpq";#N/A,#N/A,FALSE,"KlamRog"}</definedName>
    <definedName name="HROptim_5" localSheetId="24" hidden="1">{#N/A,#N/A,FALSE,"Summary";#N/A,#N/A,FALSE,"SmPlants";#N/A,#N/A,FALSE,"Utah";#N/A,#N/A,FALSE,"Idaho";#N/A,#N/A,FALSE,"Lewis River";#N/A,#N/A,FALSE,"NrthUmpq";#N/A,#N/A,FALSE,"KlamRog"}</definedName>
    <definedName name="HROptim_5" localSheetId="25" hidden="1">{#N/A,#N/A,FALSE,"Summary";#N/A,#N/A,FALSE,"SmPlants";#N/A,#N/A,FALSE,"Utah";#N/A,#N/A,FALSE,"Idaho";#N/A,#N/A,FALSE,"Lewis River";#N/A,#N/A,FALSE,"NrthUmpq";#N/A,#N/A,FALSE,"KlamRog"}</definedName>
    <definedName name="HROptim_5" localSheetId="26" hidden="1">{#N/A,#N/A,FALSE,"Summary";#N/A,#N/A,FALSE,"SmPlants";#N/A,#N/A,FALSE,"Utah";#N/A,#N/A,FALSE,"Idaho";#N/A,#N/A,FALSE,"Lewis River";#N/A,#N/A,FALSE,"NrthUmpq";#N/A,#N/A,FALSE,"KlamRog"}</definedName>
    <definedName name="HROptim_5" localSheetId="31" hidden="1">{#N/A,#N/A,FALSE,"Summary";#N/A,#N/A,FALSE,"SmPlants";#N/A,#N/A,FALSE,"Utah";#N/A,#N/A,FALSE,"Idaho";#N/A,#N/A,FALSE,"Lewis River";#N/A,#N/A,FALSE,"NrthUmpq";#N/A,#N/A,FALSE,"KlamRog"}</definedName>
    <definedName name="HROptim_5" localSheetId="35" hidden="1">{#N/A,#N/A,FALSE,"Summary";#N/A,#N/A,FALSE,"SmPlants";#N/A,#N/A,FALSE,"Utah";#N/A,#N/A,FALSE,"Idaho";#N/A,#N/A,FALSE,"Lewis River";#N/A,#N/A,FALSE,"NrthUmpq";#N/A,#N/A,FALSE,"KlamRog"}</definedName>
    <definedName name="HROptim_5" localSheetId="36" hidden="1">{#N/A,#N/A,FALSE,"Summary";#N/A,#N/A,FALSE,"SmPlants";#N/A,#N/A,FALSE,"Utah";#N/A,#N/A,FALSE,"Idaho";#N/A,#N/A,FALSE,"Lewis River";#N/A,#N/A,FALSE,"NrthUmpq";#N/A,#N/A,FALSE,"KlamRog"}</definedName>
    <definedName name="HROptim_5" localSheetId="0" hidden="1">{#N/A,#N/A,FALSE,"Summary";#N/A,#N/A,FALSE,"SmPlants";#N/A,#N/A,FALSE,"Utah";#N/A,#N/A,FALSE,"Idaho";#N/A,#N/A,FALSE,"Lewis River";#N/A,#N/A,FALSE,"NrthUmpq";#N/A,#N/A,FALSE,"KlamRog"}</definedName>
    <definedName name="HROptim_5" hidden="1">{#N/A,#N/A,FALSE,"Summary";#N/A,#N/A,FALSE,"SmPlants";#N/A,#N/A,FALSE,"Utah";#N/A,#N/A,FALSE,"Idaho";#N/A,#N/A,FALSE,"Lewis River";#N/A,#N/A,FALSE,"NrthUmpq";#N/A,#N/A,FALSE,"KlamRog"}</definedName>
    <definedName name="index1">[1]Levelizer!$C$64</definedName>
    <definedName name="index1_desc">[1]Levelizer!$C$65</definedName>
    <definedName name="index2">[1]Levelizer!$D$64</definedName>
    <definedName name="index2_desc">[1]Levelizer!$D$65</definedName>
    <definedName name="index3">[1]Levelizer!$E$64</definedName>
    <definedName name="index3_desc">[1]Levelizer!$E$65</definedName>
    <definedName name="index4">[1]Levelizer!$F$64</definedName>
    <definedName name="index4_desc">[1]Levelizer!$F$65</definedName>
    <definedName name="index5">[1]Levelizer!$G$64</definedName>
    <definedName name="index5_desc">[1]Levelizer!$G$65</definedName>
    <definedName name="index6">[1]Levelizer!$H$64</definedName>
    <definedName name="index6_desc">[1]Levelizer!$H$65</definedName>
    <definedName name="index7">[1]Levelizer!$I$64</definedName>
    <definedName name="index7_desc">[1]Levelizer!$I$65</definedName>
    <definedName name="inf">[1]Levelizer!$C$5</definedName>
    <definedName name="Infl_Rate_2008">'[6]Forward Price Curve'!$W$14</definedName>
    <definedName name="Infl_Rate_2009">'[6]Forward Price Curve'!$W$15</definedName>
    <definedName name="inventory" localSheetId="1" hidden="1">{#N/A,#N/A,FALSE,"Summary";#N/A,#N/A,FALSE,"SmPlants";#N/A,#N/A,FALSE,"Utah";#N/A,#N/A,FALSE,"Idaho";#N/A,#N/A,FALSE,"Lewis River";#N/A,#N/A,FALSE,"NrthUmpq";#N/A,#N/A,FALSE,"KlamRog"}</definedName>
    <definedName name="inventory" localSheetId="3" hidden="1">{#N/A,#N/A,FALSE,"Summary";#N/A,#N/A,FALSE,"SmPlants";#N/A,#N/A,FALSE,"Utah";#N/A,#N/A,FALSE,"Idaho";#N/A,#N/A,FALSE,"Lewis River";#N/A,#N/A,FALSE,"NrthUmpq";#N/A,#N/A,FALSE,"KlamRog"}</definedName>
    <definedName name="inventory" localSheetId="4" hidden="1">{#N/A,#N/A,FALSE,"Summary";#N/A,#N/A,FALSE,"SmPlants";#N/A,#N/A,FALSE,"Utah";#N/A,#N/A,FALSE,"Idaho";#N/A,#N/A,FALSE,"Lewis River";#N/A,#N/A,FALSE,"NrthUmpq";#N/A,#N/A,FALSE,"KlamRog"}</definedName>
    <definedName name="inventory" localSheetId="13" hidden="1">{#N/A,#N/A,FALSE,"Summary";#N/A,#N/A,FALSE,"SmPlants";#N/A,#N/A,FALSE,"Utah";#N/A,#N/A,FALSE,"Idaho";#N/A,#N/A,FALSE,"Lewis River";#N/A,#N/A,FALSE,"NrthUmpq";#N/A,#N/A,FALSE,"KlamRog"}</definedName>
    <definedName name="inventory" localSheetId="14" hidden="1">{#N/A,#N/A,FALSE,"Summary";#N/A,#N/A,FALSE,"SmPlants";#N/A,#N/A,FALSE,"Utah";#N/A,#N/A,FALSE,"Idaho";#N/A,#N/A,FALSE,"Lewis River";#N/A,#N/A,FALSE,"NrthUmpq";#N/A,#N/A,FALSE,"KlamRog"}</definedName>
    <definedName name="inventory" localSheetId="15" hidden="1">{#N/A,#N/A,FALSE,"Summary";#N/A,#N/A,FALSE,"SmPlants";#N/A,#N/A,FALSE,"Utah";#N/A,#N/A,FALSE,"Idaho";#N/A,#N/A,FALSE,"Lewis River";#N/A,#N/A,FALSE,"NrthUmpq";#N/A,#N/A,FALSE,"KlamRog"}</definedName>
    <definedName name="inventory" localSheetId="16" hidden="1">{#N/A,#N/A,FALSE,"Summary";#N/A,#N/A,FALSE,"SmPlants";#N/A,#N/A,FALSE,"Utah";#N/A,#N/A,FALSE,"Idaho";#N/A,#N/A,FALSE,"Lewis River";#N/A,#N/A,FALSE,"NrthUmpq";#N/A,#N/A,FALSE,"KlamRog"}</definedName>
    <definedName name="inventory" localSheetId="19" hidden="1">{#N/A,#N/A,FALSE,"Summary";#N/A,#N/A,FALSE,"SmPlants";#N/A,#N/A,FALSE,"Utah";#N/A,#N/A,FALSE,"Idaho";#N/A,#N/A,FALSE,"Lewis River";#N/A,#N/A,FALSE,"NrthUmpq";#N/A,#N/A,FALSE,"KlamRog"}</definedName>
    <definedName name="inventory" localSheetId="22" hidden="1">{#N/A,#N/A,FALSE,"Summary";#N/A,#N/A,FALSE,"SmPlants";#N/A,#N/A,FALSE,"Utah";#N/A,#N/A,FALSE,"Idaho";#N/A,#N/A,FALSE,"Lewis River";#N/A,#N/A,FALSE,"NrthUmpq";#N/A,#N/A,FALSE,"KlamRog"}</definedName>
    <definedName name="inventory" localSheetId="23" hidden="1">{#N/A,#N/A,FALSE,"Summary";#N/A,#N/A,FALSE,"SmPlants";#N/A,#N/A,FALSE,"Utah";#N/A,#N/A,FALSE,"Idaho";#N/A,#N/A,FALSE,"Lewis River";#N/A,#N/A,FALSE,"NrthUmpq";#N/A,#N/A,FALSE,"KlamRog"}</definedName>
    <definedName name="inventory" localSheetId="24" hidden="1">{#N/A,#N/A,FALSE,"Summary";#N/A,#N/A,FALSE,"SmPlants";#N/A,#N/A,FALSE,"Utah";#N/A,#N/A,FALSE,"Idaho";#N/A,#N/A,FALSE,"Lewis River";#N/A,#N/A,FALSE,"NrthUmpq";#N/A,#N/A,FALSE,"KlamRog"}</definedName>
    <definedName name="inventory" localSheetId="25" hidden="1">{#N/A,#N/A,FALSE,"Summary";#N/A,#N/A,FALSE,"SmPlants";#N/A,#N/A,FALSE,"Utah";#N/A,#N/A,FALSE,"Idaho";#N/A,#N/A,FALSE,"Lewis River";#N/A,#N/A,FALSE,"NrthUmpq";#N/A,#N/A,FALSE,"KlamRog"}</definedName>
    <definedName name="inventory" localSheetId="26" hidden="1">{#N/A,#N/A,FALSE,"Summary";#N/A,#N/A,FALSE,"SmPlants";#N/A,#N/A,FALSE,"Utah";#N/A,#N/A,FALSE,"Idaho";#N/A,#N/A,FALSE,"Lewis River";#N/A,#N/A,FALSE,"NrthUmpq";#N/A,#N/A,FALSE,"KlamRog"}</definedName>
    <definedName name="inventory" localSheetId="31" hidden="1">{#N/A,#N/A,FALSE,"Summary";#N/A,#N/A,FALSE,"SmPlants";#N/A,#N/A,FALSE,"Utah";#N/A,#N/A,FALSE,"Idaho";#N/A,#N/A,FALSE,"Lewis River";#N/A,#N/A,FALSE,"NrthUmpq";#N/A,#N/A,FALSE,"KlamRog"}</definedName>
    <definedName name="inventory" localSheetId="35" hidden="1">{#N/A,#N/A,FALSE,"Summary";#N/A,#N/A,FALSE,"SmPlants";#N/A,#N/A,FALSE,"Utah";#N/A,#N/A,FALSE,"Idaho";#N/A,#N/A,FALSE,"Lewis River";#N/A,#N/A,FALSE,"NrthUmpq";#N/A,#N/A,FALSE,"KlamRog"}</definedName>
    <definedName name="inventory" localSheetId="36" hidden="1">{#N/A,#N/A,FALSE,"Summary";#N/A,#N/A,FALSE,"SmPlants";#N/A,#N/A,FALSE,"Utah";#N/A,#N/A,FALSE,"Idaho";#N/A,#N/A,FALSE,"Lewis River";#N/A,#N/A,FALSE,"NrthUmpq";#N/A,#N/A,FALSE,"KlamRog"}</definedName>
    <definedName name="inventory" localSheetId="0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entory_1" localSheetId="1" hidden="1">{#N/A,#N/A,FALSE,"Summary";#N/A,#N/A,FALSE,"SmPlants";#N/A,#N/A,FALSE,"Utah";#N/A,#N/A,FALSE,"Idaho";#N/A,#N/A,FALSE,"Lewis River";#N/A,#N/A,FALSE,"NrthUmpq";#N/A,#N/A,FALSE,"KlamRog"}</definedName>
    <definedName name="inventory_1" localSheetId="3" hidden="1">{#N/A,#N/A,FALSE,"Summary";#N/A,#N/A,FALSE,"SmPlants";#N/A,#N/A,FALSE,"Utah";#N/A,#N/A,FALSE,"Idaho";#N/A,#N/A,FALSE,"Lewis River";#N/A,#N/A,FALSE,"NrthUmpq";#N/A,#N/A,FALSE,"KlamRog"}</definedName>
    <definedName name="inventory_1" localSheetId="4" hidden="1">{#N/A,#N/A,FALSE,"Summary";#N/A,#N/A,FALSE,"SmPlants";#N/A,#N/A,FALSE,"Utah";#N/A,#N/A,FALSE,"Idaho";#N/A,#N/A,FALSE,"Lewis River";#N/A,#N/A,FALSE,"NrthUmpq";#N/A,#N/A,FALSE,"KlamRog"}</definedName>
    <definedName name="inventory_1" localSheetId="13" hidden="1">{#N/A,#N/A,FALSE,"Summary";#N/A,#N/A,FALSE,"SmPlants";#N/A,#N/A,FALSE,"Utah";#N/A,#N/A,FALSE,"Idaho";#N/A,#N/A,FALSE,"Lewis River";#N/A,#N/A,FALSE,"NrthUmpq";#N/A,#N/A,FALSE,"KlamRog"}</definedName>
    <definedName name="inventory_1" localSheetId="14" hidden="1">{#N/A,#N/A,FALSE,"Summary";#N/A,#N/A,FALSE,"SmPlants";#N/A,#N/A,FALSE,"Utah";#N/A,#N/A,FALSE,"Idaho";#N/A,#N/A,FALSE,"Lewis River";#N/A,#N/A,FALSE,"NrthUmpq";#N/A,#N/A,FALSE,"KlamRog"}</definedName>
    <definedName name="inventory_1" localSheetId="15" hidden="1">{#N/A,#N/A,FALSE,"Summary";#N/A,#N/A,FALSE,"SmPlants";#N/A,#N/A,FALSE,"Utah";#N/A,#N/A,FALSE,"Idaho";#N/A,#N/A,FALSE,"Lewis River";#N/A,#N/A,FALSE,"NrthUmpq";#N/A,#N/A,FALSE,"KlamRog"}</definedName>
    <definedName name="inventory_1" localSheetId="16" hidden="1">{#N/A,#N/A,FALSE,"Summary";#N/A,#N/A,FALSE,"SmPlants";#N/A,#N/A,FALSE,"Utah";#N/A,#N/A,FALSE,"Idaho";#N/A,#N/A,FALSE,"Lewis River";#N/A,#N/A,FALSE,"NrthUmpq";#N/A,#N/A,FALSE,"KlamRog"}</definedName>
    <definedName name="inventory_1" localSheetId="19" hidden="1">{#N/A,#N/A,FALSE,"Summary";#N/A,#N/A,FALSE,"SmPlants";#N/A,#N/A,FALSE,"Utah";#N/A,#N/A,FALSE,"Idaho";#N/A,#N/A,FALSE,"Lewis River";#N/A,#N/A,FALSE,"NrthUmpq";#N/A,#N/A,FALSE,"KlamRog"}</definedName>
    <definedName name="inventory_1" localSheetId="22" hidden="1">{#N/A,#N/A,FALSE,"Summary";#N/A,#N/A,FALSE,"SmPlants";#N/A,#N/A,FALSE,"Utah";#N/A,#N/A,FALSE,"Idaho";#N/A,#N/A,FALSE,"Lewis River";#N/A,#N/A,FALSE,"NrthUmpq";#N/A,#N/A,FALSE,"KlamRog"}</definedName>
    <definedName name="inventory_1" localSheetId="23" hidden="1">{#N/A,#N/A,FALSE,"Summary";#N/A,#N/A,FALSE,"SmPlants";#N/A,#N/A,FALSE,"Utah";#N/A,#N/A,FALSE,"Idaho";#N/A,#N/A,FALSE,"Lewis River";#N/A,#N/A,FALSE,"NrthUmpq";#N/A,#N/A,FALSE,"KlamRog"}</definedName>
    <definedName name="inventory_1" localSheetId="24" hidden="1">{#N/A,#N/A,FALSE,"Summary";#N/A,#N/A,FALSE,"SmPlants";#N/A,#N/A,FALSE,"Utah";#N/A,#N/A,FALSE,"Idaho";#N/A,#N/A,FALSE,"Lewis River";#N/A,#N/A,FALSE,"NrthUmpq";#N/A,#N/A,FALSE,"KlamRog"}</definedName>
    <definedName name="inventory_1" localSheetId="25" hidden="1">{#N/A,#N/A,FALSE,"Summary";#N/A,#N/A,FALSE,"SmPlants";#N/A,#N/A,FALSE,"Utah";#N/A,#N/A,FALSE,"Idaho";#N/A,#N/A,FALSE,"Lewis River";#N/A,#N/A,FALSE,"NrthUmpq";#N/A,#N/A,FALSE,"KlamRog"}</definedName>
    <definedName name="inventory_1" localSheetId="26" hidden="1">{#N/A,#N/A,FALSE,"Summary";#N/A,#N/A,FALSE,"SmPlants";#N/A,#N/A,FALSE,"Utah";#N/A,#N/A,FALSE,"Idaho";#N/A,#N/A,FALSE,"Lewis River";#N/A,#N/A,FALSE,"NrthUmpq";#N/A,#N/A,FALSE,"KlamRog"}</definedName>
    <definedName name="inventory_1" localSheetId="31" hidden="1">{#N/A,#N/A,FALSE,"Summary";#N/A,#N/A,FALSE,"SmPlants";#N/A,#N/A,FALSE,"Utah";#N/A,#N/A,FALSE,"Idaho";#N/A,#N/A,FALSE,"Lewis River";#N/A,#N/A,FALSE,"NrthUmpq";#N/A,#N/A,FALSE,"KlamRog"}</definedName>
    <definedName name="inventory_1" localSheetId="35" hidden="1">{#N/A,#N/A,FALSE,"Summary";#N/A,#N/A,FALSE,"SmPlants";#N/A,#N/A,FALSE,"Utah";#N/A,#N/A,FALSE,"Idaho";#N/A,#N/A,FALSE,"Lewis River";#N/A,#N/A,FALSE,"NrthUmpq";#N/A,#N/A,FALSE,"KlamRog"}</definedName>
    <definedName name="inventory_1" localSheetId="36" hidden="1">{#N/A,#N/A,FALSE,"Summary";#N/A,#N/A,FALSE,"SmPlants";#N/A,#N/A,FALSE,"Utah";#N/A,#N/A,FALSE,"Idaho";#N/A,#N/A,FALSE,"Lewis River";#N/A,#N/A,FALSE,"NrthUmpq";#N/A,#N/A,FALSE,"KlamRog"}</definedName>
    <definedName name="inventory_1" localSheetId="0" hidden="1">{#N/A,#N/A,FALSE,"Summary";#N/A,#N/A,FALSE,"SmPlants";#N/A,#N/A,FALSE,"Utah";#N/A,#N/A,FALSE,"Idaho";#N/A,#N/A,FALSE,"Lewis River";#N/A,#N/A,FALSE,"NrthUmpq";#N/A,#N/A,FALSE,"KlamRog"}</definedName>
    <definedName name="inventory_1" hidden="1">{#N/A,#N/A,FALSE,"Summary";#N/A,#N/A,FALSE,"SmPlants";#N/A,#N/A,FALSE,"Utah";#N/A,#N/A,FALSE,"Idaho";#N/A,#N/A,FALSE,"Lewis River";#N/A,#N/A,FALSE,"NrthUmpq";#N/A,#N/A,FALSE,"KlamRog"}</definedName>
    <definedName name="inventory_2" localSheetId="1" hidden="1">{#N/A,#N/A,FALSE,"Summary";#N/A,#N/A,FALSE,"SmPlants";#N/A,#N/A,FALSE,"Utah";#N/A,#N/A,FALSE,"Idaho";#N/A,#N/A,FALSE,"Lewis River";#N/A,#N/A,FALSE,"NrthUmpq";#N/A,#N/A,FALSE,"KlamRog"}</definedName>
    <definedName name="inventory_2" localSheetId="3" hidden="1">{#N/A,#N/A,FALSE,"Summary";#N/A,#N/A,FALSE,"SmPlants";#N/A,#N/A,FALSE,"Utah";#N/A,#N/A,FALSE,"Idaho";#N/A,#N/A,FALSE,"Lewis River";#N/A,#N/A,FALSE,"NrthUmpq";#N/A,#N/A,FALSE,"KlamRog"}</definedName>
    <definedName name="inventory_2" localSheetId="4" hidden="1">{#N/A,#N/A,FALSE,"Summary";#N/A,#N/A,FALSE,"SmPlants";#N/A,#N/A,FALSE,"Utah";#N/A,#N/A,FALSE,"Idaho";#N/A,#N/A,FALSE,"Lewis River";#N/A,#N/A,FALSE,"NrthUmpq";#N/A,#N/A,FALSE,"KlamRog"}</definedName>
    <definedName name="inventory_2" localSheetId="13" hidden="1">{#N/A,#N/A,FALSE,"Summary";#N/A,#N/A,FALSE,"SmPlants";#N/A,#N/A,FALSE,"Utah";#N/A,#N/A,FALSE,"Idaho";#N/A,#N/A,FALSE,"Lewis River";#N/A,#N/A,FALSE,"NrthUmpq";#N/A,#N/A,FALSE,"KlamRog"}</definedName>
    <definedName name="inventory_2" localSheetId="14" hidden="1">{#N/A,#N/A,FALSE,"Summary";#N/A,#N/A,FALSE,"SmPlants";#N/A,#N/A,FALSE,"Utah";#N/A,#N/A,FALSE,"Idaho";#N/A,#N/A,FALSE,"Lewis River";#N/A,#N/A,FALSE,"NrthUmpq";#N/A,#N/A,FALSE,"KlamRog"}</definedName>
    <definedName name="inventory_2" localSheetId="15" hidden="1">{#N/A,#N/A,FALSE,"Summary";#N/A,#N/A,FALSE,"SmPlants";#N/A,#N/A,FALSE,"Utah";#N/A,#N/A,FALSE,"Idaho";#N/A,#N/A,FALSE,"Lewis River";#N/A,#N/A,FALSE,"NrthUmpq";#N/A,#N/A,FALSE,"KlamRog"}</definedName>
    <definedName name="inventory_2" localSheetId="16" hidden="1">{#N/A,#N/A,FALSE,"Summary";#N/A,#N/A,FALSE,"SmPlants";#N/A,#N/A,FALSE,"Utah";#N/A,#N/A,FALSE,"Idaho";#N/A,#N/A,FALSE,"Lewis River";#N/A,#N/A,FALSE,"NrthUmpq";#N/A,#N/A,FALSE,"KlamRog"}</definedName>
    <definedName name="inventory_2" localSheetId="19" hidden="1">{#N/A,#N/A,FALSE,"Summary";#N/A,#N/A,FALSE,"SmPlants";#N/A,#N/A,FALSE,"Utah";#N/A,#N/A,FALSE,"Idaho";#N/A,#N/A,FALSE,"Lewis River";#N/A,#N/A,FALSE,"NrthUmpq";#N/A,#N/A,FALSE,"KlamRog"}</definedName>
    <definedName name="inventory_2" localSheetId="22" hidden="1">{#N/A,#N/A,FALSE,"Summary";#N/A,#N/A,FALSE,"SmPlants";#N/A,#N/A,FALSE,"Utah";#N/A,#N/A,FALSE,"Idaho";#N/A,#N/A,FALSE,"Lewis River";#N/A,#N/A,FALSE,"NrthUmpq";#N/A,#N/A,FALSE,"KlamRog"}</definedName>
    <definedName name="inventory_2" localSheetId="23" hidden="1">{#N/A,#N/A,FALSE,"Summary";#N/A,#N/A,FALSE,"SmPlants";#N/A,#N/A,FALSE,"Utah";#N/A,#N/A,FALSE,"Idaho";#N/A,#N/A,FALSE,"Lewis River";#N/A,#N/A,FALSE,"NrthUmpq";#N/A,#N/A,FALSE,"KlamRog"}</definedName>
    <definedName name="inventory_2" localSheetId="24" hidden="1">{#N/A,#N/A,FALSE,"Summary";#N/A,#N/A,FALSE,"SmPlants";#N/A,#N/A,FALSE,"Utah";#N/A,#N/A,FALSE,"Idaho";#N/A,#N/A,FALSE,"Lewis River";#N/A,#N/A,FALSE,"NrthUmpq";#N/A,#N/A,FALSE,"KlamRog"}</definedName>
    <definedName name="inventory_2" localSheetId="25" hidden="1">{#N/A,#N/A,FALSE,"Summary";#N/A,#N/A,FALSE,"SmPlants";#N/A,#N/A,FALSE,"Utah";#N/A,#N/A,FALSE,"Idaho";#N/A,#N/A,FALSE,"Lewis River";#N/A,#N/A,FALSE,"NrthUmpq";#N/A,#N/A,FALSE,"KlamRog"}</definedName>
    <definedName name="inventory_2" localSheetId="26" hidden="1">{#N/A,#N/A,FALSE,"Summary";#N/A,#N/A,FALSE,"SmPlants";#N/A,#N/A,FALSE,"Utah";#N/A,#N/A,FALSE,"Idaho";#N/A,#N/A,FALSE,"Lewis River";#N/A,#N/A,FALSE,"NrthUmpq";#N/A,#N/A,FALSE,"KlamRog"}</definedName>
    <definedName name="inventory_2" localSheetId="31" hidden="1">{#N/A,#N/A,FALSE,"Summary";#N/A,#N/A,FALSE,"SmPlants";#N/A,#N/A,FALSE,"Utah";#N/A,#N/A,FALSE,"Idaho";#N/A,#N/A,FALSE,"Lewis River";#N/A,#N/A,FALSE,"NrthUmpq";#N/A,#N/A,FALSE,"KlamRog"}</definedName>
    <definedName name="inventory_2" localSheetId="35" hidden="1">{#N/A,#N/A,FALSE,"Summary";#N/A,#N/A,FALSE,"SmPlants";#N/A,#N/A,FALSE,"Utah";#N/A,#N/A,FALSE,"Idaho";#N/A,#N/A,FALSE,"Lewis River";#N/A,#N/A,FALSE,"NrthUmpq";#N/A,#N/A,FALSE,"KlamRog"}</definedName>
    <definedName name="inventory_2" localSheetId="36" hidden="1">{#N/A,#N/A,FALSE,"Summary";#N/A,#N/A,FALSE,"SmPlants";#N/A,#N/A,FALSE,"Utah";#N/A,#N/A,FALSE,"Idaho";#N/A,#N/A,FALSE,"Lewis River";#N/A,#N/A,FALSE,"NrthUmpq";#N/A,#N/A,FALSE,"KlamRog"}</definedName>
    <definedName name="inventory_2" localSheetId="0" hidden="1">{#N/A,#N/A,FALSE,"Summary";#N/A,#N/A,FALSE,"SmPlants";#N/A,#N/A,FALSE,"Utah";#N/A,#N/A,FALSE,"Idaho";#N/A,#N/A,FALSE,"Lewis River";#N/A,#N/A,FALSE,"NrthUmpq";#N/A,#N/A,FALSE,"KlamRog"}</definedName>
    <definedName name="inventory_2" hidden="1">{#N/A,#N/A,FALSE,"Summary";#N/A,#N/A,FALSE,"SmPlants";#N/A,#N/A,FALSE,"Utah";#N/A,#N/A,FALSE,"Idaho";#N/A,#N/A,FALSE,"Lewis River";#N/A,#N/A,FALSE,"NrthUmpq";#N/A,#N/A,FALSE,"KlamRog"}</definedName>
    <definedName name="inventory_3" localSheetId="1" hidden="1">{#N/A,#N/A,FALSE,"Summary";#N/A,#N/A,FALSE,"SmPlants";#N/A,#N/A,FALSE,"Utah";#N/A,#N/A,FALSE,"Idaho";#N/A,#N/A,FALSE,"Lewis River";#N/A,#N/A,FALSE,"NrthUmpq";#N/A,#N/A,FALSE,"KlamRog"}</definedName>
    <definedName name="inventory_3" localSheetId="3" hidden="1">{#N/A,#N/A,FALSE,"Summary";#N/A,#N/A,FALSE,"SmPlants";#N/A,#N/A,FALSE,"Utah";#N/A,#N/A,FALSE,"Idaho";#N/A,#N/A,FALSE,"Lewis River";#N/A,#N/A,FALSE,"NrthUmpq";#N/A,#N/A,FALSE,"KlamRog"}</definedName>
    <definedName name="inventory_3" localSheetId="4" hidden="1">{#N/A,#N/A,FALSE,"Summary";#N/A,#N/A,FALSE,"SmPlants";#N/A,#N/A,FALSE,"Utah";#N/A,#N/A,FALSE,"Idaho";#N/A,#N/A,FALSE,"Lewis River";#N/A,#N/A,FALSE,"NrthUmpq";#N/A,#N/A,FALSE,"KlamRog"}</definedName>
    <definedName name="inventory_3" localSheetId="13" hidden="1">{#N/A,#N/A,FALSE,"Summary";#N/A,#N/A,FALSE,"SmPlants";#N/A,#N/A,FALSE,"Utah";#N/A,#N/A,FALSE,"Idaho";#N/A,#N/A,FALSE,"Lewis River";#N/A,#N/A,FALSE,"NrthUmpq";#N/A,#N/A,FALSE,"KlamRog"}</definedName>
    <definedName name="inventory_3" localSheetId="14" hidden="1">{#N/A,#N/A,FALSE,"Summary";#N/A,#N/A,FALSE,"SmPlants";#N/A,#N/A,FALSE,"Utah";#N/A,#N/A,FALSE,"Idaho";#N/A,#N/A,FALSE,"Lewis River";#N/A,#N/A,FALSE,"NrthUmpq";#N/A,#N/A,FALSE,"KlamRog"}</definedName>
    <definedName name="inventory_3" localSheetId="15" hidden="1">{#N/A,#N/A,FALSE,"Summary";#N/A,#N/A,FALSE,"SmPlants";#N/A,#N/A,FALSE,"Utah";#N/A,#N/A,FALSE,"Idaho";#N/A,#N/A,FALSE,"Lewis River";#N/A,#N/A,FALSE,"NrthUmpq";#N/A,#N/A,FALSE,"KlamRog"}</definedName>
    <definedName name="inventory_3" localSheetId="16" hidden="1">{#N/A,#N/A,FALSE,"Summary";#N/A,#N/A,FALSE,"SmPlants";#N/A,#N/A,FALSE,"Utah";#N/A,#N/A,FALSE,"Idaho";#N/A,#N/A,FALSE,"Lewis River";#N/A,#N/A,FALSE,"NrthUmpq";#N/A,#N/A,FALSE,"KlamRog"}</definedName>
    <definedName name="inventory_3" localSheetId="19" hidden="1">{#N/A,#N/A,FALSE,"Summary";#N/A,#N/A,FALSE,"SmPlants";#N/A,#N/A,FALSE,"Utah";#N/A,#N/A,FALSE,"Idaho";#N/A,#N/A,FALSE,"Lewis River";#N/A,#N/A,FALSE,"NrthUmpq";#N/A,#N/A,FALSE,"KlamRog"}</definedName>
    <definedName name="inventory_3" localSheetId="22" hidden="1">{#N/A,#N/A,FALSE,"Summary";#N/A,#N/A,FALSE,"SmPlants";#N/A,#N/A,FALSE,"Utah";#N/A,#N/A,FALSE,"Idaho";#N/A,#N/A,FALSE,"Lewis River";#N/A,#N/A,FALSE,"NrthUmpq";#N/A,#N/A,FALSE,"KlamRog"}</definedName>
    <definedName name="inventory_3" localSheetId="23" hidden="1">{#N/A,#N/A,FALSE,"Summary";#N/A,#N/A,FALSE,"SmPlants";#N/A,#N/A,FALSE,"Utah";#N/A,#N/A,FALSE,"Idaho";#N/A,#N/A,FALSE,"Lewis River";#N/A,#N/A,FALSE,"NrthUmpq";#N/A,#N/A,FALSE,"KlamRog"}</definedName>
    <definedName name="inventory_3" localSheetId="24" hidden="1">{#N/A,#N/A,FALSE,"Summary";#N/A,#N/A,FALSE,"SmPlants";#N/A,#N/A,FALSE,"Utah";#N/A,#N/A,FALSE,"Idaho";#N/A,#N/A,FALSE,"Lewis River";#N/A,#N/A,FALSE,"NrthUmpq";#N/A,#N/A,FALSE,"KlamRog"}</definedName>
    <definedName name="inventory_3" localSheetId="25" hidden="1">{#N/A,#N/A,FALSE,"Summary";#N/A,#N/A,FALSE,"SmPlants";#N/A,#N/A,FALSE,"Utah";#N/A,#N/A,FALSE,"Idaho";#N/A,#N/A,FALSE,"Lewis River";#N/A,#N/A,FALSE,"NrthUmpq";#N/A,#N/A,FALSE,"KlamRog"}</definedName>
    <definedName name="inventory_3" localSheetId="26" hidden="1">{#N/A,#N/A,FALSE,"Summary";#N/A,#N/A,FALSE,"SmPlants";#N/A,#N/A,FALSE,"Utah";#N/A,#N/A,FALSE,"Idaho";#N/A,#N/A,FALSE,"Lewis River";#N/A,#N/A,FALSE,"NrthUmpq";#N/A,#N/A,FALSE,"KlamRog"}</definedName>
    <definedName name="inventory_3" localSheetId="31" hidden="1">{#N/A,#N/A,FALSE,"Summary";#N/A,#N/A,FALSE,"SmPlants";#N/A,#N/A,FALSE,"Utah";#N/A,#N/A,FALSE,"Idaho";#N/A,#N/A,FALSE,"Lewis River";#N/A,#N/A,FALSE,"NrthUmpq";#N/A,#N/A,FALSE,"KlamRog"}</definedName>
    <definedName name="inventory_3" localSheetId="35" hidden="1">{#N/A,#N/A,FALSE,"Summary";#N/A,#N/A,FALSE,"SmPlants";#N/A,#N/A,FALSE,"Utah";#N/A,#N/A,FALSE,"Idaho";#N/A,#N/A,FALSE,"Lewis River";#N/A,#N/A,FALSE,"NrthUmpq";#N/A,#N/A,FALSE,"KlamRog"}</definedName>
    <definedName name="inventory_3" localSheetId="36" hidden="1">{#N/A,#N/A,FALSE,"Summary";#N/A,#N/A,FALSE,"SmPlants";#N/A,#N/A,FALSE,"Utah";#N/A,#N/A,FALSE,"Idaho";#N/A,#N/A,FALSE,"Lewis River";#N/A,#N/A,FALSE,"NrthUmpq";#N/A,#N/A,FALSE,"KlamRog"}</definedName>
    <definedName name="inventory_3" localSheetId="0" hidden="1">{#N/A,#N/A,FALSE,"Summary";#N/A,#N/A,FALSE,"SmPlants";#N/A,#N/A,FALSE,"Utah";#N/A,#N/A,FALSE,"Idaho";#N/A,#N/A,FALSE,"Lewis River";#N/A,#N/A,FALSE,"NrthUmpq";#N/A,#N/A,FALSE,"KlamRog"}</definedName>
    <definedName name="inventory_3" hidden="1">{#N/A,#N/A,FALSE,"Summary";#N/A,#N/A,FALSE,"SmPlants";#N/A,#N/A,FALSE,"Utah";#N/A,#N/A,FALSE,"Idaho";#N/A,#N/A,FALSE,"Lewis River";#N/A,#N/A,FALSE,"NrthUmpq";#N/A,#N/A,FALSE,"KlamRog"}</definedName>
    <definedName name="inventory_4" localSheetId="1" hidden="1">{#N/A,#N/A,FALSE,"Summary";#N/A,#N/A,FALSE,"SmPlants";#N/A,#N/A,FALSE,"Utah";#N/A,#N/A,FALSE,"Idaho";#N/A,#N/A,FALSE,"Lewis River";#N/A,#N/A,FALSE,"NrthUmpq";#N/A,#N/A,FALSE,"KlamRog"}</definedName>
    <definedName name="inventory_4" localSheetId="3" hidden="1">{#N/A,#N/A,FALSE,"Summary";#N/A,#N/A,FALSE,"SmPlants";#N/A,#N/A,FALSE,"Utah";#N/A,#N/A,FALSE,"Idaho";#N/A,#N/A,FALSE,"Lewis River";#N/A,#N/A,FALSE,"NrthUmpq";#N/A,#N/A,FALSE,"KlamRog"}</definedName>
    <definedName name="inventory_4" localSheetId="4" hidden="1">{#N/A,#N/A,FALSE,"Summary";#N/A,#N/A,FALSE,"SmPlants";#N/A,#N/A,FALSE,"Utah";#N/A,#N/A,FALSE,"Idaho";#N/A,#N/A,FALSE,"Lewis River";#N/A,#N/A,FALSE,"NrthUmpq";#N/A,#N/A,FALSE,"KlamRog"}</definedName>
    <definedName name="inventory_4" localSheetId="13" hidden="1">{#N/A,#N/A,FALSE,"Summary";#N/A,#N/A,FALSE,"SmPlants";#N/A,#N/A,FALSE,"Utah";#N/A,#N/A,FALSE,"Idaho";#N/A,#N/A,FALSE,"Lewis River";#N/A,#N/A,FALSE,"NrthUmpq";#N/A,#N/A,FALSE,"KlamRog"}</definedName>
    <definedName name="inventory_4" localSheetId="14" hidden="1">{#N/A,#N/A,FALSE,"Summary";#N/A,#N/A,FALSE,"SmPlants";#N/A,#N/A,FALSE,"Utah";#N/A,#N/A,FALSE,"Idaho";#N/A,#N/A,FALSE,"Lewis River";#N/A,#N/A,FALSE,"NrthUmpq";#N/A,#N/A,FALSE,"KlamRog"}</definedName>
    <definedName name="inventory_4" localSheetId="15" hidden="1">{#N/A,#N/A,FALSE,"Summary";#N/A,#N/A,FALSE,"SmPlants";#N/A,#N/A,FALSE,"Utah";#N/A,#N/A,FALSE,"Idaho";#N/A,#N/A,FALSE,"Lewis River";#N/A,#N/A,FALSE,"NrthUmpq";#N/A,#N/A,FALSE,"KlamRog"}</definedName>
    <definedName name="inventory_4" localSheetId="16" hidden="1">{#N/A,#N/A,FALSE,"Summary";#N/A,#N/A,FALSE,"SmPlants";#N/A,#N/A,FALSE,"Utah";#N/A,#N/A,FALSE,"Idaho";#N/A,#N/A,FALSE,"Lewis River";#N/A,#N/A,FALSE,"NrthUmpq";#N/A,#N/A,FALSE,"KlamRog"}</definedName>
    <definedName name="inventory_4" localSheetId="19" hidden="1">{#N/A,#N/A,FALSE,"Summary";#N/A,#N/A,FALSE,"SmPlants";#N/A,#N/A,FALSE,"Utah";#N/A,#N/A,FALSE,"Idaho";#N/A,#N/A,FALSE,"Lewis River";#N/A,#N/A,FALSE,"NrthUmpq";#N/A,#N/A,FALSE,"KlamRog"}</definedName>
    <definedName name="inventory_4" localSheetId="22" hidden="1">{#N/A,#N/A,FALSE,"Summary";#N/A,#N/A,FALSE,"SmPlants";#N/A,#N/A,FALSE,"Utah";#N/A,#N/A,FALSE,"Idaho";#N/A,#N/A,FALSE,"Lewis River";#N/A,#N/A,FALSE,"NrthUmpq";#N/A,#N/A,FALSE,"KlamRog"}</definedName>
    <definedName name="inventory_4" localSheetId="23" hidden="1">{#N/A,#N/A,FALSE,"Summary";#N/A,#N/A,FALSE,"SmPlants";#N/A,#N/A,FALSE,"Utah";#N/A,#N/A,FALSE,"Idaho";#N/A,#N/A,FALSE,"Lewis River";#N/A,#N/A,FALSE,"NrthUmpq";#N/A,#N/A,FALSE,"KlamRog"}</definedName>
    <definedName name="inventory_4" localSheetId="24" hidden="1">{#N/A,#N/A,FALSE,"Summary";#N/A,#N/A,FALSE,"SmPlants";#N/A,#N/A,FALSE,"Utah";#N/A,#N/A,FALSE,"Idaho";#N/A,#N/A,FALSE,"Lewis River";#N/A,#N/A,FALSE,"NrthUmpq";#N/A,#N/A,FALSE,"KlamRog"}</definedName>
    <definedName name="inventory_4" localSheetId="25" hidden="1">{#N/A,#N/A,FALSE,"Summary";#N/A,#N/A,FALSE,"SmPlants";#N/A,#N/A,FALSE,"Utah";#N/A,#N/A,FALSE,"Idaho";#N/A,#N/A,FALSE,"Lewis River";#N/A,#N/A,FALSE,"NrthUmpq";#N/A,#N/A,FALSE,"KlamRog"}</definedName>
    <definedName name="inventory_4" localSheetId="26" hidden="1">{#N/A,#N/A,FALSE,"Summary";#N/A,#N/A,FALSE,"SmPlants";#N/A,#N/A,FALSE,"Utah";#N/A,#N/A,FALSE,"Idaho";#N/A,#N/A,FALSE,"Lewis River";#N/A,#N/A,FALSE,"NrthUmpq";#N/A,#N/A,FALSE,"KlamRog"}</definedName>
    <definedName name="inventory_4" localSheetId="31" hidden="1">{#N/A,#N/A,FALSE,"Summary";#N/A,#N/A,FALSE,"SmPlants";#N/A,#N/A,FALSE,"Utah";#N/A,#N/A,FALSE,"Idaho";#N/A,#N/A,FALSE,"Lewis River";#N/A,#N/A,FALSE,"NrthUmpq";#N/A,#N/A,FALSE,"KlamRog"}</definedName>
    <definedName name="inventory_4" localSheetId="35" hidden="1">{#N/A,#N/A,FALSE,"Summary";#N/A,#N/A,FALSE,"SmPlants";#N/A,#N/A,FALSE,"Utah";#N/A,#N/A,FALSE,"Idaho";#N/A,#N/A,FALSE,"Lewis River";#N/A,#N/A,FALSE,"NrthUmpq";#N/A,#N/A,FALSE,"KlamRog"}</definedName>
    <definedName name="inventory_4" localSheetId="36" hidden="1">{#N/A,#N/A,FALSE,"Summary";#N/A,#N/A,FALSE,"SmPlants";#N/A,#N/A,FALSE,"Utah";#N/A,#N/A,FALSE,"Idaho";#N/A,#N/A,FALSE,"Lewis River";#N/A,#N/A,FALSE,"NrthUmpq";#N/A,#N/A,FALSE,"KlamRog"}</definedName>
    <definedName name="inventory_4" localSheetId="0" hidden="1">{#N/A,#N/A,FALSE,"Summary";#N/A,#N/A,FALSE,"SmPlants";#N/A,#N/A,FALSE,"Utah";#N/A,#N/A,FALSE,"Idaho";#N/A,#N/A,FALSE,"Lewis River";#N/A,#N/A,FALSE,"NrthUmpq";#N/A,#N/A,FALSE,"KlamRog"}</definedName>
    <definedName name="inventory_4" hidden="1">{#N/A,#N/A,FALSE,"Summary";#N/A,#N/A,FALSE,"SmPlants";#N/A,#N/A,FALSE,"Utah";#N/A,#N/A,FALSE,"Idaho";#N/A,#N/A,FALSE,"Lewis River";#N/A,#N/A,FALSE,"NrthUmpq";#N/A,#N/A,FALSE,"KlamRog"}</definedName>
    <definedName name="inventory_5" localSheetId="1" hidden="1">{#N/A,#N/A,FALSE,"Summary";#N/A,#N/A,FALSE,"SmPlants";#N/A,#N/A,FALSE,"Utah";#N/A,#N/A,FALSE,"Idaho";#N/A,#N/A,FALSE,"Lewis River";#N/A,#N/A,FALSE,"NrthUmpq";#N/A,#N/A,FALSE,"KlamRog"}</definedName>
    <definedName name="inventory_5" localSheetId="3" hidden="1">{#N/A,#N/A,FALSE,"Summary";#N/A,#N/A,FALSE,"SmPlants";#N/A,#N/A,FALSE,"Utah";#N/A,#N/A,FALSE,"Idaho";#N/A,#N/A,FALSE,"Lewis River";#N/A,#N/A,FALSE,"NrthUmpq";#N/A,#N/A,FALSE,"KlamRog"}</definedName>
    <definedName name="inventory_5" localSheetId="4" hidden="1">{#N/A,#N/A,FALSE,"Summary";#N/A,#N/A,FALSE,"SmPlants";#N/A,#N/A,FALSE,"Utah";#N/A,#N/A,FALSE,"Idaho";#N/A,#N/A,FALSE,"Lewis River";#N/A,#N/A,FALSE,"NrthUmpq";#N/A,#N/A,FALSE,"KlamRog"}</definedName>
    <definedName name="inventory_5" localSheetId="13" hidden="1">{#N/A,#N/A,FALSE,"Summary";#N/A,#N/A,FALSE,"SmPlants";#N/A,#N/A,FALSE,"Utah";#N/A,#N/A,FALSE,"Idaho";#N/A,#N/A,FALSE,"Lewis River";#N/A,#N/A,FALSE,"NrthUmpq";#N/A,#N/A,FALSE,"KlamRog"}</definedName>
    <definedName name="inventory_5" localSheetId="14" hidden="1">{#N/A,#N/A,FALSE,"Summary";#N/A,#N/A,FALSE,"SmPlants";#N/A,#N/A,FALSE,"Utah";#N/A,#N/A,FALSE,"Idaho";#N/A,#N/A,FALSE,"Lewis River";#N/A,#N/A,FALSE,"NrthUmpq";#N/A,#N/A,FALSE,"KlamRog"}</definedName>
    <definedName name="inventory_5" localSheetId="15" hidden="1">{#N/A,#N/A,FALSE,"Summary";#N/A,#N/A,FALSE,"SmPlants";#N/A,#N/A,FALSE,"Utah";#N/A,#N/A,FALSE,"Idaho";#N/A,#N/A,FALSE,"Lewis River";#N/A,#N/A,FALSE,"NrthUmpq";#N/A,#N/A,FALSE,"KlamRog"}</definedName>
    <definedName name="inventory_5" localSheetId="16" hidden="1">{#N/A,#N/A,FALSE,"Summary";#N/A,#N/A,FALSE,"SmPlants";#N/A,#N/A,FALSE,"Utah";#N/A,#N/A,FALSE,"Idaho";#N/A,#N/A,FALSE,"Lewis River";#N/A,#N/A,FALSE,"NrthUmpq";#N/A,#N/A,FALSE,"KlamRog"}</definedName>
    <definedName name="inventory_5" localSheetId="19" hidden="1">{#N/A,#N/A,FALSE,"Summary";#N/A,#N/A,FALSE,"SmPlants";#N/A,#N/A,FALSE,"Utah";#N/A,#N/A,FALSE,"Idaho";#N/A,#N/A,FALSE,"Lewis River";#N/A,#N/A,FALSE,"NrthUmpq";#N/A,#N/A,FALSE,"KlamRog"}</definedName>
    <definedName name="inventory_5" localSheetId="22" hidden="1">{#N/A,#N/A,FALSE,"Summary";#N/A,#N/A,FALSE,"SmPlants";#N/A,#N/A,FALSE,"Utah";#N/A,#N/A,FALSE,"Idaho";#N/A,#N/A,FALSE,"Lewis River";#N/A,#N/A,FALSE,"NrthUmpq";#N/A,#N/A,FALSE,"KlamRog"}</definedName>
    <definedName name="inventory_5" localSheetId="23" hidden="1">{#N/A,#N/A,FALSE,"Summary";#N/A,#N/A,FALSE,"SmPlants";#N/A,#N/A,FALSE,"Utah";#N/A,#N/A,FALSE,"Idaho";#N/A,#N/A,FALSE,"Lewis River";#N/A,#N/A,FALSE,"NrthUmpq";#N/A,#N/A,FALSE,"KlamRog"}</definedName>
    <definedName name="inventory_5" localSheetId="24" hidden="1">{#N/A,#N/A,FALSE,"Summary";#N/A,#N/A,FALSE,"SmPlants";#N/A,#N/A,FALSE,"Utah";#N/A,#N/A,FALSE,"Idaho";#N/A,#N/A,FALSE,"Lewis River";#N/A,#N/A,FALSE,"NrthUmpq";#N/A,#N/A,FALSE,"KlamRog"}</definedName>
    <definedName name="inventory_5" localSheetId="25" hidden="1">{#N/A,#N/A,FALSE,"Summary";#N/A,#N/A,FALSE,"SmPlants";#N/A,#N/A,FALSE,"Utah";#N/A,#N/A,FALSE,"Idaho";#N/A,#N/A,FALSE,"Lewis River";#N/A,#N/A,FALSE,"NrthUmpq";#N/A,#N/A,FALSE,"KlamRog"}</definedName>
    <definedName name="inventory_5" localSheetId="26" hidden="1">{#N/A,#N/A,FALSE,"Summary";#N/A,#N/A,FALSE,"SmPlants";#N/A,#N/A,FALSE,"Utah";#N/A,#N/A,FALSE,"Idaho";#N/A,#N/A,FALSE,"Lewis River";#N/A,#N/A,FALSE,"NrthUmpq";#N/A,#N/A,FALSE,"KlamRog"}</definedName>
    <definedName name="inventory_5" localSheetId="31" hidden="1">{#N/A,#N/A,FALSE,"Summary";#N/A,#N/A,FALSE,"SmPlants";#N/A,#N/A,FALSE,"Utah";#N/A,#N/A,FALSE,"Idaho";#N/A,#N/A,FALSE,"Lewis River";#N/A,#N/A,FALSE,"NrthUmpq";#N/A,#N/A,FALSE,"KlamRog"}</definedName>
    <definedName name="inventory_5" localSheetId="35" hidden="1">{#N/A,#N/A,FALSE,"Summary";#N/A,#N/A,FALSE,"SmPlants";#N/A,#N/A,FALSE,"Utah";#N/A,#N/A,FALSE,"Idaho";#N/A,#N/A,FALSE,"Lewis River";#N/A,#N/A,FALSE,"NrthUmpq";#N/A,#N/A,FALSE,"KlamRog"}</definedName>
    <definedName name="inventory_5" localSheetId="36" hidden="1">{#N/A,#N/A,FALSE,"Summary";#N/A,#N/A,FALSE,"SmPlants";#N/A,#N/A,FALSE,"Utah";#N/A,#N/A,FALSE,"Idaho";#N/A,#N/A,FALSE,"Lewis River";#N/A,#N/A,FALSE,"NrthUmpq";#N/A,#N/A,FALSE,"KlamRog"}</definedName>
    <definedName name="inventory_5" localSheetId="0" hidden="1">{#N/A,#N/A,FALSE,"Summary";#N/A,#N/A,FALSE,"SmPlants";#N/A,#N/A,FALSE,"Utah";#N/A,#N/A,FALSE,"Idaho";#N/A,#N/A,FALSE,"Lewis River";#N/A,#N/A,FALSE,"NrthUmpq";#N/A,#N/A,FALSE,"KlamRog"}</definedName>
    <definedName name="inventory_5" hidden="1">{#N/A,#N/A,FALSE,"Summary";#N/A,#N/A,FALSE,"SmPlants";#N/A,#N/A,FALSE,"Utah";#N/A,#N/A,FALSE,"Idaho";#N/A,#N/A,FALSE,"Lewis River";#N/A,#N/A,FALSE,"NrthUmpq";#N/A,#N/A,FALSE,"KlamRog"}</definedName>
    <definedName name="Keep" localSheetId="1" hidden="1">{"PRINT",#N/A,TRUE,"APPA";"PRINT",#N/A,TRUE,"APS";"PRINT",#N/A,TRUE,"BHPL";"PRINT",#N/A,TRUE,"BHPL2";"PRINT",#N/A,TRUE,"CDWR";"PRINT",#N/A,TRUE,"EWEB";"PRINT",#N/A,TRUE,"LADWP";"PRINT",#N/A,TRUE,"NEVBASE"}</definedName>
    <definedName name="Keep" localSheetId="3" hidden="1">{"PRINT",#N/A,TRUE,"APPA";"PRINT",#N/A,TRUE,"APS";"PRINT",#N/A,TRUE,"BHPL";"PRINT",#N/A,TRUE,"BHPL2";"PRINT",#N/A,TRUE,"CDWR";"PRINT",#N/A,TRUE,"EWEB";"PRINT",#N/A,TRUE,"LADWP";"PRINT",#N/A,TRUE,"NEVBASE"}</definedName>
    <definedName name="Keep" localSheetId="4" hidden="1">{"PRINT",#N/A,TRUE,"APPA";"PRINT",#N/A,TRUE,"APS";"PRINT",#N/A,TRUE,"BHPL";"PRINT",#N/A,TRUE,"BHPL2";"PRINT",#N/A,TRUE,"CDWR";"PRINT",#N/A,TRUE,"EWEB";"PRINT",#N/A,TRUE,"LADWP";"PRINT",#N/A,TRUE,"NEVBASE"}</definedName>
    <definedName name="Keep" localSheetId="13" hidden="1">{"PRINT",#N/A,TRUE,"APPA";"PRINT",#N/A,TRUE,"APS";"PRINT",#N/A,TRUE,"BHPL";"PRINT",#N/A,TRUE,"BHPL2";"PRINT",#N/A,TRUE,"CDWR";"PRINT",#N/A,TRUE,"EWEB";"PRINT",#N/A,TRUE,"LADWP";"PRINT",#N/A,TRUE,"NEVBASE"}</definedName>
    <definedName name="Keep" localSheetId="14" hidden="1">{"PRINT",#N/A,TRUE,"APPA";"PRINT",#N/A,TRUE,"APS";"PRINT",#N/A,TRUE,"BHPL";"PRINT",#N/A,TRUE,"BHPL2";"PRINT",#N/A,TRUE,"CDWR";"PRINT",#N/A,TRUE,"EWEB";"PRINT",#N/A,TRUE,"LADWP";"PRINT",#N/A,TRUE,"NEVBASE"}</definedName>
    <definedName name="Keep" localSheetId="15" hidden="1">{"PRINT",#N/A,TRUE,"APPA";"PRINT",#N/A,TRUE,"APS";"PRINT",#N/A,TRUE,"BHPL";"PRINT",#N/A,TRUE,"BHPL2";"PRINT",#N/A,TRUE,"CDWR";"PRINT",#N/A,TRUE,"EWEB";"PRINT",#N/A,TRUE,"LADWP";"PRINT",#N/A,TRUE,"NEVBASE"}</definedName>
    <definedName name="Keep" localSheetId="16" hidden="1">{"PRINT",#N/A,TRUE,"APPA";"PRINT",#N/A,TRUE,"APS";"PRINT",#N/A,TRUE,"BHPL";"PRINT",#N/A,TRUE,"BHPL2";"PRINT",#N/A,TRUE,"CDWR";"PRINT",#N/A,TRUE,"EWEB";"PRINT",#N/A,TRUE,"LADWP";"PRINT",#N/A,TRUE,"NEVBASE"}</definedName>
    <definedName name="Keep" localSheetId="19" hidden="1">{"PRINT",#N/A,TRUE,"APPA";"PRINT",#N/A,TRUE,"APS";"PRINT",#N/A,TRUE,"BHPL";"PRINT",#N/A,TRUE,"BHPL2";"PRINT",#N/A,TRUE,"CDWR";"PRINT",#N/A,TRUE,"EWEB";"PRINT",#N/A,TRUE,"LADWP";"PRINT",#N/A,TRUE,"NEVBASE"}</definedName>
    <definedName name="Keep" localSheetId="22" hidden="1">{"PRINT",#N/A,TRUE,"APPA";"PRINT",#N/A,TRUE,"APS";"PRINT",#N/A,TRUE,"BHPL";"PRINT",#N/A,TRUE,"BHPL2";"PRINT",#N/A,TRUE,"CDWR";"PRINT",#N/A,TRUE,"EWEB";"PRINT",#N/A,TRUE,"LADWP";"PRINT",#N/A,TRUE,"NEVBASE"}</definedName>
    <definedName name="Keep" localSheetId="23" hidden="1">{"PRINT",#N/A,TRUE,"APPA";"PRINT",#N/A,TRUE,"APS";"PRINT",#N/A,TRUE,"BHPL";"PRINT",#N/A,TRUE,"BHPL2";"PRINT",#N/A,TRUE,"CDWR";"PRINT",#N/A,TRUE,"EWEB";"PRINT",#N/A,TRUE,"LADWP";"PRINT",#N/A,TRUE,"NEVBASE"}</definedName>
    <definedName name="Keep" localSheetId="24" hidden="1">{"PRINT",#N/A,TRUE,"APPA";"PRINT",#N/A,TRUE,"APS";"PRINT",#N/A,TRUE,"BHPL";"PRINT",#N/A,TRUE,"BHPL2";"PRINT",#N/A,TRUE,"CDWR";"PRINT",#N/A,TRUE,"EWEB";"PRINT",#N/A,TRUE,"LADWP";"PRINT",#N/A,TRUE,"NEVBASE"}</definedName>
    <definedName name="Keep" localSheetId="25" hidden="1">{"PRINT",#N/A,TRUE,"APPA";"PRINT",#N/A,TRUE,"APS";"PRINT",#N/A,TRUE,"BHPL";"PRINT",#N/A,TRUE,"BHPL2";"PRINT",#N/A,TRUE,"CDWR";"PRINT",#N/A,TRUE,"EWEB";"PRINT",#N/A,TRUE,"LADWP";"PRINT",#N/A,TRUE,"NEVBASE"}</definedName>
    <definedName name="Keep" localSheetId="26" hidden="1">{"PRINT",#N/A,TRUE,"APPA";"PRINT",#N/A,TRUE,"APS";"PRINT",#N/A,TRUE,"BHPL";"PRINT",#N/A,TRUE,"BHPL2";"PRINT",#N/A,TRUE,"CDWR";"PRINT",#N/A,TRUE,"EWEB";"PRINT",#N/A,TRUE,"LADWP";"PRINT",#N/A,TRUE,"NEVBASE"}</definedName>
    <definedName name="Keep" localSheetId="31" hidden="1">{"PRINT",#N/A,TRUE,"APPA";"PRINT",#N/A,TRUE,"APS";"PRINT",#N/A,TRUE,"BHPL";"PRINT",#N/A,TRUE,"BHPL2";"PRINT",#N/A,TRUE,"CDWR";"PRINT",#N/A,TRUE,"EWEB";"PRINT",#N/A,TRUE,"LADWP";"PRINT",#N/A,TRUE,"NEVBASE"}</definedName>
    <definedName name="Keep" localSheetId="35" hidden="1">{"PRINT",#N/A,TRUE,"APPA";"PRINT",#N/A,TRUE,"APS";"PRINT",#N/A,TRUE,"BHPL";"PRINT",#N/A,TRUE,"BHPL2";"PRINT",#N/A,TRUE,"CDWR";"PRINT",#N/A,TRUE,"EWEB";"PRINT",#N/A,TRUE,"LADWP";"PRINT",#N/A,TRUE,"NEVBASE"}</definedName>
    <definedName name="Keep" localSheetId="36" hidden="1">{"PRINT",#N/A,TRUE,"APPA";"PRINT",#N/A,TRUE,"APS";"PRINT",#N/A,TRUE,"BHPL";"PRINT",#N/A,TRUE,"BHPL2";"PRINT",#N/A,TRUE,"CDWR";"PRINT",#N/A,TRUE,"EWEB";"PRINT",#N/A,TRUE,"LADWP";"PRINT",#N/A,TRUE,"NEVBASE"}</definedName>
    <definedName name="Keep" localSheetId="0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1" localSheetId="1" hidden="1">{"PRINT",#N/A,TRUE,"APPA";"PRINT",#N/A,TRUE,"APS";"PRINT",#N/A,TRUE,"BHPL";"PRINT",#N/A,TRUE,"BHPL2";"PRINT",#N/A,TRUE,"CDWR";"PRINT",#N/A,TRUE,"EWEB";"PRINT",#N/A,TRUE,"LADWP";"PRINT",#N/A,TRUE,"NEVBASE"}</definedName>
    <definedName name="Keep_1" localSheetId="3" hidden="1">{"PRINT",#N/A,TRUE,"APPA";"PRINT",#N/A,TRUE,"APS";"PRINT",#N/A,TRUE,"BHPL";"PRINT",#N/A,TRUE,"BHPL2";"PRINT",#N/A,TRUE,"CDWR";"PRINT",#N/A,TRUE,"EWEB";"PRINT",#N/A,TRUE,"LADWP";"PRINT",#N/A,TRUE,"NEVBASE"}</definedName>
    <definedName name="Keep_1" localSheetId="4" hidden="1">{"PRINT",#N/A,TRUE,"APPA";"PRINT",#N/A,TRUE,"APS";"PRINT",#N/A,TRUE,"BHPL";"PRINT",#N/A,TRUE,"BHPL2";"PRINT",#N/A,TRUE,"CDWR";"PRINT",#N/A,TRUE,"EWEB";"PRINT",#N/A,TRUE,"LADWP";"PRINT",#N/A,TRUE,"NEVBASE"}</definedName>
    <definedName name="Keep_1" localSheetId="13" hidden="1">{"PRINT",#N/A,TRUE,"APPA";"PRINT",#N/A,TRUE,"APS";"PRINT",#N/A,TRUE,"BHPL";"PRINT",#N/A,TRUE,"BHPL2";"PRINT",#N/A,TRUE,"CDWR";"PRINT",#N/A,TRUE,"EWEB";"PRINT",#N/A,TRUE,"LADWP";"PRINT",#N/A,TRUE,"NEVBASE"}</definedName>
    <definedName name="Keep_1" localSheetId="14" hidden="1">{"PRINT",#N/A,TRUE,"APPA";"PRINT",#N/A,TRUE,"APS";"PRINT",#N/A,TRUE,"BHPL";"PRINT",#N/A,TRUE,"BHPL2";"PRINT",#N/A,TRUE,"CDWR";"PRINT",#N/A,TRUE,"EWEB";"PRINT",#N/A,TRUE,"LADWP";"PRINT",#N/A,TRUE,"NEVBASE"}</definedName>
    <definedName name="Keep_1" localSheetId="15" hidden="1">{"PRINT",#N/A,TRUE,"APPA";"PRINT",#N/A,TRUE,"APS";"PRINT",#N/A,TRUE,"BHPL";"PRINT",#N/A,TRUE,"BHPL2";"PRINT",#N/A,TRUE,"CDWR";"PRINT",#N/A,TRUE,"EWEB";"PRINT",#N/A,TRUE,"LADWP";"PRINT",#N/A,TRUE,"NEVBASE"}</definedName>
    <definedName name="Keep_1" localSheetId="16" hidden="1">{"PRINT",#N/A,TRUE,"APPA";"PRINT",#N/A,TRUE,"APS";"PRINT",#N/A,TRUE,"BHPL";"PRINT",#N/A,TRUE,"BHPL2";"PRINT",#N/A,TRUE,"CDWR";"PRINT",#N/A,TRUE,"EWEB";"PRINT",#N/A,TRUE,"LADWP";"PRINT",#N/A,TRUE,"NEVBASE"}</definedName>
    <definedName name="Keep_1" localSheetId="19" hidden="1">{"PRINT",#N/A,TRUE,"APPA";"PRINT",#N/A,TRUE,"APS";"PRINT",#N/A,TRUE,"BHPL";"PRINT",#N/A,TRUE,"BHPL2";"PRINT",#N/A,TRUE,"CDWR";"PRINT",#N/A,TRUE,"EWEB";"PRINT",#N/A,TRUE,"LADWP";"PRINT",#N/A,TRUE,"NEVBASE"}</definedName>
    <definedName name="Keep_1" localSheetId="22" hidden="1">{"PRINT",#N/A,TRUE,"APPA";"PRINT",#N/A,TRUE,"APS";"PRINT",#N/A,TRUE,"BHPL";"PRINT",#N/A,TRUE,"BHPL2";"PRINT",#N/A,TRUE,"CDWR";"PRINT",#N/A,TRUE,"EWEB";"PRINT",#N/A,TRUE,"LADWP";"PRINT",#N/A,TRUE,"NEVBASE"}</definedName>
    <definedName name="Keep_1" localSheetId="23" hidden="1">{"PRINT",#N/A,TRUE,"APPA";"PRINT",#N/A,TRUE,"APS";"PRINT",#N/A,TRUE,"BHPL";"PRINT",#N/A,TRUE,"BHPL2";"PRINT",#N/A,TRUE,"CDWR";"PRINT",#N/A,TRUE,"EWEB";"PRINT",#N/A,TRUE,"LADWP";"PRINT",#N/A,TRUE,"NEVBASE"}</definedName>
    <definedName name="Keep_1" localSheetId="24" hidden="1">{"PRINT",#N/A,TRUE,"APPA";"PRINT",#N/A,TRUE,"APS";"PRINT",#N/A,TRUE,"BHPL";"PRINT",#N/A,TRUE,"BHPL2";"PRINT",#N/A,TRUE,"CDWR";"PRINT",#N/A,TRUE,"EWEB";"PRINT",#N/A,TRUE,"LADWP";"PRINT",#N/A,TRUE,"NEVBASE"}</definedName>
    <definedName name="Keep_1" localSheetId="25" hidden="1">{"PRINT",#N/A,TRUE,"APPA";"PRINT",#N/A,TRUE,"APS";"PRINT",#N/A,TRUE,"BHPL";"PRINT",#N/A,TRUE,"BHPL2";"PRINT",#N/A,TRUE,"CDWR";"PRINT",#N/A,TRUE,"EWEB";"PRINT",#N/A,TRUE,"LADWP";"PRINT",#N/A,TRUE,"NEVBASE"}</definedName>
    <definedName name="Keep_1" localSheetId="26" hidden="1">{"PRINT",#N/A,TRUE,"APPA";"PRINT",#N/A,TRUE,"APS";"PRINT",#N/A,TRUE,"BHPL";"PRINT",#N/A,TRUE,"BHPL2";"PRINT",#N/A,TRUE,"CDWR";"PRINT",#N/A,TRUE,"EWEB";"PRINT",#N/A,TRUE,"LADWP";"PRINT",#N/A,TRUE,"NEVBASE"}</definedName>
    <definedName name="Keep_1" localSheetId="31" hidden="1">{"PRINT",#N/A,TRUE,"APPA";"PRINT",#N/A,TRUE,"APS";"PRINT",#N/A,TRUE,"BHPL";"PRINT",#N/A,TRUE,"BHPL2";"PRINT",#N/A,TRUE,"CDWR";"PRINT",#N/A,TRUE,"EWEB";"PRINT",#N/A,TRUE,"LADWP";"PRINT",#N/A,TRUE,"NEVBASE"}</definedName>
    <definedName name="Keep_1" localSheetId="35" hidden="1">{"PRINT",#N/A,TRUE,"APPA";"PRINT",#N/A,TRUE,"APS";"PRINT",#N/A,TRUE,"BHPL";"PRINT",#N/A,TRUE,"BHPL2";"PRINT",#N/A,TRUE,"CDWR";"PRINT",#N/A,TRUE,"EWEB";"PRINT",#N/A,TRUE,"LADWP";"PRINT",#N/A,TRUE,"NEVBASE"}</definedName>
    <definedName name="Keep_1" localSheetId="36" hidden="1">{"PRINT",#N/A,TRUE,"APPA";"PRINT",#N/A,TRUE,"APS";"PRINT",#N/A,TRUE,"BHPL";"PRINT",#N/A,TRUE,"BHPL2";"PRINT",#N/A,TRUE,"CDWR";"PRINT",#N/A,TRUE,"EWEB";"PRINT",#N/A,TRUE,"LADWP";"PRINT",#N/A,TRUE,"NEVBASE"}</definedName>
    <definedName name="Keep_1" localSheetId="0" hidden="1">{"PRINT",#N/A,TRUE,"APPA";"PRINT",#N/A,TRUE,"APS";"PRINT",#N/A,TRUE,"BHPL";"PRINT",#N/A,TRUE,"BHPL2";"PRINT",#N/A,TRUE,"CDWR";"PRINT",#N/A,TRUE,"EWEB";"PRINT",#N/A,TRUE,"LADWP";"PRINT",#N/A,TRUE,"NEVBASE"}</definedName>
    <definedName name="Keep_1" hidden="1">{"PRINT",#N/A,TRUE,"APPA";"PRINT",#N/A,TRUE,"APS";"PRINT",#N/A,TRUE,"BHPL";"PRINT",#N/A,TRUE,"BHPL2";"PRINT",#N/A,TRUE,"CDWR";"PRINT",#N/A,TRUE,"EWEB";"PRINT",#N/A,TRUE,"LADWP";"PRINT",#N/A,TRUE,"NEVBASE"}</definedName>
    <definedName name="Keep_2" localSheetId="1" hidden="1">{"PRINT",#N/A,TRUE,"APPA";"PRINT",#N/A,TRUE,"APS";"PRINT",#N/A,TRUE,"BHPL";"PRINT",#N/A,TRUE,"BHPL2";"PRINT",#N/A,TRUE,"CDWR";"PRINT",#N/A,TRUE,"EWEB";"PRINT",#N/A,TRUE,"LADWP";"PRINT",#N/A,TRUE,"NEVBASE"}</definedName>
    <definedName name="Keep_2" localSheetId="3" hidden="1">{"PRINT",#N/A,TRUE,"APPA";"PRINT",#N/A,TRUE,"APS";"PRINT",#N/A,TRUE,"BHPL";"PRINT",#N/A,TRUE,"BHPL2";"PRINT",#N/A,TRUE,"CDWR";"PRINT",#N/A,TRUE,"EWEB";"PRINT",#N/A,TRUE,"LADWP";"PRINT",#N/A,TRUE,"NEVBASE"}</definedName>
    <definedName name="Keep_2" localSheetId="4" hidden="1">{"PRINT",#N/A,TRUE,"APPA";"PRINT",#N/A,TRUE,"APS";"PRINT",#N/A,TRUE,"BHPL";"PRINT",#N/A,TRUE,"BHPL2";"PRINT",#N/A,TRUE,"CDWR";"PRINT",#N/A,TRUE,"EWEB";"PRINT",#N/A,TRUE,"LADWP";"PRINT",#N/A,TRUE,"NEVBASE"}</definedName>
    <definedName name="Keep_2" localSheetId="13" hidden="1">{"PRINT",#N/A,TRUE,"APPA";"PRINT",#N/A,TRUE,"APS";"PRINT",#N/A,TRUE,"BHPL";"PRINT",#N/A,TRUE,"BHPL2";"PRINT",#N/A,TRUE,"CDWR";"PRINT",#N/A,TRUE,"EWEB";"PRINT",#N/A,TRUE,"LADWP";"PRINT",#N/A,TRUE,"NEVBASE"}</definedName>
    <definedName name="Keep_2" localSheetId="14" hidden="1">{"PRINT",#N/A,TRUE,"APPA";"PRINT",#N/A,TRUE,"APS";"PRINT",#N/A,TRUE,"BHPL";"PRINT",#N/A,TRUE,"BHPL2";"PRINT",#N/A,TRUE,"CDWR";"PRINT",#N/A,TRUE,"EWEB";"PRINT",#N/A,TRUE,"LADWP";"PRINT",#N/A,TRUE,"NEVBASE"}</definedName>
    <definedName name="Keep_2" localSheetId="15" hidden="1">{"PRINT",#N/A,TRUE,"APPA";"PRINT",#N/A,TRUE,"APS";"PRINT",#N/A,TRUE,"BHPL";"PRINT",#N/A,TRUE,"BHPL2";"PRINT",#N/A,TRUE,"CDWR";"PRINT",#N/A,TRUE,"EWEB";"PRINT",#N/A,TRUE,"LADWP";"PRINT",#N/A,TRUE,"NEVBASE"}</definedName>
    <definedName name="Keep_2" localSheetId="16" hidden="1">{"PRINT",#N/A,TRUE,"APPA";"PRINT",#N/A,TRUE,"APS";"PRINT",#N/A,TRUE,"BHPL";"PRINT",#N/A,TRUE,"BHPL2";"PRINT",#N/A,TRUE,"CDWR";"PRINT",#N/A,TRUE,"EWEB";"PRINT",#N/A,TRUE,"LADWP";"PRINT",#N/A,TRUE,"NEVBASE"}</definedName>
    <definedName name="Keep_2" localSheetId="19" hidden="1">{"PRINT",#N/A,TRUE,"APPA";"PRINT",#N/A,TRUE,"APS";"PRINT",#N/A,TRUE,"BHPL";"PRINT",#N/A,TRUE,"BHPL2";"PRINT",#N/A,TRUE,"CDWR";"PRINT",#N/A,TRUE,"EWEB";"PRINT",#N/A,TRUE,"LADWP";"PRINT",#N/A,TRUE,"NEVBASE"}</definedName>
    <definedName name="Keep_2" localSheetId="22" hidden="1">{"PRINT",#N/A,TRUE,"APPA";"PRINT",#N/A,TRUE,"APS";"PRINT",#N/A,TRUE,"BHPL";"PRINT",#N/A,TRUE,"BHPL2";"PRINT",#N/A,TRUE,"CDWR";"PRINT",#N/A,TRUE,"EWEB";"PRINT",#N/A,TRUE,"LADWP";"PRINT",#N/A,TRUE,"NEVBASE"}</definedName>
    <definedName name="Keep_2" localSheetId="23" hidden="1">{"PRINT",#N/A,TRUE,"APPA";"PRINT",#N/A,TRUE,"APS";"PRINT",#N/A,TRUE,"BHPL";"PRINT",#N/A,TRUE,"BHPL2";"PRINT",#N/A,TRUE,"CDWR";"PRINT",#N/A,TRUE,"EWEB";"PRINT",#N/A,TRUE,"LADWP";"PRINT",#N/A,TRUE,"NEVBASE"}</definedName>
    <definedName name="Keep_2" localSheetId="24" hidden="1">{"PRINT",#N/A,TRUE,"APPA";"PRINT",#N/A,TRUE,"APS";"PRINT",#N/A,TRUE,"BHPL";"PRINT",#N/A,TRUE,"BHPL2";"PRINT",#N/A,TRUE,"CDWR";"PRINT",#N/A,TRUE,"EWEB";"PRINT",#N/A,TRUE,"LADWP";"PRINT",#N/A,TRUE,"NEVBASE"}</definedName>
    <definedName name="Keep_2" localSheetId="25" hidden="1">{"PRINT",#N/A,TRUE,"APPA";"PRINT",#N/A,TRUE,"APS";"PRINT",#N/A,TRUE,"BHPL";"PRINT",#N/A,TRUE,"BHPL2";"PRINT",#N/A,TRUE,"CDWR";"PRINT",#N/A,TRUE,"EWEB";"PRINT",#N/A,TRUE,"LADWP";"PRINT",#N/A,TRUE,"NEVBASE"}</definedName>
    <definedName name="Keep_2" localSheetId="26" hidden="1">{"PRINT",#N/A,TRUE,"APPA";"PRINT",#N/A,TRUE,"APS";"PRINT",#N/A,TRUE,"BHPL";"PRINT",#N/A,TRUE,"BHPL2";"PRINT",#N/A,TRUE,"CDWR";"PRINT",#N/A,TRUE,"EWEB";"PRINT",#N/A,TRUE,"LADWP";"PRINT",#N/A,TRUE,"NEVBASE"}</definedName>
    <definedName name="Keep_2" localSheetId="31" hidden="1">{"PRINT",#N/A,TRUE,"APPA";"PRINT",#N/A,TRUE,"APS";"PRINT",#N/A,TRUE,"BHPL";"PRINT",#N/A,TRUE,"BHPL2";"PRINT",#N/A,TRUE,"CDWR";"PRINT",#N/A,TRUE,"EWEB";"PRINT",#N/A,TRUE,"LADWP";"PRINT",#N/A,TRUE,"NEVBASE"}</definedName>
    <definedName name="Keep_2" localSheetId="35" hidden="1">{"PRINT",#N/A,TRUE,"APPA";"PRINT",#N/A,TRUE,"APS";"PRINT",#N/A,TRUE,"BHPL";"PRINT",#N/A,TRUE,"BHPL2";"PRINT",#N/A,TRUE,"CDWR";"PRINT",#N/A,TRUE,"EWEB";"PRINT",#N/A,TRUE,"LADWP";"PRINT",#N/A,TRUE,"NEVBASE"}</definedName>
    <definedName name="Keep_2" localSheetId="36" hidden="1">{"PRINT",#N/A,TRUE,"APPA";"PRINT",#N/A,TRUE,"APS";"PRINT",#N/A,TRUE,"BHPL";"PRINT",#N/A,TRUE,"BHPL2";"PRINT",#N/A,TRUE,"CDWR";"PRINT",#N/A,TRUE,"EWEB";"PRINT",#N/A,TRUE,"LADWP";"PRINT",#N/A,TRUE,"NEVBASE"}</definedName>
    <definedName name="Keep_2" localSheetId="0" hidden="1">{"PRINT",#N/A,TRUE,"APPA";"PRINT",#N/A,TRUE,"APS";"PRINT",#N/A,TRUE,"BHPL";"PRINT",#N/A,TRUE,"BHPL2";"PRINT",#N/A,TRUE,"CDWR";"PRINT",#N/A,TRUE,"EWEB";"PRINT",#N/A,TRUE,"LADWP";"PRINT",#N/A,TRUE,"NEVBASE"}</definedName>
    <definedName name="Keep_2" hidden="1">{"PRINT",#N/A,TRUE,"APPA";"PRINT",#N/A,TRUE,"APS";"PRINT",#N/A,TRUE,"BHPL";"PRINT",#N/A,TRUE,"BHPL2";"PRINT",#N/A,TRUE,"CDWR";"PRINT",#N/A,TRUE,"EWEB";"PRINT",#N/A,TRUE,"LADWP";"PRINT",#N/A,TRUE,"NEVBASE"}</definedName>
    <definedName name="Keep_3" localSheetId="1" hidden="1">{"PRINT",#N/A,TRUE,"APPA";"PRINT",#N/A,TRUE,"APS";"PRINT",#N/A,TRUE,"BHPL";"PRINT",#N/A,TRUE,"BHPL2";"PRINT",#N/A,TRUE,"CDWR";"PRINT",#N/A,TRUE,"EWEB";"PRINT",#N/A,TRUE,"LADWP";"PRINT",#N/A,TRUE,"NEVBASE"}</definedName>
    <definedName name="Keep_3" localSheetId="3" hidden="1">{"PRINT",#N/A,TRUE,"APPA";"PRINT",#N/A,TRUE,"APS";"PRINT",#N/A,TRUE,"BHPL";"PRINT",#N/A,TRUE,"BHPL2";"PRINT",#N/A,TRUE,"CDWR";"PRINT",#N/A,TRUE,"EWEB";"PRINT",#N/A,TRUE,"LADWP";"PRINT",#N/A,TRUE,"NEVBASE"}</definedName>
    <definedName name="Keep_3" localSheetId="4" hidden="1">{"PRINT",#N/A,TRUE,"APPA";"PRINT",#N/A,TRUE,"APS";"PRINT",#N/A,TRUE,"BHPL";"PRINT",#N/A,TRUE,"BHPL2";"PRINT",#N/A,TRUE,"CDWR";"PRINT",#N/A,TRUE,"EWEB";"PRINT",#N/A,TRUE,"LADWP";"PRINT",#N/A,TRUE,"NEVBASE"}</definedName>
    <definedName name="Keep_3" localSheetId="13" hidden="1">{"PRINT",#N/A,TRUE,"APPA";"PRINT",#N/A,TRUE,"APS";"PRINT",#N/A,TRUE,"BHPL";"PRINT",#N/A,TRUE,"BHPL2";"PRINT",#N/A,TRUE,"CDWR";"PRINT",#N/A,TRUE,"EWEB";"PRINT",#N/A,TRUE,"LADWP";"PRINT",#N/A,TRUE,"NEVBASE"}</definedName>
    <definedName name="Keep_3" localSheetId="14" hidden="1">{"PRINT",#N/A,TRUE,"APPA";"PRINT",#N/A,TRUE,"APS";"PRINT",#N/A,TRUE,"BHPL";"PRINT",#N/A,TRUE,"BHPL2";"PRINT",#N/A,TRUE,"CDWR";"PRINT",#N/A,TRUE,"EWEB";"PRINT",#N/A,TRUE,"LADWP";"PRINT",#N/A,TRUE,"NEVBASE"}</definedName>
    <definedName name="Keep_3" localSheetId="15" hidden="1">{"PRINT",#N/A,TRUE,"APPA";"PRINT",#N/A,TRUE,"APS";"PRINT",#N/A,TRUE,"BHPL";"PRINT",#N/A,TRUE,"BHPL2";"PRINT",#N/A,TRUE,"CDWR";"PRINT",#N/A,TRUE,"EWEB";"PRINT",#N/A,TRUE,"LADWP";"PRINT",#N/A,TRUE,"NEVBASE"}</definedName>
    <definedName name="Keep_3" localSheetId="16" hidden="1">{"PRINT",#N/A,TRUE,"APPA";"PRINT",#N/A,TRUE,"APS";"PRINT",#N/A,TRUE,"BHPL";"PRINT",#N/A,TRUE,"BHPL2";"PRINT",#N/A,TRUE,"CDWR";"PRINT",#N/A,TRUE,"EWEB";"PRINT",#N/A,TRUE,"LADWP";"PRINT",#N/A,TRUE,"NEVBASE"}</definedName>
    <definedName name="Keep_3" localSheetId="19" hidden="1">{"PRINT",#N/A,TRUE,"APPA";"PRINT",#N/A,TRUE,"APS";"PRINT",#N/A,TRUE,"BHPL";"PRINT",#N/A,TRUE,"BHPL2";"PRINT",#N/A,TRUE,"CDWR";"PRINT",#N/A,TRUE,"EWEB";"PRINT",#N/A,TRUE,"LADWP";"PRINT",#N/A,TRUE,"NEVBASE"}</definedName>
    <definedName name="Keep_3" localSheetId="22" hidden="1">{"PRINT",#N/A,TRUE,"APPA";"PRINT",#N/A,TRUE,"APS";"PRINT",#N/A,TRUE,"BHPL";"PRINT",#N/A,TRUE,"BHPL2";"PRINT",#N/A,TRUE,"CDWR";"PRINT",#N/A,TRUE,"EWEB";"PRINT",#N/A,TRUE,"LADWP";"PRINT",#N/A,TRUE,"NEVBASE"}</definedName>
    <definedName name="Keep_3" localSheetId="23" hidden="1">{"PRINT",#N/A,TRUE,"APPA";"PRINT",#N/A,TRUE,"APS";"PRINT",#N/A,TRUE,"BHPL";"PRINT",#N/A,TRUE,"BHPL2";"PRINT",#N/A,TRUE,"CDWR";"PRINT",#N/A,TRUE,"EWEB";"PRINT",#N/A,TRUE,"LADWP";"PRINT",#N/A,TRUE,"NEVBASE"}</definedName>
    <definedName name="Keep_3" localSheetId="24" hidden="1">{"PRINT",#N/A,TRUE,"APPA";"PRINT",#N/A,TRUE,"APS";"PRINT",#N/A,TRUE,"BHPL";"PRINT",#N/A,TRUE,"BHPL2";"PRINT",#N/A,TRUE,"CDWR";"PRINT",#N/A,TRUE,"EWEB";"PRINT",#N/A,TRUE,"LADWP";"PRINT",#N/A,TRUE,"NEVBASE"}</definedName>
    <definedName name="Keep_3" localSheetId="25" hidden="1">{"PRINT",#N/A,TRUE,"APPA";"PRINT",#N/A,TRUE,"APS";"PRINT",#N/A,TRUE,"BHPL";"PRINT",#N/A,TRUE,"BHPL2";"PRINT",#N/A,TRUE,"CDWR";"PRINT",#N/A,TRUE,"EWEB";"PRINT",#N/A,TRUE,"LADWP";"PRINT",#N/A,TRUE,"NEVBASE"}</definedName>
    <definedName name="Keep_3" localSheetId="26" hidden="1">{"PRINT",#N/A,TRUE,"APPA";"PRINT",#N/A,TRUE,"APS";"PRINT",#N/A,TRUE,"BHPL";"PRINT",#N/A,TRUE,"BHPL2";"PRINT",#N/A,TRUE,"CDWR";"PRINT",#N/A,TRUE,"EWEB";"PRINT",#N/A,TRUE,"LADWP";"PRINT",#N/A,TRUE,"NEVBASE"}</definedName>
    <definedName name="Keep_3" localSheetId="31" hidden="1">{"PRINT",#N/A,TRUE,"APPA";"PRINT",#N/A,TRUE,"APS";"PRINT",#N/A,TRUE,"BHPL";"PRINT",#N/A,TRUE,"BHPL2";"PRINT",#N/A,TRUE,"CDWR";"PRINT",#N/A,TRUE,"EWEB";"PRINT",#N/A,TRUE,"LADWP";"PRINT",#N/A,TRUE,"NEVBASE"}</definedName>
    <definedName name="Keep_3" localSheetId="35" hidden="1">{"PRINT",#N/A,TRUE,"APPA";"PRINT",#N/A,TRUE,"APS";"PRINT",#N/A,TRUE,"BHPL";"PRINT",#N/A,TRUE,"BHPL2";"PRINT",#N/A,TRUE,"CDWR";"PRINT",#N/A,TRUE,"EWEB";"PRINT",#N/A,TRUE,"LADWP";"PRINT",#N/A,TRUE,"NEVBASE"}</definedName>
    <definedName name="Keep_3" localSheetId="36" hidden="1">{"PRINT",#N/A,TRUE,"APPA";"PRINT",#N/A,TRUE,"APS";"PRINT",#N/A,TRUE,"BHPL";"PRINT",#N/A,TRUE,"BHPL2";"PRINT",#N/A,TRUE,"CDWR";"PRINT",#N/A,TRUE,"EWEB";"PRINT",#N/A,TRUE,"LADWP";"PRINT",#N/A,TRUE,"NEVBASE"}</definedName>
    <definedName name="Keep_3" localSheetId="0" hidden="1">{"PRINT",#N/A,TRUE,"APPA";"PRINT",#N/A,TRUE,"APS";"PRINT",#N/A,TRUE,"BHPL";"PRINT",#N/A,TRUE,"BHPL2";"PRINT",#N/A,TRUE,"CDWR";"PRINT",#N/A,TRUE,"EWEB";"PRINT",#N/A,TRUE,"LADWP";"PRINT",#N/A,TRUE,"NEVBASE"}</definedName>
    <definedName name="Keep_3" hidden="1">{"PRINT",#N/A,TRUE,"APPA";"PRINT",#N/A,TRUE,"APS";"PRINT",#N/A,TRUE,"BHPL";"PRINT",#N/A,TRUE,"BHPL2";"PRINT",#N/A,TRUE,"CDWR";"PRINT",#N/A,TRUE,"EWEB";"PRINT",#N/A,TRUE,"LADWP";"PRINT",#N/A,TRUE,"NEVBASE"}</definedName>
    <definedName name="Keep_4" localSheetId="1" hidden="1">{"PRINT",#N/A,TRUE,"APPA";"PRINT",#N/A,TRUE,"APS";"PRINT",#N/A,TRUE,"BHPL";"PRINT",#N/A,TRUE,"BHPL2";"PRINT",#N/A,TRUE,"CDWR";"PRINT",#N/A,TRUE,"EWEB";"PRINT",#N/A,TRUE,"LADWP";"PRINT",#N/A,TRUE,"NEVBASE"}</definedName>
    <definedName name="Keep_4" localSheetId="3" hidden="1">{"PRINT",#N/A,TRUE,"APPA";"PRINT",#N/A,TRUE,"APS";"PRINT",#N/A,TRUE,"BHPL";"PRINT",#N/A,TRUE,"BHPL2";"PRINT",#N/A,TRUE,"CDWR";"PRINT",#N/A,TRUE,"EWEB";"PRINT",#N/A,TRUE,"LADWP";"PRINT",#N/A,TRUE,"NEVBASE"}</definedName>
    <definedName name="Keep_4" localSheetId="4" hidden="1">{"PRINT",#N/A,TRUE,"APPA";"PRINT",#N/A,TRUE,"APS";"PRINT",#N/A,TRUE,"BHPL";"PRINT",#N/A,TRUE,"BHPL2";"PRINT",#N/A,TRUE,"CDWR";"PRINT",#N/A,TRUE,"EWEB";"PRINT",#N/A,TRUE,"LADWP";"PRINT",#N/A,TRUE,"NEVBASE"}</definedName>
    <definedName name="Keep_4" localSheetId="13" hidden="1">{"PRINT",#N/A,TRUE,"APPA";"PRINT",#N/A,TRUE,"APS";"PRINT",#N/A,TRUE,"BHPL";"PRINT",#N/A,TRUE,"BHPL2";"PRINT",#N/A,TRUE,"CDWR";"PRINT",#N/A,TRUE,"EWEB";"PRINT",#N/A,TRUE,"LADWP";"PRINT",#N/A,TRUE,"NEVBASE"}</definedName>
    <definedName name="Keep_4" localSheetId="14" hidden="1">{"PRINT",#N/A,TRUE,"APPA";"PRINT",#N/A,TRUE,"APS";"PRINT",#N/A,TRUE,"BHPL";"PRINT",#N/A,TRUE,"BHPL2";"PRINT",#N/A,TRUE,"CDWR";"PRINT",#N/A,TRUE,"EWEB";"PRINT",#N/A,TRUE,"LADWP";"PRINT",#N/A,TRUE,"NEVBASE"}</definedName>
    <definedName name="Keep_4" localSheetId="15" hidden="1">{"PRINT",#N/A,TRUE,"APPA";"PRINT",#N/A,TRUE,"APS";"PRINT",#N/A,TRUE,"BHPL";"PRINT",#N/A,TRUE,"BHPL2";"PRINT",#N/A,TRUE,"CDWR";"PRINT",#N/A,TRUE,"EWEB";"PRINT",#N/A,TRUE,"LADWP";"PRINT",#N/A,TRUE,"NEVBASE"}</definedName>
    <definedName name="Keep_4" localSheetId="16" hidden="1">{"PRINT",#N/A,TRUE,"APPA";"PRINT",#N/A,TRUE,"APS";"PRINT",#N/A,TRUE,"BHPL";"PRINT",#N/A,TRUE,"BHPL2";"PRINT",#N/A,TRUE,"CDWR";"PRINT",#N/A,TRUE,"EWEB";"PRINT",#N/A,TRUE,"LADWP";"PRINT",#N/A,TRUE,"NEVBASE"}</definedName>
    <definedName name="Keep_4" localSheetId="19" hidden="1">{"PRINT",#N/A,TRUE,"APPA";"PRINT",#N/A,TRUE,"APS";"PRINT",#N/A,TRUE,"BHPL";"PRINT",#N/A,TRUE,"BHPL2";"PRINT",#N/A,TRUE,"CDWR";"PRINT",#N/A,TRUE,"EWEB";"PRINT",#N/A,TRUE,"LADWP";"PRINT",#N/A,TRUE,"NEVBASE"}</definedName>
    <definedName name="Keep_4" localSheetId="22" hidden="1">{"PRINT",#N/A,TRUE,"APPA";"PRINT",#N/A,TRUE,"APS";"PRINT",#N/A,TRUE,"BHPL";"PRINT",#N/A,TRUE,"BHPL2";"PRINT",#N/A,TRUE,"CDWR";"PRINT",#N/A,TRUE,"EWEB";"PRINT",#N/A,TRUE,"LADWP";"PRINT",#N/A,TRUE,"NEVBASE"}</definedName>
    <definedName name="Keep_4" localSheetId="23" hidden="1">{"PRINT",#N/A,TRUE,"APPA";"PRINT",#N/A,TRUE,"APS";"PRINT",#N/A,TRUE,"BHPL";"PRINT",#N/A,TRUE,"BHPL2";"PRINT",#N/A,TRUE,"CDWR";"PRINT",#N/A,TRUE,"EWEB";"PRINT",#N/A,TRUE,"LADWP";"PRINT",#N/A,TRUE,"NEVBASE"}</definedName>
    <definedName name="Keep_4" localSheetId="24" hidden="1">{"PRINT",#N/A,TRUE,"APPA";"PRINT",#N/A,TRUE,"APS";"PRINT",#N/A,TRUE,"BHPL";"PRINT",#N/A,TRUE,"BHPL2";"PRINT",#N/A,TRUE,"CDWR";"PRINT",#N/A,TRUE,"EWEB";"PRINT",#N/A,TRUE,"LADWP";"PRINT",#N/A,TRUE,"NEVBASE"}</definedName>
    <definedName name="Keep_4" localSheetId="25" hidden="1">{"PRINT",#N/A,TRUE,"APPA";"PRINT",#N/A,TRUE,"APS";"PRINT",#N/A,TRUE,"BHPL";"PRINT",#N/A,TRUE,"BHPL2";"PRINT",#N/A,TRUE,"CDWR";"PRINT",#N/A,TRUE,"EWEB";"PRINT",#N/A,TRUE,"LADWP";"PRINT",#N/A,TRUE,"NEVBASE"}</definedName>
    <definedName name="Keep_4" localSheetId="26" hidden="1">{"PRINT",#N/A,TRUE,"APPA";"PRINT",#N/A,TRUE,"APS";"PRINT",#N/A,TRUE,"BHPL";"PRINT",#N/A,TRUE,"BHPL2";"PRINT",#N/A,TRUE,"CDWR";"PRINT",#N/A,TRUE,"EWEB";"PRINT",#N/A,TRUE,"LADWP";"PRINT",#N/A,TRUE,"NEVBASE"}</definedName>
    <definedName name="Keep_4" localSheetId="31" hidden="1">{"PRINT",#N/A,TRUE,"APPA";"PRINT",#N/A,TRUE,"APS";"PRINT",#N/A,TRUE,"BHPL";"PRINT",#N/A,TRUE,"BHPL2";"PRINT",#N/A,TRUE,"CDWR";"PRINT",#N/A,TRUE,"EWEB";"PRINT",#N/A,TRUE,"LADWP";"PRINT",#N/A,TRUE,"NEVBASE"}</definedName>
    <definedName name="Keep_4" localSheetId="35" hidden="1">{"PRINT",#N/A,TRUE,"APPA";"PRINT",#N/A,TRUE,"APS";"PRINT",#N/A,TRUE,"BHPL";"PRINT",#N/A,TRUE,"BHPL2";"PRINT",#N/A,TRUE,"CDWR";"PRINT",#N/A,TRUE,"EWEB";"PRINT",#N/A,TRUE,"LADWP";"PRINT",#N/A,TRUE,"NEVBASE"}</definedName>
    <definedName name="Keep_4" localSheetId="36" hidden="1">{"PRINT",#N/A,TRUE,"APPA";"PRINT",#N/A,TRUE,"APS";"PRINT",#N/A,TRUE,"BHPL";"PRINT",#N/A,TRUE,"BHPL2";"PRINT",#N/A,TRUE,"CDWR";"PRINT",#N/A,TRUE,"EWEB";"PRINT",#N/A,TRUE,"LADWP";"PRINT",#N/A,TRUE,"NEVBASE"}</definedName>
    <definedName name="Keep_4" localSheetId="0" hidden="1">{"PRINT",#N/A,TRUE,"APPA";"PRINT",#N/A,TRUE,"APS";"PRINT",#N/A,TRUE,"BHPL";"PRINT",#N/A,TRUE,"BHPL2";"PRINT",#N/A,TRUE,"CDWR";"PRINT",#N/A,TRUE,"EWEB";"PRINT",#N/A,TRUE,"LADWP";"PRINT",#N/A,TRUE,"NEVBASE"}</definedName>
    <definedName name="Keep_4" hidden="1">{"PRINT",#N/A,TRUE,"APPA";"PRINT",#N/A,TRUE,"APS";"PRINT",#N/A,TRUE,"BHPL";"PRINT",#N/A,TRUE,"BHPL2";"PRINT",#N/A,TRUE,"CDWR";"PRINT",#N/A,TRUE,"EWEB";"PRINT",#N/A,TRUE,"LADWP";"PRINT",#N/A,TRUE,"NEVBASE"}</definedName>
    <definedName name="Keep_5" localSheetId="1" hidden="1">{"PRINT",#N/A,TRUE,"APPA";"PRINT",#N/A,TRUE,"APS";"PRINT",#N/A,TRUE,"BHPL";"PRINT",#N/A,TRUE,"BHPL2";"PRINT",#N/A,TRUE,"CDWR";"PRINT",#N/A,TRUE,"EWEB";"PRINT",#N/A,TRUE,"LADWP";"PRINT",#N/A,TRUE,"NEVBASE"}</definedName>
    <definedName name="Keep_5" localSheetId="3" hidden="1">{"PRINT",#N/A,TRUE,"APPA";"PRINT",#N/A,TRUE,"APS";"PRINT",#N/A,TRUE,"BHPL";"PRINT",#N/A,TRUE,"BHPL2";"PRINT",#N/A,TRUE,"CDWR";"PRINT",#N/A,TRUE,"EWEB";"PRINT",#N/A,TRUE,"LADWP";"PRINT",#N/A,TRUE,"NEVBASE"}</definedName>
    <definedName name="Keep_5" localSheetId="4" hidden="1">{"PRINT",#N/A,TRUE,"APPA";"PRINT",#N/A,TRUE,"APS";"PRINT",#N/A,TRUE,"BHPL";"PRINT",#N/A,TRUE,"BHPL2";"PRINT",#N/A,TRUE,"CDWR";"PRINT",#N/A,TRUE,"EWEB";"PRINT",#N/A,TRUE,"LADWP";"PRINT",#N/A,TRUE,"NEVBASE"}</definedName>
    <definedName name="Keep_5" localSheetId="13" hidden="1">{"PRINT",#N/A,TRUE,"APPA";"PRINT",#N/A,TRUE,"APS";"PRINT",#N/A,TRUE,"BHPL";"PRINT",#N/A,TRUE,"BHPL2";"PRINT",#N/A,TRUE,"CDWR";"PRINT",#N/A,TRUE,"EWEB";"PRINT",#N/A,TRUE,"LADWP";"PRINT",#N/A,TRUE,"NEVBASE"}</definedName>
    <definedName name="Keep_5" localSheetId="14" hidden="1">{"PRINT",#N/A,TRUE,"APPA";"PRINT",#N/A,TRUE,"APS";"PRINT",#N/A,TRUE,"BHPL";"PRINT",#N/A,TRUE,"BHPL2";"PRINT",#N/A,TRUE,"CDWR";"PRINT",#N/A,TRUE,"EWEB";"PRINT",#N/A,TRUE,"LADWP";"PRINT",#N/A,TRUE,"NEVBASE"}</definedName>
    <definedName name="Keep_5" localSheetId="15" hidden="1">{"PRINT",#N/A,TRUE,"APPA";"PRINT",#N/A,TRUE,"APS";"PRINT",#N/A,TRUE,"BHPL";"PRINT",#N/A,TRUE,"BHPL2";"PRINT",#N/A,TRUE,"CDWR";"PRINT",#N/A,TRUE,"EWEB";"PRINT",#N/A,TRUE,"LADWP";"PRINT",#N/A,TRUE,"NEVBASE"}</definedName>
    <definedName name="Keep_5" localSheetId="16" hidden="1">{"PRINT",#N/A,TRUE,"APPA";"PRINT",#N/A,TRUE,"APS";"PRINT",#N/A,TRUE,"BHPL";"PRINT",#N/A,TRUE,"BHPL2";"PRINT",#N/A,TRUE,"CDWR";"PRINT",#N/A,TRUE,"EWEB";"PRINT",#N/A,TRUE,"LADWP";"PRINT",#N/A,TRUE,"NEVBASE"}</definedName>
    <definedName name="Keep_5" localSheetId="19" hidden="1">{"PRINT",#N/A,TRUE,"APPA";"PRINT",#N/A,TRUE,"APS";"PRINT",#N/A,TRUE,"BHPL";"PRINT",#N/A,TRUE,"BHPL2";"PRINT",#N/A,TRUE,"CDWR";"PRINT",#N/A,TRUE,"EWEB";"PRINT",#N/A,TRUE,"LADWP";"PRINT",#N/A,TRUE,"NEVBASE"}</definedName>
    <definedName name="Keep_5" localSheetId="22" hidden="1">{"PRINT",#N/A,TRUE,"APPA";"PRINT",#N/A,TRUE,"APS";"PRINT",#N/A,TRUE,"BHPL";"PRINT",#N/A,TRUE,"BHPL2";"PRINT",#N/A,TRUE,"CDWR";"PRINT",#N/A,TRUE,"EWEB";"PRINT",#N/A,TRUE,"LADWP";"PRINT",#N/A,TRUE,"NEVBASE"}</definedName>
    <definedName name="Keep_5" localSheetId="23" hidden="1">{"PRINT",#N/A,TRUE,"APPA";"PRINT",#N/A,TRUE,"APS";"PRINT",#N/A,TRUE,"BHPL";"PRINT",#N/A,TRUE,"BHPL2";"PRINT",#N/A,TRUE,"CDWR";"PRINT",#N/A,TRUE,"EWEB";"PRINT",#N/A,TRUE,"LADWP";"PRINT",#N/A,TRUE,"NEVBASE"}</definedName>
    <definedName name="Keep_5" localSheetId="24" hidden="1">{"PRINT",#N/A,TRUE,"APPA";"PRINT",#N/A,TRUE,"APS";"PRINT",#N/A,TRUE,"BHPL";"PRINT",#N/A,TRUE,"BHPL2";"PRINT",#N/A,TRUE,"CDWR";"PRINT",#N/A,TRUE,"EWEB";"PRINT",#N/A,TRUE,"LADWP";"PRINT",#N/A,TRUE,"NEVBASE"}</definedName>
    <definedName name="Keep_5" localSheetId="25" hidden="1">{"PRINT",#N/A,TRUE,"APPA";"PRINT",#N/A,TRUE,"APS";"PRINT",#N/A,TRUE,"BHPL";"PRINT",#N/A,TRUE,"BHPL2";"PRINT",#N/A,TRUE,"CDWR";"PRINT",#N/A,TRUE,"EWEB";"PRINT",#N/A,TRUE,"LADWP";"PRINT",#N/A,TRUE,"NEVBASE"}</definedName>
    <definedName name="Keep_5" localSheetId="26" hidden="1">{"PRINT",#N/A,TRUE,"APPA";"PRINT",#N/A,TRUE,"APS";"PRINT",#N/A,TRUE,"BHPL";"PRINT",#N/A,TRUE,"BHPL2";"PRINT",#N/A,TRUE,"CDWR";"PRINT",#N/A,TRUE,"EWEB";"PRINT",#N/A,TRUE,"LADWP";"PRINT",#N/A,TRUE,"NEVBASE"}</definedName>
    <definedName name="Keep_5" localSheetId="31" hidden="1">{"PRINT",#N/A,TRUE,"APPA";"PRINT",#N/A,TRUE,"APS";"PRINT",#N/A,TRUE,"BHPL";"PRINT",#N/A,TRUE,"BHPL2";"PRINT",#N/A,TRUE,"CDWR";"PRINT",#N/A,TRUE,"EWEB";"PRINT",#N/A,TRUE,"LADWP";"PRINT",#N/A,TRUE,"NEVBASE"}</definedName>
    <definedName name="Keep_5" localSheetId="35" hidden="1">{"PRINT",#N/A,TRUE,"APPA";"PRINT",#N/A,TRUE,"APS";"PRINT",#N/A,TRUE,"BHPL";"PRINT",#N/A,TRUE,"BHPL2";"PRINT",#N/A,TRUE,"CDWR";"PRINT",#N/A,TRUE,"EWEB";"PRINT",#N/A,TRUE,"LADWP";"PRINT",#N/A,TRUE,"NEVBASE"}</definedName>
    <definedName name="Keep_5" localSheetId="36" hidden="1">{"PRINT",#N/A,TRUE,"APPA";"PRINT",#N/A,TRUE,"APS";"PRINT",#N/A,TRUE,"BHPL";"PRINT",#N/A,TRUE,"BHPL2";"PRINT",#N/A,TRUE,"CDWR";"PRINT",#N/A,TRUE,"EWEB";"PRINT",#N/A,TRUE,"LADWP";"PRINT",#N/A,TRUE,"NEVBASE"}</definedName>
    <definedName name="Keep_5" localSheetId="0" hidden="1">{"PRINT",#N/A,TRUE,"APPA";"PRINT",#N/A,TRUE,"APS";"PRINT",#N/A,TRUE,"BHPL";"PRINT",#N/A,TRUE,"BHPL2";"PRINT",#N/A,TRUE,"CDWR";"PRINT",#N/A,TRUE,"EWEB";"PRINT",#N/A,TRUE,"LADWP";"PRINT",#N/A,TRUE,"NEVBASE"}</definedName>
    <definedName name="Keep_5" hidden="1">{"PRINT",#N/A,TRUE,"APPA";"PRINT",#N/A,TRUE,"APS";"PRINT",#N/A,TRUE,"BHPL";"PRINT",#N/A,TRUE,"BHPL2";"PRINT",#N/A,TRUE,"CDWR";"PRINT",#N/A,TRUE,"EWEB";"PRINT",#N/A,TRUE,"LADWP";"PRINT",#N/A,TRUE,"NEVBASE"}</definedName>
    <definedName name="keep2" localSheetId="1" hidden="1">{"PRINT",#N/A,TRUE,"APPA";"PRINT",#N/A,TRUE,"APS";"PRINT",#N/A,TRUE,"BHPL";"PRINT",#N/A,TRUE,"BHPL2";"PRINT",#N/A,TRUE,"CDWR";"PRINT",#N/A,TRUE,"EWEB";"PRINT",#N/A,TRUE,"LADWP";"PRINT",#N/A,TRUE,"NEVBASE"}</definedName>
    <definedName name="keep2" localSheetId="3" hidden="1">{"PRINT",#N/A,TRUE,"APPA";"PRINT",#N/A,TRUE,"APS";"PRINT",#N/A,TRUE,"BHPL";"PRINT",#N/A,TRUE,"BHPL2";"PRINT",#N/A,TRUE,"CDWR";"PRINT",#N/A,TRUE,"EWEB";"PRINT",#N/A,TRUE,"LADWP";"PRINT",#N/A,TRUE,"NEVBASE"}</definedName>
    <definedName name="keep2" localSheetId="4" hidden="1">{"PRINT",#N/A,TRUE,"APPA";"PRINT",#N/A,TRUE,"APS";"PRINT",#N/A,TRUE,"BHPL";"PRINT",#N/A,TRUE,"BHPL2";"PRINT",#N/A,TRUE,"CDWR";"PRINT",#N/A,TRUE,"EWEB";"PRINT",#N/A,TRUE,"LADWP";"PRINT",#N/A,TRUE,"NEVBASE"}</definedName>
    <definedName name="keep2" localSheetId="13" hidden="1">{"PRINT",#N/A,TRUE,"APPA";"PRINT",#N/A,TRUE,"APS";"PRINT",#N/A,TRUE,"BHPL";"PRINT",#N/A,TRUE,"BHPL2";"PRINT",#N/A,TRUE,"CDWR";"PRINT",#N/A,TRUE,"EWEB";"PRINT",#N/A,TRUE,"LADWP";"PRINT",#N/A,TRUE,"NEVBASE"}</definedName>
    <definedName name="keep2" localSheetId="14" hidden="1">{"PRINT",#N/A,TRUE,"APPA";"PRINT",#N/A,TRUE,"APS";"PRINT",#N/A,TRUE,"BHPL";"PRINT",#N/A,TRUE,"BHPL2";"PRINT",#N/A,TRUE,"CDWR";"PRINT",#N/A,TRUE,"EWEB";"PRINT",#N/A,TRUE,"LADWP";"PRINT",#N/A,TRUE,"NEVBASE"}</definedName>
    <definedName name="keep2" localSheetId="15" hidden="1">{"PRINT",#N/A,TRUE,"APPA";"PRINT",#N/A,TRUE,"APS";"PRINT",#N/A,TRUE,"BHPL";"PRINT",#N/A,TRUE,"BHPL2";"PRINT",#N/A,TRUE,"CDWR";"PRINT",#N/A,TRUE,"EWEB";"PRINT",#N/A,TRUE,"LADWP";"PRINT",#N/A,TRUE,"NEVBASE"}</definedName>
    <definedName name="keep2" localSheetId="16" hidden="1">{"PRINT",#N/A,TRUE,"APPA";"PRINT",#N/A,TRUE,"APS";"PRINT",#N/A,TRUE,"BHPL";"PRINT",#N/A,TRUE,"BHPL2";"PRINT",#N/A,TRUE,"CDWR";"PRINT",#N/A,TRUE,"EWEB";"PRINT",#N/A,TRUE,"LADWP";"PRINT",#N/A,TRUE,"NEVBASE"}</definedName>
    <definedName name="keep2" localSheetId="19" hidden="1">{"PRINT",#N/A,TRUE,"APPA";"PRINT",#N/A,TRUE,"APS";"PRINT",#N/A,TRUE,"BHPL";"PRINT",#N/A,TRUE,"BHPL2";"PRINT",#N/A,TRUE,"CDWR";"PRINT",#N/A,TRUE,"EWEB";"PRINT",#N/A,TRUE,"LADWP";"PRINT",#N/A,TRUE,"NEVBASE"}</definedName>
    <definedName name="keep2" localSheetId="22" hidden="1">{"PRINT",#N/A,TRUE,"APPA";"PRINT",#N/A,TRUE,"APS";"PRINT",#N/A,TRUE,"BHPL";"PRINT",#N/A,TRUE,"BHPL2";"PRINT",#N/A,TRUE,"CDWR";"PRINT",#N/A,TRUE,"EWEB";"PRINT",#N/A,TRUE,"LADWP";"PRINT",#N/A,TRUE,"NEVBASE"}</definedName>
    <definedName name="keep2" localSheetId="23" hidden="1">{"PRINT",#N/A,TRUE,"APPA";"PRINT",#N/A,TRUE,"APS";"PRINT",#N/A,TRUE,"BHPL";"PRINT",#N/A,TRUE,"BHPL2";"PRINT",#N/A,TRUE,"CDWR";"PRINT",#N/A,TRUE,"EWEB";"PRINT",#N/A,TRUE,"LADWP";"PRINT",#N/A,TRUE,"NEVBASE"}</definedName>
    <definedName name="keep2" localSheetId="24" hidden="1">{"PRINT",#N/A,TRUE,"APPA";"PRINT",#N/A,TRUE,"APS";"PRINT",#N/A,TRUE,"BHPL";"PRINT",#N/A,TRUE,"BHPL2";"PRINT",#N/A,TRUE,"CDWR";"PRINT",#N/A,TRUE,"EWEB";"PRINT",#N/A,TRUE,"LADWP";"PRINT",#N/A,TRUE,"NEVBASE"}</definedName>
    <definedName name="keep2" localSheetId="25" hidden="1">{"PRINT",#N/A,TRUE,"APPA";"PRINT",#N/A,TRUE,"APS";"PRINT",#N/A,TRUE,"BHPL";"PRINT",#N/A,TRUE,"BHPL2";"PRINT",#N/A,TRUE,"CDWR";"PRINT",#N/A,TRUE,"EWEB";"PRINT",#N/A,TRUE,"LADWP";"PRINT",#N/A,TRUE,"NEVBASE"}</definedName>
    <definedName name="keep2" localSheetId="26" hidden="1">{"PRINT",#N/A,TRUE,"APPA";"PRINT",#N/A,TRUE,"APS";"PRINT",#N/A,TRUE,"BHPL";"PRINT",#N/A,TRUE,"BHPL2";"PRINT",#N/A,TRUE,"CDWR";"PRINT",#N/A,TRUE,"EWEB";"PRINT",#N/A,TRUE,"LADWP";"PRINT",#N/A,TRUE,"NEVBASE"}</definedName>
    <definedName name="keep2" localSheetId="31" hidden="1">{"PRINT",#N/A,TRUE,"APPA";"PRINT",#N/A,TRUE,"APS";"PRINT",#N/A,TRUE,"BHPL";"PRINT",#N/A,TRUE,"BHPL2";"PRINT",#N/A,TRUE,"CDWR";"PRINT",#N/A,TRUE,"EWEB";"PRINT",#N/A,TRUE,"LADWP";"PRINT",#N/A,TRUE,"NEVBASE"}</definedName>
    <definedName name="keep2" localSheetId="35" hidden="1">{"PRINT",#N/A,TRUE,"APPA";"PRINT",#N/A,TRUE,"APS";"PRINT",#N/A,TRUE,"BHPL";"PRINT",#N/A,TRUE,"BHPL2";"PRINT",#N/A,TRUE,"CDWR";"PRINT",#N/A,TRUE,"EWEB";"PRINT",#N/A,TRUE,"LADWP";"PRINT",#N/A,TRUE,"NEVBASE"}</definedName>
    <definedName name="keep2" localSheetId="36" hidden="1">{"PRINT",#N/A,TRUE,"APPA";"PRINT",#N/A,TRUE,"APS";"PRINT",#N/A,TRUE,"BHPL";"PRINT",#N/A,TRUE,"BHPL2";"PRINT",#N/A,TRUE,"CDWR";"PRINT",#N/A,TRUE,"EWEB";"PRINT",#N/A,TRUE,"LADWP";"PRINT",#N/A,TRUE,"NEVBASE"}</definedName>
    <definedName name="keep2" localSheetId="0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" hidden="1">{"PRINT",#N/A,TRUE,"APPA";"PRINT",#N/A,TRUE,"APS";"PRINT",#N/A,TRUE,"BHPL";"PRINT",#N/A,TRUE,"BHPL2";"PRINT",#N/A,TRUE,"CDWR";"PRINT",#N/A,TRUE,"EWEB";"PRINT",#N/A,TRUE,"LADWP";"PRINT",#N/A,TRUE,"NEVBASE"}</definedName>
    <definedName name="keep2_1" localSheetId="4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1" localSheetId="0" hidden="1">{"PRINT",#N/A,TRUE,"APPA";"PRINT",#N/A,TRUE,"APS";"PRINT",#N/A,TRUE,"BHPL";"PRINT",#N/A,TRUE,"BHPL2";"PRINT",#N/A,TRUE,"CDWR";"PRINT",#N/A,TRUE,"EWEB";"PRINT",#N/A,TRUE,"LADWP";"PRINT",#N/A,TRUE,"NEVBASE"}</definedName>
    <definedName name="keep2_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" hidden="1">{"PRINT",#N/A,TRUE,"APPA";"PRINT",#N/A,TRUE,"APS";"PRINT",#N/A,TRUE,"BHPL";"PRINT",#N/A,TRUE,"BHPL2";"PRINT",#N/A,TRUE,"CDWR";"PRINT",#N/A,TRUE,"EWEB";"PRINT",#N/A,TRUE,"LADWP";"PRINT",#N/A,TRUE,"NEVBASE"}</definedName>
    <definedName name="keep2_2" localSheetId="4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2" localSheetId="0" hidden="1">{"PRINT",#N/A,TRUE,"APPA";"PRINT",#N/A,TRUE,"APS";"PRINT",#N/A,TRUE,"BHPL";"PRINT",#N/A,TRUE,"BHPL2";"PRINT",#N/A,TRUE,"CDWR";"PRINT",#N/A,TRUE,"EWEB";"PRINT",#N/A,TRUE,"LADWP";"PRINT",#N/A,TRUE,"NEVBASE"}</definedName>
    <definedName name="keep2_2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" hidden="1">{"PRINT",#N/A,TRUE,"APPA";"PRINT",#N/A,TRUE,"APS";"PRINT",#N/A,TRUE,"BHPL";"PRINT",#N/A,TRUE,"BHPL2";"PRINT",#N/A,TRUE,"CDWR";"PRINT",#N/A,TRUE,"EWEB";"PRINT",#N/A,TRUE,"LADWP";"PRINT",#N/A,TRUE,"NEVBASE"}</definedName>
    <definedName name="keep2_3" localSheetId="4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3" localSheetId="0" hidden="1">{"PRINT",#N/A,TRUE,"APPA";"PRINT",#N/A,TRUE,"APS";"PRINT",#N/A,TRUE,"BHPL";"PRINT",#N/A,TRUE,"BHPL2";"PRINT",#N/A,TRUE,"CDWR";"PRINT",#N/A,TRUE,"EWEB";"PRINT",#N/A,TRUE,"LADWP";"PRINT",#N/A,TRUE,"NEVBASE"}</definedName>
    <definedName name="keep2_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4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4" localSheetId="0" hidden="1">{"PRINT",#N/A,TRUE,"APPA";"PRINT",#N/A,TRUE,"APS";"PRINT",#N/A,TRUE,"BHPL";"PRINT",#N/A,TRUE,"BHPL2";"PRINT",#N/A,TRUE,"CDWR";"PRINT",#N/A,TRUE,"EWEB";"PRINT",#N/A,TRUE,"LADWP";"PRINT",#N/A,TRUE,"NEVBASE"}</definedName>
    <definedName name="keep2_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" hidden="1">{"PRINT",#N/A,TRUE,"APPA";"PRINT",#N/A,TRUE,"APS";"PRINT",#N/A,TRUE,"BHPL";"PRINT",#N/A,TRUE,"BHPL2";"PRINT",#N/A,TRUE,"CDWR";"PRINT",#N/A,TRUE,"EWEB";"PRINT",#N/A,TRUE,"LADWP";"PRINT",#N/A,TRUE,"NEVBASE"}</definedName>
    <definedName name="keep2_5" localSheetId="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5" localSheetId="0" hidden="1">{"PRINT",#N/A,TRUE,"APPA";"PRINT",#N/A,TRUE,"APS";"PRINT",#N/A,TRUE,"BHPL";"PRINT",#N/A,TRUE,"BHPL2";"PRINT",#N/A,TRUE,"CDWR";"PRINT",#N/A,TRUE,"EWEB";"PRINT",#N/A,TRUE,"LADWP";"PRINT",#N/A,TRUE,"NEVBASE"}</definedName>
    <definedName name="keep2_5" hidden="1">{"PRINT",#N/A,TRUE,"APPA";"PRINT",#N/A,TRUE,"APS";"PRINT",#N/A,TRUE,"BHPL";"PRINT",#N/A,TRUE,"BHPL2";"PRINT",#N/A,TRUE,"CDWR";"PRINT",#N/A,TRUE,"EWEB";"PRINT",#N/A,TRUE,"LADWP";"PRINT",#N/A,TRUE,"NEVBASE"}</definedName>
    <definedName name="life">[1]Levelizer!$C$7</definedName>
    <definedName name="Master" localSheetId="1" hidden="1">{#N/A,#N/A,FALSE,"Actual";#N/A,#N/A,FALSE,"Normalized";#N/A,#N/A,FALSE,"Electric Actual";#N/A,#N/A,FALSE,"Electric Normalized"}</definedName>
    <definedName name="Master" localSheetId="3" hidden="1">{#N/A,#N/A,FALSE,"Actual";#N/A,#N/A,FALSE,"Normalized";#N/A,#N/A,FALSE,"Electric Actual";#N/A,#N/A,FALSE,"Electric Normalized"}</definedName>
    <definedName name="Master" localSheetId="4" hidden="1">{#N/A,#N/A,FALSE,"Actual";#N/A,#N/A,FALSE,"Normalized";#N/A,#N/A,FALSE,"Electric Actual";#N/A,#N/A,FALSE,"Electric Normalized"}</definedName>
    <definedName name="Master" localSheetId="13" hidden="1">{#N/A,#N/A,FALSE,"Actual";#N/A,#N/A,FALSE,"Normalized";#N/A,#N/A,FALSE,"Electric Actual";#N/A,#N/A,FALSE,"Electric Normalized"}</definedName>
    <definedName name="Master" localSheetId="14" hidden="1">{#N/A,#N/A,FALSE,"Actual";#N/A,#N/A,FALSE,"Normalized";#N/A,#N/A,FALSE,"Electric Actual";#N/A,#N/A,FALSE,"Electric Normalized"}</definedName>
    <definedName name="Master" localSheetId="15" hidden="1">{#N/A,#N/A,FALSE,"Actual";#N/A,#N/A,FALSE,"Normalized";#N/A,#N/A,FALSE,"Electric Actual";#N/A,#N/A,FALSE,"Electric Normalized"}</definedName>
    <definedName name="Master" localSheetId="16" hidden="1">{#N/A,#N/A,FALSE,"Actual";#N/A,#N/A,FALSE,"Normalized";#N/A,#N/A,FALSE,"Electric Actual";#N/A,#N/A,FALSE,"Electric Normalized"}</definedName>
    <definedName name="Master" localSheetId="19" hidden="1">{#N/A,#N/A,FALSE,"Actual";#N/A,#N/A,FALSE,"Normalized";#N/A,#N/A,FALSE,"Electric Actual";#N/A,#N/A,FALSE,"Electric Normalized"}</definedName>
    <definedName name="Master" localSheetId="22" hidden="1">{#N/A,#N/A,FALSE,"Actual";#N/A,#N/A,FALSE,"Normalized";#N/A,#N/A,FALSE,"Electric Actual";#N/A,#N/A,FALSE,"Electric Normalized"}</definedName>
    <definedName name="Master" localSheetId="23" hidden="1">{#N/A,#N/A,FALSE,"Actual";#N/A,#N/A,FALSE,"Normalized";#N/A,#N/A,FALSE,"Electric Actual";#N/A,#N/A,FALSE,"Electric Normalized"}</definedName>
    <definedName name="Master" localSheetId="24" hidden="1">{#N/A,#N/A,FALSE,"Actual";#N/A,#N/A,FALSE,"Normalized";#N/A,#N/A,FALSE,"Electric Actual";#N/A,#N/A,FALSE,"Electric Normalized"}</definedName>
    <definedName name="Master" localSheetId="25" hidden="1">{#N/A,#N/A,FALSE,"Actual";#N/A,#N/A,FALSE,"Normalized";#N/A,#N/A,FALSE,"Electric Actual";#N/A,#N/A,FALSE,"Electric Normalized"}</definedName>
    <definedName name="Master" localSheetId="26" hidden="1">{#N/A,#N/A,FALSE,"Actual";#N/A,#N/A,FALSE,"Normalized";#N/A,#N/A,FALSE,"Electric Actual";#N/A,#N/A,FALSE,"Electric Normalized"}</definedName>
    <definedName name="Master" localSheetId="31" hidden="1">{#N/A,#N/A,FALSE,"Actual";#N/A,#N/A,FALSE,"Normalized";#N/A,#N/A,FALSE,"Electric Actual";#N/A,#N/A,FALSE,"Electric Normalized"}</definedName>
    <definedName name="Master" localSheetId="35" hidden="1">{#N/A,#N/A,FALSE,"Actual";#N/A,#N/A,FALSE,"Normalized";#N/A,#N/A,FALSE,"Electric Actual";#N/A,#N/A,FALSE,"Electric Normalized"}</definedName>
    <definedName name="Master" localSheetId="36" hidden="1">{#N/A,#N/A,FALSE,"Actual";#N/A,#N/A,FALSE,"Normalized";#N/A,#N/A,FALSE,"Electric Actual";#N/A,#N/A,FALSE,"Electric Normalized"}</definedName>
    <definedName name="Master" localSheetId="0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ster_1" localSheetId="1" hidden="1">{#N/A,#N/A,FALSE,"Actual";#N/A,#N/A,FALSE,"Normalized";#N/A,#N/A,FALSE,"Electric Actual";#N/A,#N/A,FALSE,"Electric Normalized"}</definedName>
    <definedName name="Master_1" localSheetId="3" hidden="1">{#N/A,#N/A,FALSE,"Actual";#N/A,#N/A,FALSE,"Normalized";#N/A,#N/A,FALSE,"Electric Actual";#N/A,#N/A,FALSE,"Electric Normalized"}</definedName>
    <definedName name="Master_1" localSheetId="4" hidden="1">{#N/A,#N/A,FALSE,"Actual";#N/A,#N/A,FALSE,"Normalized";#N/A,#N/A,FALSE,"Electric Actual";#N/A,#N/A,FALSE,"Electric Normalized"}</definedName>
    <definedName name="Master_1" localSheetId="13" hidden="1">{#N/A,#N/A,FALSE,"Actual";#N/A,#N/A,FALSE,"Normalized";#N/A,#N/A,FALSE,"Electric Actual";#N/A,#N/A,FALSE,"Electric Normalized"}</definedName>
    <definedName name="Master_1" localSheetId="14" hidden="1">{#N/A,#N/A,FALSE,"Actual";#N/A,#N/A,FALSE,"Normalized";#N/A,#N/A,FALSE,"Electric Actual";#N/A,#N/A,FALSE,"Electric Normalized"}</definedName>
    <definedName name="Master_1" localSheetId="15" hidden="1">{#N/A,#N/A,FALSE,"Actual";#N/A,#N/A,FALSE,"Normalized";#N/A,#N/A,FALSE,"Electric Actual";#N/A,#N/A,FALSE,"Electric Normalized"}</definedName>
    <definedName name="Master_1" localSheetId="16" hidden="1">{#N/A,#N/A,FALSE,"Actual";#N/A,#N/A,FALSE,"Normalized";#N/A,#N/A,FALSE,"Electric Actual";#N/A,#N/A,FALSE,"Electric Normalized"}</definedName>
    <definedName name="Master_1" localSheetId="19" hidden="1">{#N/A,#N/A,FALSE,"Actual";#N/A,#N/A,FALSE,"Normalized";#N/A,#N/A,FALSE,"Electric Actual";#N/A,#N/A,FALSE,"Electric Normalized"}</definedName>
    <definedName name="Master_1" localSheetId="22" hidden="1">{#N/A,#N/A,FALSE,"Actual";#N/A,#N/A,FALSE,"Normalized";#N/A,#N/A,FALSE,"Electric Actual";#N/A,#N/A,FALSE,"Electric Normalized"}</definedName>
    <definedName name="Master_1" localSheetId="23" hidden="1">{#N/A,#N/A,FALSE,"Actual";#N/A,#N/A,FALSE,"Normalized";#N/A,#N/A,FALSE,"Electric Actual";#N/A,#N/A,FALSE,"Electric Normalized"}</definedName>
    <definedName name="Master_1" localSheetId="24" hidden="1">{#N/A,#N/A,FALSE,"Actual";#N/A,#N/A,FALSE,"Normalized";#N/A,#N/A,FALSE,"Electric Actual";#N/A,#N/A,FALSE,"Electric Normalized"}</definedName>
    <definedName name="Master_1" localSheetId="25" hidden="1">{#N/A,#N/A,FALSE,"Actual";#N/A,#N/A,FALSE,"Normalized";#N/A,#N/A,FALSE,"Electric Actual";#N/A,#N/A,FALSE,"Electric Normalized"}</definedName>
    <definedName name="Master_1" localSheetId="26" hidden="1">{#N/A,#N/A,FALSE,"Actual";#N/A,#N/A,FALSE,"Normalized";#N/A,#N/A,FALSE,"Electric Actual";#N/A,#N/A,FALSE,"Electric Normalized"}</definedName>
    <definedName name="Master_1" localSheetId="31" hidden="1">{#N/A,#N/A,FALSE,"Actual";#N/A,#N/A,FALSE,"Normalized";#N/A,#N/A,FALSE,"Electric Actual";#N/A,#N/A,FALSE,"Electric Normalized"}</definedName>
    <definedName name="Master_1" localSheetId="35" hidden="1">{#N/A,#N/A,FALSE,"Actual";#N/A,#N/A,FALSE,"Normalized";#N/A,#N/A,FALSE,"Electric Actual";#N/A,#N/A,FALSE,"Electric Normalized"}</definedName>
    <definedName name="Master_1" localSheetId="36" hidden="1">{#N/A,#N/A,FALSE,"Actual";#N/A,#N/A,FALSE,"Normalized";#N/A,#N/A,FALSE,"Electric Actual";#N/A,#N/A,FALSE,"Electric Normalized"}</definedName>
    <definedName name="Master_1" localSheetId="0" hidden="1">{#N/A,#N/A,FALSE,"Actual";#N/A,#N/A,FALSE,"Normalized";#N/A,#N/A,FALSE,"Electric Actual";#N/A,#N/A,FALSE,"Electric Normalized"}</definedName>
    <definedName name="Master_1" hidden="1">{#N/A,#N/A,FALSE,"Actual";#N/A,#N/A,FALSE,"Normalized";#N/A,#N/A,FALSE,"Electric Actual";#N/A,#N/A,FALSE,"Electric Normalized"}</definedName>
    <definedName name="Master_2" localSheetId="1" hidden="1">{#N/A,#N/A,FALSE,"Actual";#N/A,#N/A,FALSE,"Normalized";#N/A,#N/A,FALSE,"Electric Actual";#N/A,#N/A,FALSE,"Electric Normalized"}</definedName>
    <definedName name="Master_2" localSheetId="3" hidden="1">{#N/A,#N/A,FALSE,"Actual";#N/A,#N/A,FALSE,"Normalized";#N/A,#N/A,FALSE,"Electric Actual";#N/A,#N/A,FALSE,"Electric Normalized"}</definedName>
    <definedName name="Master_2" localSheetId="4" hidden="1">{#N/A,#N/A,FALSE,"Actual";#N/A,#N/A,FALSE,"Normalized";#N/A,#N/A,FALSE,"Electric Actual";#N/A,#N/A,FALSE,"Electric Normalized"}</definedName>
    <definedName name="Master_2" localSheetId="13" hidden="1">{#N/A,#N/A,FALSE,"Actual";#N/A,#N/A,FALSE,"Normalized";#N/A,#N/A,FALSE,"Electric Actual";#N/A,#N/A,FALSE,"Electric Normalized"}</definedName>
    <definedName name="Master_2" localSheetId="14" hidden="1">{#N/A,#N/A,FALSE,"Actual";#N/A,#N/A,FALSE,"Normalized";#N/A,#N/A,FALSE,"Electric Actual";#N/A,#N/A,FALSE,"Electric Normalized"}</definedName>
    <definedName name="Master_2" localSheetId="15" hidden="1">{#N/A,#N/A,FALSE,"Actual";#N/A,#N/A,FALSE,"Normalized";#N/A,#N/A,FALSE,"Electric Actual";#N/A,#N/A,FALSE,"Electric Normalized"}</definedName>
    <definedName name="Master_2" localSheetId="16" hidden="1">{#N/A,#N/A,FALSE,"Actual";#N/A,#N/A,FALSE,"Normalized";#N/A,#N/A,FALSE,"Electric Actual";#N/A,#N/A,FALSE,"Electric Normalized"}</definedName>
    <definedName name="Master_2" localSheetId="19" hidden="1">{#N/A,#N/A,FALSE,"Actual";#N/A,#N/A,FALSE,"Normalized";#N/A,#N/A,FALSE,"Electric Actual";#N/A,#N/A,FALSE,"Electric Normalized"}</definedName>
    <definedName name="Master_2" localSheetId="22" hidden="1">{#N/A,#N/A,FALSE,"Actual";#N/A,#N/A,FALSE,"Normalized";#N/A,#N/A,FALSE,"Electric Actual";#N/A,#N/A,FALSE,"Electric Normalized"}</definedName>
    <definedName name="Master_2" localSheetId="23" hidden="1">{#N/A,#N/A,FALSE,"Actual";#N/A,#N/A,FALSE,"Normalized";#N/A,#N/A,FALSE,"Electric Actual";#N/A,#N/A,FALSE,"Electric Normalized"}</definedName>
    <definedName name="Master_2" localSheetId="24" hidden="1">{#N/A,#N/A,FALSE,"Actual";#N/A,#N/A,FALSE,"Normalized";#N/A,#N/A,FALSE,"Electric Actual";#N/A,#N/A,FALSE,"Electric Normalized"}</definedName>
    <definedName name="Master_2" localSheetId="25" hidden="1">{#N/A,#N/A,FALSE,"Actual";#N/A,#N/A,FALSE,"Normalized";#N/A,#N/A,FALSE,"Electric Actual";#N/A,#N/A,FALSE,"Electric Normalized"}</definedName>
    <definedName name="Master_2" localSheetId="26" hidden="1">{#N/A,#N/A,FALSE,"Actual";#N/A,#N/A,FALSE,"Normalized";#N/A,#N/A,FALSE,"Electric Actual";#N/A,#N/A,FALSE,"Electric Normalized"}</definedName>
    <definedName name="Master_2" localSheetId="31" hidden="1">{#N/A,#N/A,FALSE,"Actual";#N/A,#N/A,FALSE,"Normalized";#N/A,#N/A,FALSE,"Electric Actual";#N/A,#N/A,FALSE,"Electric Normalized"}</definedName>
    <definedName name="Master_2" localSheetId="35" hidden="1">{#N/A,#N/A,FALSE,"Actual";#N/A,#N/A,FALSE,"Normalized";#N/A,#N/A,FALSE,"Electric Actual";#N/A,#N/A,FALSE,"Electric Normalized"}</definedName>
    <definedName name="Master_2" localSheetId="36" hidden="1">{#N/A,#N/A,FALSE,"Actual";#N/A,#N/A,FALSE,"Normalized";#N/A,#N/A,FALSE,"Electric Actual";#N/A,#N/A,FALSE,"Electric Normalized"}</definedName>
    <definedName name="Master_2" localSheetId="0" hidden="1">{#N/A,#N/A,FALSE,"Actual";#N/A,#N/A,FALSE,"Normalized";#N/A,#N/A,FALSE,"Electric Actual";#N/A,#N/A,FALSE,"Electric Normalized"}</definedName>
    <definedName name="Master_2" hidden="1">{#N/A,#N/A,FALSE,"Actual";#N/A,#N/A,FALSE,"Normalized";#N/A,#N/A,FALSE,"Electric Actual";#N/A,#N/A,FALSE,"Electric Normalized"}</definedName>
    <definedName name="Master_3" localSheetId="1" hidden="1">{#N/A,#N/A,FALSE,"Actual";#N/A,#N/A,FALSE,"Normalized";#N/A,#N/A,FALSE,"Electric Actual";#N/A,#N/A,FALSE,"Electric Normalized"}</definedName>
    <definedName name="Master_3" localSheetId="3" hidden="1">{#N/A,#N/A,FALSE,"Actual";#N/A,#N/A,FALSE,"Normalized";#N/A,#N/A,FALSE,"Electric Actual";#N/A,#N/A,FALSE,"Electric Normalized"}</definedName>
    <definedName name="Master_3" localSheetId="4" hidden="1">{#N/A,#N/A,FALSE,"Actual";#N/A,#N/A,FALSE,"Normalized";#N/A,#N/A,FALSE,"Electric Actual";#N/A,#N/A,FALSE,"Electric Normalized"}</definedName>
    <definedName name="Master_3" localSheetId="13" hidden="1">{#N/A,#N/A,FALSE,"Actual";#N/A,#N/A,FALSE,"Normalized";#N/A,#N/A,FALSE,"Electric Actual";#N/A,#N/A,FALSE,"Electric Normalized"}</definedName>
    <definedName name="Master_3" localSheetId="14" hidden="1">{#N/A,#N/A,FALSE,"Actual";#N/A,#N/A,FALSE,"Normalized";#N/A,#N/A,FALSE,"Electric Actual";#N/A,#N/A,FALSE,"Electric Normalized"}</definedName>
    <definedName name="Master_3" localSheetId="15" hidden="1">{#N/A,#N/A,FALSE,"Actual";#N/A,#N/A,FALSE,"Normalized";#N/A,#N/A,FALSE,"Electric Actual";#N/A,#N/A,FALSE,"Electric Normalized"}</definedName>
    <definedName name="Master_3" localSheetId="16" hidden="1">{#N/A,#N/A,FALSE,"Actual";#N/A,#N/A,FALSE,"Normalized";#N/A,#N/A,FALSE,"Electric Actual";#N/A,#N/A,FALSE,"Electric Normalized"}</definedName>
    <definedName name="Master_3" localSheetId="19" hidden="1">{#N/A,#N/A,FALSE,"Actual";#N/A,#N/A,FALSE,"Normalized";#N/A,#N/A,FALSE,"Electric Actual";#N/A,#N/A,FALSE,"Electric Normalized"}</definedName>
    <definedName name="Master_3" localSheetId="22" hidden="1">{#N/A,#N/A,FALSE,"Actual";#N/A,#N/A,FALSE,"Normalized";#N/A,#N/A,FALSE,"Electric Actual";#N/A,#N/A,FALSE,"Electric Normalized"}</definedName>
    <definedName name="Master_3" localSheetId="23" hidden="1">{#N/A,#N/A,FALSE,"Actual";#N/A,#N/A,FALSE,"Normalized";#N/A,#N/A,FALSE,"Electric Actual";#N/A,#N/A,FALSE,"Electric Normalized"}</definedName>
    <definedName name="Master_3" localSheetId="24" hidden="1">{#N/A,#N/A,FALSE,"Actual";#N/A,#N/A,FALSE,"Normalized";#N/A,#N/A,FALSE,"Electric Actual";#N/A,#N/A,FALSE,"Electric Normalized"}</definedName>
    <definedName name="Master_3" localSheetId="25" hidden="1">{#N/A,#N/A,FALSE,"Actual";#N/A,#N/A,FALSE,"Normalized";#N/A,#N/A,FALSE,"Electric Actual";#N/A,#N/A,FALSE,"Electric Normalized"}</definedName>
    <definedName name="Master_3" localSheetId="26" hidden="1">{#N/A,#N/A,FALSE,"Actual";#N/A,#N/A,FALSE,"Normalized";#N/A,#N/A,FALSE,"Electric Actual";#N/A,#N/A,FALSE,"Electric Normalized"}</definedName>
    <definedName name="Master_3" localSheetId="31" hidden="1">{#N/A,#N/A,FALSE,"Actual";#N/A,#N/A,FALSE,"Normalized";#N/A,#N/A,FALSE,"Electric Actual";#N/A,#N/A,FALSE,"Electric Normalized"}</definedName>
    <definedName name="Master_3" localSheetId="35" hidden="1">{#N/A,#N/A,FALSE,"Actual";#N/A,#N/A,FALSE,"Normalized";#N/A,#N/A,FALSE,"Electric Actual";#N/A,#N/A,FALSE,"Electric Normalized"}</definedName>
    <definedName name="Master_3" localSheetId="36" hidden="1">{#N/A,#N/A,FALSE,"Actual";#N/A,#N/A,FALSE,"Normalized";#N/A,#N/A,FALSE,"Electric Actual";#N/A,#N/A,FALSE,"Electric Normalized"}</definedName>
    <definedName name="Master_3" localSheetId="0" hidden="1">{#N/A,#N/A,FALSE,"Actual";#N/A,#N/A,FALSE,"Normalized";#N/A,#N/A,FALSE,"Electric Actual";#N/A,#N/A,FALSE,"Electric Normalized"}</definedName>
    <definedName name="Master_3" hidden="1">{#N/A,#N/A,FALSE,"Actual";#N/A,#N/A,FALSE,"Normalized";#N/A,#N/A,FALSE,"Electric Actual";#N/A,#N/A,FALSE,"Electric Normalized"}</definedName>
    <definedName name="Master_4" localSheetId="1" hidden="1">{#N/A,#N/A,FALSE,"Actual";#N/A,#N/A,FALSE,"Normalized";#N/A,#N/A,FALSE,"Electric Actual";#N/A,#N/A,FALSE,"Electric Normalized"}</definedName>
    <definedName name="Master_4" localSheetId="3" hidden="1">{#N/A,#N/A,FALSE,"Actual";#N/A,#N/A,FALSE,"Normalized";#N/A,#N/A,FALSE,"Electric Actual";#N/A,#N/A,FALSE,"Electric Normalized"}</definedName>
    <definedName name="Master_4" localSheetId="4" hidden="1">{#N/A,#N/A,FALSE,"Actual";#N/A,#N/A,FALSE,"Normalized";#N/A,#N/A,FALSE,"Electric Actual";#N/A,#N/A,FALSE,"Electric Normalized"}</definedName>
    <definedName name="Master_4" localSheetId="13" hidden="1">{#N/A,#N/A,FALSE,"Actual";#N/A,#N/A,FALSE,"Normalized";#N/A,#N/A,FALSE,"Electric Actual";#N/A,#N/A,FALSE,"Electric Normalized"}</definedName>
    <definedName name="Master_4" localSheetId="14" hidden="1">{#N/A,#N/A,FALSE,"Actual";#N/A,#N/A,FALSE,"Normalized";#N/A,#N/A,FALSE,"Electric Actual";#N/A,#N/A,FALSE,"Electric Normalized"}</definedName>
    <definedName name="Master_4" localSheetId="15" hidden="1">{#N/A,#N/A,FALSE,"Actual";#N/A,#N/A,FALSE,"Normalized";#N/A,#N/A,FALSE,"Electric Actual";#N/A,#N/A,FALSE,"Electric Normalized"}</definedName>
    <definedName name="Master_4" localSheetId="16" hidden="1">{#N/A,#N/A,FALSE,"Actual";#N/A,#N/A,FALSE,"Normalized";#N/A,#N/A,FALSE,"Electric Actual";#N/A,#N/A,FALSE,"Electric Normalized"}</definedName>
    <definedName name="Master_4" localSheetId="19" hidden="1">{#N/A,#N/A,FALSE,"Actual";#N/A,#N/A,FALSE,"Normalized";#N/A,#N/A,FALSE,"Electric Actual";#N/A,#N/A,FALSE,"Electric Normalized"}</definedName>
    <definedName name="Master_4" localSheetId="22" hidden="1">{#N/A,#N/A,FALSE,"Actual";#N/A,#N/A,FALSE,"Normalized";#N/A,#N/A,FALSE,"Electric Actual";#N/A,#N/A,FALSE,"Electric Normalized"}</definedName>
    <definedName name="Master_4" localSheetId="23" hidden="1">{#N/A,#N/A,FALSE,"Actual";#N/A,#N/A,FALSE,"Normalized";#N/A,#N/A,FALSE,"Electric Actual";#N/A,#N/A,FALSE,"Electric Normalized"}</definedName>
    <definedName name="Master_4" localSheetId="24" hidden="1">{#N/A,#N/A,FALSE,"Actual";#N/A,#N/A,FALSE,"Normalized";#N/A,#N/A,FALSE,"Electric Actual";#N/A,#N/A,FALSE,"Electric Normalized"}</definedName>
    <definedName name="Master_4" localSheetId="25" hidden="1">{#N/A,#N/A,FALSE,"Actual";#N/A,#N/A,FALSE,"Normalized";#N/A,#N/A,FALSE,"Electric Actual";#N/A,#N/A,FALSE,"Electric Normalized"}</definedName>
    <definedName name="Master_4" localSheetId="26" hidden="1">{#N/A,#N/A,FALSE,"Actual";#N/A,#N/A,FALSE,"Normalized";#N/A,#N/A,FALSE,"Electric Actual";#N/A,#N/A,FALSE,"Electric Normalized"}</definedName>
    <definedName name="Master_4" localSheetId="31" hidden="1">{#N/A,#N/A,FALSE,"Actual";#N/A,#N/A,FALSE,"Normalized";#N/A,#N/A,FALSE,"Electric Actual";#N/A,#N/A,FALSE,"Electric Normalized"}</definedName>
    <definedName name="Master_4" localSheetId="35" hidden="1">{#N/A,#N/A,FALSE,"Actual";#N/A,#N/A,FALSE,"Normalized";#N/A,#N/A,FALSE,"Electric Actual";#N/A,#N/A,FALSE,"Electric Normalized"}</definedName>
    <definedName name="Master_4" localSheetId="36" hidden="1">{#N/A,#N/A,FALSE,"Actual";#N/A,#N/A,FALSE,"Normalized";#N/A,#N/A,FALSE,"Electric Actual";#N/A,#N/A,FALSE,"Electric Normalized"}</definedName>
    <definedName name="Master_4" localSheetId="0" hidden="1">{#N/A,#N/A,FALSE,"Actual";#N/A,#N/A,FALSE,"Normalized";#N/A,#N/A,FALSE,"Electric Actual";#N/A,#N/A,FALSE,"Electric Normalized"}</definedName>
    <definedName name="Master_4" hidden="1">{#N/A,#N/A,FALSE,"Actual";#N/A,#N/A,FALSE,"Normalized";#N/A,#N/A,FALSE,"Electric Actual";#N/A,#N/A,FALSE,"Electric Normalized"}</definedName>
    <definedName name="Master_5" localSheetId="1" hidden="1">{#N/A,#N/A,FALSE,"Actual";#N/A,#N/A,FALSE,"Normalized";#N/A,#N/A,FALSE,"Electric Actual";#N/A,#N/A,FALSE,"Electric Normalized"}</definedName>
    <definedName name="Master_5" localSheetId="3" hidden="1">{#N/A,#N/A,FALSE,"Actual";#N/A,#N/A,FALSE,"Normalized";#N/A,#N/A,FALSE,"Electric Actual";#N/A,#N/A,FALSE,"Electric Normalized"}</definedName>
    <definedName name="Master_5" localSheetId="4" hidden="1">{#N/A,#N/A,FALSE,"Actual";#N/A,#N/A,FALSE,"Normalized";#N/A,#N/A,FALSE,"Electric Actual";#N/A,#N/A,FALSE,"Electric Normalized"}</definedName>
    <definedName name="Master_5" localSheetId="13" hidden="1">{#N/A,#N/A,FALSE,"Actual";#N/A,#N/A,FALSE,"Normalized";#N/A,#N/A,FALSE,"Electric Actual";#N/A,#N/A,FALSE,"Electric Normalized"}</definedName>
    <definedName name="Master_5" localSheetId="14" hidden="1">{#N/A,#N/A,FALSE,"Actual";#N/A,#N/A,FALSE,"Normalized";#N/A,#N/A,FALSE,"Electric Actual";#N/A,#N/A,FALSE,"Electric Normalized"}</definedName>
    <definedName name="Master_5" localSheetId="15" hidden="1">{#N/A,#N/A,FALSE,"Actual";#N/A,#N/A,FALSE,"Normalized";#N/A,#N/A,FALSE,"Electric Actual";#N/A,#N/A,FALSE,"Electric Normalized"}</definedName>
    <definedName name="Master_5" localSheetId="16" hidden="1">{#N/A,#N/A,FALSE,"Actual";#N/A,#N/A,FALSE,"Normalized";#N/A,#N/A,FALSE,"Electric Actual";#N/A,#N/A,FALSE,"Electric Normalized"}</definedName>
    <definedName name="Master_5" localSheetId="19" hidden="1">{#N/A,#N/A,FALSE,"Actual";#N/A,#N/A,FALSE,"Normalized";#N/A,#N/A,FALSE,"Electric Actual";#N/A,#N/A,FALSE,"Electric Normalized"}</definedName>
    <definedName name="Master_5" localSheetId="22" hidden="1">{#N/A,#N/A,FALSE,"Actual";#N/A,#N/A,FALSE,"Normalized";#N/A,#N/A,FALSE,"Electric Actual";#N/A,#N/A,FALSE,"Electric Normalized"}</definedName>
    <definedName name="Master_5" localSheetId="23" hidden="1">{#N/A,#N/A,FALSE,"Actual";#N/A,#N/A,FALSE,"Normalized";#N/A,#N/A,FALSE,"Electric Actual";#N/A,#N/A,FALSE,"Electric Normalized"}</definedName>
    <definedName name="Master_5" localSheetId="24" hidden="1">{#N/A,#N/A,FALSE,"Actual";#N/A,#N/A,FALSE,"Normalized";#N/A,#N/A,FALSE,"Electric Actual";#N/A,#N/A,FALSE,"Electric Normalized"}</definedName>
    <definedName name="Master_5" localSheetId="25" hidden="1">{#N/A,#N/A,FALSE,"Actual";#N/A,#N/A,FALSE,"Normalized";#N/A,#N/A,FALSE,"Electric Actual";#N/A,#N/A,FALSE,"Electric Normalized"}</definedName>
    <definedName name="Master_5" localSheetId="26" hidden="1">{#N/A,#N/A,FALSE,"Actual";#N/A,#N/A,FALSE,"Normalized";#N/A,#N/A,FALSE,"Electric Actual";#N/A,#N/A,FALSE,"Electric Normalized"}</definedName>
    <definedName name="Master_5" localSheetId="31" hidden="1">{#N/A,#N/A,FALSE,"Actual";#N/A,#N/A,FALSE,"Normalized";#N/A,#N/A,FALSE,"Electric Actual";#N/A,#N/A,FALSE,"Electric Normalized"}</definedName>
    <definedName name="Master_5" localSheetId="35" hidden="1">{#N/A,#N/A,FALSE,"Actual";#N/A,#N/A,FALSE,"Normalized";#N/A,#N/A,FALSE,"Electric Actual";#N/A,#N/A,FALSE,"Electric Normalized"}</definedName>
    <definedName name="Master_5" localSheetId="36" hidden="1">{#N/A,#N/A,FALSE,"Actual";#N/A,#N/A,FALSE,"Normalized";#N/A,#N/A,FALSE,"Electric Actual";#N/A,#N/A,FALSE,"Electric Normalized"}</definedName>
    <definedName name="Master_5" localSheetId="0" hidden="1">{#N/A,#N/A,FALSE,"Actual";#N/A,#N/A,FALSE,"Normalized";#N/A,#N/A,FALSE,"Electric Actual";#N/A,#N/A,FALSE,"Electric Normalized"}</definedName>
    <definedName name="Master_5" hidden="1">{#N/A,#N/A,FALSE,"Actual";#N/A,#N/A,FALSE,"Normalized";#N/A,#N/A,FALSE,"Electric Actual";#N/A,#N/A,FALSE,"Electric Normalized"}</definedName>
    <definedName name="OHSch10YR" localSheetId="1" hidden="1">{#N/A,#N/A,FALSE,"Summary";#N/A,#N/A,FALSE,"SmPlants";#N/A,#N/A,FALSE,"Utah";#N/A,#N/A,FALSE,"Idaho";#N/A,#N/A,FALSE,"Lewis River";#N/A,#N/A,FALSE,"NrthUmpq";#N/A,#N/A,FALSE,"KlamRog"}</definedName>
    <definedName name="OHSch10YR" localSheetId="3" hidden="1">{#N/A,#N/A,FALSE,"Summary";#N/A,#N/A,FALSE,"SmPlants";#N/A,#N/A,FALSE,"Utah";#N/A,#N/A,FALSE,"Idaho";#N/A,#N/A,FALSE,"Lewis River";#N/A,#N/A,FALSE,"NrthUmpq";#N/A,#N/A,FALSE,"KlamRog"}</definedName>
    <definedName name="OHSch10YR" localSheetId="4" hidden="1">{#N/A,#N/A,FALSE,"Summary";#N/A,#N/A,FALSE,"SmPlants";#N/A,#N/A,FALSE,"Utah";#N/A,#N/A,FALSE,"Idaho";#N/A,#N/A,FALSE,"Lewis River";#N/A,#N/A,FALSE,"NrthUmpq";#N/A,#N/A,FALSE,"KlamRog"}</definedName>
    <definedName name="OHSch10YR" localSheetId="13" hidden="1">{#N/A,#N/A,FALSE,"Summary";#N/A,#N/A,FALSE,"SmPlants";#N/A,#N/A,FALSE,"Utah";#N/A,#N/A,FALSE,"Idaho";#N/A,#N/A,FALSE,"Lewis River";#N/A,#N/A,FALSE,"NrthUmpq";#N/A,#N/A,FALSE,"KlamRog"}</definedName>
    <definedName name="OHSch10YR" localSheetId="14" hidden="1">{#N/A,#N/A,FALSE,"Summary";#N/A,#N/A,FALSE,"SmPlants";#N/A,#N/A,FALSE,"Utah";#N/A,#N/A,FALSE,"Idaho";#N/A,#N/A,FALSE,"Lewis River";#N/A,#N/A,FALSE,"NrthUmpq";#N/A,#N/A,FALSE,"KlamRog"}</definedName>
    <definedName name="OHSch10YR" localSheetId="15" hidden="1">{#N/A,#N/A,FALSE,"Summary";#N/A,#N/A,FALSE,"SmPlants";#N/A,#N/A,FALSE,"Utah";#N/A,#N/A,FALSE,"Idaho";#N/A,#N/A,FALSE,"Lewis River";#N/A,#N/A,FALSE,"NrthUmpq";#N/A,#N/A,FALSE,"KlamRog"}</definedName>
    <definedName name="OHSch10YR" localSheetId="16" hidden="1">{#N/A,#N/A,FALSE,"Summary";#N/A,#N/A,FALSE,"SmPlants";#N/A,#N/A,FALSE,"Utah";#N/A,#N/A,FALSE,"Idaho";#N/A,#N/A,FALSE,"Lewis River";#N/A,#N/A,FALSE,"NrthUmpq";#N/A,#N/A,FALSE,"KlamRog"}</definedName>
    <definedName name="OHSch10YR" localSheetId="19" hidden="1">{#N/A,#N/A,FALSE,"Summary";#N/A,#N/A,FALSE,"SmPlants";#N/A,#N/A,FALSE,"Utah";#N/A,#N/A,FALSE,"Idaho";#N/A,#N/A,FALSE,"Lewis River";#N/A,#N/A,FALSE,"NrthUmpq";#N/A,#N/A,FALSE,"KlamRog"}</definedName>
    <definedName name="OHSch10YR" localSheetId="22" hidden="1">{#N/A,#N/A,FALSE,"Summary";#N/A,#N/A,FALSE,"SmPlants";#N/A,#N/A,FALSE,"Utah";#N/A,#N/A,FALSE,"Idaho";#N/A,#N/A,FALSE,"Lewis River";#N/A,#N/A,FALSE,"NrthUmpq";#N/A,#N/A,FALSE,"KlamRog"}</definedName>
    <definedName name="OHSch10YR" localSheetId="23" hidden="1">{#N/A,#N/A,FALSE,"Summary";#N/A,#N/A,FALSE,"SmPlants";#N/A,#N/A,FALSE,"Utah";#N/A,#N/A,FALSE,"Idaho";#N/A,#N/A,FALSE,"Lewis River";#N/A,#N/A,FALSE,"NrthUmpq";#N/A,#N/A,FALSE,"KlamRog"}</definedName>
    <definedName name="OHSch10YR" localSheetId="24" hidden="1">{#N/A,#N/A,FALSE,"Summary";#N/A,#N/A,FALSE,"SmPlants";#N/A,#N/A,FALSE,"Utah";#N/A,#N/A,FALSE,"Idaho";#N/A,#N/A,FALSE,"Lewis River";#N/A,#N/A,FALSE,"NrthUmpq";#N/A,#N/A,FALSE,"KlamRog"}</definedName>
    <definedName name="OHSch10YR" localSheetId="25" hidden="1">{#N/A,#N/A,FALSE,"Summary";#N/A,#N/A,FALSE,"SmPlants";#N/A,#N/A,FALSE,"Utah";#N/A,#N/A,FALSE,"Idaho";#N/A,#N/A,FALSE,"Lewis River";#N/A,#N/A,FALSE,"NrthUmpq";#N/A,#N/A,FALSE,"KlamRog"}</definedName>
    <definedName name="OHSch10YR" localSheetId="26" hidden="1">{#N/A,#N/A,FALSE,"Summary";#N/A,#N/A,FALSE,"SmPlants";#N/A,#N/A,FALSE,"Utah";#N/A,#N/A,FALSE,"Idaho";#N/A,#N/A,FALSE,"Lewis River";#N/A,#N/A,FALSE,"NrthUmpq";#N/A,#N/A,FALSE,"KlamRog"}</definedName>
    <definedName name="OHSch10YR" localSheetId="31" hidden="1">{#N/A,#N/A,FALSE,"Summary";#N/A,#N/A,FALSE,"SmPlants";#N/A,#N/A,FALSE,"Utah";#N/A,#N/A,FALSE,"Idaho";#N/A,#N/A,FALSE,"Lewis River";#N/A,#N/A,FALSE,"NrthUmpq";#N/A,#N/A,FALSE,"KlamRog"}</definedName>
    <definedName name="OHSch10YR" localSheetId="35" hidden="1">{#N/A,#N/A,FALSE,"Summary";#N/A,#N/A,FALSE,"SmPlants";#N/A,#N/A,FALSE,"Utah";#N/A,#N/A,FALSE,"Idaho";#N/A,#N/A,FALSE,"Lewis River";#N/A,#N/A,FALSE,"NrthUmpq";#N/A,#N/A,FALSE,"KlamRog"}</definedName>
    <definedName name="OHSch10YR" localSheetId="36" hidden="1">{#N/A,#N/A,FALSE,"Summary";#N/A,#N/A,FALSE,"SmPlants";#N/A,#N/A,FALSE,"Utah";#N/A,#N/A,FALSE,"Idaho";#N/A,#N/A,FALSE,"Lewis River";#N/A,#N/A,FALSE,"NrthUmpq";#N/A,#N/A,FALSE,"KlamRog"}</definedName>
    <definedName name="OHSch10YR" localSheetId="0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HSch10YR_1" localSheetId="1" hidden="1">{#N/A,#N/A,FALSE,"Summary";#N/A,#N/A,FALSE,"SmPlants";#N/A,#N/A,FALSE,"Utah";#N/A,#N/A,FALSE,"Idaho";#N/A,#N/A,FALSE,"Lewis River";#N/A,#N/A,FALSE,"NrthUmpq";#N/A,#N/A,FALSE,"KlamRog"}</definedName>
    <definedName name="OHSch10YR_1" localSheetId="3" hidden="1">{#N/A,#N/A,FALSE,"Summary";#N/A,#N/A,FALSE,"SmPlants";#N/A,#N/A,FALSE,"Utah";#N/A,#N/A,FALSE,"Idaho";#N/A,#N/A,FALSE,"Lewis River";#N/A,#N/A,FALSE,"NrthUmpq";#N/A,#N/A,FALSE,"KlamRog"}</definedName>
    <definedName name="OHSch10YR_1" localSheetId="4" hidden="1">{#N/A,#N/A,FALSE,"Summary";#N/A,#N/A,FALSE,"SmPlants";#N/A,#N/A,FALSE,"Utah";#N/A,#N/A,FALSE,"Idaho";#N/A,#N/A,FALSE,"Lewis River";#N/A,#N/A,FALSE,"NrthUmpq";#N/A,#N/A,FALSE,"KlamRog"}</definedName>
    <definedName name="OHSch10YR_1" localSheetId="13" hidden="1">{#N/A,#N/A,FALSE,"Summary";#N/A,#N/A,FALSE,"SmPlants";#N/A,#N/A,FALSE,"Utah";#N/A,#N/A,FALSE,"Idaho";#N/A,#N/A,FALSE,"Lewis River";#N/A,#N/A,FALSE,"NrthUmpq";#N/A,#N/A,FALSE,"KlamRog"}</definedName>
    <definedName name="OHSch10YR_1" localSheetId="14" hidden="1">{#N/A,#N/A,FALSE,"Summary";#N/A,#N/A,FALSE,"SmPlants";#N/A,#N/A,FALSE,"Utah";#N/A,#N/A,FALSE,"Idaho";#N/A,#N/A,FALSE,"Lewis River";#N/A,#N/A,FALSE,"NrthUmpq";#N/A,#N/A,FALSE,"KlamRog"}</definedName>
    <definedName name="OHSch10YR_1" localSheetId="15" hidden="1">{#N/A,#N/A,FALSE,"Summary";#N/A,#N/A,FALSE,"SmPlants";#N/A,#N/A,FALSE,"Utah";#N/A,#N/A,FALSE,"Idaho";#N/A,#N/A,FALSE,"Lewis River";#N/A,#N/A,FALSE,"NrthUmpq";#N/A,#N/A,FALSE,"KlamRog"}</definedName>
    <definedName name="OHSch10YR_1" localSheetId="16" hidden="1">{#N/A,#N/A,FALSE,"Summary";#N/A,#N/A,FALSE,"SmPlants";#N/A,#N/A,FALSE,"Utah";#N/A,#N/A,FALSE,"Idaho";#N/A,#N/A,FALSE,"Lewis River";#N/A,#N/A,FALSE,"NrthUmpq";#N/A,#N/A,FALSE,"KlamRog"}</definedName>
    <definedName name="OHSch10YR_1" localSheetId="19" hidden="1">{#N/A,#N/A,FALSE,"Summary";#N/A,#N/A,FALSE,"SmPlants";#N/A,#N/A,FALSE,"Utah";#N/A,#N/A,FALSE,"Idaho";#N/A,#N/A,FALSE,"Lewis River";#N/A,#N/A,FALSE,"NrthUmpq";#N/A,#N/A,FALSE,"KlamRog"}</definedName>
    <definedName name="OHSch10YR_1" localSheetId="22" hidden="1">{#N/A,#N/A,FALSE,"Summary";#N/A,#N/A,FALSE,"SmPlants";#N/A,#N/A,FALSE,"Utah";#N/A,#N/A,FALSE,"Idaho";#N/A,#N/A,FALSE,"Lewis River";#N/A,#N/A,FALSE,"NrthUmpq";#N/A,#N/A,FALSE,"KlamRog"}</definedName>
    <definedName name="OHSch10YR_1" localSheetId="23" hidden="1">{#N/A,#N/A,FALSE,"Summary";#N/A,#N/A,FALSE,"SmPlants";#N/A,#N/A,FALSE,"Utah";#N/A,#N/A,FALSE,"Idaho";#N/A,#N/A,FALSE,"Lewis River";#N/A,#N/A,FALSE,"NrthUmpq";#N/A,#N/A,FALSE,"KlamRog"}</definedName>
    <definedName name="OHSch10YR_1" localSheetId="24" hidden="1">{#N/A,#N/A,FALSE,"Summary";#N/A,#N/A,FALSE,"SmPlants";#N/A,#N/A,FALSE,"Utah";#N/A,#N/A,FALSE,"Idaho";#N/A,#N/A,FALSE,"Lewis River";#N/A,#N/A,FALSE,"NrthUmpq";#N/A,#N/A,FALSE,"KlamRog"}</definedName>
    <definedName name="OHSch10YR_1" localSheetId="25" hidden="1">{#N/A,#N/A,FALSE,"Summary";#N/A,#N/A,FALSE,"SmPlants";#N/A,#N/A,FALSE,"Utah";#N/A,#N/A,FALSE,"Idaho";#N/A,#N/A,FALSE,"Lewis River";#N/A,#N/A,FALSE,"NrthUmpq";#N/A,#N/A,FALSE,"KlamRog"}</definedName>
    <definedName name="OHSch10YR_1" localSheetId="26" hidden="1">{#N/A,#N/A,FALSE,"Summary";#N/A,#N/A,FALSE,"SmPlants";#N/A,#N/A,FALSE,"Utah";#N/A,#N/A,FALSE,"Idaho";#N/A,#N/A,FALSE,"Lewis River";#N/A,#N/A,FALSE,"NrthUmpq";#N/A,#N/A,FALSE,"KlamRog"}</definedName>
    <definedName name="OHSch10YR_1" localSheetId="31" hidden="1">{#N/A,#N/A,FALSE,"Summary";#N/A,#N/A,FALSE,"SmPlants";#N/A,#N/A,FALSE,"Utah";#N/A,#N/A,FALSE,"Idaho";#N/A,#N/A,FALSE,"Lewis River";#N/A,#N/A,FALSE,"NrthUmpq";#N/A,#N/A,FALSE,"KlamRog"}</definedName>
    <definedName name="OHSch10YR_1" localSheetId="35" hidden="1">{#N/A,#N/A,FALSE,"Summary";#N/A,#N/A,FALSE,"SmPlants";#N/A,#N/A,FALSE,"Utah";#N/A,#N/A,FALSE,"Idaho";#N/A,#N/A,FALSE,"Lewis River";#N/A,#N/A,FALSE,"NrthUmpq";#N/A,#N/A,FALSE,"KlamRog"}</definedName>
    <definedName name="OHSch10YR_1" localSheetId="36" hidden="1">{#N/A,#N/A,FALSE,"Summary";#N/A,#N/A,FALSE,"SmPlants";#N/A,#N/A,FALSE,"Utah";#N/A,#N/A,FALSE,"Idaho";#N/A,#N/A,FALSE,"Lewis River";#N/A,#N/A,FALSE,"NrthUmpq";#N/A,#N/A,FALSE,"KlamRog"}</definedName>
    <definedName name="OHSch10YR_1" localSheetId="0" hidden="1">{#N/A,#N/A,FALSE,"Summary";#N/A,#N/A,FALSE,"SmPlants";#N/A,#N/A,FALSE,"Utah";#N/A,#N/A,FALSE,"Idaho";#N/A,#N/A,FALSE,"Lewis River";#N/A,#N/A,FALSE,"NrthUmpq";#N/A,#N/A,FALSE,"KlamRog"}</definedName>
    <definedName name="OHSch10YR_1" hidden="1">{#N/A,#N/A,FALSE,"Summary";#N/A,#N/A,FALSE,"SmPlants";#N/A,#N/A,FALSE,"Utah";#N/A,#N/A,FALSE,"Idaho";#N/A,#N/A,FALSE,"Lewis River";#N/A,#N/A,FALSE,"NrthUmpq";#N/A,#N/A,FALSE,"KlamRog"}</definedName>
    <definedName name="OHSch10YR_2" localSheetId="1" hidden="1">{#N/A,#N/A,FALSE,"Summary";#N/A,#N/A,FALSE,"SmPlants";#N/A,#N/A,FALSE,"Utah";#N/A,#N/A,FALSE,"Idaho";#N/A,#N/A,FALSE,"Lewis River";#N/A,#N/A,FALSE,"NrthUmpq";#N/A,#N/A,FALSE,"KlamRog"}</definedName>
    <definedName name="OHSch10YR_2" localSheetId="3" hidden="1">{#N/A,#N/A,FALSE,"Summary";#N/A,#N/A,FALSE,"SmPlants";#N/A,#N/A,FALSE,"Utah";#N/A,#N/A,FALSE,"Idaho";#N/A,#N/A,FALSE,"Lewis River";#N/A,#N/A,FALSE,"NrthUmpq";#N/A,#N/A,FALSE,"KlamRog"}</definedName>
    <definedName name="OHSch10YR_2" localSheetId="4" hidden="1">{#N/A,#N/A,FALSE,"Summary";#N/A,#N/A,FALSE,"SmPlants";#N/A,#N/A,FALSE,"Utah";#N/A,#N/A,FALSE,"Idaho";#N/A,#N/A,FALSE,"Lewis River";#N/A,#N/A,FALSE,"NrthUmpq";#N/A,#N/A,FALSE,"KlamRog"}</definedName>
    <definedName name="OHSch10YR_2" localSheetId="13" hidden="1">{#N/A,#N/A,FALSE,"Summary";#N/A,#N/A,FALSE,"SmPlants";#N/A,#N/A,FALSE,"Utah";#N/A,#N/A,FALSE,"Idaho";#N/A,#N/A,FALSE,"Lewis River";#N/A,#N/A,FALSE,"NrthUmpq";#N/A,#N/A,FALSE,"KlamRog"}</definedName>
    <definedName name="OHSch10YR_2" localSheetId="14" hidden="1">{#N/A,#N/A,FALSE,"Summary";#N/A,#N/A,FALSE,"SmPlants";#N/A,#N/A,FALSE,"Utah";#N/A,#N/A,FALSE,"Idaho";#N/A,#N/A,FALSE,"Lewis River";#N/A,#N/A,FALSE,"NrthUmpq";#N/A,#N/A,FALSE,"KlamRog"}</definedName>
    <definedName name="OHSch10YR_2" localSheetId="15" hidden="1">{#N/A,#N/A,FALSE,"Summary";#N/A,#N/A,FALSE,"SmPlants";#N/A,#N/A,FALSE,"Utah";#N/A,#N/A,FALSE,"Idaho";#N/A,#N/A,FALSE,"Lewis River";#N/A,#N/A,FALSE,"NrthUmpq";#N/A,#N/A,FALSE,"KlamRog"}</definedName>
    <definedName name="OHSch10YR_2" localSheetId="16" hidden="1">{#N/A,#N/A,FALSE,"Summary";#N/A,#N/A,FALSE,"SmPlants";#N/A,#N/A,FALSE,"Utah";#N/A,#N/A,FALSE,"Idaho";#N/A,#N/A,FALSE,"Lewis River";#N/A,#N/A,FALSE,"NrthUmpq";#N/A,#N/A,FALSE,"KlamRog"}</definedName>
    <definedName name="OHSch10YR_2" localSheetId="19" hidden="1">{#N/A,#N/A,FALSE,"Summary";#N/A,#N/A,FALSE,"SmPlants";#N/A,#N/A,FALSE,"Utah";#N/A,#N/A,FALSE,"Idaho";#N/A,#N/A,FALSE,"Lewis River";#N/A,#N/A,FALSE,"NrthUmpq";#N/A,#N/A,FALSE,"KlamRog"}</definedName>
    <definedName name="OHSch10YR_2" localSheetId="22" hidden="1">{#N/A,#N/A,FALSE,"Summary";#N/A,#N/A,FALSE,"SmPlants";#N/A,#N/A,FALSE,"Utah";#N/A,#N/A,FALSE,"Idaho";#N/A,#N/A,FALSE,"Lewis River";#N/A,#N/A,FALSE,"NrthUmpq";#N/A,#N/A,FALSE,"KlamRog"}</definedName>
    <definedName name="OHSch10YR_2" localSheetId="23" hidden="1">{#N/A,#N/A,FALSE,"Summary";#N/A,#N/A,FALSE,"SmPlants";#N/A,#N/A,FALSE,"Utah";#N/A,#N/A,FALSE,"Idaho";#N/A,#N/A,FALSE,"Lewis River";#N/A,#N/A,FALSE,"NrthUmpq";#N/A,#N/A,FALSE,"KlamRog"}</definedName>
    <definedName name="OHSch10YR_2" localSheetId="24" hidden="1">{#N/A,#N/A,FALSE,"Summary";#N/A,#N/A,FALSE,"SmPlants";#N/A,#N/A,FALSE,"Utah";#N/A,#N/A,FALSE,"Idaho";#N/A,#N/A,FALSE,"Lewis River";#N/A,#N/A,FALSE,"NrthUmpq";#N/A,#N/A,FALSE,"KlamRog"}</definedName>
    <definedName name="OHSch10YR_2" localSheetId="25" hidden="1">{#N/A,#N/A,FALSE,"Summary";#N/A,#N/A,FALSE,"SmPlants";#N/A,#N/A,FALSE,"Utah";#N/A,#N/A,FALSE,"Idaho";#N/A,#N/A,FALSE,"Lewis River";#N/A,#N/A,FALSE,"NrthUmpq";#N/A,#N/A,FALSE,"KlamRog"}</definedName>
    <definedName name="OHSch10YR_2" localSheetId="26" hidden="1">{#N/A,#N/A,FALSE,"Summary";#N/A,#N/A,FALSE,"SmPlants";#N/A,#N/A,FALSE,"Utah";#N/A,#N/A,FALSE,"Idaho";#N/A,#N/A,FALSE,"Lewis River";#N/A,#N/A,FALSE,"NrthUmpq";#N/A,#N/A,FALSE,"KlamRog"}</definedName>
    <definedName name="OHSch10YR_2" localSheetId="31" hidden="1">{#N/A,#N/A,FALSE,"Summary";#N/A,#N/A,FALSE,"SmPlants";#N/A,#N/A,FALSE,"Utah";#N/A,#N/A,FALSE,"Idaho";#N/A,#N/A,FALSE,"Lewis River";#N/A,#N/A,FALSE,"NrthUmpq";#N/A,#N/A,FALSE,"KlamRog"}</definedName>
    <definedName name="OHSch10YR_2" localSheetId="35" hidden="1">{#N/A,#N/A,FALSE,"Summary";#N/A,#N/A,FALSE,"SmPlants";#N/A,#N/A,FALSE,"Utah";#N/A,#N/A,FALSE,"Idaho";#N/A,#N/A,FALSE,"Lewis River";#N/A,#N/A,FALSE,"NrthUmpq";#N/A,#N/A,FALSE,"KlamRog"}</definedName>
    <definedName name="OHSch10YR_2" localSheetId="36" hidden="1">{#N/A,#N/A,FALSE,"Summary";#N/A,#N/A,FALSE,"SmPlants";#N/A,#N/A,FALSE,"Utah";#N/A,#N/A,FALSE,"Idaho";#N/A,#N/A,FALSE,"Lewis River";#N/A,#N/A,FALSE,"NrthUmpq";#N/A,#N/A,FALSE,"KlamRog"}</definedName>
    <definedName name="OHSch10YR_2" localSheetId="0" hidden="1">{#N/A,#N/A,FALSE,"Summary";#N/A,#N/A,FALSE,"SmPlants";#N/A,#N/A,FALSE,"Utah";#N/A,#N/A,FALSE,"Idaho";#N/A,#N/A,FALSE,"Lewis River";#N/A,#N/A,FALSE,"NrthUmpq";#N/A,#N/A,FALSE,"KlamRog"}</definedName>
    <definedName name="OHSch10YR_2" hidden="1">{#N/A,#N/A,FALSE,"Summary";#N/A,#N/A,FALSE,"SmPlants";#N/A,#N/A,FALSE,"Utah";#N/A,#N/A,FALSE,"Idaho";#N/A,#N/A,FALSE,"Lewis River";#N/A,#N/A,FALSE,"NrthUmpq";#N/A,#N/A,FALSE,"KlamRog"}</definedName>
    <definedName name="OHSch10YR_3" localSheetId="1" hidden="1">{#N/A,#N/A,FALSE,"Summary";#N/A,#N/A,FALSE,"SmPlants";#N/A,#N/A,FALSE,"Utah";#N/A,#N/A,FALSE,"Idaho";#N/A,#N/A,FALSE,"Lewis River";#N/A,#N/A,FALSE,"NrthUmpq";#N/A,#N/A,FALSE,"KlamRog"}</definedName>
    <definedName name="OHSch10YR_3" localSheetId="3" hidden="1">{#N/A,#N/A,FALSE,"Summary";#N/A,#N/A,FALSE,"SmPlants";#N/A,#N/A,FALSE,"Utah";#N/A,#N/A,FALSE,"Idaho";#N/A,#N/A,FALSE,"Lewis River";#N/A,#N/A,FALSE,"NrthUmpq";#N/A,#N/A,FALSE,"KlamRog"}</definedName>
    <definedName name="OHSch10YR_3" localSheetId="4" hidden="1">{#N/A,#N/A,FALSE,"Summary";#N/A,#N/A,FALSE,"SmPlants";#N/A,#N/A,FALSE,"Utah";#N/A,#N/A,FALSE,"Idaho";#N/A,#N/A,FALSE,"Lewis River";#N/A,#N/A,FALSE,"NrthUmpq";#N/A,#N/A,FALSE,"KlamRog"}</definedName>
    <definedName name="OHSch10YR_3" localSheetId="13" hidden="1">{#N/A,#N/A,FALSE,"Summary";#N/A,#N/A,FALSE,"SmPlants";#N/A,#N/A,FALSE,"Utah";#N/A,#N/A,FALSE,"Idaho";#N/A,#N/A,FALSE,"Lewis River";#N/A,#N/A,FALSE,"NrthUmpq";#N/A,#N/A,FALSE,"KlamRog"}</definedName>
    <definedName name="OHSch10YR_3" localSheetId="14" hidden="1">{#N/A,#N/A,FALSE,"Summary";#N/A,#N/A,FALSE,"SmPlants";#N/A,#N/A,FALSE,"Utah";#N/A,#N/A,FALSE,"Idaho";#N/A,#N/A,FALSE,"Lewis River";#N/A,#N/A,FALSE,"NrthUmpq";#N/A,#N/A,FALSE,"KlamRog"}</definedName>
    <definedName name="OHSch10YR_3" localSheetId="15" hidden="1">{#N/A,#N/A,FALSE,"Summary";#N/A,#N/A,FALSE,"SmPlants";#N/A,#N/A,FALSE,"Utah";#N/A,#N/A,FALSE,"Idaho";#N/A,#N/A,FALSE,"Lewis River";#N/A,#N/A,FALSE,"NrthUmpq";#N/A,#N/A,FALSE,"KlamRog"}</definedName>
    <definedName name="OHSch10YR_3" localSheetId="16" hidden="1">{#N/A,#N/A,FALSE,"Summary";#N/A,#N/A,FALSE,"SmPlants";#N/A,#N/A,FALSE,"Utah";#N/A,#N/A,FALSE,"Idaho";#N/A,#N/A,FALSE,"Lewis River";#N/A,#N/A,FALSE,"NrthUmpq";#N/A,#N/A,FALSE,"KlamRog"}</definedName>
    <definedName name="OHSch10YR_3" localSheetId="19" hidden="1">{#N/A,#N/A,FALSE,"Summary";#N/A,#N/A,FALSE,"SmPlants";#N/A,#N/A,FALSE,"Utah";#N/A,#N/A,FALSE,"Idaho";#N/A,#N/A,FALSE,"Lewis River";#N/A,#N/A,FALSE,"NrthUmpq";#N/A,#N/A,FALSE,"KlamRog"}</definedName>
    <definedName name="OHSch10YR_3" localSheetId="22" hidden="1">{#N/A,#N/A,FALSE,"Summary";#N/A,#N/A,FALSE,"SmPlants";#N/A,#N/A,FALSE,"Utah";#N/A,#N/A,FALSE,"Idaho";#N/A,#N/A,FALSE,"Lewis River";#N/A,#N/A,FALSE,"NrthUmpq";#N/A,#N/A,FALSE,"KlamRog"}</definedName>
    <definedName name="OHSch10YR_3" localSheetId="23" hidden="1">{#N/A,#N/A,FALSE,"Summary";#N/A,#N/A,FALSE,"SmPlants";#N/A,#N/A,FALSE,"Utah";#N/A,#N/A,FALSE,"Idaho";#N/A,#N/A,FALSE,"Lewis River";#N/A,#N/A,FALSE,"NrthUmpq";#N/A,#N/A,FALSE,"KlamRog"}</definedName>
    <definedName name="OHSch10YR_3" localSheetId="24" hidden="1">{#N/A,#N/A,FALSE,"Summary";#N/A,#N/A,FALSE,"SmPlants";#N/A,#N/A,FALSE,"Utah";#N/A,#N/A,FALSE,"Idaho";#N/A,#N/A,FALSE,"Lewis River";#N/A,#N/A,FALSE,"NrthUmpq";#N/A,#N/A,FALSE,"KlamRog"}</definedName>
    <definedName name="OHSch10YR_3" localSheetId="25" hidden="1">{#N/A,#N/A,FALSE,"Summary";#N/A,#N/A,FALSE,"SmPlants";#N/A,#N/A,FALSE,"Utah";#N/A,#N/A,FALSE,"Idaho";#N/A,#N/A,FALSE,"Lewis River";#N/A,#N/A,FALSE,"NrthUmpq";#N/A,#N/A,FALSE,"KlamRog"}</definedName>
    <definedName name="OHSch10YR_3" localSheetId="26" hidden="1">{#N/A,#N/A,FALSE,"Summary";#N/A,#N/A,FALSE,"SmPlants";#N/A,#N/A,FALSE,"Utah";#N/A,#N/A,FALSE,"Idaho";#N/A,#N/A,FALSE,"Lewis River";#N/A,#N/A,FALSE,"NrthUmpq";#N/A,#N/A,FALSE,"KlamRog"}</definedName>
    <definedName name="OHSch10YR_3" localSheetId="31" hidden="1">{#N/A,#N/A,FALSE,"Summary";#N/A,#N/A,FALSE,"SmPlants";#N/A,#N/A,FALSE,"Utah";#N/A,#N/A,FALSE,"Idaho";#N/A,#N/A,FALSE,"Lewis River";#N/A,#N/A,FALSE,"NrthUmpq";#N/A,#N/A,FALSE,"KlamRog"}</definedName>
    <definedName name="OHSch10YR_3" localSheetId="35" hidden="1">{#N/A,#N/A,FALSE,"Summary";#N/A,#N/A,FALSE,"SmPlants";#N/A,#N/A,FALSE,"Utah";#N/A,#N/A,FALSE,"Idaho";#N/A,#N/A,FALSE,"Lewis River";#N/A,#N/A,FALSE,"NrthUmpq";#N/A,#N/A,FALSE,"KlamRog"}</definedName>
    <definedName name="OHSch10YR_3" localSheetId="36" hidden="1">{#N/A,#N/A,FALSE,"Summary";#N/A,#N/A,FALSE,"SmPlants";#N/A,#N/A,FALSE,"Utah";#N/A,#N/A,FALSE,"Idaho";#N/A,#N/A,FALSE,"Lewis River";#N/A,#N/A,FALSE,"NrthUmpq";#N/A,#N/A,FALSE,"KlamRog"}</definedName>
    <definedName name="OHSch10YR_3" localSheetId="0" hidden="1">{#N/A,#N/A,FALSE,"Summary";#N/A,#N/A,FALSE,"SmPlants";#N/A,#N/A,FALSE,"Utah";#N/A,#N/A,FALSE,"Idaho";#N/A,#N/A,FALSE,"Lewis River";#N/A,#N/A,FALSE,"NrthUmpq";#N/A,#N/A,FALSE,"KlamRog"}</definedName>
    <definedName name="OHSch10YR_3" hidden="1">{#N/A,#N/A,FALSE,"Summary";#N/A,#N/A,FALSE,"SmPlants";#N/A,#N/A,FALSE,"Utah";#N/A,#N/A,FALSE,"Idaho";#N/A,#N/A,FALSE,"Lewis River";#N/A,#N/A,FALSE,"NrthUmpq";#N/A,#N/A,FALSE,"KlamRog"}</definedName>
    <definedName name="OHSch10YR_4" localSheetId="1" hidden="1">{#N/A,#N/A,FALSE,"Summary";#N/A,#N/A,FALSE,"SmPlants";#N/A,#N/A,FALSE,"Utah";#N/A,#N/A,FALSE,"Idaho";#N/A,#N/A,FALSE,"Lewis River";#N/A,#N/A,FALSE,"NrthUmpq";#N/A,#N/A,FALSE,"KlamRog"}</definedName>
    <definedName name="OHSch10YR_4" localSheetId="3" hidden="1">{#N/A,#N/A,FALSE,"Summary";#N/A,#N/A,FALSE,"SmPlants";#N/A,#N/A,FALSE,"Utah";#N/A,#N/A,FALSE,"Idaho";#N/A,#N/A,FALSE,"Lewis River";#N/A,#N/A,FALSE,"NrthUmpq";#N/A,#N/A,FALSE,"KlamRog"}</definedName>
    <definedName name="OHSch10YR_4" localSheetId="4" hidden="1">{#N/A,#N/A,FALSE,"Summary";#N/A,#N/A,FALSE,"SmPlants";#N/A,#N/A,FALSE,"Utah";#N/A,#N/A,FALSE,"Idaho";#N/A,#N/A,FALSE,"Lewis River";#N/A,#N/A,FALSE,"NrthUmpq";#N/A,#N/A,FALSE,"KlamRog"}</definedName>
    <definedName name="OHSch10YR_4" localSheetId="13" hidden="1">{#N/A,#N/A,FALSE,"Summary";#N/A,#N/A,FALSE,"SmPlants";#N/A,#N/A,FALSE,"Utah";#N/A,#N/A,FALSE,"Idaho";#N/A,#N/A,FALSE,"Lewis River";#N/A,#N/A,FALSE,"NrthUmpq";#N/A,#N/A,FALSE,"KlamRog"}</definedName>
    <definedName name="OHSch10YR_4" localSheetId="14" hidden="1">{#N/A,#N/A,FALSE,"Summary";#N/A,#N/A,FALSE,"SmPlants";#N/A,#N/A,FALSE,"Utah";#N/A,#N/A,FALSE,"Idaho";#N/A,#N/A,FALSE,"Lewis River";#N/A,#N/A,FALSE,"NrthUmpq";#N/A,#N/A,FALSE,"KlamRog"}</definedName>
    <definedName name="OHSch10YR_4" localSheetId="15" hidden="1">{#N/A,#N/A,FALSE,"Summary";#N/A,#N/A,FALSE,"SmPlants";#N/A,#N/A,FALSE,"Utah";#N/A,#N/A,FALSE,"Idaho";#N/A,#N/A,FALSE,"Lewis River";#N/A,#N/A,FALSE,"NrthUmpq";#N/A,#N/A,FALSE,"KlamRog"}</definedName>
    <definedName name="OHSch10YR_4" localSheetId="16" hidden="1">{#N/A,#N/A,FALSE,"Summary";#N/A,#N/A,FALSE,"SmPlants";#N/A,#N/A,FALSE,"Utah";#N/A,#N/A,FALSE,"Idaho";#N/A,#N/A,FALSE,"Lewis River";#N/A,#N/A,FALSE,"NrthUmpq";#N/A,#N/A,FALSE,"KlamRog"}</definedName>
    <definedName name="OHSch10YR_4" localSheetId="19" hidden="1">{#N/A,#N/A,FALSE,"Summary";#N/A,#N/A,FALSE,"SmPlants";#N/A,#N/A,FALSE,"Utah";#N/A,#N/A,FALSE,"Idaho";#N/A,#N/A,FALSE,"Lewis River";#N/A,#N/A,FALSE,"NrthUmpq";#N/A,#N/A,FALSE,"KlamRog"}</definedName>
    <definedName name="OHSch10YR_4" localSheetId="22" hidden="1">{#N/A,#N/A,FALSE,"Summary";#N/A,#N/A,FALSE,"SmPlants";#N/A,#N/A,FALSE,"Utah";#N/A,#N/A,FALSE,"Idaho";#N/A,#N/A,FALSE,"Lewis River";#N/A,#N/A,FALSE,"NrthUmpq";#N/A,#N/A,FALSE,"KlamRog"}</definedName>
    <definedName name="OHSch10YR_4" localSheetId="23" hidden="1">{#N/A,#N/A,FALSE,"Summary";#N/A,#N/A,FALSE,"SmPlants";#N/A,#N/A,FALSE,"Utah";#N/A,#N/A,FALSE,"Idaho";#N/A,#N/A,FALSE,"Lewis River";#N/A,#N/A,FALSE,"NrthUmpq";#N/A,#N/A,FALSE,"KlamRog"}</definedName>
    <definedName name="OHSch10YR_4" localSheetId="24" hidden="1">{#N/A,#N/A,FALSE,"Summary";#N/A,#N/A,FALSE,"SmPlants";#N/A,#N/A,FALSE,"Utah";#N/A,#N/A,FALSE,"Idaho";#N/A,#N/A,FALSE,"Lewis River";#N/A,#N/A,FALSE,"NrthUmpq";#N/A,#N/A,FALSE,"KlamRog"}</definedName>
    <definedName name="OHSch10YR_4" localSheetId="25" hidden="1">{#N/A,#N/A,FALSE,"Summary";#N/A,#N/A,FALSE,"SmPlants";#N/A,#N/A,FALSE,"Utah";#N/A,#N/A,FALSE,"Idaho";#N/A,#N/A,FALSE,"Lewis River";#N/A,#N/A,FALSE,"NrthUmpq";#N/A,#N/A,FALSE,"KlamRog"}</definedName>
    <definedName name="OHSch10YR_4" localSheetId="26" hidden="1">{#N/A,#N/A,FALSE,"Summary";#N/A,#N/A,FALSE,"SmPlants";#N/A,#N/A,FALSE,"Utah";#N/A,#N/A,FALSE,"Idaho";#N/A,#N/A,FALSE,"Lewis River";#N/A,#N/A,FALSE,"NrthUmpq";#N/A,#N/A,FALSE,"KlamRog"}</definedName>
    <definedName name="OHSch10YR_4" localSheetId="31" hidden="1">{#N/A,#N/A,FALSE,"Summary";#N/A,#N/A,FALSE,"SmPlants";#N/A,#N/A,FALSE,"Utah";#N/A,#N/A,FALSE,"Idaho";#N/A,#N/A,FALSE,"Lewis River";#N/A,#N/A,FALSE,"NrthUmpq";#N/A,#N/A,FALSE,"KlamRog"}</definedName>
    <definedName name="OHSch10YR_4" localSheetId="35" hidden="1">{#N/A,#N/A,FALSE,"Summary";#N/A,#N/A,FALSE,"SmPlants";#N/A,#N/A,FALSE,"Utah";#N/A,#N/A,FALSE,"Idaho";#N/A,#N/A,FALSE,"Lewis River";#N/A,#N/A,FALSE,"NrthUmpq";#N/A,#N/A,FALSE,"KlamRog"}</definedName>
    <definedName name="OHSch10YR_4" localSheetId="36" hidden="1">{#N/A,#N/A,FALSE,"Summary";#N/A,#N/A,FALSE,"SmPlants";#N/A,#N/A,FALSE,"Utah";#N/A,#N/A,FALSE,"Idaho";#N/A,#N/A,FALSE,"Lewis River";#N/A,#N/A,FALSE,"NrthUmpq";#N/A,#N/A,FALSE,"KlamRog"}</definedName>
    <definedName name="OHSch10YR_4" localSheetId="0" hidden="1">{#N/A,#N/A,FALSE,"Summary";#N/A,#N/A,FALSE,"SmPlants";#N/A,#N/A,FALSE,"Utah";#N/A,#N/A,FALSE,"Idaho";#N/A,#N/A,FALSE,"Lewis River";#N/A,#N/A,FALSE,"NrthUmpq";#N/A,#N/A,FALSE,"KlamRog"}</definedName>
    <definedName name="OHSch10YR_4" hidden="1">{#N/A,#N/A,FALSE,"Summary";#N/A,#N/A,FALSE,"SmPlants";#N/A,#N/A,FALSE,"Utah";#N/A,#N/A,FALSE,"Idaho";#N/A,#N/A,FALSE,"Lewis River";#N/A,#N/A,FALSE,"NrthUmpq";#N/A,#N/A,FALSE,"KlamRog"}</definedName>
    <definedName name="OHSch10YR_5" localSheetId="1" hidden="1">{#N/A,#N/A,FALSE,"Summary";#N/A,#N/A,FALSE,"SmPlants";#N/A,#N/A,FALSE,"Utah";#N/A,#N/A,FALSE,"Idaho";#N/A,#N/A,FALSE,"Lewis River";#N/A,#N/A,FALSE,"NrthUmpq";#N/A,#N/A,FALSE,"KlamRog"}</definedName>
    <definedName name="OHSch10YR_5" localSheetId="3" hidden="1">{#N/A,#N/A,FALSE,"Summary";#N/A,#N/A,FALSE,"SmPlants";#N/A,#N/A,FALSE,"Utah";#N/A,#N/A,FALSE,"Idaho";#N/A,#N/A,FALSE,"Lewis River";#N/A,#N/A,FALSE,"NrthUmpq";#N/A,#N/A,FALSE,"KlamRog"}</definedName>
    <definedName name="OHSch10YR_5" localSheetId="4" hidden="1">{#N/A,#N/A,FALSE,"Summary";#N/A,#N/A,FALSE,"SmPlants";#N/A,#N/A,FALSE,"Utah";#N/A,#N/A,FALSE,"Idaho";#N/A,#N/A,FALSE,"Lewis River";#N/A,#N/A,FALSE,"NrthUmpq";#N/A,#N/A,FALSE,"KlamRog"}</definedName>
    <definedName name="OHSch10YR_5" localSheetId="13" hidden="1">{#N/A,#N/A,FALSE,"Summary";#N/A,#N/A,FALSE,"SmPlants";#N/A,#N/A,FALSE,"Utah";#N/A,#N/A,FALSE,"Idaho";#N/A,#N/A,FALSE,"Lewis River";#N/A,#N/A,FALSE,"NrthUmpq";#N/A,#N/A,FALSE,"KlamRog"}</definedName>
    <definedName name="OHSch10YR_5" localSheetId="14" hidden="1">{#N/A,#N/A,FALSE,"Summary";#N/A,#N/A,FALSE,"SmPlants";#N/A,#N/A,FALSE,"Utah";#N/A,#N/A,FALSE,"Idaho";#N/A,#N/A,FALSE,"Lewis River";#N/A,#N/A,FALSE,"NrthUmpq";#N/A,#N/A,FALSE,"KlamRog"}</definedName>
    <definedName name="OHSch10YR_5" localSheetId="15" hidden="1">{#N/A,#N/A,FALSE,"Summary";#N/A,#N/A,FALSE,"SmPlants";#N/A,#N/A,FALSE,"Utah";#N/A,#N/A,FALSE,"Idaho";#N/A,#N/A,FALSE,"Lewis River";#N/A,#N/A,FALSE,"NrthUmpq";#N/A,#N/A,FALSE,"KlamRog"}</definedName>
    <definedName name="OHSch10YR_5" localSheetId="16" hidden="1">{#N/A,#N/A,FALSE,"Summary";#N/A,#N/A,FALSE,"SmPlants";#N/A,#N/A,FALSE,"Utah";#N/A,#N/A,FALSE,"Idaho";#N/A,#N/A,FALSE,"Lewis River";#N/A,#N/A,FALSE,"NrthUmpq";#N/A,#N/A,FALSE,"KlamRog"}</definedName>
    <definedName name="OHSch10YR_5" localSheetId="19" hidden="1">{#N/A,#N/A,FALSE,"Summary";#N/A,#N/A,FALSE,"SmPlants";#N/A,#N/A,FALSE,"Utah";#N/A,#N/A,FALSE,"Idaho";#N/A,#N/A,FALSE,"Lewis River";#N/A,#N/A,FALSE,"NrthUmpq";#N/A,#N/A,FALSE,"KlamRog"}</definedName>
    <definedName name="OHSch10YR_5" localSheetId="22" hidden="1">{#N/A,#N/A,FALSE,"Summary";#N/A,#N/A,FALSE,"SmPlants";#N/A,#N/A,FALSE,"Utah";#N/A,#N/A,FALSE,"Idaho";#N/A,#N/A,FALSE,"Lewis River";#N/A,#N/A,FALSE,"NrthUmpq";#N/A,#N/A,FALSE,"KlamRog"}</definedName>
    <definedName name="OHSch10YR_5" localSheetId="23" hidden="1">{#N/A,#N/A,FALSE,"Summary";#N/A,#N/A,FALSE,"SmPlants";#N/A,#N/A,FALSE,"Utah";#N/A,#N/A,FALSE,"Idaho";#N/A,#N/A,FALSE,"Lewis River";#N/A,#N/A,FALSE,"NrthUmpq";#N/A,#N/A,FALSE,"KlamRog"}</definedName>
    <definedName name="OHSch10YR_5" localSheetId="24" hidden="1">{#N/A,#N/A,FALSE,"Summary";#N/A,#N/A,FALSE,"SmPlants";#N/A,#N/A,FALSE,"Utah";#N/A,#N/A,FALSE,"Idaho";#N/A,#N/A,FALSE,"Lewis River";#N/A,#N/A,FALSE,"NrthUmpq";#N/A,#N/A,FALSE,"KlamRog"}</definedName>
    <definedName name="OHSch10YR_5" localSheetId="25" hidden="1">{#N/A,#N/A,FALSE,"Summary";#N/A,#N/A,FALSE,"SmPlants";#N/A,#N/A,FALSE,"Utah";#N/A,#N/A,FALSE,"Idaho";#N/A,#N/A,FALSE,"Lewis River";#N/A,#N/A,FALSE,"NrthUmpq";#N/A,#N/A,FALSE,"KlamRog"}</definedName>
    <definedName name="OHSch10YR_5" localSheetId="26" hidden="1">{#N/A,#N/A,FALSE,"Summary";#N/A,#N/A,FALSE,"SmPlants";#N/A,#N/A,FALSE,"Utah";#N/A,#N/A,FALSE,"Idaho";#N/A,#N/A,FALSE,"Lewis River";#N/A,#N/A,FALSE,"NrthUmpq";#N/A,#N/A,FALSE,"KlamRog"}</definedName>
    <definedName name="OHSch10YR_5" localSheetId="31" hidden="1">{#N/A,#N/A,FALSE,"Summary";#N/A,#N/A,FALSE,"SmPlants";#N/A,#N/A,FALSE,"Utah";#N/A,#N/A,FALSE,"Idaho";#N/A,#N/A,FALSE,"Lewis River";#N/A,#N/A,FALSE,"NrthUmpq";#N/A,#N/A,FALSE,"KlamRog"}</definedName>
    <definedName name="OHSch10YR_5" localSheetId="35" hidden="1">{#N/A,#N/A,FALSE,"Summary";#N/A,#N/A,FALSE,"SmPlants";#N/A,#N/A,FALSE,"Utah";#N/A,#N/A,FALSE,"Idaho";#N/A,#N/A,FALSE,"Lewis River";#N/A,#N/A,FALSE,"NrthUmpq";#N/A,#N/A,FALSE,"KlamRog"}</definedName>
    <definedName name="OHSch10YR_5" localSheetId="36" hidden="1">{#N/A,#N/A,FALSE,"Summary";#N/A,#N/A,FALSE,"SmPlants";#N/A,#N/A,FALSE,"Utah";#N/A,#N/A,FALSE,"Idaho";#N/A,#N/A,FALSE,"Lewis River";#N/A,#N/A,FALSE,"NrthUmpq";#N/A,#N/A,FALSE,"KlamRog"}</definedName>
    <definedName name="OHSch10YR_5" localSheetId="0" hidden="1">{#N/A,#N/A,FALSE,"Summary";#N/A,#N/A,FALSE,"SmPlants";#N/A,#N/A,FALSE,"Utah";#N/A,#N/A,FALSE,"Idaho";#N/A,#N/A,FALSE,"Lewis River";#N/A,#N/A,FALSE,"NrthUmpq";#N/A,#N/A,FALSE,"KlamRog"}</definedName>
    <definedName name="OHSch10YR_5" hidden="1">{#N/A,#N/A,FALSE,"Summary";#N/A,#N/A,FALSE,"SmPlants";#N/A,#N/A,FALSE,"Utah";#N/A,#N/A,FALSE,"Idaho";#N/A,#N/A,FALSE,"Lewis River";#N/A,#N/A,FALSE,"NrthUmpq";#N/A,#N/A,FALSE,"KlamRog"}</definedName>
    <definedName name="om" localSheetId="1" hidden="1">{#N/A,#N/A,FALSE,"Summary";#N/A,#N/A,FALSE,"SmPlants";#N/A,#N/A,FALSE,"Utah";#N/A,#N/A,FALSE,"Idaho";#N/A,#N/A,FALSE,"Lewis River";#N/A,#N/A,FALSE,"NrthUmpq";#N/A,#N/A,FALSE,"KlamRog"}</definedName>
    <definedName name="om" localSheetId="3" hidden="1">{#N/A,#N/A,FALSE,"Summary";#N/A,#N/A,FALSE,"SmPlants";#N/A,#N/A,FALSE,"Utah";#N/A,#N/A,FALSE,"Idaho";#N/A,#N/A,FALSE,"Lewis River";#N/A,#N/A,FALSE,"NrthUmpq";#N/A,#N/A,FALSE,"KlamRog"}</definedName>
    <definedName name="om" localSheetId="4" hidden="1">{#N/A,#N/A,FALSE,"Summary";#N/A,#N/A,FALSE,"SmPlants";#N/A,#N/A,FALSE,"Utah";#N/A,#N/A,FALSE,"Idaho";#N/A,#N/A,FALSE,"Lewis River";#N/A,#N/A,FALSE,"NrthUmpq";#N/A,#N/A,FALSE,"KlamRog"}</definedName>
    <definedName name="om" localSheetId="13" hidden="1">{#N/A,#N/A,FALSE,"Summary";#N/A,#N/A,FALSE,"SmPlants";#N/A,#N/A,FALSE,"Utah";#N/A,#N/A,FALSE,"Idaho";#N/A,#N/A,FALSE,"Lewis River";#N/A,#N/A,FALSE,"NrthUmpq";#N/A,#N/A,FALSE,"KlamRog"}</definedName>
    <definedName name="om" localSheetId="14" hidden="1">{#N/A,#N/A,FALSE,"Summary";#N/A,#N/A,FALSE,"SmPlants";#N/A,#N/A,FALSE,"Utah";#N/A,#N/A,FALSE,"Idaho";#N/A,#N/A,FALSE,"Lewis River";#N/A,#N/A,FALSE,"NrthUmpq";#N/A,#N/A,FALSE,"KlamRog"}</definedName>
    <definedName name="om" localSheetId="15" hidden="1">{#N/A,#N/A,FALSE,"Summary";#N/A,#N/A,FALSE,"SmPlants";#N/A,#N/A,FALSE,"Utah";#N/A,#N/A,FALSE,"Idaho";#N/A,#N/A,FALSE,"Lewis River";#N/A,#N/A,FALSE,"NrthUmpq";#N/A,#N/A,FALSE,"KlamRog"}</definedName>
    <definedName name="om" localSheetId="16" hidden="1">{#N/A,#N/A,FALSE,"Summary";#N/A,#N/A,FALSE,"SmPlants";#N/A,#N/A,FALSE,"Utah";#N/A,#N/A,FALSE,"Idaho";#N/A,#N/A,FALSE,"Lewis River";#N/A,#N/A,FALSE,"NrthUmpq";#N/A,#N/A,FALSE,"KlamRog"}</definedName>
    <definedName name="om" localSheetId="19" hidden="1">{#N/A,#N/A,FALSE,"Summary";#N/A,#N/A,FALSE,"SmPlants";#N/A,#N/A,FALSE,"Utah";#N/A,#N/A,FALSE,"Idaho";#N/A,#N/A,FALSE,"Lewis River";#N/A,#N/A,FALSE,"NrthUmpq";#N/A,#N/A,FALSE,"KlamRog"}</definedName>
    <definedName name="om" localSheetId="22" hidden="1">{#N/A,#N/A,FALSE,"Summary";#N/A,#N/A,FALSE,"SmPlants";#N/A,#N/A,FALSE,"Utah";#N/A,#N/A,FALSE,"Idaho";#N/A,#N/A,FALSE,"Lewis River";#N/A,#N/A,FALSE,"NrthUmpq";#N/A,#N/A,FALSE,"KlamRog"}</definedName>
    <definedName name="om" localSheetId="23" hidden="1">{#N/A,#N/A,FALSE,"Summary";#N/A,#N/A,FALSE,"SmPlants";#N/A,#N/A,FALSE,"Utah";#N/A,#N/A,FALSE,"Idaho";#N/A,#N/A,FALSE,"Lewis River";#N/A,#N/A,FALSE,"NrthUmpq";#N/A,#N/A,FALSE,"KlamRog"}</definedName>
    <definedName name="om" localSheetId="24" hidden="1">{#N/A,#N/A,FALSE,"Summary";#N/A,#N/A,FALSE,"SmPlants";#N/A,#N/A,FALSE,"Utah";#N/A,#N/A,FALSE,"Idaho";#N/A,#N/A,FALSE,"Lewis River";#N/A,#N/A,FALSE,"NrthUmpq";#N/A,#N/A,FALSE,"KlamRog"}</definedName>
    <definedName name="om" localSheetId="25" hidden="1">{#N/A,#N/A,FALSE,"Summary";#N/A,#N/A,FALSE,"SmPlants";#N/A,#N/A,FALSE,"Utah";#N/A,#N/A,FALSE,"Idaho";#N/A,#N/A,FALSE,"Lewis River";#N/A,#N/A,FALSE,"NrthUmpq";#N/A,#N/A,FALSE,"KlamRog"}</definedName>
    <definedName name="om" localSheetId="26" hidden="1">{#N/A,#N/A,FALSE,"Summary";#N/A,#N/A,FALSE,"SmPlants";#N/A,#N/A,FALSE,"Utah";#N/A,#N/A,FALSE,"Idaho";#N/A,#N/A,FALSE,"Lewis River";#N/A,#N/A,FALSE,"NrthUmpq";#N/A,#N/A,FALSE,"KlamRog"}</definedName>
    <definedName name="om" localSheetId="31" hidden="1">{#N/A,#N/A,FALSE,"Summary";#N/A,#N/A,FALSE,"SmPlants";#N/A,#N/A,FALSE,"Utah";#N/A,#N/A,FALSE,"Idaho";#N/A,#N/A,FALSE,"Lewis River";#N/A,#N/A,FALSE,"NrthUmpq";#N/A,#N/A,FALSE,"KlamRog"}</definedName>
    <definedName name="om" localSheetId="35" hidden="1">{#N/A,#N/A,FALSE,"Summary";#N/A,#N/A,FALSE,"SmPlants";#N/A,#N/A,FALSE,"Utah";#N/A,#N/A,FALSE,"Idaho";#N/A,#N/A,FALSE,"Lewis River";#N/A,#N/A,FALSE,"NrthUmpq";#N/A,#N/A,FALSE,"KlamRog"}</definedName>
    <definedName name="om" localSheetId="36" hidden="1">{#N/A,#N/A,FALSE,"Summary";#N/A,#N/A,FALSE,"SmPlants";#N/A,#N/A,FALSE,"Utah";#N/A,#N/A,FALSE,"Idaho";#N/A,#N/A,FALSE,"Lewis River";#N/A,#N/A,FALSE,"NrthUmpq";#N/A,#N/A,FALSE,"KlamRog"}</definedName>
    <definedName name="om" localSheetId="0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_1" localSheetId="1" hidden="1">{#N/A,#N/A,FALSE,"Summary";#N/A,#N/A,FALSE,"SmPlants";#N/A,#N/A,FALSE,"Utah";#N/A,#N/A,FALSE,"Idaho";#N/A,#N/A,FALSE,"Lewis River";#N/A,#N/A,FALSE,"NrthUmpq";#N/A,#N/A,FALSE,"KlamRog"}</definedName>
    <definedName name="om_1" localSheetId="3" hidden="1">{#N/A,#N/A,FALSE,"Summary";#N/A,#N/A,FALSE,"SmPlants";#N/A,#N/A,FALSE,"Utah";#N/A,#N/A,FALSE,"Idaho";#N/A,#N/A,FALSE,"Lewis River";#N/A,#N/A,FALSE,"NrthUmpq";#N/A,#N/A,FALSE,"KlamRog"}</definedName>
    <definedName name="om_1" localSheetId="4" hidden="1">{#N/A,#N/A,FALSE,"Summary";#N/A,#N/A,FALSE,"SmPlants";#N/A,#N/A,FALSE,"Utah";#N/A,#N/A,FALSE,"Idaho";#N/A,#N/A,FALSE,"Lewis River";#N/A,#N/A,FALSE,"NrthUmpq";#N/A,#N/A,FALSE,"KlamRog"}</definedName>
    <definedName name="om_1" localSheetId="13" hidden="1">{#N/A,#N/A,FALSE,"Summary";#N/A,#N/A,FALSE,"SmPlants";#N/A,#N/A,FALSE,"Utah";#N/A,#N/A,FALSE,"Idaho";#N/A,#N/A,FALSE,"Lewis River";#N/A,#N/A,FALSE,"NrthUmpq";#N/A,#N/A,FALSE,"KlamRog"}</definedName>
    <definedName name="om_1" localSheetId="14" hidden="1">{#N/A,#N/A,FALSE,"Summary";#N/A,#N/A,FALSE,"SmPlants";#N/A,#N/A,FALSE,"Utah";#N/A,#N/A,FALSE,"Idaho";#N/A,#N/A,FALSE,"Lewis River";#N/A,#N/A,FALSE,"NrthUmpq";#N/A,#N/A,FALSE,"KlamRog"}</definedName>
    <definedName name="om_1" localSheetId="15" hidden="1">{#N/A,#N/A,FALSE,"Summary";#N/A,#N/A,FALSE,"SmPlants";#N/A,#N/A,FALSE,"Utah";#N/A,#N/A,FALSE,"Idaho";#N/A,#N/A,FALSE,"Lewis River";#N/A,#N/A,FALSE,"NrthUmpq";#N/A,#N/A,FALSE,"KlamRog"}</definedName>
    <definedName name="om_1" localSheetId="16" hidden="1">{#N/A,#N/A,FALSE,"Summary";#N/A,#N/A,FALSE,"SmPlants";#N/A,#N/A,FALSE,"Utah";#N/A,#N/A,FALSE,"Idaho";#N/A,#N/A,FALSE,"Lewis River";#N/A,#N/A,FALSE,"NrthUmpq";#N/A,#N/A,FALSE,"KlamRog"}</definedName>
    <definedName name="om_1" localSheetId="19" hidden="1">{#N/A,#N/A,FALSE,"Summary";#N/A,#N/A,FALSE,"SmPlants";#N/A,#N/A,FALSE,"Utah";#N/A,#N/A,FALSE,"Idaho";#N/A,#N/A,FALSE,"Lewis River";#N/A,#N/A,FALSE,"NrthUmpq";#N/A,#N/A,FALSE,"KlamRog"}</definedName>
    <definedName name="om_1" localSheetId="22" hidden="1">{#N/A,#N/A,FALSE,"Summary";#N/A,#N/A,FALSE,"SmPlants";#N/A,#N/A,FALSE,"Utah";#N/A,#N/A,FALSE,"Idaho";#N/A,#N/A,FALSE,"Lewis River";#N/A,#N/A,FALSE,"NrthUmpq";#N/A,#N/A,FALSE,"KlamRog"}</definedName>
    <definedName name="om_1" localSheetId="23" hidden="1">{#N/A,#N/A,FALSE,"Summary";#N/A,#N/A,FALSE,"SmPlants";#N/A,#N/A,FALSE,"Utah";#N/A,#N/A,FALSE,"Idaho";#N/A,#N/A,FALSE,"Lewis River";#N/A,#N/A,FALSE,"NrthUmpq";#N/A,#N/A,FALSE,"KlamRog"}</definedName>
    <definedName name="om_1" localSheetId="24" hidden="1">{#N/A,#N/A,FALSE,"Summary";#N/A,#N/A,FALSE,"SmPlants";#N/A,#N/A,FALSE,"Utah";#N/A,#N/A,FALSE,"Idaho";#N/A,#N/A,FALSE,"Lewis River";#N/A,#N/A,FALSE,"NrthUmpq";#N/A,#N/A,FALSE,"KlamRog"}</definedName>
    <definedName name="om_1" localSheetId="25" hidden="1">{#N/A,#N/A,FALSE,"Summary";#N/A,#N/A,FALSE,"SmPlants";#N/A,#N/A,FALSE,"Utah";#N/A,#N/A,FALSE,"Idaho";#N/A,#N/A,FALSE,"Lewis River";#N/A,#N/A,FALSE,"NrthUmpq";#N/A,#N/A,FALSE,"KlamRog"}</definedName>
    <definedName name="om_1" localSheetId="26" hidden="1">{#N/A,#N/A,FALSE,"Summary";#N/A,#N/A,FALSE,"SmPlants";#N/A,#N/A,FALSE,"Utah";#N/A,#N/A,FALSE,"Idaho";#N/A,#N/A,FALSE,"Lewis River";#N/A,#N/A,FALSE,"NrthUmpq";#N/A,#N/A,FALSE,"KlamRog"}</definedName>
    <definedName name="om_1" localSheetId="31" hidden="1">{#N/A,#N/A,FALSE,"Summary";#N/A,#N/A,FALSE,"SmPlants";#N/A,#N/A,FALSE,"Utah";#N/A,#N/A,FALSE,"Idaho";#N/A,#N/A,FALSE,"Lewis River";#N/A,#N/A,FALSE,"NrthUmpq";#N/A,#N/A,FALSE,"KlamRog"}</definedName>
    <definedName name="om_1" localSheetId="35" hidden="1">{#N/A,#N/A,FALSE,"Summary";#N/A,#N/A,FALSE,"SmPlants";#N/A,#N/A,FALSE,"Utah";#N/A,#N/A,FALSE,"Idaho";#N/A,#N/A,FALSE,"Lewis River";#N/A,#N/A,FALSE,"NrthUmpq";#N/A,#N/A,FALSE,"KlamRog"}</definedName>
    <definedName name="om_1" localSheetId="36" hidden="1">{#N/A,#N/A,FALSE,"Summary";#N/A,#N/A,FALSE,"SmPlants";#N/A,#N/A,FALSE,"Utah";#N/A,#N/A,FALSE,"Idaho";#N/A,#N/A,FALSE,"Lewis River";#N/A,#N/A,FALSE,"NrthUmpq";#N/A,#N/A,FALSE,"KlamRog"}</definedName>
    <definedName name="om_1" localSheetId="0" hidden="1">{#N/A,#N/A,FALSE,"Summary";#N/A,#N/A,FALSE,"SmPlants";#N/A,#N/A,FALSE,"Utah";#N/A,#N/A,FALSE,"Idaho";#N/A,#N/A,FALSE,"Lewis River";#N/A,#N/A,FALSE,"NrthUmpq";#N/A,#N/A,FALSE,"KlamRog"}</definedName>
    <definedName name="om_1" hidden="1">{#N/A,#N/A,FALSE,"Summary";#N/A,#N/A,FALSE,"SmPlants";#N/A,#N/A,FALSE,"Utah";#N/A,#N/A,FALSE,"Idaho";#N/A,#N/A,FALSE,"Lewis River";#N/A,#N/A,FALSE,"NrthUmpq";#N/A,#N/A,FALSE,"KlamRog"}</definedName>
    <definedName name="om_2" localSheetId="1" hidden="1">{#N/A,#N/A,FALSE,"Summary";#N/A,#N/A,FALSE,"SmPlants";#N/A,#N/A,FALSE,"Utah";#N/A,#N/A,FALSE,"Idaho";#N/A,#N/A,FALSE,"Lewis River";#N/A,#N/A,FALSE,"NrthUmpq";#N/A,#N/A,FALSE,"KlamRog"}</definedName>
    <definedName name="om_2" localSheetId="3" hidden="1">{#N/A,#N/A,FALSE,"Summary";#N/A,#N/A,FALSE,"SmPlants";#N/A,#N/A,FALSE,"Utah";#N/A,#N/A,FALSE,"Idaho";#N/A,#N/A,FALSE,"Lewis River";#N/A,#N/A,FALSE,"NrthUmpq";#N/A,#N/A,FALSE,"KlamRog"}</definedName>
    <definedName name="om_2" localSheetId="4" hidden="1">{#N/A,#N/A,FALSE,"Summary";#N/A,#N/A,FALSE,"SmPlants";#N/A,#N/A,FALSE,"Utah";#N/A,#N/A,FALSE,"Idaho";#N/A,#N/A,FALSE,"Lewis River";#N/A,#N/A,FALSE,"NrthUmpq";#N/A,#N/A,FALSE,"KlamRog"}</definedName>
    <definedName name="om_2" localSheetId="13" hidden="1">{#N/A,#N/A,FALSE,"Summary";#N/A,#N/A,FALSE,"SmPlants";#N/A,#N/A,FALSE,"Utah";#N/A,#N/A,FALSE,"Idaho";#N/A,#N/A,FALSE,"Lewis River";#N/A,#N/A,FALSE,"NrthUmpq";#N/A,#N/A,FALSE,"KlamRog"}</definedName>
    <definedName name="om_2" localSheetId="14" hidden="1">{#N/A,#N/A,FALSE,"Summary";#N/A,#N/A,FALSE,"SmPlants";#N/A,#N/A,FALSE,"Utah";#N/A,#N/A,FALSE,"Idaho";#N/A,#N/A,FALSE,"Lewis River";#N/A,#N/A,FALSE,"NrthUmpq";#N/A,#N/A,FALSE,"KlamRog"}</definedName>
    <definedName name="om_2" localSheetId="15" hidden="1">{#N/A,#N/A,FALSE,"Summary";#N/A,#N/A,FALSE,"SmPlants";#N/A,#N/A,FALSE,"Utah";#N/A,#N/A,FALSE,"Idaho";#N/A,#N/A,FALSE,"Lewis River";#N/A,#N/A,FALSE,"NrthUmpq";#N/A,#N/A,FALSE,"KlamRog"}</definedName>
    <definedName name="om_2" localSheetId="16" hidden="1">{#N/A,#N/A,FALSE,"Summary";#N/A,#N/A,FALSE,"SmPlants";#N/A,#N/A,FALSE,"Utah";#N/A,#N/A,FALSE,"Idaho";#N/A,#N/A,FALSE,"Lewis River";#N/A,#N/A,FALSE,"NrthUmpq";#N/A,#N/A,FALSE,"KlamRog"}</definedName>
    <definedName name="om_2" localSheetId="19" hidden="1">{#N/A,#N/A,FALSE,"Summary";#N/A,#N/A,FALSE,"SmPlants";#N/A,#N/A,FALSE,"Utah";#N/A,#N/A,FALSE,"Idaho";#N/A,#N/A,FALSE,"Lewis River";#N/A,#N/A,FALSE,"NrthUmpq";#N/A,#N/A,FALSE,"KlamRog"}</definedName>
    <definedName name="om_2" localSheetId="22" hidden="1">{#N/A,#N/A,FALSE,"Summary";#N/A,#N/A,FALSE,"SmPlants";#N/A,#N/A,FALSE,"Utah";#N/A,#N/A,FALSE,"Idaho";#N/A,#N/A,FALSE,"Lewis River";#N/A,#N/A,FALSE,"NrthUmpq";#N/A,#N/A,FALSE,"KlamRog"}</definedName>
    <definedName name="om_2" localSheetId="23" hidden="1">{#N/A,#N/A,FALSE,"Summary";#N/A,#N/A,FALSE,"SmPlants";#N/A,#N/A,FALSE,"Utah";#N/A,#N/A,FALSE,"Idaho";#N/A,#N/A,FALSE,"Lewis River";#N/A,#N/A,FALSE,"NrthUmpq";#N/A,#N/A,FALSE,"KlamRog"}</definedName>
    <definedName name="om_2" localSheetId="24" hidden="1">{#N/A,#N/A,FALSE,"Summary";#N/A,#N/A,FALSE,"SmPlants";#N/A,#N/A,FALSE,"Utah";#N/A,#N/A,FALSE,"Idaho";#N/A,#N/A,FALSE,"Lewis River";#N/A,#N/A,FALSE,"NrthUmpq";#N/A,#N/A,FALSE,"KlamRog"}</definedName>
    <definedName name="om_2" localSheetId="25" hidden="1">{#N/A,#N/A,FALSE,"Summary";#N/A,#N/A,FALSE,"SmPlants";#N/A,#N/A,FALSE,"Utah";#N/A,#N/A,FALSE,"Idaho";#N/A,#N/A,FALSE,"Lewis River";#N/A,#N/A,FALSE,"NrthUmpq";#N/A,#N/A,FALSE,"KlamRog"}</definedName>
    <definedName name="om_2" localSheetId="26" hidden="1">{#N/A,#N/A,FALSE,"Summary";#N/A,#N/A,FALSE,"SmPlants";#N/A,#N/A,FALSE,"Utah";#N/A,#N/A,FALSE,"Idaho";#N/A,#N/A,FALSE,"Lewis River";#N/A,#N/A,FALSE,"NrthUmpq";#N/A,#N/A,FALSE,"KlamRog"}</definedName>
    <definedName name="om_2" localSheetId="31" hidden="1">{#N/A,#N/A,FALSE,"Summary";#N/A,#N/A,FALSE,"SmPlants";#N/A,#N/A,FALSE,"Utah";#N/A,#N/A,FALSE,"Idaho";#N/A,#N/A,FALSE,"Lewis River";#N/A,#N/A,FALSE,"NrthUmpq";#N/A,#N/A,FALSE,"KlamRog"}</definedName>
    <definedName name="om_2" localSheetId="35" hidden="1">{#N/A,#N/A,FALSE,"Summary";#N/A,#N/A,FALSE,"SmPlants";#N/A,#N/A,FALSE,"Utah";#N/A,#N/A,FALSE,"Idaho";#N/A,#N/A,FALSE,"Lewis River";#N/A,#N/A,FALSE,"NrthUmpq";#N/A,#N/A,FALSE,"KlamRog"}</definedName>
    <definedName name="om_2" localSheetId="36" hidden="1">{#N/A,#N/A,FALSE,"Summary";#N/A,#N/A,FALSE,"SmPlants";#N/A,#N/A,FALSE,"Utah";#N/A,#N/A,FALSE,"Idaho";#N/A,#N/A,FALSE,"Lewis River";#N/A,#N/A,FALSE,"NrthUmpq";#N/A,#N/A,FALSE,"KlamRog"}</definedName>
    <definedName name="om_2" localSheetId="0" hidden="1">{#N/A,#N/A,FALSE,"Summary";#N/A,#N/A,FALSE,"SmPlants";#N/A,#N/A,FALSE,"Utah";#N/A,#N/A,FALSE,"Idaho";#N/A,#N/A,FALSE,"Lewis River";#N/A,#N/A,FALSE,"NrthUmpq";#N/A,#N/A,FALSE,"KlamRog"}</definedName>
    <definedName name="om_2" hidden="1">{#N/A,#N/A,FALSE,"Summary";#N/A,#N/A,FALSE,"SmPlants";#N/A,#N/A,FALSE,"Utah";#N/A,#N/A,FALSE,"Idaho";#N/A,#N/A,FALSE,"Lewis River";#N/A,#N/A,FALSE,"NrthUmpq";#N/A,#N/A,FALSE,"KlamRog"}</definedName>
    <definedName name="om_3" localSheetId="1" hidden="1">{#N/A,#N/A,FALSE,"Summary";#N/A,#N/A,FALSE,"SmPlants";#N/A,#N/A,FALSE,"Utah";#N/A,#N/A,FALSE,"Idaho";#N/A,#N/A,FALSE,"Lewis River";#N/A,#N/A,FALSE,"NrthUmpq";#N/A,#N/A,FALSE,"KlamRog"}</definedName>
    <definedName name="om_3" localSheetId="3" hidden="1">{#N/A,#N/A,FALSE,"Summary";#N/A,#N/A,FALSE,"SmPlants";#N/A,#N/A,FALSE,"Utah";#N/A,#N/A,FALSE,"Idaho";#N/A,#N/A,FALSE,"Lewis River";#N/A,#N/A,FALSE,"NrthUmpq";#N/A,#N/A,FALSE,"KlamRog"}</definedName>
    <definedName name="om_3" localSheetId="4" hidden="1">{#N/A,#N/A,FALSE,"Summary";#N/A,#N/A,FALSE,"SmPlants";#N/A,#N/A,FALSE,"Utah";#N/A,#N/A,FALSE,"Idaho";#N/A,#N/A,FALSE,"Lewis River";#N/A,#N/A,FALSE,"NrthUmpq";#N/A,#N/A,FALSE,"KlamRog"}</definedName>
    <definedName name="om_3" localSheetId="13" hidden="1">{#N/A,#N/A,FALSE,"Summary";#N/A,#N/A,FALSE,"SmPlants";#N/A,#N/A,FALSE,"Utah";#N/A,#N/A,FALSE,"Idaho";#N/A,#N/A,FALSE,"Lewis River";#N/A,#N/A,FALSE,"NrthUmpq";#N/A,#N/A,FALSE,"KlamRog"}</definedName>
    <definedName name="om_3" localSheetId="14" hidden="1">{#N/A,#N/A,FALSE,"Summary";#N/A,#N/A,FALSE,"SmPlants";#N/A,#N/A,FALSE,"Utah";#N/A,#N/A,FALSE,"Idaho";#N/A,#N/A,FALSE,"Lewis River";#N/A,#N/A,FALSE,"NrthUmpq";#N/A,#N/A,FALSE,"KlamRog"}</definedName>
    <definedName name="om_3" localSheetId="15" hidden="1">{#N/A,#N/A,FALSE,"Summary";#N/A,#N/A,FALSE,"SmPlants";#N/A,#N/A,FALSE,"Utah";#N/A,#N/A,FALSE,"Idaho";#N/A,#N/A,FALSE,"Lewis River";#N/A,#N/A,FALSE,"NrthUmpq";#N/A,#N/A,FALSE,"KlamRog"}</definedName>
    <definedName name="om_3" localSheetId="16" hidden="1">{#N/A,#N/A,FALSE,"Summary";#N/A,#N/A,FALSE,"SmPlants";#N/A,#N/A,FALSE,"Utah";#N/A,#N/A,FALSE,"Idaho";#N/A,#N/A,FALSE,"Lewis River";#N/A,#N/A,FALSE,"NrthUmpq";#N/A,#N/A,FALSE,"KlamRog"}</definedName>
    <definedName name="om_3" localSheetId="19" hidden="1">{#N/A,#N/A,FALSE,"Summary";#N/A,#N/A,FALSE,"SmPlants";#N/A,#N/A,FALSE,"Utah";#N/A,#N/A,FALSE,"Idaho";#N/A,#N/A,FALSE,"Lewis River";#N/A,#N/A,FALSE,"NrthUmpq";#N/A,#N/A,FALSE,"KlamRog"}</definedName>
    <definedName name="om_3" localSheetId="22" hidden="1">{#N/A,#N/A,FALSE,"Summary";#N/A,#N/A,FALSE,"SmPlants";#N/A,#N/A,FALSE,"Utah";#N/A,#N/A,FALSE,"Idaho";#N/A,#N/A,FALSE,"Lewis River";#N/A,#N/A,FALSE,"NrthUmpq";#N/A,#N/A,FALSE,"KlamRog"}</definedName>
    <definedName name="om_3" localSheetId="23" hidden="1">{#N/A,#N/A,FALSE,"Summary";#N/A,#N/A,FALSE,"SmPlants";#N/A,#N/A,FALSE,"Utah";#N/A,#N/A,FALSE,"Idaho";#N/A,#N/A,FALSE,"Lewis River";#N/A,#N/A,FALSE,"NrthUmpq";#N/A,#N/A,FALSE,"KlamRog"}</definedName>
    <definedName name="om_3" localSheetId="24" hidden="1">{#N/A,#N/A,FALSE,"Summary";#N/A,#N/A,FALSE,"SmPlants";#N/A,#N/A,FALSE,"Utah";#N/A,#N/A,FALSE,"Idaho";#N/A,#N/A,FALSE,"Lewis River";#N/A,#N/A,FALSE,"NrthUmpq";#N/A,#N/A,FALSE,"KlamRog"}</definedName>
    <definedName name="om_3" localSheetId="25" hidden="1">{#N/A,#N/A,FALSE,"Summary";#N/A,#N/A,FALSE,"SmPlants";#N/A,#N/A,FALSE,"Utah";#N/A,#N/A,FALSE,"Idaho";#N/A,#N/A,FALSE,"Lewis River";#N/A,#N/A,FALSE,"NrthUmpq";#N/A,#N/A,FALSE,"KlamRog"}</definedName>
    <definedName name="om_3" localSheetId="26" hidden="1">{#N/A,#N/A,FALSE,"Summary";#N/A,#N/A,FALSE,"SmPlants";#N/A,#N/A,FALSE,"Utah";#N/A,#N/A,FALSE,"Idaho";#N/A,#N/A,FALSE,"Lewis River";#N/A,#N/A,FALSE,"NrthUmpq";#N/A,#N/A,FALSE,"KlamRog"}</definedName>
    <definedName name="om_3" localSheetId="31" hidden="1">{#N/A,#N/A,FALSE,"Summary";#N/A,#N/A,FALSE,"SmPlants";#N/A,#N/A,FALSE,"Utah";#N/A,#N/A,FALSE,"Idaho";#N/A,#N/A,FALSE,"Lewis River";#N/A,#N/A,FALSE,"NrthUmpq";#N/A,#N/A,FALSE,"KlamRog"}</definedName>
    <definedName name="om_3" localSheetId="35" hidden="1">{#N/A,#N/A,FALSE,"Summary";#N/A,#N/A,FALSE,"SmPlants";#N/A,#N/A,FALSE,"Utah";#N/A,#N/A,FALSE,"Idaho";#N/A,#N/A,FALSE,"Lewis River";#N/A,#N/A,FALSE,"NrthUmpq";#N/A,#N/A,FALSE,"KlamRog"}</definedName>
    <definedName name="om_3" localSheetId="36" hidden="1">{#N/A,#N/A,FALSE,"Summary";#N/A,#N/A,FALSE,"SmPlants";#N/A,#N/A,FALSE,"Utah";#N/A,#N/A,FALSE,"Idaho";#N/A,#N/A,FALSE,"Lewis River";#N/A,#N/A,FALSE,"NrthUmpq";#N/A,#N/A,FALSE,"KlamRog"}</definedName>
    <definedName name="om_3" localSheetId="0" hidden="1">{#N/A,#N/A,FALSE,"Summary";#N/A,#N/A,FALSE,"SmPlants";#N/A,#N/A,FALSE,"Utah";#N/A,#N/A,FALSE,"Idaho";#N/A,#N/A,FALSE,"Lewis River";#N/A,#N/A,FALSE,"NrthUmpq";#N/A,#N/A,FALSE,"KlamRog"}</definedName>
    <definedName name="om_3" hidden="1">{#N/A,#N/A,FALSE,"Summary";#N/A,#N/A,FALSE,"SmPlants";#N/A,#N/A,FALSE,"Utah";#N/A,#N/A,FALSE,"Idaho";#N/A,#N/A,FALSE,"Lewis River";#N/A,#N/A,FALSE,"NrthUmpq";#N/A,#N/A,FALSE,"KlamRog"}</definedName>
    <definedName name="om_4" localSheetId="1" hidden="1">{#N/A,#N/A,FALSE,"Summary";#N/A,#N/A,FALSE,"SmPlants";#N/A,#N/A,FALSE,"Utah";#N/A,#N/A,FALSE,"Idaho";#N/A,#N/A,FALSE,"Lewis River";#N/A,#N/A,FALSE,"NrthUmpq";#N/A,#N/A,FALSE,"KlamRog"}</definedName>
    <definedName name="om_4" localSheetId="3" hidden="1">{#N/A,#N/A,FALSE,"Summary";#N/A,#N/A,FALSE,"SmPlants";#N/A,#N/A,FALSE,"Utah";#N/A,#N/A,FALSE,"Idaho";#N/A,#N/A,FALSE,"Lewis River";#N/A,#N/A,FALSE,"NrthUmpq";#N/A,#N/A,FALSE,"KlamRog"}</definedName>
    <definedName name="om_4" localSheetId="4" hidden="1">{#N/A,#N/A,FALSE,"Summary";#N/A,#N/A,FALSE,"SmPlants";#N/A,#N/A,FALSE,"Utah";#N/A,#N/A,FALSE,"Idaho";#N/A,#N/A,FALSE,"Lewis River";#N/A,#N/A,FALSE,"NrthUmpq";#N/A,#N/A,FALSE,"KlamRog"}</definedName>
    <definedName name="om_4" localSheetId="13" hidden="1">{#N/A,#N/A,FALSE,"Summary";#N/A,#N/A,FALSE,"SmPlants";#N/A,#N/A,FALSE,"Utah";#N/A,#N/A,FALSE,"Idaho";#N/A,#N/A,FALSE,"Lewis River";#N/A,#N/A,FALSE,"NrthUmpq";#N/A,#N/A,FALSE,"KlamRog"}</definedName>
    <definedName name="om_4" localSheetId="14" hidden="1">{#N/A,#N/A,FALSE,"Summary";#N/A,#N/A,FALSE,"SmPlants";#N/A,#N/A,FALSE,"Utah";#N/A,#N/A,FALSE,"Idaho";#N/A,#N/A,FALSE,"Lewis River";#N/A,#N/A,FALSE,"NrthUmpq";#N/A,#N/A,FALSE,"KlamRog"}</definedName>
    <definedName name="om_4" localSheetId="15" hidden="1">{#N/A,#N/A,FALSE,"Summary";#N/A,#N/A,FALSE,"SmPlants";#N/A,#N/A,FALSE,"Utah";#N/A,#N/A,FALSE,"Idaho";#N/A,#N/A,FALSE,"Lewis River";#N/A,#N/A,FALSE,"NrthUmpq";#N/A,#N/A,FALSE,"KlamRog"}</definedName>
    <definedName name="om_4" localSheetId="16" hidden="1">{#N/A,#N/A,FALSE,"Summary";#N/A,#N/A,FALSE,"SmPlants";#N/A,#N/A,FALSE,"Utah";#N/A,#N/A,FALSE,"Idaho";#N/A,#N/A,FALSE,"Lewis River";#N/A,#N/A,FALSE,"NrthUmpq";#N/A,#N/A,FALSE,"KlamRog"}</definedName>
    <definedName name="om_4" localSheetId="19" hidden="1">{#N/A,#N/A,FALSE,"Summary";#N/A,#N/A,FALSE,"SmPlants";#N/A,#N/A,FALSE,"Utah";#N/A,#N/A,FALSE,"Idaho";#N/A,#N/A,FALSE,"Lewis River";#N/A,#N/A,FALSE,"NrthUmpq";#N/A,#N/A,FALSE,"KlamRog"}</definedName>
    <definedName name="om_4" localSheetId="22" hidden="1">{#N/A,#N/A,FALSE,"Summary";#N/A,#N/A,FALSE,"SmPlants";#N/A,#N/A,FALSE,"Utah";#N/A,#N/A,FALSE,"Idaho";#N/A,#N/A,FALSE,"Lewis River";#N/A,#N/A,FALSE,"NrthUmpq";#N/A,#N/A,FALSE,"KlamRog"}</definedName>
    <definedName name="om_4" localSheetId="23" hidden="1">{#N/A,#N/A,FALSE,"Summary";#N/A,#N/A,FALSE,"SmPlants";#N/A,#N/A,FALSE,"Utah";#N/A,#N/A,FALSE,"Idaho";#N/A,#N/A,FALSE,"Lewis River";#N/A,#N/A,FALSE,"NrthUmpq";#N/A,#N/A,FALSE,"KlamRog"}</definedName>
    <definedName name="om_4" localSheetId="24" hidden="1">{#N/A,#N/A,FALSE,"Summary";#N/A,#N/A,FALSE,"SmPlants";#N/A,#N/A,FALSE,"Utah";#N/A,#N/A,FALSE,"Idaho";#N/A,#N/A,FALSE,"Lewis River";#N/A,#N/A,FALSE,"NrthUmpq";#N/A,#N/A,FALSE,"KlamRog"}</definedName>
    <definedName name="om_4" localSheetId="25" hidden="1">{#N/A,#N/A,FALSE,"Summary";#N/A,#N/A,FALSE,"SmPlants";#N/A,#N/A,FALSE,"Utah";#N/A,#N/A,FALSE,"Idaho";#N/A,#N/A,FALSE,"Lewis River";#N/A,#N/A,FALSE,"NrthUmpq";#N/A,#N/A,FALSE,"KlamRog"}</definedName>
    <definedName name="om_4" localSheetId="26" hidden="1">{#N/A,#N/A,FALSE,"Summary";#N/A,#N/A,FALSE,"SmPlants";#N/A,#N/A,FALSE,"Utah";#N/A,#N/A,FALSE,"Idaho";#N/A,#N/A,FALSE,"Lewis River";#N/A,#N/A,FALSE,"NrthUmpq";#N/A,#N/A,FALSE,"KlamRog"}</definedName>
    <definedName name="om_4" localSheetId="31" hidden="1">{#N/A,#N/A,FALSE,"Summary";#N/A,#N/A,FALSE,"SmPlants";#N/A,#N/A,FALSE,"Utah";#N/A,#N/A,FALSE,"Idaho";#N/A,#N/A,FALSE,"Lewis River";#N/A,#N/A,FALSE,"NrthUmpq";#N/A,#N/A,FALSE,"KlamRog"}</definedName>
    <definedName name="om_4" localSheetId="35" hidden="1">{#N/A,#N/A,FALSE,"Summary";#N/A,#N/A,FALSE,"SmPlants";#N/A,#N/A,FALSE,"Utah";#N/A,#N/A,FALSE,"Idaho";#N/A,#N/A,FALSE,"Lewis River";#N/A,#N/A,FALSE,"NrthUmpq";#N/A,#N/A,FALSE,"KlamRog"}</definedName>
    <definedName name="om_4" localSheetId="36" hidden="1">{#N/A,#N/A,FALSE,"Summary";#N/A,#N/A,FALSE,"SmPlants";#N/A,#N/A,FALSE,"Utah";#N/A,#N/A,FALSE,"Idaho";#N/A,#N/A,FALSE,"Lewis River";#N/A,#N/A,FALSE,"NrthUmpq";#N/A,#N/A,FALSE,"KlamRog"}</definedName>
    <definedName name="om_4" localSheetId="0" hidden="1">{#N/A,#N/A,FALSE,"Summary";#N/A,#N/A,FALSE,"SmPlants";#N/A,#N/A,FALSE,"Utah";#N/A,#N/A,FALSE,"Idaho";#N/A,#N/A,FALSE,"Lewis River";#N/A,#N/A,FALSE,"NrthUmpq";#N/A,#N/A,FALSE,"KlamRog"}</definedName>
    <definedName name="om_4" hidden="1">{#N/A,#N/A,FALSE,"Summary";#N/A,#N/A,FALSE,"SmPlants";#N/A,#N/A,FALSE,"Utah";#N/A,#N/A,FALSE,"Idaho";#N/A,#N/A,FALSE,"Lewis River";#N/A,#N/A,FALSE,"NrthUmpq";#N/A,#N/A,FALSE,"KlamRog"}</definedName>
    <definedName name="om_5" localSheetId="1" hidden="1">{#N/A,#N/A,FALSE,"Summary";#N/A,#N/A,FALSE,"SmPlants";#N/A,#N/A,FALSE,"Utah";#N/A,#N/A,FALSE,"Idaho";#N/A,#N/A,FALSE,"Lewis River";#N/A,#N/A,FALSE,"NrthUmpq";#N/A,#N/A,FALSE,"KlamRog"}</definedName>
    <definedName name="om_5" localSheetId="3" hidden="1">{#N/A,#N/A,FALSE,"Summary";#N/A,#N/A,FALSE,"SmPlants";#N/A,#N/A,FALSE,"Utah";#N/A,#N/A,FALSE,"Idaho";#N/A,#N/A,FALSE,"Lewis River";#N/A,#N/A,FALSE,"NrthUmpq";#N/A,#N/A,FALSE,"KlamRog"}</definedName>
    <definedName name="om_5" localSheetId="4" hidden="1">{#N/A,#N/A,FALSE,"Summary";#N/A,#N/A,FALSE,"SmPlants";#N/A,#N/A,FALSE,"Utah";#N/A,#N/A,FALSE,"Idaho";#N/A,#N/A,FALSE,"Lewis River";#N/A,#N/A,FALSE,"NrthUmpq";#N/A,#N/A,FALSE,"KlamRog"}</definedName>
    <definedName name="om_5" localSheetId="13" hidden="1">{#N/A,#N/A,FALSE,"Summary";#N/A,#N/A,FALSE,"SmPlants";#N/A,#N/A,FALSE,"Utah";#N/A,#N/A,FALSE,"Idaho";#N/A,#N/A,FALSE,"Lewis River";#N/A,#N/A,FALSE,"NrthUmpq";#N/A,#N/A,FALSE,"KlamRog"}</definedName>
    <definedName name="om_5" localSheetId="14" hidden="1">{#N/A,#N/A,FALSE,"Summary";#N/A,#N/A,FALSE,"SmPlants";#N/A,#N/A,FALSE,"Utah";#N/A,#N/A,FALSE,"Idaho";#N/A,#N/A,FALSE,"Lewis River";#N/A,#N/A,FALSE,"NrthUmpq";#N/A,#N/A,FALSE,"KlamRog"}</definedName>
    <definedName name="om_5" localSheetId="15" hidden="1">{#N/A,#N/A,FALSE,"Summary";#N/A,#N/A,FALSE,"SmPlants";#N/A,#N/A,FALSE,"Utah";#N/A,#N/A,FALSE,"Idaho";#N/A,#N/A,FALSE,"Lewis River";#N/A,#N/A,FALSE,"NrthUmpq";#N/A,#N/A,FALSE,"KlamRog"}</definedName>
    <definedName name="om_5" localSheetId="16" hidden="1">{#N/A,#N/A,FALSE,"Summary";#N/A,#N/A,FALSE,"SmPlants";#N/A,#N/A,FALSE,"Utah";#N/A,#N/A,FALSE,"Idaho";#N/A,#N/A,FALSE,"Lewis River";#N/A,#N/A,FALSE,"NrthUmpq";#N/A,#N/A,FALSE,"KlamRog"}</definedName>
    <definedName name="om_5" localSheetId="19" hidden="1">{#N/A,#N/A,FALSE,"Summary";#N/A,#N/A,FALSE,"SmPlants";#N/A,#N/A,FALSE,"Utah";#N/A,#N/A,FALSE,"Idaho";#N/A,#N/A,FALSE,"Lewis River";#N/A,#N/A,FALSE,"NrthUmpq";#N/A,#N/A,FALSE,"KlamRog"}</definedName>
    <definedName name="om_5" localSheetId="22" hidden="1">{#N/A,#N/A,FALSE,"Summary";#N/A,#N/A,FALSE,"SmPlants";#N/A,#N/A,FALSE,"Utah";#N/A,#N/A,FALSE,"Idaho";#N/A,#N/A,FALSE,"Lewis River";#N/A,#N/A,FALSE,"NrthUmpq";#N/A,#N/A,FALSE,"KlamRog"}</definedName>
    <definedName name="om_5" localSheetId="23" hidden="1">{#N/A,#N/A,FALSE,"Summary";#N/A,#N/A,FALSE,"SmPlants";#N/A,#N/A,FALSE,"Utah";#N/A,#N/A,FALSE,"Idaho";#N/A,#N/A,FALSE,"Lewis River";#N/A,#N/A,FALSE,"NrthUmpq";#N/A,#N/A,FALSE,"KlamRog"}</definedName>
    <definedName name="om_5" localSheetId="24" hidden="1">{#N/A,#N/A,FALSE,"Summary";#N/A,#N/A,FALSE,"SmPlants";#N/A,#N/A,FALSE,"Utah";#N/A,#N/A,FALSE,"Idaho";#N/A,#N/A,FALSE,"Lewis River";#N/A,#N/A,FALSE,"NrthUmpq";#N/A,#N/A,FALSE,"KlamRog"}</definedName>
    <definedName name="om_5" localSheetId="25" hidden="1">{#N/A,#N/A,FALSE,"Summary";#N/A,#N/A,FALSE,"SmPlants";#N/A,#N/A,FALSE,"Utah";#N/A,#N/A,FALSE,"Idaho";#N/A,#N/A,FALSE,"Lewis River";#N/A,#N/A,FALSE,"NrthUmpq";#N/A,#N/A,FALSE,"KlamRog"}</definedName>
    <definedName name="om_5" localSheetId="26" hidden="1">{#N/A,#N/A,FALSE,"Summary";#N/A,#N/A,FALSE,"SmPlants";#N/A,#N/A,FALSE,"Utah";#N/A,#N/A,FALSE,"Idaho";#N/A,#N/A,FALSE,"Lewis River";#N/A,#N/A,FALSE,"NrthUmpq";#N/A,#N/A,FALSE,"KlamRog"}</definedName>
    <definedName name="om_5" localSheetId="31" hidden="1">{#N/A,#N/A,FALSE,"Summary";#N/A,#N/A,FALSE,"SmPlants";#N/A,#N/A,FALSE,"Utah";#N/A,#N/A,FALSE,"Idaho";#N/A,#N/A,FALSE,"Lewis River";#N/A,#N/A,FALSE,"NrthUmpq";#N/A,#N/A,FALSE,"KlamRog"}</definedName>
    <definedName name="om_5" localSheetId="35" hidden="1">{#N/A,#N/A,FALSE,"Summary";#N/A,#N/A,FALSE,"SmPlants";#N/A,#N/A,FALSE,"Utah";#N/A,#N/A,FALSE,"Idaho";#N/A,#N/A,FALSE,"Lewis River";#N/A,#N/A,FALSE,"NrthUmpq";#N/A,#N/A,FALSE,"KlamRog"}</definedName>
    <definedName name="om_5" localSheetId="36" hidden="1">{#N/A,#N/A,FALSE,"Summary";#N/A,#N/A,FALSE,"SmPlants";#N/A,#N/A,FALSE,"Utah";#N/A,#N/A,FALSE,"Idaho";#N/A,#N/A,FALSE,"Lewis River";#N/A,#N/A,FALSE,"NrthUmpq";#N/A,#N/A,FALSE,"KlamRog"}</definedName>
    <definedName name="om_5" localSheetId="0" hidden="1">{#N/A,#N/A,FALSE,"Summary";#N/A,#N/A,FALSE,"SmPlants";#N/A,#N/A,FALSE,"Utah";#N/A,#N/A,FALSE,"Idaho";#N/A,#N/A,FALSE,"Lewis River";#N/A,#N/A,FALSE,"NrthUmpq";#N/A,#N/A,FALSE,"KlamRog"}</definedName>
    <definedName name="om_5" hidden="1">{#N/A,#N/A,FALSE,"Summary";#N/A,#N/A,FALSE,"SmPlants";#N/A,#N/A,FALSE,"Utah";#N/A,#N/A,FALSE,"Idaho";#N/A,#N/A,FALSE,"Lewis River";#N/A,#N/A,FALSE,"NrthUmpq";#N/A,#N/A,FALSE,"KlamRog"}</definedName>
    <definedName name="pete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_xlnm.Print_Area" localSheetId="3">'(2.1)_Proxy Resources'!$A$1:$Q$98</definedName>
    <definedName name="_xlnm.Print_Area" localSheetId="4">'(2.2)_Forward_Price_Curve'!$A$1:$U$57</definedName>
    <definedName name="_xlnm.Print_Titles" localSheetId="4">'(2.2)_Forward_Price_Curve'!$11:$14</definedName>
    <definedName name="proxy_cost_start">[1]Levelizer!$C$10</definedName>
    <definedName name="ReadDisc">[1]Levelizer!$C$9</definedName>
    <definedName name="shit" localSheetId="1" hidden="1">{"PRINT",#N/A,TRUE,"APPA";"PRINT",#N/A,TRUE,"APS";"PRINT",#N/A,TRUE,"BHPL";"PRINT",#N/A,TRUE,"BHPL2";"PRINT",#N/A,TRUE,"CDWR";"PRINT",#N/A,TRUE,"EWEB";"PRINT",#N/A,TRUE,"LADWP";"PRINT",#N/A,TRUE,"NEVBASE"}</definedName>
    <definedName name="shit" localSheetId="3" hidden="1">{"PRINT",#N/A,TRUE,"APPA";"PRINT",#N/A,TRUE,"APS";"PRINT",#N/A,TRUE,"BHPL";"PRINT",#N/A,TRUE,"BHPL2";"PRINT",#N/A,TRUE,"CDWR";"PRINT",#N/A,TRUE,"EWEB";"PRINT",#N/A,TRUE,"LADWP";"PRINT",#N/A,TRUE,"NEVBASE"}</definedName>
    <definedName name="shit" localSheetId="4" hidden="1">{"PRINT",#N/A,TRUE,"APPA";"PRINT",#N/A,TRUE,"APS";"PRINT",#N/A,TRUE,"BHPL";"PRINT",#N/A,TRUE,"BHPL2";"PRINT",#N/A,TRUE,"CDWR";"PRINT",#N/A,TRUE,"EWEB";"PRINT",#N/A,TRUE,"LADWP";"PRINT",#N/A,TRUE,"NEVBASE"}</definedName>
    <definedName name="shit" localSheetId="13" hidden="1">{"PRINT",#N/A,TRUE,"APPA";"PRINT",#N/A,TRUE,"APS";"PRINT",#N/A,TRUE,"BHPL";"PRINT",#N/A,TRUE,"BHPL2";"PRINT",#N/A,TRUE,"CDWR";"PRINT",#N/A,TRUE,"EWEB";"PRINT",#N/A,TRUE,"LADWP";"PRINT",#N/A,TRUE,"NEVBASE"}</definedName>
    <definedName name="shit" localSheetId="14" hidden="1">{"PRINT",#N/A,TRUE,"APPA";"PRINT",#N/A,TRUE,"APS";"PRINT",#N/A,TRUE,"BHPL";"PRINT",#N/A,TRUE,"BHPL2";"PRINT",#N/A,TRUE,"CDWR";"PRINT",#N/A,TRUE,"EWEB";"PRINT",#N/A,TRUE,"LADWP";"PRINT",#N/A,TRUE,"NEVBASE"}</definedName>
    <definedName name="shit" localSheetId="15" hidden="1">{"PRINT",#N/A,TRUE,"APPA";"PRINT",#N/A,TRUE,"APS";"PRINT",#N/A,TRUE,"BHPL";"PRINT",#N/A,TRUE,"BHPL2";"PRINT",#N/A,TRUE,"CDWR";"PRINT",#N/A,TRUE,"EWEB";"PRINT",#N/A,TRUE,"LADWP";"PRINT",#N/A,TRUE,"NEVBASE"}</definedName>
    <definedName name="shit" localSheetId="16" hidden="1">{"PRINT",#N/A,TRUE,"APPA";"PRINT",#N/A,TRUE,"APS";"PRINT",#N/A,TRUE,"BHPL";"PRINT",#N/A,TRUE,"BHPL2";"PRINT",#N/A,TRUE,"CDWR";"PRINT",#N/A,TRUE,"EWEB";"PRINT",#N/A,TRUE,"LADWP";"PRINT",#N/A,TRUE,"NEVBASE"}</definedName>
    <definedName name="shit" localSheetId="19" hidden="1">{"PRINT",#N/A,TRUE,"APPA";"PRINT",#N/A,TRUE,"APS";"PRINT",#N/A,TRUE,"BHPL";"PRINT",#N/A,TRUE,"BHPL2";"PRINT",#N/A,TRUE,"CDWR";"PRINT",#N/A,TRUE,"EWEB";"PRINT",#N/A,TRUE,"LADWP";"PRINT",#N/A,TRUE,"NEVBASE"}</definedName>
    <definedName name="shit" localSheetId="22" hidden="1">{"PRINT",#N/A,TRUE,"APPA";"PRINT",#N/A,TRUE,"APS";"PRINT",#N/A,TRUE,"BHPL";"PRINT",#N/A,TRUE,"BHPL2";"PRINT",#N/A,TRUE,"CDWR";"PRINT",#N/A,TRUE,"EWEB";"PRINT",#N/A,TRUE,"LADWP";"PRINT",#N/A,TRUE,"NEVBASE"}</definedName>
    <definedName name="shit" localSheetId="23" hidden="1">{"PRINT",#N/A,TRUE,"APPA";"PRINT",#N/A,TRUE,"APS";"PRINT",#N/A,TRUE,"BHPL";"PRINT",#N/A,TRUE,"BHPL2";"PRINT",#N/A,TRUE,"CDWR";"PRINT",#N/A,TRUE,"EWEB";"PRINT",#N/A,TRUE,"LADWP";"PRINT",#N/A,TRUE,"NEVBASE"}</definedName>
    <definedName name="shit" localSheetId="24" hidden="1">{"PRINT",#N/A,TRUE,"APPA";"PRINT",#N/A,TRUE,"APS";"PRINT",#N/A,TRUE,"BHPL";"PRINT",#N/A,TRUE,"BHPL2";"PRINT",#N/A,TRUE,"CDWR";"PRINT",#N/A,TRUE,"EWEB";"PRINT",#N/A,TRUE,"LADWP";"PRINT",#N/A,TRUE,"NEVBASE"}</definedName>
    <definedName name="shit" localSheetId="25" hidden="1">{"PRINT",#N/A,TRUE,"APPA";"PRINT",#N/A,TRUE,"APS";"PRINT",#N/A,TRUE,"BHPL";"PRINT",#N/A,TRUE,"BHPL2";"PRINT",#N/A,TRUE,"CDWR";"PRINT",#N/A,TRUE,"EWEB";"PRINT",#N/A,TRUE,"LADWP";"PRINT",#N/A,TRUE,"NEVBASE"}</definedName>
    <definedName name="shit" localSheetId="26" hidden="1">{"PRINT",#N/A,TRUE,"APPA";"PRINT",#N/A,TRUE,"APS";"PRINT",#N/A,TRUE,"BHPL";"PRINT",#N/A,TRUE,"BHPL2";"PRINT",#N/A,TRUE,"CDWR";"PRINT",#N/A,TRUE,"EWEB";"PRINT",#N/A,TRUE,"LADWP";"PRINT",#N/A,TRUE,"NEVBASE"}</definedName>
    <definedName name="shit" localSheetId="31" hidden="1">{"PRINT",#N/A,TRUE,"APPA";"PRINT",#N/A,TRUE,"APS";"PRINT",#N/A,TRUE,"BHPL";"PRINT",#N/A,TRUE,"BHPL2";"PRINT",#N/A,TRUE,"CDWR";"PRINT",#N/A,TRUE,"EWEB";"PRINT",#N/A,TRUE,"LADWP";"PRINT",#N/A,TRUE,"NEVBASE"}</definedName>
    <definedName name="shit" localSheetId="35" hidden="1">{"PRINT",#N/A,TRUE,"APPA";"PRINT",#N/A,TRUE,"APS";"PRINT",#N/A,TRUE,"BHPL";"PRINT",#N/A,TRUE,"BHPL2";"PRINT",#N/A,TRUE,"CDWR";"PRINT",#N/A,TRUE,"EWEB";"PRINT",#N/A,TRUE,"LADWP";"PRINT",#N/A,TRUE,"NEVBASE"}</definedName>
    <definedName name="shit" localSheetId="36" hidden="1">{"PRINT",#N/A,TRUE,"APPA";"PRINT",#N/A,TRUE,"APS";"PRINT",#N/A,TRUE,"BHPL";"PRINT",#N/A,TRUE,"BHPL2";"PRINT",#N/A,TRUE,"CDWR";"PRINT",#N/A,TRUE,"EWEB";"PRINT",#N/A,TRUE,"LADWP";"PRINT",#N/A,TRUE,"NEVBASE"}</definedName>
    <definedName name="shit" localSheetId="0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hit_1" localSheetId="1" hidden="1">{"PRINT",#N/A,TRUE,"APPA";"PRINT",#N/A,TRUE,"APS";"PRINT",#N/A,TRUE,"BHPL";"PRINT",#N/A,TRUE,"BHPL2";"PRINT",#N/A,TRUE,"CDWR";"PRINT",#N/A,TRUE,"EWEB";"PRINT",#N/A,TRUE,"LADWP";"PRINT",#N/A,TRUE,"NEVBASE"}</definedName>
    <definedName name="shit_1" localSheetId="3" hidden="1">{"PRINT",#N/A,TRUE,"APPA";"PRINT",#N/A,TRUE,"APS";"PRINT",#N/A,TRUE,"BHPL";"PRINT",#N/A,TRUE,"BHPL2";"PRINT",#N/A,TRUE,"CDWR";"PRINT",#N/A,TRUE,"EWEB";"PRINT",#N/A,TRUE,"LADWP";"PRINT",#N/A,TRUE,"NEVBASE"}</definedName>
    <definedName name="shit_1" localSheetId="4" hidden="1">{"PRINT",#N/A,TRUE,"APPA";"PRINT",#N/A,TRUE,"APS";"PRINT",#N/A,TRUE,"BHPL";"PRINT",#N/A,TRUE,"BHPL2";"PRINT",#N/A,TRUE,"CDWR";"PRINT",#N/A,TRUE,"EWEB";"PRINT",#N/A,TRUE,"LADWP";"PRINT",#N/A,TRUE,"NEVBASE"}</definedName>
    <definedName name="shit_1" localSheetId="13" hidden="1">{"PRINT",#N/A,TRUE,"APPA";"PRINT",#N/A,TRUE,"APS";"PRINT",#N/A,TRUE,"BHPL";"PRINT",#N/A,TRUE,"BHPL2";"PRINT",#N/A,TRUE,"CDWR";"PRINT",#N/A,TRUE,"EWEB";"PRINT",#N/A,TRUE,"LADWP";"PRINT",#N/A,TRUE,"NEVBASE"}</definedName>
    <definedName name="shit_1" localSheetId="14" hidden="1">{"PRINT",#N/A,TRUE,"APPA";"PRINT",#N/A,TRUE,"APS";"PRINT",#N/A,TRUE,"BHPL";"PRINT",#N/A,TRUE,"BHPL2";"PRINT",#N/A,TRUE,"CDWR";"PRINT",#N/A,TRUE,"EWEB";"PRINT",#N/A,TRUE,"LADWP";"PRINT",#N/A,TRUE,"NEVBASE"}</definedName>
    <definedName name="shit_1" localSheetId="15" hidden="1">{"PRINT",#N/A,TRUE,"APPA";"PRINT",#N/A,TRUE,"APS";"PRINT",#N/A,TRUE,"BHPL";"PRINT",#N/A,TRUE,"BHPL2";"PRINT",#N/A,TRUE,"CDWR";"PRINT",#N/A,TRUE,"EWEB";"PRINT",#N/A,TRUE,"LADWP";"PRINT",#N/A,TRUE,"NEVBASE"}</definedName>
    <definedName name="shit_1" localSheetId="16" hidden="1">{"PRINT",#N/A,TRUE,"APPA";"PRINT",#N/A,TRUE,"APS";"PRINT",#N/A,TRUE,"BHPL";"PRINT",#N/A,TRUE,"BHPL2";"PRINT",#N/A,TRUE,"CDWR";"PRINT",#N/A,TRUE,"EWEB";"PRINT",#N/A,TRUE,"LADWP";"PRINT",#N/A,TRUE,"NEVBASE"}</definedName>
    <definedName name="shit_1" localSheetId="19" hidden="1">{"PRINT",#N/A,TRUE,"APPA";"PRINT",#N/A,TRUE,"APS";"PRINT",#N/A,TRUE,"BHPL";"PRINT",#N/A,TRUE,"BHPL2";"PRINT",#N/A,TRUE,"CDWR";"PRINT",#N/A,TRUE,"EWEB";"PRINT",#N/A,TRUE,"LADWP";"PRINT",#N/A,TRUE,"NEVBASE"}</definedName>
    <definedName name="shit_1" localSheetId="22" hidden="1">{"PRINT",#N/A,TRUE,"APPA";"PRINT",#N/A,TRUE,"APS";"PRINT",#N/A,TRUE,"BHPL";"PRINT",#N/A,TRUE,"BHPL2";"PRINT",#N/A,TRUE,"CDWR";"PRINT",#N/A,TRUE,"EWEB";"PRINT",#N/A,TRUE,"LADWP";"PRINT",#N/A,TRUE,"NEVBASE"}</definedName>
    <definedName name="shit_1" localSheetId="23" hidden="1">{"PRINT",#N/A,TRUE,"APPA";"PRINT",#N/A,TRUE,"APS";"PRINT",#N/A,TRUE,"BHPL";"PRINT",#N/A,TRUE,"BHPL2";"PRINT",#N/A,TRUE,"CDWR";"PRINT",#N/A,TRUE,"EWEB";"PRINT",#N/A,TRUE,"LADWP";"PRINT",#N/A,TRUE,"NEVBASE"}</definedName>
    <definedName name="shit_1" localSheetId="24" hidden="1">{"PRINT",#N/A,TRUE,"APPA";"PRINT",#N/A,TRUE,"APS";"PRINT",#N/A,TRUE,"BHPL";"PRINT",#N/A,TRUE,"BHPL2";"PRINT",#N/A,TRUE,"CDWR";"PRINT",#N/A,TRUE,"EWEB";"PRINT",#N/A,TRUE,"LADWP";"PRINT",#N/A,TRUE,"NEVBASE"}</definedName>
    <definedName name="shit_1" localSheetId="25" hidden="1">{"PRINT",#N/A,TRUE,"APPA";"PRINT",#N/A,TRUE,"APS";"PRINT",#N/A,TRUE,"BHPL";"PRINT",#N/A,TRUE,"BHPL2";"PRINT",#N/A,TRUE,"CDWR";"PRINT",#N/A,TRUE,"EWEB";"PRINT",#N/A,TRUE,"LADWP";"PRINT",#N/A,TRUE,"NEVBASE"}</definedName>
    <definedName name="shit_1" localSheetId="26" hidden="1">{"PRINT",#N/A,TRUE,"APPA";"PRINT",#N/A,TRUE,"APS";"PRINT",#N/A,TRUE,"BHPL";"PRINT",#N/A,TRUE,"BHPL2";"PRINT",#N/A,TRUE,"CDWR";"PRINT",#N/A,TRUE,"EWEB";"PRINT",#N/A,TRUE,"LADWP";"PRINT",#N/A,TRUE,"NEVBASE"}</definedName>
    <definedName name="shit_1" localSheetId="31" hidden="1">{"PRINT",#N/A,TRUE,"APPA";"PRINT",#N/A,TRUE,"APS";"PRINT",#N/A,TRUE,"BHPL";"PRINT",#N/A,TRUE,"BHPL2";"PRINT",#N/A,TRUE,"CDWR";"PRINT",#N/A,TRUE,"EWEB";"PRINT",#N/A,TRUE,"LADWP";"PRINT",#N/A,TRUE,"NEVBASE"}</definedName>
    <definedName name="shit_1" localSheetId="35" hidden="1">{"PRINT",#N/A,TRUE,"APPA";"PRINT",#N/A,TRUE,"APS";"PRINT",#N/A,TRUE,"BHPL";"PRINT",#N/A,TRUE,"BHPL2";"PRINT",#N/A,TRUE,"CDWR";"PRINT",#N/A,TRUE,"EWEB";"PRINT",#N/A,TRUE,"LADWP";"PRINT",#N/A,TRUE,"NEVBASE"}</definedName>
    <definedName name="shit_1" localSheetId="36" hidden="1">{"PRINT",#N/A,TRUE,"APPA";"PRINT",#N/A,TRUE,"APS";"PRINT",#N/A,TRUE,"BHPL";"PRINT",#N/A,TRUE,"BHPL2";"PRINT",#N/A,TRUE,"CDWR";"PRINT",#N/A,TRUE,"EWEB";"PRINT",#N/A,TRUE,"LADWP";"PRINT",#N/A,TRUE,"NEVBASE"}</definedName>
    <definedName name="shit_1" localSheetId="0" hidden="1">{"PRINT",#N/A,TRUE,"APPA";"PRINT",#N/A,TRUE,"APS";"PRINT",#N/A,TRUE,"BHPL";"PRINT",#N/A,TRUE,"BHPL2";"PRINT",#N/A,TRUE,"CDWR";"PRINT",#N/A,TRUE,"EWEB";"PRINT",#N/A,TRUE,"LADWP";"PRINT",#N/A,TRUE,"NEVBASE"}</definedName>
    <definedName name="shit_1" hidden="1">{"PRINT",#N/A,TRUE,"APPA";"PRINT",#N/A,TRUE,"APS";"PRINT",#N/A,TRUE,"BHPL";"PRINT",#N/A,TRUE,"BHPL2";"PRINT",#N/A,TRUE,"CDWR";"PRINT",#N/A,TRUE,"EWEB";"PRINT",#N/A,TRUE,"LADWP";"PRINT",#N/A,TRUE,"NEVBASE"}</definedName>
    <definedName name="shit_2" localSheetId="1" hidden="1">{"PRINT",#N/A,TRUE,"APPA";"PRINT",#N/A,TRUE,"APS";"PRINT",#N/A,TRUE,"BHPL";"PRINT",#N/A,TRUE,"BHPL2";"PRINT",#N/A,TRUE,"CDWR";"PRINT",#N/A,TRUE,"EWEB";"PRINT",#N/A,TRUE,"LADWP";"PRINT",#N/A,TRUE,"NEVBASE"}</definedName>
    <definedName name="shit_2" localSheetId="3" hidden="1">{"PRINT",#N/A,TRUE,"APPA";"PRINT",#N/A,TRUE,"APS";"PRINT",#N/A,TRUE,"BHPL";"PRINT",#N/A,TRUE,"BHPL2";"PRINT",#N/A,TRUE,"CDWR";"PRINT",#N/A,TRUE,"EWEB";"PRINT",#N/A,TRUE,"LADWP";"PRINT",#N/A,TRUE,"NEVBASE"}</definedName>
    <definedName name="shit_2" localSheetId="4" hidden="1">{"PRINT",#N/A,TRUE,"APPA";"PRINT",#N/A,TRUE,"APS";"PRINT",#N/A,TRUE,"BHPL";"PRINT",#N/A,TRUE,"BHPL2";"PRINT",#N/A,TRUE,"CDWR";"PRINT",#N/A,TRUE,"EWEB";"PRINT",#N/A,TRUE,"LADWP";"PRINT",#N/A,TRUE,"NEVBASE"}</definedName>
    <definedName name="shit_2" localSheetId="13" hidden="1">{"PRINT",#N/A,TRUE,"APPA";"PRINT",#N/A,TRUE,"APS";"PRINT",#N/A,TRUE,"BHPL";"PRINT",#N/A,TRUE,"BHPL2";"PRINT",#N/A,TRUE,"CDWR";"PRINT",#N/A,TRUE,"EWEB";"PRINT",#N/A,TRUE,"LADWP";"PRINT",#N/A,TRUE,"NEVBASE"}</definedName>
    <definedName name="shit_2" localSheetId="14" hidden="1">{"PRINT",#N/A,TRUE,"APPA";"PRINT",#N/A,TRUE,"APS";"PRINT",#N/A,TRUE,"BHPL";"PRINT",#N/A,TRUE,"BHPL2";"PRINT",#N/A,TRUE,"CDWR";"PRINT",#N/A,TRUE,"EWEB";"PRINT",#N/A,TRUE,"LADWP";"PRINT",#N/A,TRUE,"NEVBASE"}</definedName>
    <definedName name="shit_2" localSheetId="15" hidden="1">{"PRINT",#N/A,TRUE,"APPA";"PRINT",#N/A,TRUE,"APS";"PRINT",#N/A,TRUE,"BHPL";"PRINT",#N/A,TRUE,"BHPL2";"PRINT",#N/A,TRUE,"CDWR";"PRINT",#N/A,TRUE,"EWEB";"PRINT",#N/A,TRUE,"LADWP";"PRINT",#N/A,TRUE,"NEVBASE"}</definedName>
    <definedName name="shit_2" localSheetId="16" hidden="1">{"PRINT",#N/A,TRUE,"APPA";"PRINT",#N/A,TRUE,"APS";"PRINT",#N/A,TRUE,"BHPL";"PRINT",#N/A,TRUE,"BHPL2";"PRINT",#N/A,TRUE,"CDWR";"PRINT",#N/A,TRUE,"EWEB";"PRINT",#N/A,TRUE,"LADWP";"PRINT",#N/A,TRUE,"NEVBASE"}</definedName>
    <definedName name="shit_2" localSheetId="19" hidden="1">{"PRINT",#N/A,TRUE,"APPA";"PRINT",#N/A,TRUE,"APS";"PRINT",#N/A,TRUE,"BHPL";"PRINT",#N/A,TRUE,"BHPL2";"PRINT",#N/A,TRUE,"CDWR";"PRINT",#N/A,TRUE,"EWEB";"PRINT",#N/A,TRUE,"LADWP";"PRINT",#N/A,TRUE,"NEVBASE"}</definedName>
    <definedName name="shit_2" localSheetId="22" hidden="1">{"PRINT",#N/A,TRUE,"APPA";"PRINT",#N/A,TRUE,"APS";"PRINT",#N/A,TRUE,"BHPL";"PRINT",#N/A,TRUE,"BHPL2";"PRINT",#N/A,TRUE,"CDWR";"PRINT",#N/A,TRUE,"EWEB";"PRINT",#N/A,TRUE,"LADWP";"PRINT",#N/A,TRUE,"NEVBASE"}</definedName>
    <definedName name="shit_2" localSheetId="23" hidden="1">{"PRINT",#N/A,TRUE,"APPA";"PRINT",#N/A,TRUE,"APS";"PRINT",#N/A,TRUE,"BHPL";"PRINT",#N/A,TRUE,"BHPL2";"PRINT",#N/A,TRUE,"CDWR";"PRINT",#N/A,TRUE,"EWEB";"PRINT",#N/A,TRUE,"LADWP";"PRINT",#N/A,TRUE,"NEVBASE"}</definedName>
    <definedName name="shit_2" localSheetId="24" hidden="1">{"PRINT",#N/A,TRUE,"APPA";"PRINT",#N/A,TRUE,"APS";"PRINT",#N/A,TRUE,"BHPL";"PRINT",#N/A,TRUE,"BHPL2";"PRINT",#N/A,TRUE,"CDWR";"PRINT",#N/A,TRUE,"EWEB";"PRINT",#N/A,TRUE,"LADWP";"PRINT",#N/A,TRUE,"NEVBASE"}</definedName>
    <definedName name="shit_2" localSheetId="25" hidden="1">{"PRINT",#N/A,TRUE,"APPA";"PRINT",#N/A,TRUE,"APS";"PRINT",#N/A,TRUE,"BHPL";"PRINT",#N/A,TRUE,"BHPL2";"PRINT",#N/A,TRUE,"CDWR";"PRINT",#N/A,TRUE,"EWEB";"PRINT",#N/A,TRUE,"LADWP";"PRINT",#N/A,TRUE,"NEVBASE"}</definedName>
    <definedName name="shit_2" localSheetId="26" hidden="1">{"PRINT",#N/A,TRUE,"APPA";"PRINT",#N/A,TRUE,"APS";"PRINT",#N/A,TRUE,"BHPL";"PRINT",#N/A,TRUE,"BHPL2";"PRINT",#N/A,TRUE,"CDWR";"PRINT",#N/A,TRUE,"EWEB";"PRINT",#N/A,TRUE,"LADWP";"PRINT",#N/A,TRUE,"NEVBASE"}</definedName>
    <definedName name="shit_2" localSheetId="31" hidden="1">{"PRINT",#N/A,TRUE,"APPA";"PRINT",#N/A,TRUE,"APS";"PRINT",#N/A,TRUE,"BHPL";"PRINT",#N/A,TRUE,"BHPL2";"PRINT",#N/A,TRUE,"CDWR";"PRINT",#N/A,TRUE,"EWEB";"PRINT",#N/A,TRUE,"LADWP";"PRINT",#N/A,TRUE,"NEVBASE"}</definedName>
    <definedName name="shit_2" localSheetId="35" hidden="1">{"PRINT",#N/A,TRUE,"APPA";"PRINT",#N/A,TRUE,"APS";"PRINT",#N/A,TRUE,"BHPL";"PRINT",#N/A,TRUE,"BHPL2";"PRINT",#N/A,TRUE,"CDWR";"PRINT",#N/A,TRUE,"EWEB";"PRINT",#N/A,TRUE,"LADWP";"PRINT",#N/A,TRUE,"NEVBASE"}</definedName>
    <definedName name="shit_2" localSheetId="36" hidden="1">{"PRINT",#N/A,TRUE,"APPA";"PRINT",#N/A,TRUE,"APS";"PRINT",#N/A,TRUE,"BHPL";"PRINT",#N/A,TRUE,"BHPL2";"PRINT",#N/A,TRUE,"CDWR";"PRINT",#N/A,TRUE,"EWEB";"PRINT",#N/A,TRUE,"LADWP";"PRINT",#N/A,TRUE,"NEVBASE"}</definedName>
    <definedName name="shit_2" localSheetId="0" hidden="1">{"PRINT",#N/A,TRUE,"APPA";"PRINT",#N/A,TRUE,"APS";"PRINT",#N/A,TRUE,"BHPL";"PRINT",#N/A,TRUE,"BHPL2";"PRINT",#N/A,TRUE,"CDWR";"PRINT",#N/A,TRUE,"EWEB";"PRINT",#N/A,TRUE,"LADWP";"PRINT",#N/A,TRUE,"NEVBASE"}</definedName>
    <definedName name="shit_2" hidden="1">{"PRINT",#N/A,TRUE,"APPA";"PRINT",#N/A,TRUE,"APS";"PRINT",#N/A,TRUE,"BHPL";"PRINT",#N/A,TRUE,"BHPL2";"PRINT",#N/A,TRUE,"CDWR";"PRINT",#N/A,TRUE,"EWEB";"PRINT",#N/A,TRUE,"LADWP";"PRINT",#N/A,TRUE,"NEVBASE"}</definedName>
    <definedName name="shit_3" localSheetId="1" hidden="1">{"PRINT",#N/A,TRUE,"APPA";"PRINT",#N/A,TRUE,"APS";"PRINT",#N/A,TRUE,"BHPL";"PRINT",#N/A,TRUE,"BHPL2";"PRINT",#N/A,TRUE,"CDWR";"PRINT",#N/A,TRUE,"EWEB";"PRINT",#N/A,TRUE,"LADWP";"PRINT",#N/A,TRUE,"NEVBASE"}</definedName>
    <definedName name="shit_3" localSheetId="3" hidden="1">{"PRINT",#N/A,TRUE,"APPA";"PRINT",#N/A,TRUE,"APS";"PRINT",#N/A,TRUE,"BHPL";"PRINT",#N/A,TRUE,"BHPL2";"PRINT",#N/A,TRUE,"CDWR";"PRINT",#N/A,TRUE,"EWEB";"PRINT",#N/A,TRUE,"LADWP";"PRINT",#N/A,TRUE,"NEVBASE"}</definedName>
    <definedName name="shit_3" localSheetId="4" hidden="1">{"PRINT",#N/A,TRUE,"APPA";"PRINT",#N/A,TRUE,"APS";"PRINT",#N/A,TRUE,"BHPL";"PRINT",#N/A,TRUE,"BHPL2";"PRINT",#N/A,TRUE,"CDWR";"PRINT",#N/A,TRUE,"EWEB";"PRINT",#N/A,TRUE,"LADWP";"PRINT",#N/A,TRUE,"NEVBASE"}</definedName>
    <definedName name="shit_3" localSheetId="13" hidden="1">{"PRINT",#N/A,TRUE,"APPA";"PRINT",#N/A,TRUE,"APS";"PRINT",#N/A,TRUE,"BHPL";"PRINT",#N/A,TRUE,"BHPL2";"PRINT",#N/A,TRUE,"CDWR";"PRINT",#N/A,TRUE,"EWEB";"PRINT",#N/A,TRUE,"LADWP";"PRINT",#N/A,TRUE,"NEVBASE"}</definedName>
    <definedName name="shit_3" localSheetId="14" hidden="1">{"PRINT",#N/A,TRUE,"APPA";"PRINT",#N/A,TRUE,"APS";"PRINT",#N/A,TRUE,"BHPL";"PRINT",#N/A,TRUE,"BHPL2";"PRINT",#N/A,TRUE,"CDWR";"PRINT",#N/A,TRUE,"EWEB";"PRINT",#N/A,TRUE,"LADWP";"PRINT",#N/A,TRUE,"NEVBASE"}</definedName>
    <definedName name="shit_3" localSheetId="15" hidden="1">{"PRINT",#N/A,TRUE,"APPA";"PRINT",#N/A,TRUE,"APS";"PRINT",#N/A,TRUE,"BHPL";"PRINT",#N/A,TRUE,"BHPL2";"PRINT",#N/A,TRUE,"CDWR";"PRINT",#N/A,TRUE,"EWEB";"PRINT",#N/A,TRUE,"LADWP";"PRINT",#N/A,TRUE,"NEVBASE"}</definedName>
    <definedName name="shit_3" localSheetId="16" hidden="1">{"PRINT",#N/A,TRUE,"APPA";"PRINT",#N/A,TRUE,"APS";"PRINT",#N/A,TRUE,"BHPL";"PRINT",#N/A,TRUE,"BHPL2";"PRINT",#N/A,TRUE,"CDWR";"PRINT",#N/A,TRUE,"EWEB";"PRINT",#N/A,TRUE,"LADWP";"PRINT",#N/A,TRUE,"NEVBASE"}</definedName>
    <definedName name="shit_3" localSheetId="19" hidden="1">{"PRINT",#N/A,TRUE,"APPA";"PRINT",#N/A,TRUE,"APS";"PRINT",#N/A,TRUE,"BHPL";"PRINT",#N/A,TRUE,"BHPL2";"PRINT",#N/A,TRUE,"CDWR";"PRINT",#N/A,TRUE,"EWEB";"PRINT",#N/A,TRUE,"LADWP";"PRINT",#N/A,TRUE,"NEVBASE"}</definedName>
    <definedName name="shit_3" localSheetId="22" hidden="1">{"PRINT",#N/A,TRUE,"APPA";"PRINT",#N/A,TRUE,"APS";"PRINT",#N/A,TRUE,"BHPL";"PRINT",#N/A,TRUE,"BHPL2";"PRINT",#N/A,TRUE,"CDWR";"PRINT",#N/A,TRUE,"EWEB";"PRINT",#N/A,TRUE,"LADWP";"PRINT",#N/A,TRUE,"NEVBASE"}</definedName>
    <definedName name="shit_3" localSheetId="23" hidden="1">{"PRINT",#N/A,TRUE,"APPA";"PRINT",#N/A,TRUE,"APS";"PRINT",#N/A,TRUE,"BHPL";"PRINT",#N/A,TRUE,"BHPL2";"PRINT",#N/A,TRUE,"CDWR";"PRINT",#N/A,TRUE,"EWEB";"PRINT",#N/A,TRUE,"LADWP";"PRINT",#N/A,TRUE,"NEVBASE"}</definedName>
    <definedName name="shit_3" localSheetId="24" hidden="1">{"PRINT",#N/A,TRUE,"APPA";"PRINT",#N/A,TRUE,"APS";"PRINT",#N/A,TRUE,"BHPL";"PRINT",#N/A,TRUE,"BHPL2";"PRINT",#N/A,TRUE,"CDWR";"PRINT",#N/A,TRUE,"EWEB";"PRINT",#N/A,TRUE,"LADWP";"PRINT",#N/A,TRUE,"NEVBASE"}</definedName>
    <definedName name="shit_3" localSheetId="25" hidden="1">{"PRINT",#N/A,TRUE,"APPA";"PRINT",#N/A,TRUE,"APS";"PRINT",#N/A,TRUE,"BHPL";"PRINT",#N/A,TRUE,"BHPL2";"PRINT",#N/A,TRUE,"CDWR";"PRINT",#N/A,TRUE,"EWEB";"PRINT",#N/A,TRUE,"LADWP";"PRINT",#N/A,TRUE,"NEVBASE"}</definedName>
    <definedName name="shit_3" localSheetId="26" hidden="1">{"PRINT",#N/A,TRUE,"APPA";"PRINT",#N/A,TRUE,"APS";"PRINT",#N/A,TRUE,"BHPL";"PRINT",#N/A,TRUE,"BHPL2";"PRINT",#N/A,TRUE,"CDWR";"PRINT",#N/A,TRUE,"EWEB";"PRINT",#N/A,TRUE,"LADWP";"PRINT",#N/A,TRUE,"NEVBASE"}</definedName>
    <definedName name="shit_3" localSheetId="31" hidden="1">{"PRINT",#N/A,TRUE,"APPA";"PRINT",#N/A,TRUE,"APS";"PRINT",#N/A,TRUE,"BHPL";"PRINT",#N/A,TRUE,"BHPL2";"PRINT",#N/A,TRUE,"CDWR";"PRINT",#N/A,TRUE,"EWEB";"PRINT",#N/A,TRUE,"LADWP";"PRINT",#N/A,TRUE,"NEVBASE"}</definedName>
    <definedName name="shit_3" localSheetId="35" hidden="1">{"PRINT",#N/A,TRUE,"APPA";"PRINT",#N/A,TRUE,"APS";"PRINT",#N/A,TRUE,"BHPL";"PRINT",#N/A,TRUE,"BHPL2";"PRINT",#N/A,TRUE,"CDWR";"PRINT",#N/A,TRUE,"EWEB";"PRINT",#N/A,TRUE,"LADWP";"PRINT",#N/A,TRUE,"NEVBASE"}</definedName>
    <definedName name="shit_3" localSheetId="36" hidden="1">{"PRINT",#N/A,TRUE,"APPA";"PRINT",#N/A,TRUE,"APS";"PRINT",#N/A,TRUE,"BHPL";"PRINT",#N/A,TRUE,"BHPL2";"PRINT",#N/A,TRUE,"CDWR";"PRINT",#N/A,TRUE,"EWEB";"PRINT",#N/A,TRUE,"LADWP";"PRINT",#N/A,TRUE,"NEVBASE"}</definedName>
    <definedName name="shit_3" localSheetId="0" hidden="1">{"PRINT",#N/A,TRUE,"APPA";"PRINT",#N/A,TRUE,"APS";"PRINT",#N/A,TRUE,"BHPL";"PRINT",#N/A,TRUE,"BHPL2";"PRINT",#N/A,TRUE,"CDWR";"PRINT",#N/A,TRUE,"EWEB";"PRINT",#N/A,TRUE,"LADWP";"PRINT",#N/A,TRUE,"NEVBASE"}</definedName>
    <definedName name="shit_3" hidden="1">{"PRINT",#N/A,TRUE,"APPA";"PRINT",#N/A,TRUE,"APS";"PRINT",#N/A,TRUE,"BHPL";"PRINT",#N/A,TRUE,"BHPL2";"PRINT",#N/A,TRUE,"CDWR";"PRINT",#N/A,TRUE,"EWEB";"PRINT",#N/A,TRUE,"LADWP";"PRINT",#N/A,TRUE,"NEVBASE"}</definedName>
    <definedName name="shit_4" localSheetId="1" hidden="1">{"PRINT",#N/A,TRUE,"APPA";"PRINT",#N/A,TRUE,"APS";"PRINT",#N/A,TRUE,"BHPL";"PRINT",#N/A,TRUE,"BHPL2";"PRINT",#N/A,TRUE,"CDWR";"PRINT",#N/A,TRUE,"EWEB";"PRINT",#N/A,TRUE,"LADWP";"PRINT",#N/A,TRUE,"NEVBASE"}</definedName>
    <definedName name="shit_4" localSheetId="3" hidden="1">{"PRINT",#N/A,TRUE,"APPA";"PRINT",#N/A,TRUE,"APS";"PRINT",#N/A,TRUE,"BHPL";"PRINT",#N/A,TRUE,"BHPL2";"PRINT",#N/A,TRUE,"CDWR";"PRINT",#N/A,TRUE,"EWEB";"PRINT",#N/A,TRUE,"LADWP";"PRINT",#N/A,TRUE,"NEVBASE"}</definedName>
    <definedName name="shit_4" localSheetId="4" hidden="1">{"PRINT",#N/A,TRUE,"APPA";"PRINT",#N/A,TRUE,"APS";"PRINT",#N/A,TRUE,"BHPL";"PRINT",#N/A,TRUE,"BHPL2";"PRINT",#N/A,TRUE,"CDWR";"PRINT",#N/A,TRUE,"EWEB";"PRINT",#N/A,TRUE,"LADWP";"PRINT",#N/A,TRUE,"NEVBASE"}</definedName>
    <definedName name="shit_4" localSheetId="13" hidden="1">{"PRINT",#N/A,TRUE,"APPA";"PRINT",#N/A,TRUE,"APS";"PRINT",#N/A,TRUE,"BHPL";"PRINT",#N/A,TRUE,"BHPL2";"PRINT",#N/A,TRUE,"CDWR";"PRINT",#N/A,TRUE,"EWEB";"PRINT",#N/A,TRUE,"LADWP";"PRINT",#N/A,TRUE,"NEVBASE"}</definedName>
    <definedName name="shit_4" localSheetId="14" hidden="1">{"PRINT",#N/A,TRUE,"APPA";"PRINT",#N/A,TRUE,"APS";"PRINT",#N/A,TRUE,"BHPL";"PRINT",#N/A,TRUE,"BHPL2";"PRINT",#N/A,TRUE,"CDWR";"PRINT",#N/A,TRUE,"EWEB";"PRINT",#N/A,TRUE,"LADWP";"PRINT",#N/A,TRUE,"NEVBASE"}</definedName>
    <definedName name="shit_4" localSheetId="15" hidden="1">{"PRINT",#N/A,TRUE,"APPA";"PRINT",#N/A,TRUE,"APS";"PRINT",#N/A,TRUE,"BHPL";"PRINT",#N/A,TRUE,"BHPL2";"PRINT",#N/A,TRUE,"CDWR";"PRINT",#N/A,TRUE,"EWEB";"PRINT",#N/A,TRUE,"LADWP";"PRINT",#N/A,TRUE,"NEVBASE"}</definedName>
    <definedName name="shit_4" localSheetId="16" hidden="1">{"PRINT",#N/A,TRUE,"APPA";"PRINT",#N/A,TRUE,"APS";"PRINT",#N/A,TRUE,"BHPL";"PRINT",#N/A,TRUE,"BHPL2";"PRINT",#N/A,TRUE,"CDWR";"PRINT",#N/A,TRUE,"EWEB";"PRINT",#N/A,TRUE,"LADWP";"PRINT",#N/A,TRUE,"NEVBASE"}</definedName>
    <definedName name="shit_4" localSheetId="19" hidden="1">{"PRINT",#N/A,TRUE,"APPA";"PRINT",#N/A,TRUE,"APS";"PRINT",#N/A,TRUE,"BHPL";"PRINT",#N/A,TRUE,"BHPL2";"PRINT",#N/A,TRUE,"CDWR";"PRINT",#N/A,TRUE,"EWEB";"PRINT",#N/A,TRUE,"LADWP";"PRINT",#N/A,TRUE,"NEVBASE"}</definedName>
    <definedName name="shit_4" localSheetId="22" hidden="1">{"PRINT",#N/A,TRUE,"APPA";"PRINT",#N/A,TRUE,"APS";"PRINT",#N/A,TRUE,"BHPL";"PRINT",#N/A,TRUE,"BHPL2";"PRINT",#N/A,TRUE,"CDWR";"PRINT",#N/A,TRUE,"EWEB";"PRINT",#N/A,TRUE,"LADWP";"PRINT",#N/A,TRUE,"NEVBASE"}</definedName>
    <definedName name="shit_4" localSheetId="23" hidden="1">{"PRINT",#N/A,TRUE,"APPA";"PRINT",#N/A,TRUE,"APS";"PRINT",#N/A,TRUE,"BHPL";"PRINT",#N/A,TRUE,"BHPL2";"PRINT",#N/A,TRUE,"CDWR";"PRINT",#N/A,TRUE,"EWEB";"PRINT",#N/A,TRUE,"LADWP";"PRINT",#N/A,TRUE,"NEVBASE"}</definedName>
    <definedName name="shit_4" localSheetId="24" hidden="1">{"PRINT",#N/A,TRUE,"APPA";"PRINT",#N/A,TRUE,"APS";"PRINT",#N/A,TRUE,"BHPL";"PRINT",#N/A,TRUE,"BHPL2";"PRINT",#N/A,TRUE,"CDWR";"PRINT",#N/A,TRUE,"EWEB";"PRINT",#N/A,TRUE,"LADWP";"PRINT",#N/A,TRUE,"NEVBASE"}</definedName>
    <definedName name="shit_4" localSheetId="25" hidden="1">{"PRINT",#N/A,TRUE,"APPA";"PRINT",#N/A,TRUE,"APS";"PRINT",#N/A,TRUE,"BHPL";"PRINT",#N/A,TRUE,"BHPL2";"PRINT",#N/A,TRUE,"CDWR";"PRINT",#N/A,TRUE,"EWEB";"PRINT",#N/A,TRUE,"LADWP";"PRINT",#N/A,TRUE,"NEVBASE"}</definedName>
    <definedName name="shit_4" localSheetId="26" hidden="1">{"PRINT",#N/A,TRUE,"APPA";"PRINT",#N/A,TRUE,"APS";"PRINT",#N/A,TRUE,"BHPL";"PRINT",#N/A,TRUE,"BHPL2";"PRINT",#N/A,TRUE,"CDWR";"PRINT",#N/A,TRUE,"EWEB";"PRINT",#N/A,TRUE,"LADWP";"PRINT",#N/A,TRUE,"NEVBASE"}</definedName>
    <definedName name="shit_4" localSheetId="31" hidden="1">{"PRINT",#N/A,TRUE,"APPA";"PRINT",#N/A,TRUE,"APS";"PRINT",#N/A,TRUE,"BHPL";"PRINT",#N/A,TRUE,"BHPL2";"PRINT",#N/A,TRUE,"CDWR";"PRINT",#N/A,TRUE,"EWEB";"PRINT",#N/A,TRUE,"LADWP";"PRINT",#N/A,TRUE,"NEVBASE"}</definedName>
    <definedName name="shit_4" localSheetId="35" hidden="1">{"PRINT",#N/A,TRUE,"APPA";"PRINT",#N/A,TRUE,"APS";"PRINT",#N/A,TRUE,"BHPL";"PRINT",#N/A,TRUE,"BHPL2";"PRINT",#N/A,TRUE,"CDWR";"PRINT",#N/A,TRUE,"EWEB";"PRINT",#N/A,TRUE,"LADWP";"PRINT",#N/A,TRUE,"NEVBASE"}</definedName>
    <definedName name="shit_4" localSheetId="36" hidden="1">{"PRINT",#N/A,TRUE,"APPA";"PRINT",#N/A,TRUE,"APS";"PRINT",#N/A,TRUE,"BHPL";"PRINT",#N/A,TRUE,"BHPL2";"PRINT",#N/A,TRUE,"CDWR";"PRINT",#N/A,TRUE,"EWEB";"PRINT",#N/A,TRUE,"LADWP";"PRINT",#N/A,TRUE,"NEVBASE"}</definedName>
    <definedName name="shit_4" localSheetId="0" hidden="1">{"PRINT",#N/A,TRUE,"APPA";"PRINT",#N/A,TRUE,"APS";"PRINT",#N/A,TRUE,"BHPL";"PRINT",#N/A,TRUE,"BHPL2";"PRINT",#N/A,TRUE,"CDWR";"PRINT",#N/A,TRUE,"EWEB";"PRINT",#N/A,TRUE,"LADWP";"PRINT",#N/A,TRUE,"NEVBASE"}</definedName>
    <definedName name="shit_4" hidden="1">{"PRINT",#N/A,TRUE,"APPA";"PRINT",#N/A,TRUE,"APS";"PRINT",#N/A,TRUE,"BHPL";"PRINT",#N/A,TRUE,"BHPL2";"PRINT",#N/A,TRUE,"CDWR";"PRINT",#N/A,TRUE,"EWEB";"PRINT",#N/A,TRUE,"LADWP";"PRINT",#N/A,TRUE,"NEVBASE"}</definedName>
    <definedName name="shit_5" localSheetId="1" hidden="1">{"PRINT",#N/A,TRUE,"APPA";"PRINT",#N/A,TRUE,"APS";"PRINT",#N/A,TRUE,"BHPL";"PRINT",#N/A,TRUE,"BHPL2";"PRINT",#N/A,TRUE,"CDWR";"PRINT",#N/A,TRUE,"EWEB";"PRINT",#N/A,TRUE,"LADWP";"PRINT",#N/A,TRUE,"NEVBASE"}</definedName>
    <definedName name="shit_5" localSheetId="3" hidden="1">{"PRINT",#N/A,TRUE,"APPA";"PRINT",#N/A,TRUE,"APS";"PRINT",#N/A,TRUE,"BHPL";"PRINT",#N/A,TRUE,"BHPL2";"PRINT",#N/A,TRUE,"CDWR";"PRINT",#N/A,TRUE,"EWEB";"PRINT",#N/A,TRUE,"LADWP";"PRINT",#N/A,TRUE,"NEVBASE"}</definedName>
    <definedName name="shit_5" localSheetId="4" hidden="1">{"PRINT",#N/A,TRUE,"APPA";"PRINT",#N/A,TRUE,"APS";"PRINT",#N/A,TRUE,"BHPL";"PRINT",#N/A,TRUE,"BHPL2";"PRINT",#N/A,TRUE,"CDWR";"PRINT",#N/A,TRUE,"EWEB";"PRINT",#N/A,TRUE,"LADWP";"PRINT",#N/A,TRUE,"NEVBASE"}</definedName>
    <definedName name="shit_5" localSheetId="13" hidden="1">{"PRINT",#N/A,TRUE,"APPA";"PRINT",#N/A,TRUE,"APS";"PRINT",#N/A,TRUE,"BHPL";"PRINT",#N/A,TRUE,"BHPL2";"PRINT",#N/A,TRUE,"CDWR";"PRINT",#N/A,TRUE,"EWEB";"PRINT",#N/A,TRUE,"LADWP";"PRINT",#N/A,TRUE,"NEVBASE"}</definedName>
    <definedName name="shit_5" localSheetId="14" hidden="1">{"PRINT",#N/A,TRUE,"APPA";"PRINT",#N/A,TRUE,"APS";"PRINT",#N/A,TRUE,"BHPL";"PRINT",#N/A,TRUE,"BHPL2";"PRINT",#N/A,TRUE,"CDWR";"PRINT",#N/A,TRUE,"EWEB";"PRINT",#N/A,TRUE,"LADWP";"PRINT",#N/A,TRUE,"NEVBASE"}</definedName>
    <definedName name="shit_5" localSheetId="15" hidden="1">{"PRINT",#N/A,TRUE,"APPA";"PRINT",#N/A,TRUE,"APS";"PRINT",#N/A,TRUE,"BHPL";"PRINT",#N/A,TRUE,"BHPL2";"PRINT",#N/A,TRUE,"CDWR";"PRINT",#N/A,TRUE,"EWEB";"PRINT",#N/A,TRUE,"LADWP";"PRINT",#N/A,TRUE,"NEVBASE"}</definedName>
    <definedName name="shit_5" localSheetId="16" hidden="1">{"PRINT",#N/A,TRUE,"APPA";"PRINT",#N/A,TRUE,"APS";"PRINT",#N/A,TRUE,"BHPL";"PRINT",#N/A,TRUE,"BHPL2";"PRINT",#N/A,TRUE,"CDWR";"PRINT",#N/A,TRUE,"EWEB";"PRINT",#N/A,TRUE,"LADWP";"PRINT",#N/A,TRUE,"NEVBASE"}</definedName>
    <definedName name="shit_5" localSheetId="19" hidden="1">{"PRINT",#N/A,TRUE,"APPA";"PRINT",#N/A,TRUE,"APS";"PRINT",#N/A,TRUE,"BHPL";"PRINT",#N/A,TRUE,"BHPL2";"PRINT",#N/A,TRUE,"CDWR";"PRINT",#N/A,TRUE,"EWEB";"PRINT",#N/A,TRUE,"LADWP";"PRINT",#N/A,TRUE,"NEVBASE"}</definedName>
    <definedName name="shit_5" localSheetId="22" hidden="1">{"PRINT",#N/A,TRUE,"APPA";"PRINT",#N/A,TRUE,"APS";"PRINT",#N/A,TRUE,"BHPL";"PRINT",#N/A,TRUE,"BHPL2";"PRINT",#N/A,TRUE,"CDWR";"PRINT",#N/A,TRUE,"EWEB";"PRINT",#N/A,TRUE,"LADWP";"PRINT",#N/A,TRUE,"NEVBASE"}</definedName>
    <definedName name="shit_5" localSheetId="23" hidden="1">{"PRINT",#N/A,TRUE,"APPA";"PRINT",#N/A,TRUE,"APS";"PRINT",#N/A,TRUE,"BHPL";"PRINT",#N/A,TRUE,"BHPL2";"PRINT",#N/A,TRUE,"CDWR";"PRINT",#N/A,TRUE,"EWEB";"PRINT",#N/A,TRUE,"LADWP";"PRINT",#N/A,TRUE,"NEVBASE"}</definedName>
    <definedName name="shit_5" localSheetId="24" hidden="1">{"PRINT",#N/A,TRUE,"APPA";"PRINT",#N/A,TRUE,"APS";"PRINT",#N/A,TRUE,"BHPL";"PRINT",#N/A,TRUE,"BHPL2";"PRINT",#N/A,TRUE,"CDWR";"PRINT",#N/A,TRUE,"EWEB";"PRINT",#N/A,TRUE,"LADWP";"PRINT",#N/A,TRUE,"NEVBASE"}</definedName>
    <definedName name="shit_5" localSheetId="25" hidden="1">{"PRINT",#N/A,TRUE,"APPA";"PRINT",#N/A,TRUE,"APS";"PRINT",#N/A,TRUE,"BHPL";"PRINT",#N/A,TRUE,"BHPL2";"PRINT",#N/A,TRUE,"CDWR";"PRINT",#N/A,TRUE,"EWEB";"PRINT",#N/A,TRUE,"LADWP";"PRINT",#N/A,TRUE,"NEVBASE"}</definedName>
    <definedName name="shit_5" localSheetId="26" hidden="1">{"PRINT",#N/A,TRUE,"APPA";"PRINT",#N/A,TRUE,"APS";"PRINT",#N/A,TRUE,"BHPL";"PRINT",#N/A,TRUE,"BHPL2";"PRINT",#N/A,TRUE,"CDWR";"PRINT",#N/A,TRUE,"EWEB";"PRINT",#N/A,TRUE,"LADWP";"PRINT",#N/A,TRUE,"NEVBASE"}</definedName>
    <definedName name="shit_5" localSheetId="31" hidden="1">{"PRINT",#N/A,TRUE,"APPA";"PRINT",#N/A,TRUE,"APS";"PRINT",#N/A,TRUE,"BHPL";"PRINT",#N/A,TRUE,"BHPL2";"PRINT",#N/A,TRUE,"CDWR";"PRINT",#N/A,TRUE,"EWEB";"PRINT",#N/A,TRUE,"LADWP";"PRINT",#N/A,TRUE,"NEVBASE"}</definedName>
    <definedName name="shit_5" localSheetId="35" hidden="1">{"PRINT",#N/A,TRUE,"APPA";"PRINT",#N/A,TRUE,"APS";"PRINT",#N/A,TRUE,"BHPL";"PRINT",#N/A,TRUE,"BHPL2";"PRINT",#N/A,TRUE,"CDWR";"PRINT",#N/A,TRUE,"EWEB";"PRINT",#N/A,TRUE,"LADWP";"PRINT",#N/A,TRUE,"NEVBASE"}</definedName>
    <definedName name="shit_5" localSheetId="36" hidden="1">{"PRINT",#N/A,TRUE,"APPA";"PRINT",#N/A,TRUE,"APS";"PRINT",#N/A,TRUE,"BHPL";"PRINT",#N/A,TRUE,"BHPL2";"PRINT",#N/A,TRUE,"CDWR";"PRINT",#N/A,TRUE,"EWEB";"PRINT",#N/A,TRUE,"LADWP";"PRINT",#N/A,TRUE,"NEVBASE"}</definedName>
    <definedName name="shit_5" localSheetId="0" hidden="1">{"PRINT",#N/A,TRUE,"APPA";"PRINT",#N/A,TRUE,"APS";"PRINT",#N/A,TRUE,"BHPL";"PRINT",#N/A,TRUE,"BHPL2";"PRINT",#N/A,TRUE,"CDWR";"PRINT",#N/A,TRUE,"EWEB";"PRINT",#N/A,TRUE,"LADWP";"PRINT",#N/A,TRUE,"NEVBASE"}</definedName>
    <definedName name="shit_5" hidden="1">{"PRINT",#N/A,TRUE,"APPA";"PRINT",#N/A,TRUE,"APS";"PRINT",#N/A,TRUE,"BHPL";"PRINT",#N/A,TRUE,"BHPL2";"PRINT",#N/A,TRUE,"CDWR";"PRINT",#N/A,TRUE,"EWEB";"PRINT",#N/A,TRUE,"LADWP";"PRINT",#N/A,TRUE,"NEVBASE"}</definedName>
    <definedName name="Solar_Fixed_CC_West">[4]CapacityContribution!$B$7</definedName>
    <definedName name="Solar_Tracking_CC_East">[4]CapacityContribution!$B$8</definedName>
    <definedName name="Solar_Tracking_CC_West">[4]CapacityContribution!$B$9</definedName>
    <definedName name="SpecMaint" localSheetId="1" hidden="1">{#N/A,#N/A,FALSE,"Summary";#N/A,#N/A,FALSE,"SmPlants";#N/A,#N/A,FALSE,"Utah";#N/A,#N/A,FALSE,"Idaho";#N/A,#N/A,FALSE,"Lewis River";#N/A,#N/A,FALSE,"NrthUmpq";#N/A,#N/A,FALSE,"KlamRog"}</definedName>
    <definedName name="SpecMaint" localSheetId="3" hidden="1">{#N/A,#N/A,FALSE,"Summary";#N/A,#N/A,FALSE,"SmPlants";#N/A,#N/A,FALSE,"Utah";#N/A,#N/A,FALSE,"Idaho";#N/A,#N/A,FALSE,"Lewis River";#N/A,#N/A,FALSE,"NrthUmpq";#N/A,#N/A,FALSE,"KlamRog"}</definedName>
    <definedName name="SpecMaint" localSheetId="4" hidden="1">{#N/A,#N/A,FALSE,"Summary";#N/A,#N/A,FALSE,"SmPlants";#N/A,#N/A,FALSE,"Utah";#N/A,#N/A,FALSE,"Idaho";#N/A,#N/A,FALSE,"Lewis River";#N/A,#N/A,FALSE,"NrthUmpq";#N/A,#N/A,FALSE,"KlamRog"}</definedName>
    <definedName name="SpecMaint" localSheetId="13" hidden="1">{#N/A,#N/A,FALSE,"Summary";#N/A,#N/A,FALSE,"SmPlants";#N/A,#N/A,FALSE,"Utah";#N/A,#N/A,FALSE,"Idaho";#N/A,#N/A,FALSE,"Lewis River";#N/A,#N/A,FALSE,"NrthUmpq";#N/A,#N/A,FALSE,"KlamRog"}</definedName>
    <definedName name="SpecMaint" localSheetId="14" hidden="1">{#N/A,#N/A,FALSE,"Summary";#N/A,#N/A,FALSE,"SmPlants";#N/A,#N/A,FALSE,"Utah";#N/A,#N/A,FALSE,"Idaho";#N/A,#N/A,FALSE,"Lewis River";#N/A,#N/A,FALSE,"NrthUmpq";#N/A,#N/A,FALSE,"KlamRog"}</definedName>
    <definedName name="SpecMaint" localSheetId="15" hidden="1">{#N/A,#N/A,FALSE,"Summary";#N/A,#N/A,FALSE,"SmPlants";#N/A,#N/A,FALSE,"Utah";#N/A,#N/A,FALSE,"Idaho";#N/A,#N/A,FALSE,"Lewis River";#N/A,#N/A,FALSE,"NrthUmpq";#N/A,#N/A,FALSE,"KlamRog"}</definedName>
    <definedName name="SpecMaint" localSheetId="16" hidden="1">{#N/A,#N/A,FALSE,"Summary";#N/A,#N/A,FALSE,"SmPlants";#N/A,#N/A,FALSE,"Utah";#N/A,#N/A,FALSE,"Idaho";#N/A,#N/A,FALSE,"Lewis River";#N/A,#N/A,FALSE,"NrthUmpq";#N/A,#N/A,FALSE,"KlamRog"}</definedName>
    <definedName name="SpecMaint" localSheetId="19" hidden="1">{#N/A,#N/A,FALSE,"Summary";#N/A,#N/A,FALSE,"SmPlants";#N/A,#N/A,FALSE,"Utah";#N/A,#N/A,FALSE,"Idaho";#N/A,#N/A,FALSE,"Lewis River";#N/A,#N/A,FALSE,"NrthUmpq";#N/A,#N/A,FALSE,"KlamRog"}</definedName>
    <definedName name="SpecMaint" localSheetId="22" hidden="1">{#N/A,#N/A,FALSE,"Summary";#N/A,#N/A,FALSE,"SmPlants";#N/A,#N/A,FALSE,"Utah";#N/A,#N/A,FALSE,"Idaho";#N/A,#N/A,FALSE,"Lewis River";#N/A,#N/A,FALSE,"NrthUmpq";#N/A,#N/A,FALSE,"KlamRog"}</definedName>
    <definedName name="SpecMaint" localSheetId="23" hidden="1">{#N/A,#N/A,FALSE,"Summary";#N/A,#N/A,FALSE,"SmPlants";#N/A,#N/A,FALSE,"Utah";#N/A,#N/A,FALSE,"Idaho";#N/A,#N/A,FALSE,"Lewis River";#N/A,#N/A,FALSE,"NrthUmpq";#N/A,#N/A,FALSE,"KlamRog"}</definedName>
    <definedName name="SpecMaint" localSheetId="24" hidden="1">{#N/A,#N/A,FALSE,"Summary";#N/A,#N/A,FALSE,"SmPlants";#N/A,#N/A,FALSE,"Utah";#N/A,#N/A,FALSE,"Idaho";#N/A,#N/A,FALSE,"Lewis River";#N/A,#N/A,FALSE,"NrthUmpq";#N/A,#N/A,FALSE,"KlamRog"}</definedName>
    <definedName name="SpecMaint" localSheetId="25" hidden="1">{#N/A,#N/A,FALSE,"Summary";#N/A,#N/A,FALSE,"SmPlants";#N/A,#N/A,FALSE,"Utah";#N/A,#N/A,FALSE,"Idaho";#N/A,#N/A,FALSE,"Lewis River";#N/A,#N/A,FALSE,"NrthUmpq";#N/A,#N/A,FALSE,"KlamRog"}</definedName>
    <definedName name="SpecMaint" localSheetId="26" hidden="1">{#N/A,#N/A,FALSE,"Summary";#N/A,#N/A,FALSE,"SmPlants";#N/A,#N/A,FALSE,"Utah";#N/A,#N/A,FALSE,"Idaho";#N/A,#N/A,FALSE,"Lewis River";#N/A,#N/A,FALSE,"NrthUmpq";#N/A,#N/A,FALSE,"KlamRog"}</definedName>
    <definedName name="SpecMaint" localSheetId="31" hidden="1">{#N/A,#N/A,FALSE,"Summary";#N/A,#N/A,FALSE,"SmPlants";#N/A,#N/A,FALSE,"Utah";#N/A,#N/A,FALSE,"Idaho";#N/A,#N/A,FALSE,"Lewis River";#N/A,#N/A,FALSE,"NrthUmpq";#N/A,#N/A,FALSE,"KlamRog"}</definedName>
    <definedName name="SpecMaint" localSheetId="35" hidden="1">{#N/A,#N/A,FALSE,"Summary";#N/A,#N/A,FALSE,"SmPlants";#N/A,#N/A,FALSE,"Utah";#N/A,#N/A,FALSE,"Idaho";#N/A,#N/A,FALSE,"Lewis River";#N/A,#N/A,FALSE,"NrthUmpq";#N/A,#N/A,FALSE,"KlamRog"}</definedName>
    <definedName name="SpecMaint" localSheetId="36" hidden="1">{#N/A,#N/A,FALSE,"Summary";#N/A,#N/A,FALSE,"SmPlants";#N/A,#N/A,FALSE,"Utah";#N/A,#N/A,FALSE,"Idaho";#N/A,#N/A,FALSE,"Lewis River";#N/A,#N/A,FALSE,"NrthUmpq";#N/A,#N/A,FALSE,"KlamRog"}</definedName>
    <definedName name="SpecMaint" localSheetId="0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ecMaint_1" localSheetId="1" hidden="1">{#N/A,#N/A,FALSE,"Summary";#N/A,#N/A,FALSE,"SmPlants";#N/A,#N/A,FALSE,"Utah";#N/A,#N/A,FALSE,"Idaho";#N/A,#N/A,FALSE,"Lewis River";#N/A,#N/A,FALSE,"NrthUmpq";#N/A,#N/A,FALSE,"KlamRog"}</definedName>
    <definedName name="SpecMaint_1" localSheetId="3" hidden="1">{#N/A,#N/A,FALSE,"Summary";#N/A,#N/A,FALSE,"SmPlants";#N/A,#N/A,FALSE,"Utah";#N/A,#N/A,FALSE,"Idaho";#N/A,#N/A,FALSE,"Lewis River";#N/A,#N/A,FALSE,"NrthUmpq";#N/A,#N/A,FALSE,"KlamRog"}</definedName>
    <definedName name="SpecMaint_1" localSheetId="4" hidden="1">{#N/A,#N/A,FALSE,"Summary";#N/A,#N/A,FALSE,"SmPlants";#N/A,#N/A,FALSE,"Utah";#N/A,#N/A,FALSE,"Idaho";#N/A,#N/A,FALSE,"Lewis River";#N/A,#N/A,FALSE,"NrthUmpq";#N/A,#N/A,FALSE,"KlamRog"}</definedName>
    <definedName name="SpecMaint_1" localSheetId="13" hidden="1">{#N/A,#N/A,FALSE,"Summary";#N/A,#N/A,FALSE,"SmPlants";#N/A,#N/A,FALSE,"Utah";#N/A,#N/A,FALSE,"Idaho";#N/A,#N/A,FALSE,"Lewis River";#N/A,#N/A,FALSE,"NrthUmpq";#N/A,#N/A,FALSE,"KlamRog"}</definedName>
    <definedName name="SpecMaint_1" localSheetId="14" hidden="1">{#N/A,#N/A,FALSE,"Summary";#N/A,#N/A,FALSE,"SmPlants";#N/A,#N/A,FALSE,"Utah";#N/A,#N/A,FALSE,"Idaho";#N/A,#N/A,FALSE,"Lewis River";#N/A,#N/A,FALSE,"NrthUmpq";#N/A,#N/A,FALSE,"KlamRog"}</definedName>
    <definedName name="SpecMaint_1" localSheetId="15" hidden="1">{#N/A,#N/A,FALSE,"Summary";#N/A,#N/A,FALSE,"SmPlants";#N/A,#N/A,FALSE,"Utah";#N/A,#N/A,FALSE,"Idaho";#N/A,#N/A,FALSE,"Lewis River";#N/A,#N/A,FALSE,"NrthUmpq";#N/A,#N/A,FALSE,"KlamRog"}</definedName>
    <definedName name="SpecMaint_1" localSheetId="16" hidden="1">{#N/A,#N/A,FALSE,"Summary";#N/A,#N/A,FALSE,"SmPlants";#N/A,#N/A,FALSE,"Utah";#N/A,#N/A,FALSE,"Idaho";#N/A,#N/A,FALSE,"Lewis River";#N/A,#N/A,FALSE,"NrthUmpq";#N/A,#N/A,FALSE,"KlamRog"}</definedName>
    <definedName name="SpecMaint_1" localSheetId="19" hidden="1">{#N/A,#N/A,FALSE,"Summary";#N/A,#N/A,FALSE,"SmPlants";#N/A,#N/A,FALSE,"Utah";#N/A,#N/A,FALSE,"Idaho";#N/A,#N/A,FALSE,"Lewis River";#N/A,#N/A,FALSE,"NrthUmpq";#N/A,#N/A,FALSE,"KlamRog"}</definedName>
    <definedName name="SpecMaint_1" localSheetId="22" hidden="1">{#N/A,#N/A,FALSE,"Summary";#N/A,#N/A,FALSE,"SmPlants";#N/A,#N/A,FALSE,"Utah";#N/A,#N/A,FALSE,"Idaho";#N/A,#N/A,FALSE,"Lewis River";#N/A,#N/A,FALSE,"NrthUmpq";#N/A,#N/A,FALSE,"KlamRog"}</definedName>
    <definedName name="SpecMaint_1" localSheetId="23" hidden="1">{#N/A,#N/A,FALSE,"Summary";#N/A,#N/A,FALSE,"SmPlants";#N/A,#N/A,FALSE,"Utah";#N/A,#N/A,FALSE,"Idaho";#N/A,#N/A,FALSE,"Lewis River";#N/A,#N/A,FALSE,"NrthUmpq";#N/A,#N/A,FALSE,"KlamRog"}</definedName>
    <definedName name="SpecMaint_1" localSheetId="24" hidden="1">{#N/A,#N/A,FALSE,"Summary";#N/A,#N/A,FALSE,"SmPlants";#N/A,#N/A,FALSE,"Utah";#N/A,#N/A,FALSE,"Idaho";#N/A,#N/A,FALSE,"Lewis River";#N/A,#N/A,FALSE,"NrthUmpq";#N/A,#N/A,FALSE,"KlamRog"}</definedName>
    <definedName name="SpecMaint_1" localSheetId="25" hidden="1">{#N/A,#N/A,FALSE,"Summary";#N/A,#N/A,FALSE,"SmPlants";#N/A,#N/A,FALSE,"Utah";#N/A,#N/A,FALSE,"Idaho";#N/A,#N/A,FALSE,"Lewis River";#N/A,#N/A,FALSE,"NrthUmpq";#N/A,#N/A,FALSE,"KlamRog"}</definedName>
    <definedName name="SpecMaint_1" localSheetId="26" hidden="1">{#N/A,#N/A,FALSE,"Summary";#N/A,#N/A,FALSE,"SmPlants";#N/A,#N/A,FALSE,"Utah";#N/A,#N/A,FALSE,"Idaho";#N/A,#N/A,FALSE,"Lewis River";#N/A,#N/A,FALSE,"NrthUmpq";#N/A,#N/A,FALSE,"KlamRog"}</definedName>
    <definedName name="SpecMaint_1" localSheetId="31" hidden="1">{#N/A,#N/A,FALSE,"Summary";#N/A,#N/A,FALSE,"SmPlants";#N/A,#N/A,FALSE,"Utah";#N/A,#N/A,FALSE,"Idaho";#N/A,#N/A,FALSE,"Lewis River";#N/A,#N/A,FALSE,"NrthUmpq";#N/A,#N/A,FALSE,"KlamRog"}</definedName>
    <definedName name="SpecMaint_1" localSheetId="35" hidden="1">{#N/A,#N/A,FALSE,"Summary";#N/A,#N/A,FALSE,"SmPlants";#N/A,#N/A,FALSE,"Utah";#N/A,#N/A,FALSE,"Idaho";#N/A,#N/A,FALSE,"Lewis River";#N/A,#N/A,FALSE,"NrthUmpq";#N/A,#N/A,FALSE,"KlamRog"}</definedName>
    <definedName name="SpecMaint_1" localSheetId="36" hidden="1">{#N/A,#N/A,FALSE,"Summary";#N/A,#N/A,FALSE,"SmPlants";#N/A,#N/A,FALSE,"Utah";#N/A,#N/A,FALSE,"Idaho";#N/A,#N/A,FALSE,"Lewis River";#N/A,#N/A,FALSE,"NrthUmpq";#N/A,#N/A,FALSE,"KlamRog"}</definedName>
    <definedName name="SpecMaint_1" localSheetId="0" hidden="1">{#N/A,#N/A,FALSE,"Summary";#N/A,#N/A,FALSE,"SmPlants";#N/A,#N/A,FALSE,"Utah";#N/A,#N/A,FALSE,"Idaho";#N/A,#N/A,FALSE,"Lewis River";#N/A,#N/A,FALSE,"NrthUmpq";#N/A,#N/A,FALSE,"KlamRog"}</definedName>
    <definedName name="SpecMaint_1" hidden="1">{#N/A,#N/A,FALSE,"Summary";#N/A,#N/A,FALSE,"SmPlants";#N/A,#N/A,FALSE,"Utah";#N/A,#N/A,FALSE,"Idaho";#N/A,#N/A,FALSE,"Lewis River";#N/A,#N/A,FALSE,"NrthUmpq";#N/A,#N/A,FALSE,"KlamRog"}</definedName>
    <definedName name="SpecMaint_2" localSheetId="1" hidden="1">{#N/A,#N/A,FALSE,"Summary";#N/A,#N/A,FALSE,"SmPlants";#N/A,#N/A,FALSE,"Utah";#N/A,#N/A,FALSE,"Idaho";#N/A,#N/A,FALSE,"Lewis River";#N/A,#N/A,FALSE,"NrthUmpq";#N/A,#N/A,FALSE,"KlamRog"}</definedName>
    <definedName name="SpecMaint_2" localSheetId="3" hidden="1">{#N/A,#N/A,FALSE,"Summary";#N/A,#N/A,FALSE,"SmPlants";#N/A,#N/A,FALSE,"Utah";#N/A,#N/A,FALSE,"Idaho";#N/A,#N/A,FALSE,"Lewis River";#N/A,#N/A,FALSE,"NrthUmpq";#N/A,#N/A,FALSE,"KlamRog"}</definedName>
    <definedName name="SpecMaint_2" localSheetId="4" hidden="1">{#N/A,#N/A,FALSE,"Summary";#N/A,#N/A,FALSE,"SmPlants";#N/A,#N/A,FALSE,"Utah";#N/A,#N/A,FALSE,"Idaho";#N/A,#N/A,FALSE,"Lewis River";#N/A,#N/A,FALSE,"NrthUmpq";#N/A,#N/A,FALSE,"KlamRog"}</definedName>
    <definedName name="SpecMaint_2" localSheetId="13" hidden="1">{#N/A,#N/A,FALSE,"Summary";#N/A,#N/A,FALSE,"SmPlants";#N/A,#N/A,FALSE,"Utah";#N/A,#N/A,FALSE,"Idaho";#N/A,#N/A,FALSE,"Lewis River";#N/A,#N/A,FALSE,"NrthUmpq";#N/A,#N/A,FALSE,"KlamRog"}</definedName>
    <definedName name="SpecMaint_2" localSheetId="14" hidden="1">{#N/A,#N/A,FALSE,"Summary";#N/A,#N/A,FALSE,"SmPlants";#N/A,#N/A,FALSE,"Utah";#N/A,#N/A,FALSE,"Idaho";#N/A,#N/A,FALSE,"Lewis River";#N/A,#N/A,FALSE,"NrthUmpq";#N/A,#N/A,FALSE,"KlamRog"}</definedName>
    <definedName name="SpecMaint_2" localSheetId="15" hidden="1">{#N/A,#N/A,FALSE,"Summary";#N/A,#N/A,FALSE,"SmPlants";#N/A,#N/A,FALSE,"Utah";#N/A,#N/A,FALSE,"Idaho";#N/A,#N/A,FALSE,"Lewis River";#N/A,#N/A,FALSE,"NrthUmpq";#N/A,#N/A,FALSE,"KlamRog"}</definedName>
    <definedName name="SpecMaint_2" localSheetId="16" hidden="1">{#N/A,#N/A,FALSE,"Summary";#N/A,#N/A,FALSE,"SmPlants";#N/A,#N/A,FALSE,"Utah";#N/A,#N/A,FALSE,"Idaho";#N/A,#N/A,FALSE,"Lewis River";#N/A,#N/A,FALSE,"NrthUmpq";#N/A,#N/A,FALSE,"KlamRog"}</definedName>
    <definedName name="SpecMaint_2" localSheetId="19" hidden="1">{#N/A,#N/A,FALSE,"Summary";#N/A,#N/A,FALSE,"SmPlants";#N/A,#N/A,FALSE,"Utah";#N/A,#N/A,FALSE,"Idaho";#N/A,#N/A,FALSE,"Lewis River";#N/A,#N/A,FALSE,"NrthUmpq";#N/A,#N/A,FALSE,"KlamRog"}</definedName>
    <definedName name="SpecMaint_2" localSheetId="22" hidden="1">{#N/A,#N/A,FALSE,"Summary";#N/A,#N/A,FALSE,"SmPlants";#N/A,#N/A,FALSE,"Utah";#N/A,#N/A,FALSE,"Idaho";#N/A,#N/A,FALSE,"Lewis River";#N/A,#N/A,FALSE,"NrthUmpq";#N/A,#N/A,FALSE,"KlamRog"}</definedName>
    <definedName name="SpecMaint_2" localSheetId="23" hidden="1">{#N/A,#N/A,FALSE,"Summary";#N/A,#N/A,FALSE,"SmPlants";#N/A,#N/A,FALSE,"Utah";#N/A,#N/A,FALSE,"Idaho";#N/A,#N/A,FALSE,"Lewis River";#N/A,#N/A,FALSE,"NrthUmpq";#N/A,#N/A,FALSE,"KlamRog"}</definedName>
    <definedName name="SpecMaint_2" localSheetId="24" hidden="1">{#N/A,#N/A,FALSE,"Summary";#N/A,#N/A,FALSE,"SmPlants";#N/A,#N/A,FALSE,"Utah";#N/A,#N/A,FALSE,"Idaho";#N/A,#N/A,FALSE,"Lewis River";#N/A,#N/A,FALSE,"NrthUmpq";#N/A,#N/A,FALSE,"KlamRog"}</definedName>
    <definedName name="SpecMaint_2" localSheetId="25" hidden="1">{#N/A,#N/A,FALSE,"Summary";#N/A,#N/A,FALSE,"SmPlants";#N/A,#N/A,FALSE,"Utah";#N/A,#N/A,FALSE,"Idaho";#N/A,#N/A,FALSE,"Lewis River";#N/A,#N/A,FALSE,"NrthUmpq";#N/A,#N/A,FALSE,"KlamRog"}</definedName>
    <definedName name="SpecMaint_2" localSheetId="26" hidden="1">{#N/A,#N/A,FALSE,"Summary";#N/A,#N/A,FALSE,"SmPlants";#N/A,#N/A,FALSE,"Utah";#N/A,#N/A,FALSE,"Idaho";#N/A,#N/A,FALSE,"Lewis River";#N/A,#N/A,FALSE,"NrthUmpq";#N/A,#N/A,FALSE,"KlamRog"}</definedName>
    <definedName name="SpecMaint_2" localSheetId="31" hidden="1">{#N/A,#N/A,FALSE,"Summary";#N/A,#N/A,FALSE,"SmPlants";#N/A,#N/A,FALSE,"Utah";#N/A,#N/A,FALSE,"Idaho";#N/A,#N/A,FALSE,"Lewis River";#N/A,#N/A,FALSE,"NrthUmpq";#N/A,#N/A,FALSE,"KlamRog"}</definedName>
    <definedName name="SpecMaint_2" localSheetId="35" hidden="1">{#N/A,#N/A,FALSE,"Summary";#N/A,#N/A,FALSE,"SmPlants";#N/A,#N/A,FALSE,"Utah";#N/A,#N/A,FALSE,"Idaho";#N/A,#N/A,FALSE,"Lewis River";#N/A,#N/A,FALSE,"NrthUmpq";#N/A,#N/A,FALSE,"KlamRog"}</definedName>
    <definedName name="SpecMaint_2" localSheetId="36" hidden="1">{#N/A,#N/A,FALSE,"Summary";#N/A,#N/A,FALSE,"SmPlants";#N/A,#N/A,FALSE,"Utah";#N/A,#N/A,FALSE,"Idaho";#N/A,#N/A,FALSE,"Lewis River";#N/A,#N/A,FALSE,"NrthUmpq";#N/A,#N/A,FALSE,"KlamRog"}</definedName>
    <definedName name="SpecMaint_2" localSheetId="0" hidden="1">{#N/A,#N/A,FALSE,"Summary";#N/A,#N/A,FALSE,"SmPlants";#N/A,#N/A,FALSE,"Utah";#N/A,#N/A,FALSE,"Idaho";#N/A,#N/A,FALSE,"Lewis River";#N/A,#N/A,FALSE,"NrthUmpq";#N/A,#N/A,FALSE,"KlamRog"}</definedName>
    <definedName name="SpecMaint_2" hidden="1">{#N/A,#N/A,FALSE,"Summary";#N/A,#N/A,FALSE,"SmPlants";#N/A,#N/A,FALSE,"Utah";#N/A,#N/A,FALSE,"Idaho";#N/A,#N/A,FALSE,"Lewis River";#N/A,#N/A,FALSE,"NrthUmpq";#N/A,#N/A,FALSE,"KlamRog"}</definedName>
    <definedName name="SpecMaint_3" localSheetId="1" hidden="1">{#N/A,#N/A,FALSE,"Summary";#N/A,#N/A,FALSE,"SmPlants";#N/A,#N/A,FALSE,"Utah";#N/A,#N/A,FALSE,"Idaho";#N/A,#N/A,FALSE,"Lewis River";#N/A,#N/A,FALSE,"NrthUmpq";#N/A,#N/A,FALSE,"KlamRog"}</definedName>
    <definedName name="SpecMaint_3" localSheetId="3" hidden="1">{#N/A,#N/A,FALSE,"Summary";#N/A,#N/A,FALSE,"SmPlants";#N/A,#N/A,FALSE,"Utah";#N/A,#N/A,FALSE,"Idaho";#N/A,#N/A,FALSE,"Lewis River";#N/A,#N/A,FALSE,"NrthUmpq";#N/A,#N/A,FALSE,"KlamRog"}</definedName>
    <definedName name="SpecMaint_3" localSheetId="4" hidden="1">{#N/A,#N/A,FALSE,"Summary";#N/A,#N/A,FALSE,"SmPlants";#N/A,#N/A,FALSE,"Utah";#N/A,#N/A,FALSE,"Idaho";#N/A,#N/A,FALSE,"Lewis River";#N/A,#N/A,FALSE,"NrthUmpq";#N/A,#N/A,FALSE,"KlamRog"}</definedName>
    <definedName name="SpecMaint_3" localSheetId="13" hidden="1">{#N/A,#N/A,FALSE,"Summary";#N/A,#N/A,FALSE,"SmPlants";#N/A,#N/A,FALSE,"Utah";#N/A,#N/A,FALSE,"Idaho";#N/A,#N/A,FALSE,"Lewis River";#N/A,#N/A,FALSE,"NrthUmpq";#N/A,#N/A,FALSE,"KlamRog"}</definedName>
    <definedName name="SpecMaint_3" localSheetId="14" hidden="1">{#N/A,#N/A,FALSE,"Summary";#N/A,#N/A,FALSE,"SmPlants";#N/A,#N/A,FALSE,"Utah";#N/A,#N/A,FALSE,"Idaho";#N/A,#N/A,FALSE,"Lewis River";#N/A,#N/A,FALSE,"NrthUmpq";#N/A,#N/A,FALSE,"KlamRog"}</definedName>
    <definedName name="SpecMaint_3" localSheetId="15" hidden="1">{#N/A,#N/A,FALSE,"Summary";#N/A,#N/A,FALSE,"SmPlants";#N/A,#N/A,FALSE,"Utah";#N/A,#N/A,FALSE,"Idaho";#N/A,#N/A,FALSE,"Lewis River";#N/A,#N/A,FALSE,"NrthUmpq";#N/A,#N/A,FALSE,"KlamRog"}</definedName>
    <definedName name="SpecMaint_3" localSheetId="16" hidden="1">{#N/A,#N/A,FALSE,"Summary";#N/A,#N/A,FALSE,"SmPlants";#N/A,#N/A,FALSE,"Utah";#N/A,#N/A,FALSE,"Idaho";#N/A,#N/A,FALSE,"Lewis River";#N/A,#N/A,FALSE,"NrthUmpq";#N/A,#N/A,FALSE,"KlamRog"}</definedName>
    <definedName name="SpecMaint_3" localSheetId="19" hidden="1">{#N/A,#N/A,FALSE,"Summary";#N/A,#N/A,FALSE,"SmPlants";#N/A,#N/A,FALSE,"Utah";#N/A,#N/A,FALSE,"Idaho";#N/A,#N/A,FALSE,"Lewis River";#N/A,#N/A,FALSE,"NrthUmpq";#N/A,#N/A,FALSE,"KlamRog"}</definedName>
    <definedName name="SpecMaint_3" localSheetId="22" hidden="1">{#N/A,#N/A,FALSE,"Summary";#N/A,#N/A,FALSE,"SmPlants";#N/A,#N/A,FALSE,"Utah";#N/A,#N/A,FALSE,"Idaho";#N/A,#N/A,FALSE,"Lewis River";#N/A,#N/A,FALSE,"NrthUmpq";#N/A,#N/A,FALSE,"KlamRog"}</definedName>
    <definedName name="SpecMaint_3" localSheetId="23" hidden="1">{#N/A,#N/A,FALSE,"Summary";#N/A,#N/A,FALSE,"SmPlants";#N/A,#N/A,FALSE,"Utah";#N/A,#N/A,FALSE,"Idaho";#N/A,#N/A,FALSE,"Lewis River";#N/A,#N/A,FALSE,"NrthUmpq";#N/A,#N/A,FALSE,"KlamRog"}</definedName>
    <definedName name="SpecMaint_3" localSheetId="24" hidden="1">{#N/A,#N/A,FALSE,"Summary";#N/A,#N/A,FALSE,"SmPlants";#N/A,#N/A,FALSE,"Utah";#N/A,#N/A,FALSE,"Idaho";#N/A,#N/A,FALSE,"Lewis River";#N/A,#N/A,FALSE,"NrthUmpq";#N/A,#N/A,FALSE,"KlamRog"}</definedName>
    <definedName name="SpecMaint_3" localSheetId="25" hidden="1">{#N/A,#N/A,FALSE,"Summary";#N/A,#N/A,FALSE,"SmPlants";#N/A,#N/A,FALSE,"Utah";#N/A,#N/A,FALSE,"Idaho";#N/A,#N/A,FALSE,"Lewis River";#N/A,#N/A,FALSE,"NrthUmpq";#N/A,#N/A,FALSE,"KlamRog"}</definedName>
    <definedName name="SpecMaint_3" localSheetId="26" hidden="1">{#N/A,#N/A,FALSE,"Summary";#N/A,#N/A,FALSE,"SmPlants";#N/A,#N/A,FALSE,"Utah";#N/A,#N/A,FALSE,"Idaho";#N/A,#N/A,FALSE,"Lewis River";#N/A,#N/A,FALSE,"NrthUmpq";#N/A,#N/A,FALSE,"KlamRog"}</definedName>
    <definedName name="SpecMaint_3" localSheetId="31" hidden="1">{#N/A,#N/A,FALSE,"Summary";#N/A,#N/A,FALSE,"SmPlants";#N/A,#N/A,FALSE,"Utah";#N/A,#N/A,FALSE,"Idaho";#N/A,#N/A,FALSE,"Lewis River";#N/A,#N/A,FALSE,"NrthUmpq";#N/A,#N/A,FALSE,"KlamRog"}</definedName>
    <definedName name="SpecMaint_3" localSheetId="35" hidden="1">{#N/A,#N/A,FALSE,"Summary";#N/A,#N/A,FALSE,"SmPlants";#N/A,#N/A,FALSE,"Utah";#N/A,#N/A,FALSE,"Idaho";#N/A,#N/A,FALSE,"Lewis River";#N/A,#N/A,FALSE,"NrthUmpq";#N/A,#N/A,FALSE,"KlamRog"}</definedName>
    <definedName name="SpecMaint_3" localSheetId="36" hidden="1">{#N/A,#N/A,FALSE,"Summary";#N/A,#N/A,FALSE,"SmPlants";#N/A,#N/A,FALSE,"Utah";#N/A,#N/A,FALSE,"Idaho";#N/A,#N/A,FALSE,"Lewis River";#N/A,#N/A,FALSE,"NrthUmpq";#N/A,#N/A,FALSE,"KlamRog"}</definedName>
    <definedName name="SpecMaint_3" localSheetId="0" hidden="1">{#N/A,#N/A,FALSE,"Summary";#N/A,#N/A,FALSE,"SmPlants";#N/A,#N/A,FALSE,"Utah";#N/A,#N/A,FALSE,"Idaho";#N/A,#N/A,FALSE,"Lewis River";#N/A,#N/A,FALSE,"NrthUmpq";#N/A,#N/A,FALSE,"KlamRog"}</definedName>
    <definedName name="SpecMaint_3" hidden="1">{#N/A,#N/A,FALSE,"Summary";#N/A,#N/A,FALSE,"SmPlants";#N/A,#N/A,FALSE,"Utah";#N/A,#N/A,FALSE,"Idaho";#N/A,#N/A,FALSE,"Lewis River";#N/A,#N/A,FALSE,"NrthUmpq";#N/A,#N/A,FALSE,"KlamRog"}</definedName>
    <definedName name="SpecMaint_4" localSheetId="1" hidden="1">{#N/A,#N/A,FALSE,"Summary";#N/A,#N/A,FALSE,"SmPlants";#N/A,#N/A,FALSE,"Utah";#N/A,#N/A,FALSE,"Idaho";#N/A,#N/A,FALSE,"Lewis River";#N/A,#N/A,FALSE,"NrthUmpq";#N/A,#N/A,FALSE,"KlamRog"}</definedName>
    <definedName name="SpecMaint_4" localSheetId="3" hidden="1">{#N/A,#N/A,FALSE,"Summary";#N/A,#N/A,FALSE,"SmPlants";#N/A,#N/A,FALSE,"Utah";#N/A,#N/A,FALSE,"Idaho";#N/A,#N/A,FALSE,"Lewis River";#N/A,#N/A,FALSE,"NrthUmpq";#N/A,#N/A,FALSE,"KlamRog"}</definedName>
    <definedName name="SpecMaint_4" localSheetId="4" hidden="1">{#N/A,#N/A,FALSE,"Summary";#N/A,#N/A,FALSE,"SmPlants";#N/A,#N/A,FALSE,"Utah";#N/A,#N/A,FALSE,"Idaho";#N/A,#N/A,FALSE,"Lewis River";#N/A,#N/A,FALSE,"NrthUmpq";#N/A,#N/A,FALSE,"KlamRog"}</definedName>
    <definedName name="SpecMaint_4" localSheetId="13" hidden="1">{#N/A,#N/A,FALSE,"Summary";#N/A,#N/A,FALSE,"SmPlants";#N/A,#N/A,FALSE,"Utah";#N/A,#N/A,FALSE,"Idaho";#N/A,#N/A,FALSE,"Lewis River";#N/A,#N/A,FALSE,"NrthUmpq";#N/A,#N/A,FALSE,"KlamRog"}</definedName>
    <definedName name="SpecMaint_4" localSheetId="14" hidden="1">{#N/A,#N/A,FALSE,"Summary";#N/A,#N/A,FALSE,"SmPlants";#N/A,#N/A,FALSE,"Utah";#N/A,#N/A,FALSE,"Idaho";#N/A,#N/A,FALSE,"Lewis River";#N/A,#N/A,FALSE,"NrthUmpq";#N/A,#N/A,FALSE,"KlamRog"}</definedName>
    <definedName name="SpecMaint_4" localSheetId="15" hidden="1">{#N/A,#N/A,FALSE,"Summary";#N/A,#N/A,FALSE,"SmPlants";#N/A,#N/A,FALSE,"Utah";#N/A,#N/A,FALSE,"Idaho";#N/A,#N/A,FALSE,"Lewis River";#N/A,#N/A,FALSE,"NrthUmpq";#N/A,#N/A,FALSE,"KlamRog"}</definedName>
    <definedName name="SpecMaint_4" localSheetId="16" hidden="1">{#N/A,#N/A,FALSE,"Summary";#N/A,#N/A,FALSE,"SmPlants";#N/A,#N/A,FALSE,"Utah";#N/A,#N/A,FALSE,"Idaho";#N/A,#N/A,FALSE,"Lewis River";#N/A,#N/A,FALSE,"NrthUmpq";#N/A,#N/A,FALSE,"KlamRog"}</definedName>
    <definedName name="SpecMaint_4" localSheetId="19" hidden="1">{#N/A,#N/A,FALSE,"Summary";#N/A,#N/A,FALSE,"SmPlants";#N/A,#N/A,FALSE,"Utah";#N/A,#N/A,FALSE,"Idaho";#N/A,#N/A,FALSE,"Lewis River";#N/A,#N/A,FALSE,"NrthUmpq";#N/A,#N/A,FALSE,"KlamRog"}</definedName>
    <definedName name="SpecMaint_4" localSheetId="22" hidden="1">{#N/A,#N/A,FALSE,"Summary";#N/A,#N/A,FALSE,"SmPlants";#N/A,#N/A,FALSE,"Utah";#N/A,#N/A,FALSE,"Idaho";#N/A,#N/A,FALSE,"Lewis River";#N/A,#N/A,FALSE,"NrthUmpq";#N/A,#N/A,FALSE,"KlamRog"}</definedName>
    <definedName name="SpecMaint_4" localSheetId="23" hidden="1">{#N/A,#N/A,FALSE,"Summary";#N/A,#N/A,FALSE,"SmPlants";#N/A,#N/A,FALSE,"Utah";#N/A,#N/A,FALSE,"Idaho";#N/A,#N/A,FALSE,"Lewis River";#N/A,#N/A,FALSE,"NrthUmpq";#N/A,#N/A,FALSE,"KlamRog"}</definedName>
    <definedName name="SpecMaint_4" localSheetId="24" hidden="1">{#N/A,#N/A,FALSE,"Summary";#N/A,#N/A,FALSE,"SmPlants";#N/A,#N/A,FALSE,"Utah";#N/A,#N/A,FALSE,"Idaho";#N/A,#N/A,FALSE,"Lewis River";#N/A,#N/A,FALSE,"NrthUmpq";#N/A,#N/A,FALSE,"KlamRog"}</definedName>
    <definedName name="SpecMaint_4" localSheetId="25" hidden="1">{#N/A,#N/A,FALSE,"Summary";#N/A,#N/A,FALSE,"SmPlants";#N/A,#N/A,FALSE,"Utah";#N/A,#N/A,FALSE,"Idaho";#N/A,#N/A,FALSE,"Lewis River";#N/A,#N/A,FALSE,"NrthUmpq";#N/A,#N/A,FALSE,"KlamRog"}</definedName>
    <definedName name="SpecMaint_4" localSheetId="26" hidden="1">{#N/A,#N/A,FALSE,"Summary";#N/A,#N/A,FALSE,"SmPlants";#N/A,#N/A,FALSE,"Utah";#N/A,#N/A,FALSE,"Idaho";#N/A,#N/A,FALSE,"Lewis River";#N/A,#N/A,FALSE,"NrthUmpq";#N/A,#N/A,FALSE,"KlamRog"}</definedName>
    <definedName name="SpecMaint_4" localSheetId="31" hidden="1">{#N/A,#N/A,FALSE,"Summary";#N/A,#N/A,FALSE,"SmPlants";#N/A,#N/A,FALSE,"Utah";#N/A,#N/A,FALSE,"Idaho";#N/A,#N/A,FALSE,"Lewis River";#N/A,#N/A,FALSE,"NrthUmpq";#N/A,#N/A,FALSE,"KlamRog"}</definedName>
    <definedName name="SpecMaint_4" localSheetId="35" hidden="1">{#N/A,#N/A,FALSE,"Summary";#N/A,#N/A,FALSE,"SmPlants";#N/A,#N/A,FALSE,"Utah";#N/A,#N/A,FALSE,"Idaho";#N/A,#N/A,FALSE,"Lewis River";#N/A,#N/A,FALSE,"NrthUmpq";#N/A,#N/A,FALSE,"KlamRog"}</definedName>
    <definedName name="SpecMaint_4" localSheetId="36" hidden="1">{#N/A,#N/A,FALSE,"Summary";#N/A,#N/A,FALSE,"SmPlants";#N/A,#N/A,FALSE,"Utah";#N/A,#N/A,FALSE,"Idaho";#N/A,#N/A,FALSE,"Lewis River";#N/A,#N/A,FALSE,"NrthUmpq";#N/A,#N/A,FALSE,"KlamRog"}</definedName>
    <definedName name="SpecMaint_4" localSheetId="0" hidden="1">{#N/A,#N/A,FALSE,"Summary";#N/A,#N/A,FALSE,"SmPlants";#N/A,#N/A,FALSE,"Utah";#N/A,#N/A,FALSE,"Idaho";#N/A,#N/A,FALSE,"Lewis River";#N/A,#N/A,FALSE,"NrthUmpq";#N/A,#N/A,FALSE,"KlamRog"}</definedName>
    <definedName name="SpecMaint_4" hidden="1">{#N/A,#N/A,FALSE,"Summary";#N/A,#N/A,FALSE,"SmPlants";#N/A,#N/A,FALSE,"Utah";#N/A,#N/A,FALSE,"Idaho";#N/A,#N/A,FALSE,"Lewis River";#N/A,#N/A,FALSE,"NrthUmpq";#N/A,#N/A,FALSE,"KlamRog"}</definedName>
    <definedName name="SpecMaint_5" localSheetId="1" hidden="1">{#N/A,#N/A,FALSE,"Summary";#N/A,#N/A,FALSE,"SmPlants";#N/A,#N/A,FALSE,"Utah";#N/A,#N/A,FALSE,"Idaho";#N/A,#N/A,FALSE,"Lewis River";#N/A,#N/A,FALSE,"NrthUmpq";#N/A,#N/A,FALSE,"KlamRog"}</definedName>
    <definedName name="SpecMaint_5" localSheetId="3" hidden="1">{#N/A,#N/A,FALSE,"Summary";#N/A,#N/A,FALSE,"SmPlants";#N/A,#N/A,FALSE,"Utah";#N/A,#N/A,FALSE,"Idaho";#N/A,#N/A,FALSE,"Lewis River";#N/A,#N/A,FALSE,"NrthUmpq";#N/A,#N/A,FALSE,"KlamRog"}</definedName>
    <definedName name="SpecMaint_5" localSheetId="4" hidden="1">{#N/A,#N/A,FALSE,"Summary";#N/A,#N/A,FALSE,"SmPlants";#N/A,#N/A,FALSE,"Utah";#N/A,#N/A,FALSE,"Idaho";#N/A,#N/A,FALSE,"Lewis River";#N/A,#N/A,FALSE,"NrthUmpq";#N/A,#N/A,FALSE,"KlamRog"}</definedName>
    <definedName name="SpecMaint_5" localSheetId="13" hidden="1">{#N/A,#N/A,FALSE,"Summary";#N/A,#N/A,FALSE,"SmPlants";#N/A,#N/A,FALSE,"Utah";#N/A,#N/A,FALSE,"Idaho";#N/A,#N/A,FALSE,"Lewis River";#N/A,#N/A,FALSE,"NrthUmpq";#N/A,#N/A,FALSE,"KlamRog"}</definedName>
    <definedName name="SpecMaint_5" localSheetId="14" hidden="1">{#N/A,#N/A,FALSE,"Summary";#N/A,#N/A,FALSE,"SmPlants";#N/A,#N/A,FALSE,"Utah";#N/A,#N/A,FALSE,"Idaho";#N/A,#N/A,FALSE,"Lewis River";#N/A,#N/A,FALSE,"NrthUmpq";#N/A,#N/A,FALSE,"KlamRog"}</definedName>
    <definedName name="SpecMaint_5" localSheetId="15" hidden="1">{#N/A,#N/A,FALSE,"Summary";#N/A,#N/A,FALSE,"SmPlants";#N/A,#N/A,FALSE,"Utah";#N/A,#N/A,FALSE,"Idaho";#N/A,#N/A,FALSE,"Lewis River";#N/A,#N/A,FALSE,"NrthUmpq";#N/A,#N/A,FALSE,"KlamRog"}</definedName>
    <definedName name="SpecMaint_5" localSheetId="16" hidden="1">{#N/A,#N/A,FALSE,"Summary";#N/A,#N/A,FALSE,"SmPlants";#N/A,#N/A,FALSE,"Utah";#N/A,#N/A,FALSE,"Idaho";#N/A,#N/A,FALSE,"Lewis River";#N/A,#N/A,FALSE,"NrthUmpq";#N/A,#N/A,FALSE,"KlamRog"}</definedName>
    <definedName name="SpecMaint_5" localSheetId="19" hidden="1">{#N/A,#N/A,FALSE,"Summary";#N/A,#N/A,FALSE,"SmPlants";#N/A,#N/A,FALSE,"Utah";#N/A,#N/A,FALSE,"Idaho";#N/A,#N/A,FALSE,"Lewis River";#N/A,#N/A,FALSE,"NrthUmpq";#N/A,#N/A,FALSE,"KlamRog"}</definedName>
    <definedName name="SpecMaint_5" localSheetId="22" hidden="1">{#N/A,#N/A,FALSE,"Summary";#N/A,#N/A,FALSE,"SmPlants";#N/A,#N/A,FALSE,"Utah";#N/A,#N/A,FALSE,"Idaho";#N/A,#N/A,FALSE,"Lewis River";#N/A,#N/A,FALSE,"NrthUmpq";#N/A,#N/A,FALSE,"KlamRog"}</definedName>
    <definedName name="SpecMaint_5" localSheetId="23" hidden="1">{#N/A,#N/A,FALSE,"Summary";#N/A,#N/A,FALSE,"SmPlants";#N/A,#N/A,FALSE,"Utah";#N/A,#N/A,FALSE,"Idaho";#N/A,#N/A,FALSE,"Lewis River";#N/A,#N/A,FALSE,"NrthUmpq";#N/A,#N/A,FALSE,"KlamRog"}</definedName>
    <definedName name="SpecMaint_5" localSheetId="24" hidden="1">{#N/A,#N/A,FALSE,"Summary";#N/A,#N/A,FALSE,"SmPlants";#N/A,#N/A,FALSE,"Utah";#N/A,#N/A,FALSE,"Idaho";#N/A,#N/A,FALSE,"Lewis River";#N/A,#N/A,FALSE,"NrthUmpq";#N/A,#N/A,FALSE,"KlamRog"}</definedName>
    <definedName name="SpecMaint_5" localSheetId="25" hidden="1">{#N/A,#N/A,FALSE,"Summary";#N/A,#N/A,FALSE,"SmPlants";#N/A,#N/A,FALSE,"Utah";#N/A,#N/A,FALSE,"Idaho";#N/A,#N/A,FALSE,"Lewis River";#N/A,#N/A,FALSE,"NrthUmpq";#N/A,#N/A,FALSE,"KlamRog"}</definedName>
    <definedName name="SpecMaint_5" localSheetId="26" hidden="1">{#N/A,#N/A,FALSE,"Summary";#N/A,#N/A,FALSE,"SmPlants";#N/A,#N/A,FALSE,"Utah";#N/A,#N/A,FALSE,"Idaho";#N/A,#N/A,FALSE,"Lewis River";#N/A,#N/A,FALSE,"NrthUmpq";#N/A,#N/A,FALSE,"KlamRog"}</definedName>
    <definedName name="SpecMaint_5" localSheetId="31" hidden="1">{#N/A,#N/A,FALSE,"Summary";#N/A,#N/A,FALSE,"SmPlants";#N/A,#N/A,FALSE,"Utah";#N/A,#N/A,FALSE,"Idaho";#N/A,#N/A,FALSE,"Lewis River";#N/A,#N/A,FALSE,"NrthUmpq";#N/A,#N/A,FALSE,"KlamRog"}</definedName>
    <definedName name="SpecMaint_5" localSheetId="35" hidden="1">{#N/A,#N/A,FALSE,"Summary";#N/A,#N/A,FALSE,"SmPlants";#N/A,#N/A,FALSE,"Utah";#N/A,#N/A,FALSE,"Idaho";#N/A,#N/A,FALSE,"Lewis River";#N/A,#N/A,FALSE,"NrthUmpq";#N/A,#N/A,FALSE,"KlamRog"}</definedName>
    <definedName name="SpecMaint_5" localSheetId="36" hidden="1">{#N/A,#N/A,FALSE,"Summary";#N/A,#N/A,FALSE,"SmPlants";#N/A,#N/A,FALSE,"Utah";#N/A,#N/A,FALSE,"Idaho";#N/A,#N/A,FALSE,"Lewis River";#N/A,#N/A,FALSE,"NrthUmpq";#N/A,#N/A,FALSE,"KlamRog"}</definedName>
    <definedName name="SpecMaint_5" localSheetId="0" hidden="1">{#N/A,#N/A,FALSE,"Summary";#N/A,#N/A,FALSE,"SmPlants";#N/A,#N/A,FALSE,"Utah";#N/A,#N/A,FALSE,"Idaho";#N/A,#N/A,FALSE,"Lewis River";#N/A,#N/A,FALSE,"NrthUmpq";#N/A,#N/A,FALSE,"KlamRog"}</definedName>
    <definedName name="SpecMaint_5" hidden="1">{#N/A,#N/A,FALSE,"Summary";#N/A,#N/A,FALSE,"SmPlants";#N/A,#N/A,FALSE,"Utah";#N/A,#N/A,FALSE,"Idaho";#N/A,#N/A,FALSE,"Lewis River";#N/A,#N/A,FALSE,"NrthUmpq";#N/A,#N/A,FALSE,"KlamRog"}</definedName>
    <definedName name="spippw" localSheetId="1" hidden="1">{#N/A,#N/A,FALSE,"Actual";#N/A,#N/A,FALSE,"Normalized";#N/A,#N/A,FALSE,"Electric Actual";#N/A,#N/A,FALSE,"Electric Normalized"}</definedName>
    <definedName name="spippw" localSheetId="3" hidden="1">{#N/A,#N/A,FALSE,"Actual";#N/A,#N/A,FALSE,"Normalized";#N/A,#N/A,FALSE,"Electric Actual";#N/A,#N/A,FALSE,"Electric Normalized"}</definedName>
    <definedName name="spippw" localSheetId="4" hidden="1">{#N/A,#N/A,FALSE,"Actual";#N/A,#N/A,FALSE,"Normalized";#N/A,#N/A,FALSE,"Electric Actual";#N/A,#N/A,FALSE,"Electric Normalized"}</definedName>
    <definedName name="spippw" localSheetId="13" hidden="1">{#N/A,#N/A,FALSE,"Actual";#N/A,#N/A,FALSE,"Normalized";#N/A,#N/A,FALSE,"Electric Actual";#N/A,#N/A,FALSE,"Electric Normalized"}</definedName>
    <definedName name="spippw" localSheetId="14" hidden="1">{#N/A,#N/A,FALSE,"Actual";#N/A,#N/A,FALSE,"Normalized";#N/A,#N/A,FALSE,"Electric Actual";#N/A,#N/A,FALSE,"Electric Normalized"}</definedName>
    <definedName name="spippw" localSheetId="15" hidden="1">{#N/A,#N/A,FALSE,"Actual";#N/A,#N/A,FALSE,"Normalized";#N/A,#N/A,FALSE,"Electric Actual";#N/A,#N/A,FALSE,"Electric Normalized"}</definedName>
    <definedName name="spippw" localSheetId="16" hidden="1">{#N/A,#N/A,FALSE,"Actual";#N/A,#N/A,FALSE,"Normalized";#N/A,#N/A,FALSE,"Electric Actual";#N/A,#N/A,FALSE,"Electric Normalized"}</definedName>
    <definedName name="spippw" localSheetId="19" hidden="1">{#N/A,#N/A,FALSE,"Actual";#N/A,#N/A,FALSE,"Normalized";#N/A,#N/A,FALSE,"Electric Actual";#N/A,#N/A,FALSE,"Electric Normalized"}</definedName>
    <definedName name="spippw" localSheetId="22" hidden="1">{#N/A,#N/A,FALSE,"Actual";#N/A,#N/A,FALSE,"Normalized";#N/A,#N/A,FALSE,"Electric Actual";#N/A,#N/A,FALSE,"Electric Normalized"}</definedName>
    <definedName name="spippw" localSheetId="23" hidden="1">{#N/A,#N/A,FALSE,"Actual";#N/A,#N/A,FALSE,"Normalized";#N/A,#N/A,FALSE,"Electric Actual";#N/A,#N/A,FALSE,"Electric Normalized"}</definedName>
    <definedName name="spippw" localSheetId="24" hidden="1">{#N/A,#N/A,FALSE,"Actual";#N/A,#N/A,FALSE,"Normalized";#N/A,#N/A,FALSE,"Electric Actual";#N/A,#N/A,FALSE,"Electric Normalized"}</definedName>
    <definedName name="spippw" localSheetId="25" hidden="1">{#N/A,#N/A,FALSE,"Actual";#N/A,#N/A,FALSE,"Normalized";#N/A,#N/A,FALSE,"Electric Actual";#N/A,#N/A,FALSE,"Electric Normalized"}</definedName>
    <definedName name="spippw" localSheetId="26" hidden="1">{#N/A,#N/A,FALSE,"Actual";#N/A,#N/A,FALSE,"Normalized";#N/A,#N/A,FALSE,"Electric Actual";#N/A,#N/A,FALSE,"Electric Normalized"}</definedName>
    <definedName name="spippw" localSheetId="31" hidden="1">{#N/A,#N/A,FALSE,"Actual";#N/A,#N/A,FALSE,"Normalized";#N/A,#N/A,FALSE,"Electric Actual";#N/A,#N/A,FALSE,"Electric Normalized"}</definedName>
    <definedName name="spippw" localSheetId="35" hidden="1">{#N/A,#N/A,FALSE,"Actual";#N/A,#N/A,FALSE,"Normalized";#N/A,#N/A,FALSE,"Electric Actual";#N/A,#N/A,FALSE,"Electric Normalized"}</definedName>
    <definedName name="spippw" localSheetId="36" hidden="1">{#N/A,#N/A,FALSE,"Actual";#N/A,#N/A,FALSE,"Normalized";#N/A,#N/A,FALSE,"Electric Actual";#N/A,#N/A,FALSE,"Electric Normalized"}</definedName>
    <definedName name="spippw" localSheetId="0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ippw_1" localSheetId="1" hidden="1">{#N/A,#N/A,FALSE,"Actual";#N/A,#N/A,FALSE,"Normalized";#N/A,#N/A,FALSE,"Electric Actual";#N/A,#N/A,FALSE,"Electric Normalized"}</definedName>
    <definedName name="spippw_1" localSheetId="3" hidden="1">{#N/A,#N/A,FALSE,"Actual";#N/A,#N/A,FALSE,"Normalized";#N/A,#N/A,FALSE,"Electric Actual";#N/A,#N/A,FALSE,"Electric Normalized"}</definedName>
    <definedName name="spippw_1" localSheetId="4" hidden="1">{#N/A,#N/A,FALSE,"Actual";#N/A,#N/A,FALSE,"Normalized";#N/A,#N/A,FALSE,"Electric Actual";#N/A,#N/A,FALSE,"Electric Normalized"}</definedName>
    <definedName name="spippw_1" localSheetId="13" hidden="1">{#N/A,#N/A,FALSE,"Actual";#N/A,#N/A,FALSE,"Normalized";#N/A,#N/A,FALSE,"Electric Actual";#N/A,#N/A,FALSE,"Electric Normalized"}</definedName>
    <definedName name="spippw_1" localSheetId="14" hidden="1">{#N/A,#N/A,FALSE,"Actual";#N/A,#N/A,FALSE,"Normalized";#N/A,#N/A,FALSE,"Electric Actual";#N/A,#N/A,FALSE,"Electric Normalized"}</definedName>
    <definedName name="spippw_1" localSheetId="15" hidden="1">{#N/A,#N/A,FALSE,"Actual";#N/A,#N/A,FALSE,"Normalized";#N/A,#N/A,FALSE,"Electric Actual";#N/A,#N/A,FALSE,"Electric Normalized"}</definedName>
    <definedName name="spippw_1" localSheetId="16" hidden="1">{#N/A,#N/A,FALSE,"Actual";#N/A,#N/A,FALSE,"Normalized";#N/A,#N/A,FALSE,"Electric Actual";#N/A,#N/A,FALSE,"Electric Normalized"}</definedName>
    <definedName name="spippw_1" localSheetId="19" hidden="1">{#N/A,#N/A,FALSE,"Actual";#N/A,#N/A,FALSE,"Normalized";#N/A,#N/A,FALSE,"Electric Actual";#N/A,#N/A,FALSE,"Electric Normalized"}</definedName>
    <definedName name="spippw_1" localSheetId="22" hidden="1">{#N/A,#N/A,FALSE,"Actual";#N/A,#N/A,FALSE,"Normalized";#N/A,#N/A,FALSE,"Electric Actual";#N/A,#N/A,FALSE,"Electric Normalized"}</definedName>
    <definedName name="spippw_1" localSheetId="23" hidden="1">{#N/A,#N/A,FALSE,"Actual";#N/A,#N/A,FALSE,"Normalized";#N/A,#N/A,FALSE,"Electric Actual";#N/A,#N/A,FALSE,"Electric Normalized"}</definedName>
    <definedName name="spippw_1" localSheetId="24" hidden="1">{#N/A,#N/A,FALSE,"Actual";#N/A,#N/A,FALSE,"Normalized";#N/A,#N/A,FALSE,"Electric Actual";#N/A,#N/A,FALSE,"Electric Normalized"}</definedName>
    <definedName name="spippw_1" localSheetId="25" hidden="1">{#N/A,#N/A,FALSE,"Actual";#N/A,#N/A,FALSE,"Normalized";#N/A,#N/A,FALSE,"Electric Actual";#N/A,#N/A,FALSE,"Electric Normalized"}</definedName>
    <definedName name="spippw_1" localSheetId="26" hidden="1">{#N/A,#N/A,FALSE,"Actual";#N/A,#N/A,FALSE,"Normalized";#N/A,#N/A,FALSE,"Electric Actual";#N/A,#N/A,FALSE,"Electric Normalized"}</definedName>
    <definedName name="spippw_1" localSheetId="31" hidden="1">{#N/A,#N/A,FALSE,"Actual";#N/A,#N/A,FALSE,"Normalized";#N/A,#N/A,FALSE,"Electric Actual";#N/A,#N/A,FALSE,"Electric Normalized"}</definedName>
    <definedName name="spippw_1" localSheetId="35" hidden="1">{#N/A,#N/A,FALSE,"Actual";#N/A,#N/A,FALSE,"Normalized";#N/A,#N/A,FALSE,"Electric Actual";#N/A,#N/A,FALSE,"Electric Normalized"}</definedName>
    <definedName name="spippw_1" localSheetId="36" hidden="1">{#N/A,#N/A,FALSE,"Actual";#N/A,#N/A,FALSE,"Normalized";#N/A,#N/A,FALSE,"Electric Actual";#N/A,#N/A,FALSE,"Electric Normalized"}</definedName>
    <definedName name="spippw_1" localSheetId="0" hidden="1">{#N/A,#N/A,FALSE,"Actual";#N/A,#N/A,FALSE,"Normalized";#N/A,#N/A,FALSE,"Electric Actual";#N/A,#N/A,FALSE,"Electric Normalized"}</definedName>
    <definedName name="spippw_1" hidden="1">{#N/A,#N/A,FALSE,"Actual";#N/A,#N/A,FALSE,"Normalized";#N/A,#N/A,FALSE,"Electric Actual";#N/A,#N/A,FALSE,"Electric Normalized"}</definedName>
    <definedName name="spippw_2" localSheetId="1" hidden="1">{#N/A,#N/A,FALSE,"Actual";#N/A,#N/A,FALSE,"Normalized";#N/A,#N/A,FALSE,"Electric Actual";#N/A,#N/A,FALSE,"Electric Normalized"}</definedName>
    <definedName name="spippw_2" localSheetId="3" hidden="1">{#N/A,#N/A,FALSE,"Actual";#N/A,#N/A,FALSE,"Normalized";#N/A,#N/A,FALSE,"Electric Actual";#N/A,#N/A,FALSE,"Electric Normalized"}</definedName>
    <definedName name="spippw_2" localSheetId="4" hidden="1">{#N/A,#N/A,FALSE,"Actual";#N/A,#N/A,FALSE,"Normalized";#N/A,#N/A,FALSE,"Electric Actual";#N/A,#N/A,FALSE,"Electric Normalized"}</definedName>
    <definedName name="spippw_2" localSheetId="13" hidden="1">{#N/A,#N/A,FALSE,"Actual";#N/A,#N/A,FALSE,"Normalized";#N/A,#N/A,FALSE,"Electric Actual";#N/A,#N/A,FALSE,"Electric Normalized"}</definedName>
    <definedName name="spippw_2" localSheetId="14" hidden="1">{#N/A,#N/A,FALSE,"Actual";#N/A,#N/A,FALSE,"Normalized";#N/A,#N/A,FALSE,"Electric Actual";#N/A,#N/A,FALSE,"Electric Normalized"}</definedName>
    <definedName name="spippw_2" localSheetId="15" hidden="1">{#N/A,#N/A,FALSE,"Actual";#N/A,#N/A,FALSE,"Normalized";#N/A,#N/A,FALSE,"Electric Actual";#N/A,#N/A,FALSE,"Electric Normalized"}</definedName>
    <definedName name="spippw_2" localSheetId="16" hidden="1">{#N/A,#N/A,FALSE,"Actual";#N/A,#N/A,FALSE,"Normalized";#N/A,#N/A,FALSE,"Electric Actual";#N/A,#N/A,FALSE,"Electric Normalized"}</definedName>
    <definedName name="spippw_2" localSheetId="19" hidden="1">{#N/A,#N/A,FALSE,"Actual";#N/A,#N/A,FALSE,"Normalized";#N/A,#N/A,FALSE,"Electric Actual";#N/A,#N/A,FALSE,"Electric Normalized"}</definedName>
    <definedName name="spippw_2" localSheetId="22" hidden="1">{#N/A,#N/A,FALSE,"Actual";#N/A,#N/A,FALSE,"Normalized";#N/A,#N/A,FALSE,"Electric Actual";#N/A,#N/A,FALSE,"Electric Normalized"}</definedName>
    <definedName name="spippw_2" localSheetId="23" hidden="1">{#N/A,#N/A,FALSE,"Actual";#N/A,#N/A,FALSE,"Normalized";#N/A,#N/A,FALSE,"Electric Actual";#N/A,#N/A,FALSE,"Electric Normalized"}</definedName>
    <definedName name="spippw_2" localSheetId="24" hidden="1">{#N/A,#N/A,FALSE,"Actual";#N/A,#N/A,FALSE,"Normalized";#N/A,#N/A,FALSE,"Electric Actual";#N/A,#N/A,FALSE,"Electric Normalized"}</definedName>
    <definedName name="spippw_2" localSheetId="25" hidden="1">{#N/A,#N/A,FALSE,"Actual";#N/A,#N/A,FALSE,"Normalized";#N/A,#N/A,FALSE,"Electric Actual";#N/A,#N/A,FALSE,"Electric Normalized"}</definedName>
    <definedName name="spippw_2" localSheetId="26" hidden="1">{#N/A,#N/A,FALSE,"Actual";#N/A,#N/A,FALSE,"Normalized";#N/A,#N/A,FALSE,"Electric Actual";#N/A,#N/A,FALSE,"Electric Normalized"}</definedName>
    <definedName name="spippw_2" localSheetId="31" hidden="1">{#N/A,#N/A,FALSE,"Actual";#N/A,#N/A,FALSE,"Normalized";#N/A,#N/A,FALSE,"Electric Actual";#N/A,#N/A,FALSE,"Electric Normalized"}</definedName>
    <definedName name="spippw_2" localSheetId="35" hidden="1">{#N/A,#N/A,FALSE,"Actual";#N/A,#N/A,FALSE,"Normalized";#N/A,#N/A,FALSE,"Electric Actual";#N/A,#N/A,FALSE,"Electric Normalized"}</definedName>
    <definedName name="spippw_2" localSheetId="36" hidden="1">{#N/A,#N/A,FALSE,"Actual";#N/A,#N/A,FALSE,"Normalized";#N/A,#N/A,FALSE,"Electric Actual";#N/A,#N/A,FALSE,"Electric Normalized"}</definedName>
    <definedName name="spippw_2" localSheetId="0" hidden="1">{#N/A,#N/A,FALSE,"Actual";#N/A,#N/A,FALSE,"Normalized";#N/A,#N/A,FALSE,"Electric Actual";#N/A,#N/A,FALSE,"Electric Normalized"}</definedName>
    <definedName name="spippw_2" hidden="1">{#N/A,#N/A,FALSE,"Actual";#N/A,#N/A,FALSE,"Normalized";#N/A,#N/A,FALSE,"Electric Actual";#N/A,#N/A,FALSE,"Electric Normalized"}</definedName>
    <definedName name="spippw_3" localSheetId="1" hidden="1">{#N/A,#N/A,FALSE,"Actual";#N/A,#N/A,FALSE,"Normalized";#N/A,#N/A,FALSE,"Electric Actual";#N/A,#N/A,FALSE,"Electric Normalized"}</definedName>
    <definedName name="spippw_3" localSheetId="3" hidden="1">{#N/A,#N/A,FALSE,"Actual";#N/A,#N/A,FALSE,"Normalized";#N/A,#N/A,FALSE,"Electric Actual";#N/A,#N/A,FALSE,"Electric Normalized"}</definedName>
    <definedName name="spippw_3" localSheetId="4" hidden="1">{#N/A,#N/A,FALSE,"Actual";#N/A,#N/A,FALSE,"Normalized";#N/A,#N/A,FALSE,"Electric Actual";#N/A,#N/A,FALSE,"Electric Normalized"}</definedName>
    <definedName name="spippw_3" localSheetId="13" hidden="1">{#N/A,#N/A,FALSE,"Actual";#N/A,#N/A,FALSE,"Normalized";#N/A,#N/A,FALSE,"Electric Actual";#N/A,#N/A,FALSE,"Electric Normalized"}</definedName>
    <definedName name="spippw_3" localSheetId="14" hidden="1">{#N/A,#N/A,FALSE,"Actual";#N/A,#N/A,FALSE,"Normalized";#N/A,#N/A,FALSE,"Electric Actual";#N/A,#N/A,FALSE,"Electric Normalized"}</definedName>
    <definedName name="spippw_3" localSheetId="15" hidden="1">{#N/A,#N/A,FALSE,"Actual";#N/A,#N/A,FALSE,"Normalized";#N/A,#N/A,FALSE,"Electric Actual";#N/A,#N/A,FALSE,"Electric Normalized"}</definedName>
    <definedName name="spippw_3" localSheetId="16" hidden="1">{#N/A,#N/A,FALSE,"Actual";#N/A,#N/A,FALSE,"Normalized";#N/A,#N/A,FALSE,"Electric Actual";#N/A,#N/A,FALSE,"Electric Normalized"}</definedName>
    <definedName name="spippw_3" localSheetId="19" hidden="1">{#N/A,#N/A,FALSE,"Actual";#N/A,#N/A,FALSE,"Normalized";#N/A,#N/A,FALSE,"Electric Actual";#N/A,#N/A,FALSE,"Electric Normalized"}</definedName>
    <definedName name="spippw_3" localSheetId="22" hidden="1">{#N/A,#N/A,FALSE,"Actual";#N/A,#N/A,FALSE,"Normalized";#N/A,#N/A,FALSE,"Electric Actual";#N/A,#N/A,FALSE,"Electric Normalized"}</definedName>
    <definedName name="spippw_3" localSheetId="23" hidden="1">{#N/A,#N/A,FALSE,"Actual";#N/A,#N/A,FALSE,"Normalized";#N/A,#N/A,FALSE,"Electric Actual";#N/A,#N/A,FALSE,"Electric Normalized"}</definedName>
    <definedName name="spippw_3" localSheetId="24" hidden="1">{#N/A,#N/A,FALSE,"Actual";#N/A,#N/A,FALSE,"Normalized";#N/A,#N/A,FALSE,"Electric Actual";#N/A,#N/A,FALSE,"Electric Normalized"}</definedName>
    <definedName name="spippw_3" localSheetId="25" hidden="1">{#N/A,#N/A,FALSE,"Actual";#N/A,#N/A,FALSE,"Normalized";#N/A,#N/A,FALSE,"Electric Actual";#N/A,#N/A,FALSE,"Electric Normalized"}</definedName>
    <definedName name="spippw_3" localSheetId="26" hidden="1">{#N/A,#N/A,FALSE,"Actual";#N/A,#N/A,FALSE,"Normalized";#N/A,#N/A,FALSE,"Electric Actual";#N/A,#N/A,FALSE,"Electric Normalized"}</definedName>
    <definedName name="spippw_3" localSheetId="31" hidden="1">{#N/A,#N/A,FALSE,"Actual";#N/A,#N/A,FALSE,"Normalized";#N/A,#N/A,FALSE,"Electric Actual";#N/A,#N/A,FALSE,"Electric Normalized"}</definedName>
    <definedName name="spippw_3" localSheetId="35" hidden="1">{#N/A,#N/A,FALSE,"Actual";#N/A,#N/A,FALSE,"Normalized";#N/A,#N/A,FALSE,"Electric Actual";#N/A,#N/A,FALSE,"Electric Normalized"}</definedName>
    <definedName name="spippw_3" localSheetId="36" hidden="1">{#N/A,#N/A,FALSE,"Actual";#N/A,#N/A,FALSE,"Normalized";#N/A,#N/A,FALSE,"Electric Actual";#N/A,#N/A,FALSE,"Electric Normalized"}</definedName>
    <definedName name="spippw_3" localSheetId="0" hidden="1">{#N/A,#N/A,FALSE,"Actual";#N/A,#N/A,FALSE,"Normalized";#N/A,#N/A,FALSE,"Electric Actual";#N/A,#N/A,FALSE,"Electric Normalized"}</definedName>
    <definedName name="spippw_3" hidden="1">{#N/A,#N/A,FALSE,"Actual";#N/A,#N/A,FALSE,"Normalized";#N/A,#N/A,FALSE,"Electric Actual";#N/A,#N/A,FALSE,"Electric Normalized"}</definedName>
    <definedName name="spippw_4" localSheetId="1" hidden="1">{#N/A,#N/A,FALSE,"Actual";#N/A,#N/A,FALSE,"Normalized";#N/A,#N/A,FALSE,"Electric Actual";#N/A,#N/A,FALSE,"Electric Normalized"}</definedName>
    <definedName name="spippw_4" localSheetId="3" hidden="1">{#N/A,#N/A,FALSE,"Actual";#N/A,#N/A,FALSE,"Normalized";#N/A,#N/A,FALSE,"Electric Actual";#N/A,#N/A,FALSE,"Electric Normalized"}</definedName>
    <definedName name="spippw_4" localSheetId="4" hidden="1">{#N/A,#N/A,FALSE,"Actual";#N/A,#N/A,FALSE,"Normalized";#N/A,#N/A,FALSE,"Electric Actual";#N/A,#N/A,FALSE,"Electric Normalized"}</definedName>
    <definedName name="spippw_4" localSheetId="13" hidden="1">{#N/A,#N/A,FALSE,"Actual";#N/A,#N/A,FALSE,"Normalized";#N/A,#N/A,FALSE,"Electric Actual";#N/A,#N/A,FALSE,"Electric Normalized"}</definedName>
    <definedName name="spippw_4" localSheetId="14" hidden="1">{#N/A,#N/A,FALSE,"Actual";#N/A,#N/A,FALSE,"Normalized";#N/A,#N/A,FALSE,"Electric Actual";#N/A,#N/A,FALSE,"Electric Normalized"}</definedName>
    <definedName name="spippw_4" localSheetId="15" hidden="1">{#N/A,#N/A,FALSE,"Actual";#N/A,#N/A,FALSE,"Normalized";#N/A,#N/A,FALSE,"Electric Actual";#N/A,#N/A,FALSE,"Electric Normalized"}</definedName>
    <definedName name="spippw_4" localSheetId="16" hidden="1">{#N/A,#N/A,FALSE,"Actual";#N/A,#N/A,FALSE,"Normalized";#N/A,#N/A,FALSE,"Electric Actual";#N/A,#N/A,FALSE,"Electric Normalized"}</definedName>
    <definedName name="spippw_4" localSheetId="19" hidden="1">{#N/A,#N/A,FALSE,"Actual";#N/A,#N/A,FALSE,"Normalized";#N/A,#N/A,FALSE,"Electric Actual";#N/A,#N/A,FALSE,"Electric Normalized"}</definedName>
    <definedName name="spippw_4" localSheetId="22" hidden="1">{#N/A,#N/A,FALSE,"Actual";#N/A,#N/A,FALSE,"Normalized";#N/A,#N/A,FALSE,"Electric Actual";#N/A,#N/A,FALSE,"Electric Normalized"}</definedName>
    <definedName name="spippw_4" localSheetId="23" hidden="1">{#N/A,#N/A,FALSE,"Actual";#N/A,#N/A,FALSE,"Normalized";#N/A,#N/A,FALSE,"Electric Actual";#N/A,#N/A,FALSE,"Electric Normalized"}</definedName>
    <definedName name="spippw_4" localSheetId="24" hidden="1">{#N/A,#N/A,FALSE,"Actual";#N/A,#N/A,FALSE,"Normalized";#N/A,#N/A,FALSE,"Electric Actual";#N/A,#N/A,FALSE,"Electric Normalized"}</definedName>
    <definedName name="spippw_4" localSheetId="25" hidden="1">{#N/A,#N/A,FALSE,"Actual";#N/A,#N/A,FALSE,"Normalized";#N/A,#N/A,FALSE,"Electric Actual";#N/A,#N/A,FALSE,"Electric Normalized"}</definedName>
    <definedName name="spippw_4" localSheetId="26" hidden="1">{#N/A,#N/A,FALSE,"Actual";#N/A,#N/A,FALSE,"Normalized";#N/A,#N/A,FALSE,"Electric Actual";#N/A,#N/A,FALSE,"Electric Normalized"}</definedName>
    <definedName name="spippw_4" localSheetId="31" hidden="1">{#N/A,#N/A,FALSE,"Actual";#N/A,#N/A,FALSE,"Normalized";#N/A,#N/A,FALSE,"Electric Actual";#N/A,#N/A,FALSE,"Electric Normalized"}</definedName>
    <definedName name="spippw_4" localSheetId="35" hidden="1">{#N/A,#N/A,FALSE,"Actual";#N/A,#N/A,FALSE,"Normalized";#N/A,#N/A,FALSE,"Electric Actual";#N/A,#N/A,FALSE,"Electric Normalized"}</definedName>
    <definedName name="spippw_4" localSheetId="36" hidden="1">{#N/A,#N/A,FALSE,"Actual";#N/A,#N/A,FALSE,"Normalized";#N/A,#N/A,FALSE,"Electric Actual";#N/A,#N/A,FALSE,"Electric Normalized"}</definedName>
    <definedName name="spippw_4" localSheetId="0" hidden="1">{#N/A,#N/A,FALSE,"Actual";#N/A,#N/A,FALSE,"Normalized";#N/A,#N/A,FALSE,"Electric Actual";#N/A,#N/A,FALSE,"Electric Normalized"}</definedName>
    <definedName name="spippw_4" hidden="1">{#N/A,#N/A,FALSE,"Actual";#N/A,#N/A,FALSE,"Normalized";#N/A,#N/A,FALSE,"Electric Actual";#N/A,#N/A,FALSE,"Electric Normalized"}</definedName>
    <definedName name="spippw_5" localSheetId="1" hidden="1">{#N/A,#N/A,FALSE,"Actual";#N/A,#N/A,FALSE,"Normalized";#N/A,#N/A,FALSE,"Electric Actual";#N/A,#N/A,FALSE,"Electric Normalized"}</definedName>
    <definedName name="spippw_5" localSheetId="3" hidden="1">{#N/A,#N/A,FALSE,"Actual";#N/A,#N/A,FALSE,"Normalized";#N/A,#N/A,FALSE,"Electric Actual";#N/A,#N/A,FALSE,"Electric Normalized"}</definedName>
    <definedName name="spippw_5" localSheetId="4" hidden="1">{#N/A,#N/A,FALSE,"Actual";#N/A,#N/A,FALSE,"Normalized";#N/A,#N/A,FALSE,"Electric Actual";#N/A,#N/A,FALSE,"Electric Normalized"}</definedName>
    <definedName name="spippw_5" localSheetId="13" hidden="1">{#N/A,#N/A,FALSE,"Actual";#N/A,#N/A,FALSE,"Normalized";#N/A,#N/A,FALSE,"Electric Actual";#N/A,#N/A,FALSE,"Electric Normalized"}</definedName>
    <definedName name="spippw_5" localSheetId="14" hidden="1">{#N/A,#N/A,FALSE,"Actual";#N/A,#N/A,FALSE,"Normalized";#N/A,#N/A,FALSE,"Electric Actual";#N/A,#N/A,FALSE,"Electric Normalized"}</definedName>
    <definedName name="spippw_5" localSheetId="15" hidden="1">{#N/A,#N/A,FALSE,"Actual";#N/A,#N/A,FALSE,"Normalized";#N/A,#N/A,FALSE,"Electric Actual";#N/A,#N/A,FALSE,"Electric Normalized"}</definedName>
    <definedName name="spippw_5" localSheetId="16" hidden="1">{#N/A,#N/A,FALSE,"Actual";#N/A,#N/A,FALSE,"Normalized";#N/A,#N/A,FALSE,"Electric Actual";#N/A,#N/A,FALSE,"Electric Normalized"}</definedName>
    <definedName name="spippw_5" localSheetId="19" hidden="1">{#N/A,#N/A,FALSE,"Actual";#N/A,#N/A,FALSE,"Normalized";#N/A,#N/A,FALSE,"Electric Actual";#N/A,#N/A,FALSE,"Electric Normalized"}</definedName>
    <definedName name="spippw_5" localSheetId="22" hidden="1">{#N/A,#N/A,FALSE,"Actual";#N/A,#N/A,FALSE,"Normalized";#N/A,#N/A,FALSE,"Electric Actual";#N/A,#N/A,FALSE,"Electric Normalized"}</definedName>
    <definedName name="spippw_5" localSheetId="23" hidden="1">{#N/A,#N/A,FALSE,"Actual";#N/A,#N/A,FALSE,"Normalized";#N/A,#N/A,FALSE,"Electric Actual";#N/A,#N/A,FALSE,"Electric Normalized"}</definedName>
    <definedName name="spippw_5" localSheetId="24" hidden="1">{#N/A,#N/A,FALSE,"Actual";#N/A,#N/A,FALSE,"Normalized";#N/A,#N/A,FALSE,"Electric Actual";#N/A,#N/A,FALSE,"Electric Normalized"}</definedName>
    <definedName name="spippw_5" localSheetId="25" hidden="1">{#N/A,#N/A,FALSE,"Actual";#N/A,#N/A,FALSE,"Normalized";#N/A,#N/A,FALSE,"Electric Actual";#N/A,#N/A,FALSE,"Electric Normalized"}</definedName>
    <definedName name="spippw_5" localSheetId="26" hidden="1">{#N/A,#N/A,FALSE,"Actual";#N/A,#N/A,FALSE,"Normalized";#N/A,#N/A,FALSE,"Electric Actual";#N/A,#N/A,FALSE,"Electric Normalized"}</definedName>
    <definedName name="spippw_5" localSheetId="31" hidden="1">{#N/A,#N/A,FALSE,"Actual";#N/A,#N/A,FALSE,"Normalized";#N/A,#N/A,FALSE,"Electric Actual";#N/A,#N/A,FALSE,"Electric Normalized"}</definedName>
    <definedName name="spippw_5" localSheetId="35" hidden="1">{#N/A,#N/A,FALSE,"Actual";#N/A,#N/A,FALSE,"Normalized";#N/A,#N/A,FALSE,"Electric Actual";#N/A,#N/A,FALSE,"Electric Normalized"}</definedName>
    <definedName name="spippw_5" localSheetId="36" hidden="1">{#N/A,#N/A,FALSE,"Actual";#N/A,#N/A,FALSE,"Normalized";#N/A,#N/A,FALSE,"Electric Actual";#N/A,#N/A,FALSE,"Electric Normalized"}</definedName>
    <definedName name="spippw_5" localSheetId="0" hidden="1">{#N/A,#N/A,FALSE,"Actual";#N/A,#N/A,FALSE,"Normalized";#N/A,#N/A,FALSE,"Electric Actual";#N/A,#N/A,FALSE,"Electric Normalized"}</definedName>
    <definedName name="spippw_5" hidden="1">{#N/A,#N/A,FALSE,"Actual";#N/A,#N/A,FALSE,"Normalized";#N/A,#N/A,FALSE,"Electric Actual";#N/A,#N/A,FALSE,"Electric Normalized"}</definedName>
    <definedName name="startyr">[1]Levelizer!$C$6</definedName>
    <definedName name="tax">[1]Levelizer!$C$8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heel_Year">[4]Resources!$S$14</definedName>
    <definedName name="Wind_CC_East">[4]CapacityContribution!$B$4</definedName>
    <definedName name="Wind_CC_West" localSheetId="13">[4]CapacityContribution!$B$5</definedName>
    <definedName name="Wind_CC_West" localSheetId="14">[4]CapacityContribution!$B$5</definedName>
    <definedName name="Wind_CC_West" localSheetId="16">[4]CapacityContribution!$B$5</definedName>
    <definedName name="Wind_CC_West" localSheetId="19">[4]CapacityContribution!$B$5</definedName>
    <definedName name="Wind_CC_West" localSheetId="22">[4]CapacityContribution!$B$5</definedName>
    <definedName name="Wind_CC_West" localSheetId="23">[4]CapacityContribution!$B$5</definedName>
    <definedName name="Wind_CC_West" localSheetId="24">[4]CapacityContribution!$B$5</definedName>
    <definedName name="Wind_CC_West" localSheetId="31">[4]CapacityContribution!$B$5</definedName>
    <definedName name="Wind_CC_West" localSheetId="35">[4]CapacityContribution!$B$5</definedName>
    <definedName name="Wind_CC_West" localSheetId="36">[4]CapacityContribution!$B$5</definedName>
    <definedName name="Wind_CC_West">[5]CapacityContribution!$B$5</definedName>
    <definedName name="wrn.1996._.Hydro._.5._.Year._.Forecast._.Budget.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hidden="1">{#N/A,#N/A,FALSE,"Summary";#N/A,#N/A,FALSE,"SmPlants";#N/A,#N/A,FALSE,"Utah";#N/A,#N/A,FALSE,"Idaho";#N/A,#N/A,FALSE,"Lewis River";#N/A,#N/A,FALSE,"NrthUmpq";#N/A,#N/A,FALSE,"KlamRog"}</definedName>
    <definedName name="wrn.ALL." localSheetId="1" hidden="1">{#N/A,#N/A,FALSE,"Summary EPS";#N/A,#N/A,FALSE,"1st Qtr Electric";#N/A,#N/A,FALSE,"1st Qtr Australia";#N/A,#N/A,FALSE,"1st Qtr Telecom";#N/A,#N/A,FALSE,"1st QTR Other"}</definedName>
    <definedName name="wrn.ALL." localSheetId="3" hidden="1">{#N/A,#N/A,FALSE,"Summary EPS";#N/A,#N/A,FALSE,"1st Qtr Electric";#N/A,#N/A,FALSE,"1st Qtr Australia";#N/A,#N/A,FALSE,"1st Qtr Telecom";#N/A,#N/A,FALSE,"1st QTR Other"}</definedName>
    <definedName name="wrn.ALL." localSheetId="4" hidden="1">{#N/A,#N/A,FALSE,"Summary EPS";#N/A,#N/A,FALSE,"1st Qtr Electric";#N/A,#N/A,FALSE,"1st Qtr Australia";#N/A,#N/A,FALSE,"1st Qtr Telecom";#N/A,#N/A,FALSE,"1st QTR Other"}</definedName>
    <definedName name="wrn.ALL." localSheetId="13" hidden="1">{#N/A,#N/A,FALSE,"Summary EPS";#N/A,#N/A,FALSE,"1st Qtr Electric";#N/A,#N/A,FALSE,"1st Qtr Australia";#N/A,#N/A,FALSE,"1st Qtr Telecom";#N/A,#N/A,FALSE,"1st QTR Other"}</definedName>
    <definedName name="wrn.ALL." localSheetId="14" hidden="1">{#N/A,#N/A,FALSE,"Summary EPS";#N/A,#N/A,FALSE,"1st Qtr Electric";#N/A,#N/A,FALSE,"1st Qtr Australia";#N/A,#N/A,FALSE,"1st Qtr Telecom";#N/A,#N/A,FALSE,"1st QTR Other"}</definedName>
    <definedName name="wrn.ALL." localSheetId="15" hidden="1">{#N/A,#N/A,FALSE,"Summary EPS";#N/A,#N/A,FALSE,"1st Qtr Electric";#N/A,#N/A,FALSE,"1st Qtr Australia";#N/A,#N/A,FALSE,"1st Qtr Telecom";#N/A,#N/A,FALSE,"1st QTR Other"}</definedName>
    <definedName name="wrn.ALL." localSheetId="16" hidden="1">{#N/A,#N/A,FALSE,"Summary EPS";#N/A,#N/A,FALSE,"1st Qtr Electric";#N/A,#N/A,FALSE,"1st Qtr Australia";#N/A,#N/A,FALSE,"1st Qtr Telecom";#N/A,#N/A,FALSE,"1st QTR Other"}</definedName>
    <definedName name="wrn.ALL." localSheetId="19" hidden="1">{#N/A,#N/A,FALSE,"Summary EPS";#N/A,#N/A,FALSE,"1st Qtr Electric";#N/A,#N/A,FALSE,"1st Qtr Australia";#N/A,#N/A,FALSE,"1st Qtr Telecom";#N/A,#N/A,FALSE,"1st QTR Other"}</definedName>
    <definedName name="wrn.ALL." localSheetId="22" hidden="1">{#N/A,#N/A,FALSE,"Summary EPS";#N/A,#N/A,FALSE,"1st Qtr Electric";#N/A,#N/A,FALSE,"1st Qtr Australia";#N/A,#N/A,FALSE,"1st Qtr Telecom";#N/A,#N/A,FALSE,"1st QTR Other"}</definedName>
    <definedName name="wrn.ALL." localSheetId="23" hidden="1">{#N/A,#N/A,FALSE,"Summary EPS";#N/A,#N/A,FALSE,"1st Qtr Electric";#N/A,#N/A,FALSE,"1st Qtr Australia";#N/A,#N/A,FALSE,"1st Qtr Telecom";#N/A,#N/A,FALSE,"1st QTR Other"}</definedName>
    <definedName name="wrn.ALL." localSheetId="24" hidden="1">{#N/A,#N/A,FALSE,"Summary EPS";#N/A,#N/A,FALSE,"1st Qtr Electric";#N/A,#N/A,FALSE,"1st Qtr Australia";#N/A,#N/A,FALSE,"1st Qtr Telecom";#N/A,#N/A,FALSE,"1st QTR Other"}</definedName>
    <definedName name="wrn.ALL." localSheetId="25" hidden="1">{#N/A,#N/A,FALSE,"Summary EPS";#N/A,#N/A,FALSE,"1st Qtr Electric";#N/A,#N/A,FALSE,"1st Qtr Australia";#N/A,#N/A,FALSE,"1st Qtr Telecom";#N/A,#N/A,FALSE,"1st QTR Other"}</definedName>
    <definedName name="wrn.ALL." localSheetId="26" hidden="1">{#N/A,#N/A,FALSE,"Summary EPS";#N/A,#N/A,FALSE,"1st Qtr Electric";#N/A,#N/A,FALSE,"1st Qtr Australia";#N/A,#N/A,FALSE,"1st Qtr Telecom";#N/A,#N/A,FALSE,"1st QTR Other"}</definedName>
    <definedName name="wrn.ALL." localSheetId="31" hidden="1">{#N/A,#N/A,FALSE,"Summary EPS";#N/A,#N/A,FALSE,"1st Qtr Electric";#N/A,#N/A,FALSE,"1st Qtr Australia";#N/A,#N/A,FALSE,"1st Qtr Telecom";#N/A,#N/A,FALSE,"1st QTR Other"}</definedName>
    <definedName name="wrn.ALL." localSheetId="35" hidden="1">{#N/A,#N/A,FALSE,"Summary EPS";#N/A,#N/A,FALSE,"1st Qtr Electric";#N/A,#N/A,FALSE,"1st Qtr Australia";#N/A,#N/A,FALSE,"1st Qtr Telecom";#N/A,#N/A,FALSE,"1st QTR Other"}</definedName>
    <definedName name="wrn.ALL." localSheetId="36" hidden="1">{#N/A,#N/A,FALSE,"Summary EPS";#N/A,#N/A,FALSE,"1st Qtr Electric";#N/A,#N/A,FALSE,"1st Qtr Australia";#N/A,#N/A,FALSE,"1st Qtr Telecom";#N/A,#N/A,FALSE,"1st QTR Other"}</definedName>
    <definedName name="wrn.ALL." localSheetId="0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pages." localSheetId="1" hidden="1">{#N/A,#N/A,FALSE,"Summary 1";#N/A,#N/A,FALSE,"Domestic";#N/A,#N/A,FALSE,"Australia";#N/A,#N/A,FALSE,"Other"}</definedName>
    <definedName name="wrn.All._.pages." localSheetId="3" hidden="1">{#N/A,#N/A,FALSE,"Summary 1";#N/A,#N/A,FALSE,"Domestic";#N/A,#N/A,FALSE,"Australia";#N/A,#N/A,FALSE,"Other"}</definedName>
    <definedName name="wrn.All._.pages." localSheetId="4" hidden="1">{#N/A,#N/A,FALSE,"Summary 1";#N/A,#N/A,FALSE,"Domestic";#N/A,#N/A,FALSE,"Australia";#N/A,#N/A,FALSE,"Other"}</definedName>
    <definedName name="wrn.All._.pages." localSheetId="13" hidden="1">{#N/A,#N/A,FALSE,"Summary 1";#N/A,#N/A,FALSE,"Domestic";#N/A,#N/A,FALSE,"Australia";#N/A,#N/A,FALSE,"Other"}</definedName>
    <definedName name="wrn.All._.pages." localSheetId="14" hidden="1">{#N/A,#N/A,FALSE,"Summary 1";#N/A,#N/A,FALSE,"Domestic";#N/A,#N/A,FALSE,"Australia";#N/A,#N/A,FALSE,"Other"}</definedName>
    <definedName name="wrn.All._.pages." localSheetId="15" hidden="1">{#N/A,#N/A,FALSE,"Summary 1";#N/A,#N/A,FALSE,"Domestic";#N/A,#N/A,FALSE,"Australia";#N/A,#N/A,FALSE,"Other"}</definedName>
    <definedName name="wrn.All._.pages." localSheetId="16" hidden="1">{#N/A,#N/A,FALSE,"Summary 1";#N/A,#N/A,FALSE,"Domestic";#N/A,#N/A,FALSE,"Australia";#N/A,#N/A,FALSE,"Other"}</definedName>
    <definedName name="wrn.All._.pages." localSheetId="19" hidden="1">{#N/A,#N/A,FALSE,"Summary 1";#N/A,#N/A,FALSE,"Domestic";#N/A,#N/A,FALSE,"Australia";#N/A,#N/A,FALSE,"Other"}</definedName>
    <definedName name="wrn.All._.pages." localSheetId="22" hidden="1">{#N/A,#N/A,FALSE,"Summary 1";#N/A,#N/A,FALSE,"Domestic";#N/A,#N/A,FALSE,"Australia";#N/A,#N/A,FALSE,"Other"}</definedName>
    <definedName name="wrn.All._.pages." localSheetId="23" hidden="1">{#N/A,#N/A,FALSE,"Summary 1";#N/A,#N/A,FALSE,"Domestic";#N/A,#N/A,FALSE,"Australia";#N/A,#N/A,FALSE,"Other"}</definedName>
    <definedName name="wrn.All._.pages." localSheetId="24" hidden="1">{#N/A,#N/A,FALSE,"Summary 1";#N/A,#N/A,FALSE,"Domestic";#N/A,#N/A,FALSE,"Australia";#N/A,#N/A,FALSE,"Other"}</definedName>
    <definedName name="wrn.All._.pages." localSheetId="25" hidden="1">{#N/A,#N/A,FALSE,"Summary 1";#N/A,#N/A,FALSE,"Domestic";#N/A,#N/A,FALSE,"Australia";#N/A,#N/A,FALSE,"Other"}</definedName>
    <definedName name="wrn.All._.pages." localSheetId="26" hidden="1">{#N/A,#N/A,FALSE,"Summary 1";#N/A,#N/A,FALSE,"Domestic";#N/A,#N/A,FALSE,"Australia";#N/A,#N/A,FALSE,"Other"}</definedName>
    <definedName name="wrn.All._.pages." localSheetId="31" hidden="1">{#N/A,#N/A,FALSE,"Summary 1";#N/A,#N/A,FALSE,"Domestic";#N/A,#N/A,FALSE,"Australia";#N/A,#N/A,FALSE,"Other"}</definedName>
    <definedName name="wrn.All._.pages." localSheetId="35" hidden="1">{#N/A,#N/A,FALSE,"Summary 1";#N/A,#N/A,FALSE,"Domestic";#N/A,#N/A,FALSE,"Australia";#N/A,#N/A,FALSE,"Other"}</definedName>
    <definedName name="wrn.All._.pages." localSheetId="36" hidden="1">{#N/A,#N/A,FALSE,"Summary 1";#N/A,#N/A,FALSE,"Domestic";#N/A,#N/A,FALSE,"Australia";#N/A,#N/A,FALSE,"Other"}</definedName>
    <definedName name="wrn.All._.pages." localSheetId="0" hidden="1">{#N/A,#N/A,FALSE,"Summary 1";#N/A,#N/A,FALSE,"Domestic";#N/A,#N/A,FALSE,"Australia";#N/A,#N/A,FALSE,"Other"}</definedName>
    <definedName name="wrn.All._.pages." hidden="1">{#N/A,#N/A,FALSE,"Summary 1";#N/A,#N/A,FALSE,"Domestic";#N/A,#N/A,FALSE,"Australia";#N/A,#N/A,FALSE,"Other"}</definedName>
    <definedName name="wrn.All._.pages._1" localSheetId="1" hidden="1">{#N/A,#N/A,FALSE,"Summary 1";#N/A,#N/A,FALSE,"Domestic";#N/A,#N/A,FALSE,"Australia";#N/A,#N/A,FALSE,"Other"}</definedName>
    <definedName name="wrn.All._.pages._1" localSheetId="3" hidden="1">{#N/A,#N/A,FALSE,"Summary 1";#N/A,#N/A,FALSE,"Domestic";#N/A,#N/A,FALSE,"Australia";#N/A,#N/A,FALSE,"Other"}</definedName>
    <definedName name="wrn.All._.pages._1" localSheetId="4" hidden="1">{#N/A,#N/A,FALSE,"Summary 1";#N/A,#N/A,FALSE,"Domestic";#N/A,#N/A,FALSE,"Australia";#N/A,#N/A,FALSE,"Other"}</definedName>
    <definedName name="wrn.All._.pages._1" localSheetId="13" hidden="1">{#N/A,#N/A,FALSE,"Summary 1";#N/A,#N/A,FALSE,"Domestic";#N/A,#N/A,FALSE,"Australia";#N/A,#N/A,FALSE,"Other"}</definedName>
    <definedName name="wrn.All._.pages._1" localSheetId="14" hidden="1">{#N/A,#N/A,FALSE,"Summary 1";#N/A,#N/A,FALSE,"Domestic";#N/A,#N/A,FALSE,"Australia";#N/A,#N/A,FALSE,"Other"}</definedName>
    <definedName name="wrn.All._.pages._1" localSheetId="15" hidden="1">{#N/A,#N/A,FALSE,"Summary 1";#N/A,#N/A,FALSE,"Domestic";#N/A,#N/A,FALSE,"Australia";#N/A,#N/A,FALSE,"Other"}</definedName>
    <definedName name="wrn.All._.pages._1" localSheetId="16" hidden="1">{#N/A,#N/A,FALSE,"Summary 1";#N/A,#N/A,FALSE,"Domestic";#N/A,#N/A,FALSE,"Australia";#N/A,#N/A,FALSE,"Other"}</definedName>
    <definedName name="wrn.All._.pages._1" localSheetId="19" hidden="1">{#N/A,#N/A,FALSE,"Summary 1";#N/A,#N/A,FALSE,"Domestic";#N/A,#N/A,FALSE,"Australia";#N/A,#N/A,FALSE,"Other"}</definedName>
    <definedName name="wrn.All._.pages._1" localSheetId="22" hidden="1">{#N/A,#N/A,FALSE,"Summary 1";#N/A,#N/A,FALSE,"Domestic";#N/A,#N/A,FALSE,"Australia";#N/A,#N/A,FALSE,"Other"}</definedName>
    <definedName name="wrn.All._.pages._1" localSheetId="23" hidden="1">{#N/A,#N/A,FALSE,"Summary 1";#N/A,#N/A,FALSE,"Domestic";#N/A,#N/A,FALSE,"Australia";#N/A,#N/A,FALSE,"Other"}</definedName>
    <definedName name="wrn.All._.pages._1" localSheetId="24" hidden="1">{#N/A,#N/A,FALSE,"Summary 1";#N/A,#N/A,FALSE,"Domestic";#N/A,#N/A,FALSE,"Australia";#N/A,#N/A,FALSE,"Other"}</definedName>
    <definedName name="wrn.All._.pages._1" localSheetId="25" hidden="1">{#N/A,#N/A,FALSE,"Summary 1";#N/A,#N/A,FALSE,"Domestic";#N/A,#N/A,FALSE,"Australia";#N/A,#N/A,FALSE,"Other"}</definedName>
    <definedName name="wrn.All._.pages._1" localSheetId="26" hidden="1">{#N/A,#N/A,FALSE,"Summary 1";#N/A,#N/A,FALSE,"Domestic";#N/A,#N/A,FALSE,"Australia";#N/A,#N/A,FALSE,"Other"}</definedName>
    <definedName name="wrn.All._.pages._1" localSheetId="31" hidden="1">{#N/A,#N/A,FALSE,"Summary 1";#N/A,#N/A,FALSE,"Domestic";#N/A,#N/A,FALSE,"Australia";#N/A,#N/A,FALSE,"Other"}</definedName>
    <definedName name="wrn.All._.pages._1" localSheetId="35" hidden="1">{#N/A,#N/A,FALSE,"Summary 1";#N/A,#N/A,FALSE,"Domestic";#N/A,#N/A,FALSE,"Australia";#N/A,#N/A,FALSE,"Other"}</definedName>
    <definedName name="wrn.All._.pages._1" localSheetId="36" hidden="1">{#N/A,#N/A,FALSE,"Summary 1";#N/A,#N/A,FALSE,"Domestic";#N/A,#N/A,FALSE,"Australia";#N/A,#N/A,FALSE,"Other"}</definedName>
    <definedName name="wrn.All._.pages._1" localSheetId="0" hidden="1">{#N/A,#N/A,FALSE,"Summary 1";#N/A,#N/A,FALSE,"Domestic";#N/A,#N/A,FALSE,"Australia";#N/A,#N/A,FALSE,"Other"}</definedName>
    <definedName name="wrn.All._.pages._1" hidden="1">{#N/A,#N/A,FALSE,"Summary 1";#N/A,#N/A,FALSE,"Domestic";#N/A,#N/A,FALSE,"Australia";#N/A,#N/A,FALSE,"Other"}</definedName>
    <definedName name="wrn.All._.pages._2" localSheetId="1" hidden="1">{#N/A,#N/A,FALSE,"Summary 1";#N/A,#N/A,FALSE,"Domestic";#N/A,#N/A,FALSE,"Australia";#N/A,#N/A,FALSE,"Other"}</definedName>
    <definedName name="wrn.All._.pages._2" localSheetId="3" hidden="1">{#N/A,#N/A,FALSE,"Summary 1";#N/A,#N/A,FALSE,"Domestic";#N/A,#N/A,FALSE,"Australia";#N/A,#N/A,FALSE,"Other"}</definedName>
    <definedName name="wrn.All._.pages._2" localSheetId="4" hidden="1">{#N/A,#N/A,FALSE,"Summary 1";#N/A,#N/A,FALSE,"Domestic";#N/A,#N/A,FALSE,"Australia";#N/A,#N/A,FALSE,"Other"}</definedName>
    <definedName name="wrn.All._.pages._2" localSheetId="13" hidden="1">{#N/A,#N/A,FALSE,"Summary 1";#N/A,#N/A,FALSE,"Domestic";#N/A,#N/A,FALSE,"Australia";#N/A,#N/A,FALSE,"Other"}</definedName>
    <definedName name="wrn.All._.pages._2" localSheetId="14" hidden="1">{#N/A,#N/A,FALSE,"Summary 1";#N/A,#N/A,FALSE,"Domestic";#N/A,#N/A,FALSE,"Australia";#N/A,#N/A,FALSE,"Other"}</definedName>
    <definedName name="wrn.All._.pages._2" localSheetId="15" hidden="1">{#N/A,#N/A,FALSE,"Summary 1";#N/A,#N/A,FALSE,"Domestic";#N/A,#N/A,FALSE,"Australia";#N/A,#N/A,FALSE,"Other"}</definedName>
    <definedName name="wrn.All._.pages._2" localSheetId="16" hidden="1">{#N/A,#N/A,FALSE,"Summary 1";#N/A,#N/A,FALSE,"Domestic";#N/A,#N/A,FALSE,"Australia";#N/A,#N/A,FALSE,"Other"}</definedName>
    <definedName name="wrn.All._.pages._2" localSheetId="19" hidden="1">{#N/A,#N/A,FALSE,"Summary 1";#N/A,#N/A,FALSE,"Domestic";#N/A,#N/A,FALSE,"Australia";#N/A,#N/A,FALSE,"Other"}</definedName>
    <definedName name="wrn.All._.pages._2" localSheetId="22" hidden="1">{#N/A,#N/A,FALSE,"Summary 1";#N/A,#N/A,FALSE,"Domestic";#N/A,#N/A,FALSE,"Australia";#N/A,#N/A,FALSE,"Other"}</definedName>
    <definedName name="wrn.All._.pages._2" localSheetId="23" hidden="1">{#N/A,#N/A,FALSE,"Summary 1";#N/A,#N/A,FALSE,"Domestic";#N/A,#N/A,FALSE,"Australia";#N/A,#N/A,FALSE,"Other"}</definedName>
    <definedName name="wrn.All._.pages._2" localSheetId="24" hidden="1">{#N/A,#N/A,FALSE,"Summary 1";#N/A,#N/A,FALSE,"Domestic";#N/A,#N/A,FALSE,"Australia";#N/A,#N/A,FALSE,"Other"}</definedName>
    <definedName name="wrn.All._.pages._2" localSheetId="25" hidden="1">{#N/A,#N/A,FALSE,"Summary 1";#N/A,#N/A,FALSE,"Domestic";#N/A,#N/A,FALSE,"Australia";#N/A,#N/A,FALSE,"Other"}</definedName>
    <definedName name="wrn.All._.pages._2" localSheetId="26" hidden="1">{#N/A,#N/A,FALSE,"Summary 1";#N/A,#N/A,FALSE,"Domestic";#N/A,#N/A,FALSE,"Australia";#N/A,#N/A,FALSE,"Other"}</definedName>
    <definedName name="wrn.All._.pages._2" localSheetId="31" hidden="1">{#N/A,#N/A,FALSE,"Summary 1";#N/A,#N/A,FALSE,"Domestic";#N/A,#N/A,FALSE,"Australia";#N/A,#N/A,FALSE,"Other"}</definedName>
    <definedName name="wrn.All._.pages._2" localSheetId="35" hidden="1">{#N/A,#N/A,FALSE,"Summary 1";#N/A,#N/A,FALSE,"Domestic";#N/A,#N/A,FALSE,"Australia";#N/A,#N/A,FALSE,"Other"}</definedName>
    <definedName name="wrn.All._.pages._2" localSheetId="36" hidden="1">{#N/A,#N/A,FALSE,"Summary 1";#N/A,#N/A,FALSE,"Domestic";#N/A,#N/A,FALSE,"Australia";#N/A,#N/A,FALSE,"Other"}</definedName>
    <definedName name="wrn.All._.pages._2" localSheetId="0" hidden="1">{#N/A,#N/A,FALSE,"Summary 1";#N/A,#N/A,FALSE,"Domestic";#N/A,#N/A,FALSE,"Australia";#N/A,#N/A,FALSE,"Other"}</definedName>
    <definedName name="wrn.All._.pages._2" hidden="1">{#N/A,#N/A,FALSE,"Summary 1";#N/A,#N/A,FALSE,"Domestic";#N/A,#N/A,FALSE,"Australia";#N/A,#N/A,FALSE,"Other"}</definedName>
    <definedName name="wrn.All._.pages._3" localSheetId="1" hidden="1">{#N/A,#N/A,FALSE,"Summary 1";#N/A,#N/A,FALSE,"Domestic";#N/A,#N/A,FALSE,"Australia";#N/A,#N/A,FALSE,"Other"}</definedName>
    <definedName name="wrn.All._.pages._3" localSheetId="3" hidden="1">{#N/A,#N/A,FALSE,"Summary 1";#N/A,#N/A,FALSE,"Domestic";#N/A,#N/A,FALSE,"Australia";#N/A,#N/A,FALSE,"Other"}</definedName>
    <definedName name="wrn.All._.pages._3" localSheetId="4" hidden="1">{#N/A,#N/A,FALSE,"Summary 1";#N/A,#N/A,FALSE,"Domestic";#N/A,#N/A,FALSE,"Australia";#N/A,#N/A,FALSE,"Other"}</definedName>
    <definedName name="wrn.All._.pages._3" localSheetId="13" hidden="1">{#N/A,#N/A,FALSE,"Summary 1";#N/A,#N/A,FALSE,"Domestic";#N/A,#N/A,FALSE,"Australia";#N/A,#N/A,FALSE,"Other"}</definedName>
    <definedName name="wrn.All._.pages._3" localSheetId="14" hidden="1">{#N/A,#N/A,FALSE,"Summary 1";#N/A,#N/A,FALSE,"Domestic";#N/A,#N/A,FALSE,"Australia";#N/A,#N/A,FALSE,"Other"}</definedName>
    <definedName name="wrn.All._.pages._3" localSheetId="15" hidden="1">{#N/A,#N/A,FALSE,"Summary 1";#N/A,#N/A,FALSE,"Domestic";#N/A,#N/A,FALSE,"Australia";#N/A,#N/A,FALSE,"Other"}</definedName>
    <definedName name="wrn.All._.pages._3" localSheetId="16" hidden="1">{#N/A,#N/A,FALSE,"Summary 1";#N/A,#N/A,FALSE,"Domestic";#N/A,#N/A,FALSE,"Australia";#N/A,#N/A,FALSE,"Other"}</definedName>
    <definedName name="wrn.All._.pages._3" localSheetId="19" hidden="1">{#N/A,#N/A,FALSE,"Summary 1";#N/A,#N/A,FALSE,"Domestic";#N/A,#N/A,FALSE,"Australia";#N/A,#N/A,FALSE,"Other"}</definedName>
    <definedName name="wrn.All._.pages._3" localSheetId="22" hidden="1">{#N/A,#N/A,FALSE,"Summary 1";#N/A,#N/A,FALSE,"Domestic";#N/A,#N/A,FALSE,"Australia";#N/A,#N/A,FALSE,"Other"}</definedName>
    <definedName name="wrn.All._.pages._3" localSheetId="23" hidden="1">{#N/A,#N/A,FALSE,"Summary 1";#N/A,#N/A,FALSE,"Domestic";#N/A,#N/A,FALSE,"Australia";#N/A,#N/A,FALSE,"Other"}</definedName>
    <definedName name="wrn.All._.pages._3" localSheetId="24" hidden="1">{#N/A,#N/A,FALSE,"Summary 1";#N/A,#N/A,FALSE,"Domestic";#N/A,#N/A,FALSE,"Australia";#N/A,#N/A,FALSE,"Other"}</definedName>
    <definedName name="wrn.All._.pages._3" localSheetId="25" hidden="1">{#N/A,#N/A,FALSE,"Summary 1";#N/A,#N/A,FALSE,"Domestic";#N/A,#N/A,FALSE,"Australia";#N/A,#N/A,FALSE,"Other"}</definedName>
    <definedName name="wrn.All._.pages._3" localSheetId="26" hidden="1">{#N/A,#N/A,FALSE,"Summary 1";#N/A,#N/A,FALSE,"Domestic";#N/A,#N/A,FALSE,"Australia";#N/A,#N/A,FALSE,"Other"}</definedName>
    <definedName name="wrn.All._.pages._3" localSheetId="31" hidden="1">{#N/A,#N/A,FALSE,"Summary 1";#N/A,#N/A,FALSE,"Domestic";#N/A,#N/A,FALSE,"Australia";#N/A,#N/A,FALSE,"Other"}</definedName>
    <definedName name="wrn.All._.pages._3" localSheetId="35" hidden="1">{#N/A,#N/A,FALSE,"Summary 1";#N/A,#N/A,FALSE,"Domestic";#N/A,#N/A,FALSE,"Australia";#N/A,#N/A,FALSE,"Other"}</definedName>
    <definedName name="wrn.All._.pages._3" localSheetId="36" hidden="1">{#N/A,#N/A,FALSE,"Summary 1";#N/A,#N/A,FALSE,"Domestic";#N/A,#N/A,FALSE,"Australia";#N/A,#N/A,FALSE,"Other"}</definedName>
    <definedName name="wrn.All._.pages._3" localSheetId="0" hidden="1">{#N/A,#N/A,FALSE,"Summary 1";#N/A,#N/A,FALSE,"Domestic";#N/A,#N/A,FALSE,"Australia";#N/A,#N/A,FALSE,"Other"}</definedName>
    <definedName name="wrn.All._.pages._3" hidden="1">{#N/A,#N/A,FALSE,"Summary 1";#N/A,#N/A,FALSE,"Domestic";#N/A,#N/A,FALSE,"Australia";#N/A,#N/A,FALSE,"Other"}</definedName>
    <definedName name="wrn.All._.pages._4" localSheetId="1" hidden="1">{#N/A,#N/A,FALSE,"Summary 1";#N/A,#N/A,FALSE,"Domestic";#N/A,#N/A,FALSE,"Australia";#N/A,#N/A,FALSE,"Other"}</definedName>
    <definedName name="wrn.All._.pages._4" localSheetId="3" hidden="1">{#N/A,#N/A,FALSE,"Summary 1";#N/A,#N/A,FALSE,"Domestic";#N/A,#N/A,FALSE,"Australia";#N/A,#N/A,FALSE,"Other"}</definedName>
    <definedName name="wrn.All._.pages._4" localSheetId="4" hidden="1">{#N/A,#N/A,FALSE,"Summary 1";#N/A,#N/A,FALSE,"Domestic";#N/A,#N/A,FALSE,"Australia";#N/A,#N/A,FALSE,"Other"}</definedName>
    <definedName name="wrn.All._.pages._4" localSheetId="13" hidden="1">{#N/A,#N/A,FALSE,"Summary 1";#N/A,#N/A,FALSE,"Domestic";#N/A,#N/A,FALSE,"Australia";#N/A,#N/A,FALSE,"Other"}</definedName>
    <definedName name="wrn.All._.pages._4" localSheetId="14" hidden="1">{#N/A,#N/A,FALSE,"Summary 1";#N/A,#N/A,FALSE,"Domestic";#N/A,#N/A,FALSE,"Australia";#N/A,#N/A,FALSE,"Other"}</definedName>
    <definedName name="wrn.All._.pages._4" localSheetId="15" hidden="1">{#N/A,#N/A,FALSE,"Summary 1";#N/A,#N/A,FALSE,"Domestic";#N/A,#N/A,FALSE,"Australia";#N/A,#N/A,FALSE,"Other"}</definedName>
    <definedName name="wrn.All._.pages._4" localSheetId="16" hidden="1">{#N/A,#N/A,FALSE,"Summary 1";#N/A,#N/A,FALSE,"Domestic";#N/A,#N/A,FALSE,"Australia";#N/A,#N/A,FALSE,"Other"}</definedName>
    <definedName name="wrn.All._.pages._4" localSheetId="19" hidden="1">{#N/A,#N/A,FALSE,"Summary 1";#N/A,#N/A,FALSE,"Domestic";#N/A,#N/A,FALSE,"Australia";#N/A,#N/A,FALSE,"Other"}</definedName>
    <definedName name="wrn.All._.pages._4" localSheetId="22" hidden="1">{#N/A,#N/A,FALSE,"Summary 1";#N/A,#N/A,FALSE,"Domestic";#N/A,#N/A,FALSE,"Australia";#N/A,#N/A,FALSE,"Other"}</definedName>
    <definedName name="wrn.All._.pages._4" localSheetId="23" hidden="1">{#N/A,#N/A,FALSE,"Summary 1";#N/A,#N/A,FALSE,"Domestic";#N/A,#N/A,FALSE,"Australia";#N/A,#N/A,FALSE,"Other"}</definedName>
    <definedName name="wrn.All._.pages._4" localSheetId="24" hidden="1">{#N/A,#N/A,FALSE,"Summary 1";#N/A,#N/A,FALSE,"Domestic";#N/A,#N/A,FALSE,"Australia";#N/A,#N/A,FALSE,"Other"}</definedName>
    <definedName name="wrn.All._.pages._4" localSheetId="25" hidden="1">{#N/A,#N/A,FALSE,"Summary 1";#N/A,#N/A,FALSE,"Domestic";#N/A,#N/A,FALSE,"Australia";#N/A,#N/A,FALSE,"Other"}</definedName>
    <definedName name="wrn.All._.pages._4" localSheetId="26" hidden="1">{#N/A,#N/A,FALSE,"Summary 1";#N/A,#N/A,FALSE,"Domestic";#N/A,#N/A,FALSE,"Australia";#N/A,#N/A,FALSE,"Other"}</definedName>
    <definedName name="wrn.All._.pages._4" localSheetId="31" hidden="1">{#N/A,#N/A,FALSE,"Summary 1";#N/A,#N/A,FALSE,"Domestic";#N/A,#N/A,FALSE,"Australia";#N/A,#N/A,FALSE,"Other"}</definedName>
    <definedName name="wrn.All._.pages._4" localSheetId="35" hidden="1">{#N/A,#N/A,FALSE,"Summary 1";#N/A,#N/A,FALSE,"Domestic";#N/A,#N/A,FALSE,"Australia";#N/A,#N/A,FALSE,"Other"}</definedName>
    <definedName name="wrn.All._.pages._4" localSheetId="36" hidden="1">{#N/A,#N/A,FALSE,"Summary 1";#N/A,#N/A,FALSE,"Domestic";#N/A,#N/A,FALSE,"Australia";#N/A,#N/A,FALSE,"Other"}</definedName>
    <definedName name="wrn.All._.pages._4" localSheetId="0" hidden="1">{#N/A,#N/A,FALSE,"Summary 1";#N/A,#N/A,FALSE,"Domestic";#N/A,#N/A,FALSE,"Australia";#N/A,#N/A,FALSE,"Other"}</definedName>
    <definedName name="wrn.All._.pages._4" hidden="1">{#N/A,#N/A,FALSE,"Summary 1";#N/A,#N/A,FALSE,"Domestic";#N/A,#N/A,FALSE,"Australia";#N/A,#N/A,FALSE,"Other"}</definedName>
    <definedName name="wrn.All._.pages._5" localSheetId="1" hidden="1">{#N/A,#N/A,FALSE,"Summary 1";#N/A,#N/A,FALSE,"Domestic";#N/A,#N/A,FALSE,"Australia";#N/A,#N/A,FALSE,"Other"}</definedName>
    <definedName name="wrn.All._.pages._5" localSheetId="3" hidden="1">{#N/A,#N/A,FALSE,"Summary 1";#N/A,#N/A,FALSE,"Domestic";#N/A,#N/A,FALSE,"Australia";#N/A,#N/A,FALSE,"Other"}</definedName>
    <definedName name="wrn.All._.pages._5" localSheetId="4" hidden="1">{#N/A,#N/A,FALSE,"Summary 1";#N/A,#N/A,FALSE,"Domestic";#N/A,#N/A,FALSE,"Australia";#N/A,#N/A,FALSE,"Other"}</definedName>
    <definedName name="wrn.All._.pages._5" localSheetId="13" hidden="1">{#N/A,#N/A,FALSE,"Summary 1";#N/A,#N/A,FALSE,"Domestic";#N/A,#N/A,FALSE,"Australia";#N/A,#N/A,FALSE,"Other"}</definedName>
    <definedName name="wrn.All._.pages._5" localSheetId="14" hidden="1">{#N/A,#N/A,FALSE,"Summary 1";#N/A,#N/A,FALSE,"Domestic";#N/A,#N/A,FALSE,"Australia";#N/A,#N/A,FALSE,"Other"}</definedName>
    <definedName name="wrn.All._.pages._5" localSheetId="15" hidden="1">{#N/A,#N/A,FALSE,"Summary 1";#N/A,#N/A,FALSE,"Domestic";#N/A,#N/A,FALSE,"Australia";#N/A,#N/A,FALSE,"Other"}</definedName>
    <definedName name="wrn.All._.pages._5" localSheetId="16" hidden="1">{#N/A,#N/A,FALSE,"Summary 1";#N/A,#N/A,FALSE,"Domestic";#N/A,#N/A,FALSE,"Australia";#N/A,#N/A,FALSE,"Other"}</definedName>
    <definedName name="wrn.All._.pages._5" localSheetId="19" hidden="1">{#N/A,#N/A,FALSE,"Summary 1";#N/A,#N/A,FALSE,"Domestic";#N/A,#N/A,FALSE,"Australia";#N/A,#N/A,FALSE,"Other"}</definedName>
    <definedName name="wrn.All._.pages._5" localSheetId="22" hidden="1">{#N/A,#N/A,FALSE,"Summary 1";#N/A,#N/A,FALSE,"Domestic";#N/A,#N/A,FALSE,"Australia";#N/A,#N/A,FALSE,"Other"}</definedName>
    <definedName name="wrn.All._.pages._5" localSheetId="23" hidden="1">{#N/A,#N/A,FALSE,"Summary 1";#N/A,#N/A,FALSE,"Domestic";#N/A,#N/A,FALSE,"Australia";#N/A,#N/A,FALSE,"Other"}</definedName>
    <definedName name="wrn.All._.pages._5" localSheetId="24" hidden="1">{#N/A,#N/A,FALSE,"Summary 1";#N/A,#N/A,FALSE,"Domestic";#N/A,#N/A,FALSE,"Australia";#N/A,#N/A,FALSE,"Other"}</definedName>
    <definedName name="wrn.All._.pages._5" localSheetId="25" hidden="1">{#N/A,#N/A,FALSE,"Summary 1";#N/A,#N/A,FALSE,"Domestic";#N/A,#N/A,FALSE,"Australia";#N/A,#N/A,FALSE,"Other"}</definedName>
    <definedName name="wrn.All._.pages._5" localSheetId="26" hidden="1">{#N/A,#N/A,FALSE,"Summary 1";#N/A,#N/A,FALSE,"Domestic";#N/A,#N/A,FALSE,"Australia";#N/A,#N/A,FALSE,"Other"}</definedName>
    <definedName name="wrn.All._.pages._5" localSheetId="31" hidden="1">{#N/A,#N/A,FALSE,"Summary 1";#N/A,#N/A,FALSE,"Domestic";#N/A,#N/A,FALSE,"Australia";#N/A,#N/A,FALSE,"Other"}</definedName>
    <definedName name="wrn.All._.pages._5" localSheetId="35" hidden="1">{#N/A,#N/A,FALSE,"Summary 1";#N/A,#N/A,FALSE,"Domestic";#N/A,#N/A,FALSE,"Australia";#N/A,#N/A,FALSE,"Other"}</definedName>
    <definedName name="wrn.All._.pages._5" localSheetId="36" hidden="1">{#N/A,#N/A,FALSE,"Summary 1";#N/A,#N/A,FALSE,"Domestic";#N/A,#N/A,FALSE,"Australia";#N/A,#N/A,FALSE,"Other"}</definedName>
    <definedName name="wrn.All._.pages._5" localSheetId="0" hidden="1">{#N/A,#N/A,FALSE,"Summary 1";#N/A,#N/A,FALSE,"Domestic";#N/A,#N/A,FALSE,"Australia";#N/A,#N/A,FALSE,"Other"}</definedName>
    <definedName name="wrn.All._.pages._5" hidden="1">{#N/A,#N/A,FALSE,"Summary 1";#N/A,#N/A,FALSE,"Domestic";#N/A,#N/A,FALSE,"Australia";#N/A,#N/A,FALSE,"Other"}</definedName>
    <definedName name="wrn.ALL._1" localSheetId="1" hidden="1">{#N/A,#N/A,FALSE,"Summary EPS";#N/A,#N/A,FALSE,"1st Qtr Electric";#N/A,#N/A,FALSE,"1st Qtr Australia";#N/A,#N/A,FALSE,"1st Qtr Telecom";#N/A,#N/A,FALSE,"1st QTR Other"}</definedName>
    <definedName name="wrn.ALL._1" localSheetId="3" hidden="1">{#N/A,#N/A,FALSE,"Summary EPS";#N/A,#N/A,FALSE,"1st Qtr Electric";#N/A,#N/A,FALSE,"1st Qtr Australia";#N/A,#N/A,FALSE,"1st Qtr Telecom";#N/A,#N/A,FALSE,"1st QTR Other"}</definedName>
    <definedName name="wrn.ALL._1" localSheetId="4" hidden="1">{#N/A,#N/A,FALSE,"Summary EPS";#N/A,#N/A,FALSE,"1st Qtr Electric";#N/A,#N/A,FALSE,"1st Qtr Australia";#N/A,#N/A,FALSE,"1st Qtr Telecom";#N/A,#N/A,FALSE,"1st QTR Other"}</definedName>
    <definedName name="wrn.ALL._1" localSheetId="13" hidden="1">{#N/A,#N/A,FALSE,"Summary EPS";#N/A,#N/A,FALSE,"1st Qtr Electric";#N/A,#N/A,FALSE,"1st Qtr Australia";#N/A,#N/A,FALSE,"1st Qtr Telecom";#N/A,#N/A,FALSE,"1st QTR Other"}</definedName>
    <definedName name="wrn.ALL._1" localSheetId="14" hidden="1">{#N/A,#N/A,FALSE,"Summary EPS";#N/A,#N/A,FALSE,"1st Qtr Electric";#N/A,#N/A,FALSE,"1st Qtr Australia";#N/A,#N/A,FALSE,"1st Qtr Telecom";#N/A,#N/A,FALSE,"1st QTR Other"}</definedName>
    <definedName name="wrn.ALL._1" localSheetId="15" hidden="1">{#N/A,#N/A,FALSE,"Summary EPS";#N/A,#N/A,FALSE,"1st Qtr Electric";#N/A,#N/A,FALSE,"1st Qtr Australia";#N/A,#N/A,FALSE,"1st Qtr Telecom";#N/A,#N/A,FALSE,"1st QTR Other"}</definedName>
    <definedName name="wrn.ALL._1" localSheetId="16" hidden="1">{#N/A,#N/A,FALSE,"Summary EPS";#N/A,#N/A,FALSE,"1st Qtr Electric";#N/A,#N/A,FALSE,"1st Qtr Australia";#N/A,#N/A,FALSE,"1st Qtr Telecom";#N/A,#N/A,FALSE,"1st QTR Other"}</definedName>
    <definedName name="wrn.ALL._1" localSheetId="19" hidden="1">{#N/A,#N/A,FALSE,"Summary EPS";#N/A,#N/A,FALSE,"1st Qtr Electric";#N/A,#N/A,FALSE,"1st Qtr Australia";#N/A,#N/A,FALSE,"1st Qtr Telecom";#N/A,#N/A,FALSE,"1st QTR Other"}</definedName>
    <definedName name="wrn.ALL._1" localSheetId="22" hidden="1">{#N/A,#N/A,FALSE,"Summary EPS";#N/A,#N/A,FALSE,"1st Qtr Electric";#N/A,#N/A,FALSE,"1st Qtr Australia";#N/A,#N/A,FALSE,"1st Qtr Telecom";#N/A,#N/A,FALSE,"1st QTR Other"}</definedName>
    <definedName name="wrn.ALL._1" localSheetId="23" hidden="1">{#N/A,#N/A,FALSE,"Summary EPS";#N/A,#N/A,FALSE,"1st Qtr Electric";#N/A,#N/A,FALSE,"1st Qtr Australia";#N/A,#N/A,FALSE,"1st Qtr Telecom";#N/A,#N/A,FALSE,"1st QTR Other"}</definedName>
    <definedName name="wrn.ALL._1" localSheetId="24" hidden="1">{#N/A,#N/A,FALSE,"Summary EPS";#N/A,#N/A,FALSE,"1st Qtr Electric";#N/A,#N/A,FALSE,"1st Qtr Australia";#N/A,#N/A,FALSE,"1st Qtr Telecom";#N/A,#N/A,FALSE,"1st QTR Other"}</definedName>
    <definedName name="wrn.ALL._1" localSheetId="25" hidden="1">{#N/A,#N/A,FALSE,"Summary EPS";#N/A,#N/A,FALSE,"1st Qtr Electric";#N/A,#N/A,FALSE,"1st Qtr Australia";#N/A,#N/A,FALSE,"1st Qtr Telecom";#N/A,#N/A,FALSE,"1st QTR Other"}</definedName>
    <definedName name="wrn.ALL._1" localSheetId="26" hidden="1">{#N/A,#N/A,FALSE,"Summary EPS";#N/A,#N/A,FALSE,"1st Qtr Electric";#N/A,#N/A,FALSE,"1st Qtr Australia";#N/A,#N/A,FALSE,"1st Qtr Telecom";#N/A,#N/A,FALSE,"1st QTR Other"}</definedName>
    <definedName name="wrn.ALL._1" localSheetId="31" hidden="1">{#N/A,#N/A,FALSE,"Summary EPS";#N/A,#N/A,FALSE,"1st Qtr Electric";#N/A,#N/A,FALSE,"1st Qtr Australia";#N/A,#N/A,FALSE,"1st Qtr Telecom";#N/A,#N/A,FALSE,"1st QTR Other"}</definedName>
    <definedName name="wrn.ALL._1" localSheetId="35" hidden="1">{#N/A,#N/A,FALSE,"Summary EPS";#N/A,#N/A,FALSE,"1st Qtr Electric";#N/A,#N/A,FALSE,"1st Qtr Australia";#N/A,#N/A,FALSE,"1st Qtr Telecom";#N/A,#N/A,FALSE,"1st QTR Other"}</definedName>
    <definedName name="wrn.ALL._1" localSheetId="36" hidden="1">{#N/A,#N/A,FALSE,"Summary EPS";#N/A,#N/A,FALSE,"1st Qtr Electric";#N/A,#N/A,FALSE,"1st Qtr Australia";#N/A,#N/A,FALSE,"1st Qtr Telecom";#N/A,#N/A,FALSE,"1st QTR Other"}</definedName>
    <definedName name="wrn.ALL._1" localSheetId="0" hidden="1">{#N/A,#N/A,FALSE,"Summary EPS";#N/A,#N/A,FALSE,"1st Qtr Electric";#N/A,#N/A,FALSE,"1st Qtr Australia";#N/A,#N/A,FALSE,"1st Qtr Telecom";#N/A,#N/A,FALSE,"1st QTR Other"}</definedName>
    <definedName name="wrn.ALL._1" hidden="1">{#N/A,#N/A,FALSE,"Summary EPS";#N/A,#N/A,FALSE,"1st Qtr Electric";#N/A,#N/A,FALSE,"1st Qtr Australia";#N/A,#N/A,FALSE,"1st Qtr Telecom";#N/A,#N/A,FALSE,"1st QTR Other"}</definedName>
    <definedName name="wrn.ALL._2" localSheetId="1" hidden="1">{#N/A,#N/A,FALSE,"Summary EPS";#N/A,#N/A,FALSE,"1st Qtr Electric";#N/A,#N/A,FALSE,"1st Qtr Australia";#N/A,#N/A,FALSE,"1st Qtr Telecom";#N/A,#N/A,FALSE,"1st QTR Other"}</definedName>
    <definedName name="wrn.ALL._2" localSheetId="3" hidden="1">{#N/A,#N/A,FALSE,"Summary EPS";#N/A,#N/A,FALSE,"1st Qtr Electric";#N/A,#N/A,FALSE,"1st Qtr Australia";#N/A,#N/A,FALSE,"1st Qtr Telecom";#N/A,#N/A,FALSE,"1st QTR Other"}</definedName>
    <definedName name="wrn.ALL._2" localSheetId="4" hidden="1">{#N/A,#N/A,FALSE,"Summary EPS";#N/A,#N/A,FALSE,"1st Qtr Electric";#N/A,#N/A,FALSE,"1st Qtr Australia";#N/A,#N/A,FALSE,"1st Qtr Telecom";#N/A,#N/A,FALSE,"1st QTR Other"}</definedName>
    <definedName name="wrn.ALL._2" localSheetId="13" hidden="1">{#N/A,#N/A,FALSE,"Summary EPS";#N/A,#N/A,FALSE,"1st Qtr Electric";#N/A,#N/A,FALSE,"1st Qtr Australia";#N/A,#N/A,FALSE,"1st Qtr Telecom";#N/A,#N/A,FALSE,"1st QTR Other"}</definedName>
    <definedName name="wrn.ALL._2" localSheetId="14" hidden="1">{#N/A,#N/A,FALSE,"Summary EPS";#N/A,#N/A,FALSE,"1st Qtr Electric";#N/A,#N/A,FALSE,"1st Qtr Australia";#N/A,#N/A,FALSE,"1st Qtr Telecom";#N/A,#N/A,FALSE,"1st QTR Other"}</definedName>
    <definedName name="wrn.ALL._2" localSheetId="15" hidden="1">{#N/A,#N/A,FALSE,"Summary EPS";#N/A,#N/A,FALSE,"1st Qtr Electric";#N/A,#N/A,FALSE,"1st Qtr Australia";#N/A,#N/A,FALSE,"1st Qtr Telecom";#N/A,#N/A,FALSE,"1st QTR Other"}</definedName>
    <definedName name="wrn.ALL._2" localSheetId="16" hidden="1">{#N/A,#N/A,FALSE,"Summary EPS";#N/A,#N/A,FALSE,"1st Qtr Electric";#N/A,#N/A,FALSE,"1st Qtr Australia";#N/A,#N/A,FALSE,"1st Qtr Telecom";#N/A,#N/A,FALSE,"1st QTR Other"}</definedName>
    <definedName name="wrn.ALL._2" localSheetId="19" hidden="1">{#N/A,#N/A,FALSE,"Summary EPS";#N/A,#N/A,FALSE,"1st Qtr Electric";#N/A,#N/A,FALSE,"1st Qtr Australia";#N/A,#N/A,FALSE,"1st Qtr Telecom";#N/A,#N/A,FALSE,"1st QTR Other"}</definedName>
    <definedName name="wrn.ALL._2" localSheetId="22" hidden="1">{#N/A,#N/A,FALSE,"Summary EPS";#N/A,#N/A,FALSE,"1st Qtr Electric";#N/A,#N/A,FALSE,"1st Qtr Australia";#N/A,#N/A,FALSE,"1st Qtr Telecom";#N/A,#N/A,FALSE,"1st QTR Other"}</definedName>
    <definedName name="wrn.ALL._2" localSheetId="23" hidden="1">{#N/A,#N/A,FALSE,"Summary EPS";#N/A,#N/A,FALSE,"1st Qtr Electric";#N/A,#N/A,FALSE,"1st Qtr Australia";#N/A,#N/A,FALSE,"1st Qtr Telecom";#N/A,#N/A,FALSE,"1st QTR Other"}</definedName>
    <definedName name="wrn.ALL._2" localSheetId="24" hidden="1">{#N/A,#N/A,FALSE,"Summary EPS";#N/A,#N/A,FALSE,"1st Qtr Electric";#N/A,#N/A,FALSE,"1st Qtr Australia";#N/A,#N/A,FALSE,"1st Qtr Telecom";#N/A,#N/A,FALSE,"1st QTR Other"}</definedName>
    <definedName name="wrn.ALL._2" localSheetId="25" hidden="1">{#N/A,#N/A,FALSE,"Summary EPS";#N/A,#N/A,FALSE,"1st Qtr Electric";#N/A,#N/A,FALSE,"1st Qtr Australia";#N/A,#N/A,FALSE,"1st Qtr Telecom";#N/A,#N/A,FALSE,"1st QTR Other"}</definedName>
    <definedName name="wrn.ALL._2" localSheetId="26" hidden="1">{#N/A,#N/A,FALSE,"Summary EPS";#N/A,#N/A,FALSE,"1st Qtr Electric";#N/A,#N/A,FALSE,"1st Qtr Australia";#N/A,#N/A,FALSE,"1st Qtr Telecom";#N/A,#N/A,FALSE,"1st QTR Other"}</definedName>
    <definedName name="wrn.ALL._2" localSheetId="31" hidden="1">{#N/A,#N/A,FALSE,"Summary EPS";#N/A,#N/A,FALSE,"1st Qtr Electric";#N/A,#N/A,FALSE,"1st Qtr Australia";#N/A,#N/A,FALSE,"1st Qtr Telecom";#N/A,#N/A,FALSE,"1st QTR Other"}</definedName>
    <definedName name="wrn.ALL._2" localSheetId="35" hidden="1">{#N/A,#N/A,FALSE,"Summary EPS";#N/A,#N/A,FALSE,"1st Qtr Electric";#N/A,#N/A,FALSE,"1st Qtr Australia";#N/A,#N/A,FALSE,"1st Qtr Telecom";#N/A,#N/A,FALSE,"1st QTR Other"}</definedName>
    <definedName name="wrn.ALL._2" localSheetId="36" hidden="1">{#N/A,#N/A,FALSE,"Summary EPS";#N/A,#N/A,FALSE,"1st Qtr Electric";#N/A,#N/A,FALSE,"1st Qtr Australia";#N/A,#N/A,FALSE,"1st Qtr Telecom";#N/A,#N/A,FALSE,"1st QTR Other"}</definedName>
    <definedName name="wrn.ALL._2" localSheetId="0" hidden="1">{#N/A,#N/A,FALSE,"Summary EPS";#N/A,#N/A,FALSE,"1st Qtr Electric";#N/A,#N/A,FALSE,"1st Qtr Australia";#N/A,#N/A,FALSE,"1st Qtr Telecom";#N/A,#N/A,FALSE,"1st QTR Other"}</definedName>
    <definedName name="wrn.ALL._2" hidden="1">{#N/A,#N/A,FALSE,"Summary EPS";#N/A,#N/A,FALSE,"1st Qtr Electric";#N/A,#N/A,FALSE,"1st Qtr Australia";#N/A,#N/A,FALSE,"1st Qtr Telecom";#N/A,#N/A,FALSE,"1st QTR Other"}</definedName>
    <definedName name="wrn.ALL._3" localSheetId="1" hidden="1">{#N/A,#N/A,FALSE,"Summary EPS";#N/A,#N/A,FALSE,"1st Qtr Electric";#N/A,#N/A,FALSE,"1st Qtr Australia";#N/A,#N/A,FALSE,"1st Qtr Telecom";#N/A,#N/A,FALSE,"1st QTR Other"}</definedName>
    <definedName name="wrn.ALL._3" localSheetId="3" hidden="1">{#N/A,#N/A,FALSE,"Summary EPS";#N/A,#N/A,FALSE,"1st Qtr Electric";#N/A,#N/A,FALSE,"1st Qtr Australia";#N/A,#N/A,FALSE,"1st Qtr Telecom";#N/A,#N/A,FALSE,"1st QTR Other"}</definedName>
    <definedName name="wrn.ALL._3" localSheetId="4" hidden="1">{#N/A,#N/A,FALSE,"Summary EPS";#N/A,#N/A,FALSE,"1st Qtr Electric";#N/A,#N/A,FALSE,"1st Qtr Australia";#N/A,#N/A,FALSE,"1st Qtr Telecom";#N/A,#N/A,FALSE,"1st QTR Other"}</definedName>
    <definedName name="wrn.ALL._3" localSheetId="13" hidden="1">{#N/A,#N/A,FALSE,"Summary EPS";#N/A,#N/A,FALSE,"1st Qtr Electric";#N/A,#N/A,FALSE,"1st Qtr Australia";#N/A,#N/A,FALSE,"1st Qtr Telecom";#N/A,#N/A,FALSE,"1st QTR Other"}</definedName>
    <definedName name="wrn.ALL._3" localSheetId="14" hidden="1">{#N/A,#N/A,FALSE,"Summary EPS";#N/A,#N/A,FALSE,"1st Qtr Electric";#N/A,#N/A,FALSE,"1st Qtr Australia";#N/A,#N/A,FALSE,"1st Qtr Telecom";#N/A,#N/A,FALSE,"1st QTR Other"}</definedName>
    <definedName name="wrn.ALL._3" localSheetId="15" hidden="1">{#N/A,#N/A,FALSE,"Summary EPS";#N/A,#N/A,FALSE,"1st Qtr Electric";#N/A,#N/A,FALSE,"1st Qtr Australia";#N/A,#N/A,FALSE,"1st Qtr Telecom";#N/A,#N/A,FALSE,"1st QTR Other"}</definedName>
    <definedName name="wrn.ALL._3" localSheetId="16" hidden="1">{#N/A,#N/A,FALSE,"Summary EPS";#N/A,#N/A,FALSE,"1st Qtr Electric";#N/A,#N/A,FALSE,"1st Qtr Australia";#N/A,#N/A,FALSE,"1st Qtr Telecom";#N/A,#N/A,FALSE,"1st QTR Other"}</definedName>
    <definedName name="wrn.ALL._3" localSheetId="19" hidden="1">{#N/A,#N/A,FALSE,"Summary EPS";#N/A,#N/A,FALSE,"1st Qtr Electric";#N/A,#N/A,FALSE,"1st Qtr Australia";#N/A,#N/A,FALSE,"1st Qtr Telecom";#N/A,#N/A,FALSE,"1st QTR Other"}</definedName>
    <definedName name="wrn.ALL._3" localSheetId="22" hidden="1">{#N/A,#N/A,FALSE,"Summary EPS";#N/A,#N/A,FALSE,"1st Qtr Electric";#N/A,#N/A,FALSE,"1st Qtr Australia";#N/A,#N/A,FALSE,"1st Qtr Telecom";#N/A,#N/A,FALSE,"1st QTR Other"}</definedName>
    <definedName name="wrn.ALL._3" localSheetId="23" hidden="1">{#N/A,#N/A,FALSE,"Summary EPS";#N/A,#N/A,FALSE,"1st Qtr Electric";#N/A,#N/A,FALSE,"1st Qtr Australia";#N/A,#N/A,FALSE,"1st Qtr Telecom";#N/A,#N/A,FALSE,"1st QTR Other"}</definedName>
    <definedName name="wrn.ALL._3" localSheetId="24" hidden="1">{#N/A,#N/A,FALSE,"Summary EPS";#N/A,#N/A,FALSE,"1st Qtr Electric";#N/A,#N/A,FALSE,"1st Qtr Australia";#N/A,#N/A,FALSE,"1st Qtr Telecom";#N/A,#N/A,FALSE,"1st QTR Other"}</definedName>
    <definedName name="wrn.ALL._3" localSheetId="25" hidden="1">{#N/A,#N/A,FALSE,"Summary EPS";#N/A,#N/A,FALSE,"1st Qtr Electric";#N/A,#N/A,FALSE,"1st Qtr Australia";#N/A,#N/A,FALSE,"1st Qtr Telecom";#N/A,#N/A,FALSE,"1st QTR Other"}</definedName>
    <definedName name="wrn.ALL._3" localSheetId="26" hidden="1">{#N/A,#N/A,FALSE,"Summary EPS";#N/A,#N/A,FALSE,"1st Qtr Electric";#N/A,#N/A,FALSE,"1st Qtr Australia";#N/A,#N/A,FALSE,"1st Qtr Telecom";#N/A,#N/A,FALSE,"1st QTR Other"}</definedName>
    <definedName name="wrn.ALL._3" localSheetId="31" hidden="1">{#N/A,#N/A,FALSE,"Summary EPS";#N/A,#N/A,FALSE,"1st Qtr Electric";#N/A,#N/A,FALSE,"1st Qtr Australia";#N/A,#N/A,FALSE,"1st Qtr Telecom";#N/A,#N/A,FALSE,"1st QTR Other"}</definedName>
    <definedName name="wrn.ALL._3" localSheetId="35" hidden="1">{#N/A,#N/A,FALSE,"Summary EPS";#N/A,#N/A,FALSE,"1st Qtr Electric";#N/A,#N/A,FALSE,"1st Qtr Australia";#N/A,#N/A,FALSE,"1st Qtr Telecom";#N/A,#N/A,FALSE,"1st QTR Other"}</definedName>
    <definedName name="wrn.ALL._3" localSheetId="36" hidden="1">{#N/A,#N/A,FALSE,"Summary EPS";#N/A,#N/A,FALSE,"1st Qtr Electric";#N/A,#N/A,FALSE,"1st Qtr Australia";#N/A,#N/A,FALSE,"1st Qtr Telecom";#N/A,#N/A,FALSE,"1st QTR Other"}</definedName>
    <definedName name="wrn.ALL._3" localSheetId="0" hidden="1">{#N/A,#N/A,FALSE,"Summary EPS";#N/A,#N/A,FALSE,"1st Qtr Electric";#N/A,#N/A,FALSE,"1st Qtr Australia";#N/A,#N/A,FALSE,"1st Qtr Telecom";#N/A,#N/A,FALSE,"1st QTR Other"}</definedName>
    <definedName name="wrn.ALL._3" hidden="1">{#N/A,#N/A,FALSE,"Summary EPS";#N/A,#N/A,FALSE,"1st Qtr Electric";#N/A,#N/A,FALSE,"1st Qtr Australia";#N/A,#N/A,FALSE,"1st Qtr Telecom";#N/A,#N/A,FALSE,"1st QTR Other"}</definedName>
    <definedName name="wrn.ALL._4" localSheetId="1" hidden="1">{#N/A,#N/A,FALSE,"Summary EPS";#N/A,#N/A,FALSE,"1st Qtr Electric";#N/A,#N/A,FALSE,"1st Qtr Australia";#N/A,#N/A,FALSE,"1st Qtr Telecom";#N/A,#N/A,FALSE,"1st QTR Other"}</definedName>
    <definedName name="wrn.ALL._4" localSheetId="3" hidden="1">{#N/A,#N/A,FALSE,"Summary EPS";#N/A,#N/A,FALSE,"1st Qtr Electric";#N/A,#N/A,FALSE,"1st Qtr Australia";#N/A,#N/A,FALSE,"1st Qtr Telecom";#N/A,#N/A,FALSE,"1st QTR Other"}</definedName>
    <definedName name="wrn.ALL._4" localSheetId="4" hidden="1">{#N/A,#N/A,FALSE,"Summary EPS";#N/A,#N/A,FALSE,"1st Qtr Electric";#N/A,#N/A,FALSE,"1st Qtr Australia";#N/A,#N/A,FALSE,"1st Qtr Telecom";#N/A,#N/A,FALSE,"1st QTR Other"}</definedName>
    <definedName name="wrn.ALL._4" localSheetId="13" hidden="1">{#N/A,#N/A,FALSE,"Summary EPS";#N/A,#N/A,FALSE,"1st Qtr Electric";#N/A,#N/A,FALSE,"1st Qtr Australia";#N/A,#N/A,FALSE,"1st Qtr Telecom";#N/A,#N/A,FALSE,"1st QTR Other"}</definedName>
    <definedName name="wrn.ALL._4" localSheetId="14" hidden="1">{#N/A,#N/A,FALSE,"Summary EPS";#N/A,#N/A,FALSE,"1st Qtr Electric";#N/A,#N/A,FALSE,"1st Qtr Australia";#N/A,#N/A,FALSE,"1st Qtr Telecom";#N/A,#N/A,FALSE,"1st QTR Other"}</definedName>
    <definedName name="wrn.ALL._4" localSheetId="15" hidden="1">{#N/A,#N/A,FALSE,"Summary EPS";#N/A,#N/A,FALSE,"1st Qtr Electric";#N/A,#N/A,FALSE,"1st Qtr Australia";#N/A,#N/A,FALSE,"1st Qtr Telecom";#N/A,#N/A,FALSE,"1st QTR Other"}</definedName>
    <definedName name="wrn.ALL._4" localSheetId="16" hidden="1">{#N/A,#N/A,FALSE,"Summary EPS";#N/A,#N/A,FALSE,"1st Qtr Electric";#N/A,#N/A,FALSE,"1st Qtr Australia";#N/A,#N/A,FALSE,"1st Qtr Telecom";#N/A,#N/A,FALSE,"1st QTR Other"}</definedName>
    <definedName name="wrn.ALL._4" localSheetId="19" hidden="1">{#N/A,#N/A,FALSE,"Summary EPS";#N/A,#N/A,FALSE,"1st Qtr Electric";#N/A,#N/A,FALSE,"1st Qtr Australia";#N/A,#N/A,FALSE,"1st Qtr Telecom";#N/A,#N/A,FALSE,"1st QTR Other"}</definedName>
    <definedName name="wrn.ALL._4" localSheetId="22" hidden="1">{#N/A,#N/A,FALSE,"Summary EPS";#N/A,#N/A,FALSE,"1st Qtr Electric";#N/A,#N/A,FALSE,"1st Qtr Australia";#N/A,#N/A,FALSE,"1st Qtr Telecom";#N/A,#N/A,FALSE,"1st QTR Other"}</definedName>
    <definedName name="wrn.ALL._4" localSheetId="23" hidden="1">{#N/A,#N/A,FALSE,"Summary EPS";#N/A,#N/A,FALSE,"1st Qtr Electric";#N/A,#N/A,FALSE,"1st Qtr Australia";#N/A,#N/A,FALSE,"1st Qtr Telecom";#N/A,#N/A,FALSE,"1st QTR Other"}</definedName>
    <definedName name="wrn.ALL._4" localSheetId="24" hidden="1">{#N/A,#N/A,FALSE,"Summary EPS";#N/A,#N/A,FALSE,"1st Qtr Electric";#N/A,#N/A,FALSE,"1st Qtr Australia";#N/A,#N/A,FALSE,"1st Qtr Telecom";#N/A,#N/A,FALSE,"1st QTR Other"}</definedName>
    <definedName name="wrn.ALL._4" localSheetId="25" hidden="1">{#N/A,#N/A,FALSE,"Summary EPS";#N/A,#N/A,FALSE,"1st Qtr Electric";#N/A,#N/A,FALSE,"1st Qtr Australia";#N/A,#N/A,FALSE,"1st Qtr Telecom";#N/A,#N/A,FALSE,"1st QTR Other"}</definedName>
    <definedName name="wrn.ALL._4" localSheetId="26" hidden="1">{#N/A,#N/A,FALSE,"Summary EPS";#N/A,#N/A,FALSE,"1st Qtr Electric";#N/A,#N/A,FALSE,"1st Qtr Australia";#N/A,#N/A,FALSE,"1st Qtr Telecom";#N/A,#N/A,FALSE,"1st QTR Other"}</definedName>
    <definedName name="wrn.ALL._4" localSheetId="31" hidden="1">{#N/A,#N/A,FALSE,"Summary EPS";#N/A,#N/A,FALSE,"1st Qtr Electric";#N/A,#N/A,FALSE,"1st Qtr Australia";#N/A,#N/A,FALSE,"1st Qtr Telecom";#N/A,#N/A,FALSE,"1st QTR Other"}</definedName>
    <definedName name="wrn.ALL._4" localSheetId="35" hidden="1">{#N/A,#N/A,FALSE,"Summary EPS";#N/A,#N/A,FALSE,"1st Qtr Electric";#N/A,#N/A,FALSE,"1st Qtr Australia";#N/A,#N/A,FALSE,"1st Qtr Telecom";#N/A,#N/A,FALSE,"1st QTR Other"}</definedName>
    <definedName name="wrn.ALL._4" localSheetId="36" hidden="1">{#N/A,#N/A,FALSE,"Summary EPS";#N/A,#N/A,FALSE,"1st Qtr Electric";#N/A,#N/A,FALSE,"1st Qtr Australia";#N/A,#N/A,FALSE,"1st Qtr Telecom";#N/A,#N/A,FALSE,"1st QTR Other"}</definedName>
    <definedName name="wrn.ALL._4" localSheetId="0" hidden="1">{#N/A,#N/A,FALSE,"Summary EPS";#N/A,#N/A,FALSE,"1st Qtr Electric";#N/A,#N/A,FALSE,"1st Qtr Australia";#N/A,#N/A,FALSE,"1st Qtr Telecom";#N/A,#N/A,FALSE,"1st QTR Other"}</definedName>
    <definedName name="wrn.ALL._4" hidden="1">{#N/A,#N/A,FALSE,"Summary EPS";#N/A,#N/A,FALSE,"1st Qtr Electric";#N/A,#N/A,FALSE,"1st Qtr Australia";#N/A,#N/A,FALSE,"1st Qtr Telecom";#N/A,#N/A,FALSE,"1st QTR Other"}</definedName>
    <definedName name="wrn.ALL._5" localSheetId="1" hidden="1">{#N/A,#N/A,FALSE,"Summary EPS";#N/A,#N/A,FALSE,"1st Qtr Electric";#N/A,#N/A,FALSE,"1st Qtr Australia";#N/A,#N/A,FALSE,"1st Qtr Telecom";#N/A,#N/A,FALSE,"1st QTR Other"}</definedName>
    <definedName name="wrn.ALL._5" localSheetId="3" hidden="1">{#N/A,#N/A,FALSE,"Summary EPS";#N/A,#N/A,FALSE,"1st Qtr Electric";#N/A,#N/A,FALSE,"1st Qtr Australia";#N/A,#N/A,FALSE,"1st Qtr Telecom";#N/A,#N/A,FALSE,"1st QTR Other"}</definedName>
    <definedName name="wrn.ALL._5" localSheetId="4" hidden="1">{#N/A,#N/A,FALSE,"Summary EPS";#N/A,#N/A,FALSE,"1st Qtr Electric";#N/A,#N/A,FALSE,"1st Qtr Australia";#N/A,#N/A,FALSE,"1st Qtr Telecom";#N/A,#N/A,FALSE,"1st QTR Other"}</definedName>
    <definedName name="wrn.ALL._5" localSheetId="13" hidden="1">{#N/A,#N/A,FALSE,"Summary EPS";#N/A,#N/A,FALSE,"1st Qtr Electric";#N/A,#N/A,FALSE,"1st Qtr Australia";#N/A,#N/A,FALSE,"1st Qtr Telecom";#N/A,#N/A,FALSE,"1st QTR Other"}</definedName>
    <definedName name="wrn.ALL._5" localSheetId="14" hidden="1">{#N/A,#N/A,FALSE,"Summary EPS";#N/A,#N/A,FALSE,"1st Qtr Electric";#N/A,#N/A,FALSE,"1st Qtr Australia";#N/A,#N/A,FALSE,"1st Qtr Telecom";#N/A,#N/A,FALSE,"1st QTR Other"}</definedName>
    <definedName name="wrn.ALL._5" localSheetId="15" hidden="1">{#N/A,#N/A,FALSE,"Summary EPS";#N/A,#N/A,FALSE,"1st Qtr Electric";#N/A,#N/A,FALSE,"1st Qtr Australia";#N/A,#N/A,FALSE,"1st Qtr Telecom";#N/A,#N/A,FALSE,"1st QTR Other"}</definedName>
    <definedName name="wrn.ALL._5" localSheetId="16" hidden="1">{#N/A,#N/A,FALSE,"Summary EPS";#N/A,#N/A,FALSE,"1st Qtr Electric";#N/A,#N/A,FALSE,"1st Qtr Australia";#N/A,#N/A,FALSE,"1st Qtr Telecom";#N/A,#N/A,FALSE,"1st QTR Other"}</definedName>
    <definedName name="wrn.ALL._5" localSheetId="19" hidden="1">{#N/A,#N/A,FALSE,"Summary EPS";#N/A,#N/A,FALSE,"1st Qtr Electric";#N/A,#N/A,FALSE,"1st Qtr Australia";#N/A,#N/A,FALSE,"1st Qtr Telecom";#N/A,#N/A,FALSE,"1st QTR Other"}</definedName>
    <definedName name="wrn.ALL._5" localSheetId="22" hidden="1">{#N/A,#N/A,FALSE,"Summary EPS";#N/A,#N/A,FALSE,"1st Qtr Electric";#N/A,#N/A,FALSE,"1st Qtr Australia";#N/A,#N/A,FALSE,"1st Qtr Telecom";#N/A,#N/A,FALSE,"1st QTR Other"}</definedName>
    <definedName name="wrn.ALL._5" localSheetId="23" hidden="1">{#N/A,#N/A,FALSE,"Summary EPS";#N/A,#N/A,FALSE,"1st Qtr Electric";#N/A,#N/A,FALSE,"1st Qtr Australia";#N/A,#N/A,FALSE,"1st Qtr Telecom";#N/A,#N/A,FALSE,"1st QTR Other"}</definedName>
    <definedName name="wrn.ALL._5" localSheetId="24" hidden="1">{#N/A,#N/A,FALSE,"Summary EPS";#N/A,#N/A,FALSE,"1st Qtr Electric";#N/A,#N/A,FALSE,"1st Qtr Australia";#N/A,#N/A,FALSE,"1st Qtr Telecom";#N/A,#N/A,FALSE,"1st QTR Other"}</definedName>
    <definedName name="wrn.ALL._5" localSheetId="25" hidden="1">{#N/A,#N/A,FALSE,"Summary EPS";#N/A,#N/A,FALSE,"1st Qtr Electric";#N/A,#N/A,FALSE,"1st Qtr Australia";#N/A,#N/A,FALSE,"1st Qtr Telecom";#N/A,#N/A,FALSE,"1st QTR Other"}</definedName>
    <definedName name="wrn.ALL._5" localSheetId="26" hidden="1">{#N/A,#N/A,FALSE,"Summary EPS";#N/A,#N/A,FALSE,"1st Qtr Electric";#N/A,#N/A,FALSE,"1st Qtr Australia";#N/A,#N/A,FALSE,"1st Qtr Telecom";#N/A,#N/A,FALSE,"1st QTR Other"}</definedName>
    <definedName name="wrn.ALL._5" localSheetId="31" hidden="1">{#N/A,#N/A,FALSE,"Summary EPS";#N/A,#N/A,FALSE,"1st Qtr Electric";#N/A,#N/A,FALSE,"1st Qtr Australia";#N/A,#N/A,FALSE,"1st Qtr Telecom";#N/A,#N/A,FALSE,"1st QTR Other"}</definedName>
    <definedName name="wrn.ALL._5" localSheetId="35" hidden="1">{#N/A,#N/A,FALSE,"Summary EPS";#N/A,#N/A,FALSE,"1st Qtr Electric";#N/A,#N/A,FALSE,"1st Qtr Australia";#N/A,#N/A,FALSE,"1st Qtr Telecom";#N/A,#N/A,FALSE,"1st QTR Other"}</definedName>
    <definedName name="wrn.ALL._5" localSheetId="36" hidden="1">{#N/A,#N/A,FALSE,"Summary EPS";#N/A,#N/A,FALSE,"1st Qtr Electric";#N/A,#N/A,FALSE,"1st Qtr Australia";#N/A,#N/A,FALSE,"1st Qtr Telecom";#N/A,#N/A,FALSE,"1st QTR Other"}</definedName>
    <definedName name="wrn.ALL._5" localSheetId="0" hidden="1">{#N/A,#N/A,FALSE,"Summary EPS";#N/A,#N/A,FALSE,"1st Qtr Electric";#N/A,#N/A,FALSE,"1st Qtr Australia";#N/A,#N/A,FALSE,"1st Qtr Telecom";#N/A,#N/A,FALSE,"1st QTR Other"}</definedName>
    <definedName name="wrn.ALL._5" hidden="1">{#N/A,#N/A,FALSE,"Summary EPS";#N/A,#N/A,FALSE,"1st Qtr Electric";#N/A,#N/A,FALSE,"1st Qtr Australia";#N/A,#N/A,FALSE,"1st Qtr Telecom";#N/A,#N/A,FALSE,"1st QTR Other"}</definedName>
    <definedName name="wrn.BUS._.RPT.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Exec._.Summary." localSheetId="1" hidden="1">{#N/A,#N/A,FALSE,"Output Ass";#N/A,#N/A,FALSE,"Sum Tot";#N/A,#N/A,FALSE,"Ex Sum Year";#N/A,#N/A,FALSE,"Sum Qtr"}</definedName>
    <definedName name="wrn.Exec._.Summary." localSheetId="3" hidden="1">{#N/A,#N/A,FALSE,"Output Ass";#N/A,#N/A,FALSE,"Sum Tot";#N/A,#N/A,FALSE,"Ex Sum Year";#N/A,#N/A,FALSE,"Sum Qtr"}</definedName>
    <definedName name="wrn.Exec._.Summary." localSheetId="4" hidden="1">{#N/A,#N/A,FALSE,"Output Ass";#N/A,#N/A,FALSE,"Sum Tot";#N/A,#N/A,FALSE,"Ex Sum Year";#N/A,#N/A,FALSE,"Sum Qtr"}</definedName>
    <definedName name="wrn.Exec._.Summary." localSheetId="13" hidden="1">{#N/A,#N/A,FALSE,"Output Ass";#N/A,#N/A,FALSE,"Sum Tot";#N/A,#N/A,FALSE,"Ex Sum Year";#N/A,#N/A,FALSE,"Sum Qtr"}</definedName>
    <definedName name="wrn.Exec._.Summary." localSheetId="14" hidden="1">{#N/A,#N/A,FALSE,"Output Ass";#N/A,#N/A,FALSE,"Sum Tot";#N/A,#N/A,FALSE,"Ex Sum Year";#N/A,#N/A,FALSE,"Sum Qtr"}</definedName>
    <definedName name="wrn.Exec._.Summary." localSheetId="15" hidden="1">{#N/A,#N/A,FALSE,"Output Ass";#N/A,#N/A,FALSE,"Sum Tot";#N/A,#N/A,FALSE,"Ex Sum Year";#N/A,#N/A,FALSE,"Sum Qtr"}</definedName>
    <definedName name="wrn.Exec._.Summary." localSheetId="16" hidden="1">{#N/A,#N/A,FALSE,"Output Ass";#N/A,#N/A,FALSE,"Sum Tot";#N/A,#N/A,FALSE,"Ex Sum Year";#N/A,#N/A,FALSE,"Sum Qtr"}</definedName>
    <definedName name="wrn.Exec._.Summary." localSheetId="19" hidden="1">{#N/A,#N/A,FALSE,"Output Ass";#N/A,#N/A,FALSE,"Sum Tot";#N/A,#N/A,FALSE,"Ex Sum Year";#N/A,#N/A,FALSE,"Sum Qtr"}</definedName>
    <definedName name="wrn.Exec._.Summary." localSheetId="22" hidden="1">{#N/A,#N/A,FALSE,"Output Ass";#N/A,#N/A,FALSE,"Sum Tot";#N/A,#N/A,FALSE,"Ex Sum Year";#N/A,#N/A,FALSE,"Sum Qtr"}</definedName>
    <definedName name="wrn.Exec._.Summary." localSheetId="23" hidden="1">{#N/A,#N/A,FALSE,"Output Ass";#N/A,#N/A,FALSE,"Sum Tot";#N/A,#N/A,FALSE,"Ex Sum Year";#N/A,#N/A,FALSE,"Sum Qtr"}</definedName>
    <definedName name="wrn.Exec._.Summary." localSheetId="24" hidden="1">{#N/A,#N/A,FALSE,"Output Ass";#N/A,#N/A,FALSE,"Sum Tot";#N/A,#N/A,FALSE,"Ex Sum Year";#N/A,#N/A,FALSE,"Sum Qtr"}</definedName>
    <definedName name="wrn.Exec._.Summary." localSheetId="25" hidden="1">{#N/A,#N/A,FALSE,"Output Ass";#N/A,#N/A,FALSE,"Sum Tot";#N/A,#N/A,FALSE,"Ex Sum Year";#N/A,#N/A,FALSE,"Sum Qtr"}</definedName>
    <definedName name="wrn.Exec._.Summary." localSheetId="26" hidden="1">{#N/A,#N/A,FALSE,"Output Ass";#N/A,#N/A,FALSE,"Sum Tot";#N/A,#N/A,FALSE,"Ex Sum Year";#N/A,#N/A,FALSE,"Sum Qtr"}</definedName>
    <definedName name="wrn.Exec._.Summary." localSheetId="31" hidden="1">{#N/A,#N/A,FALSE,"Output Ass";#N/A,#N/A,FALSE,"Sum Tot";#N/A,#N/A,FALSE,"Ex Sum Year";#N/A,#N/A,FALSE,"Sum Qtr"}</definedName>
    <definedName name="wrn.Exec._.Summary." localSheetId="35" hidden="1">{#N/A,#N/A,FALSE,"Output Ass";#N/A,#N/A,FALSE,"Sum Tot";#N/A,#N/A,FALSE,"Ex Sum Year";#N/A,#N/A,FALSE,"Sum Qtr"}</definedName>
    <definedName name="wrn.Exec._.Summary." localSheetId="36" hidden="1">{#N/A,#N/A,FALSE,"Output Ass";#N/A,#N/A,FALSE,"Sum Tot";#N/A,#N/A,FALSE,"Ex Sum Year";#N/A,#N/A,FALSE,"Sum Qtr"}</definedName>
    <definedName name="wrn.Exec._.Summary." localSheetId="0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Exec._.Summary._1" localSheetId="1" hidden="1">{#N/A,#N/A,FALSE,"Output Ass";#N/A,#N/A,FALSE,"Sum Tot";#N/A,#N/A,FALSE,"Ex Sum Year";#N/A,#N/A,FALSE,"Sum Qtr"}</definedName>
    <definedName name="wrn.Exec._.Summary._1" localSheetId="3" hidden="1">{#N/A,#N/A,FALSE,"Output Ass";#N/A,#N/A,FALSE,"Sum Tot";#N/A,#N/A,FALSE,"Ex Sum Year";#N/A,#N/A,FALSE,"Sum Qtr"}</definedName>
    <definedName name="wrn.Exec._.Summary._1" localSheetId="4" hidden="1">{#N/A,#N/A,FALSE,"Output Ass";#N/A,#N/A,FALSE,"Sum Tot";#N/A,#N/A,FALSE,"Ex Sum Year";#N/A,#N/A,FALSE,"Sum Qtr"}</definedName>
    <definedName name="wrn.Exec._.Summary._1" localSheetId="13" hidden="1">{#N/A,#N/A,FALSE,"Output Ass";#N/A,#N/A,FALSE,"Sum Tot";#N/A,#N/A,FALSE,"Ex Sum Year";#N/A,#N/A,FALSE,"Sum Qtr"}</definedName>
    <definedName name="wrn.Exec._.Summary._1" localSheetId="14" hidden="1">{#N/A,#N/A,FALSE,"Output Ass";#N/A,#N/A,FALSE,"Sum Tot";#N/A,#N/A,FALSE,"Ex Sum Year";#N/A,#N/A,FALSE,"Sum Qtr"}</definedName>
    <definedName name="wrn.Exec._.Summary._1" localSheetId="15" hidden="1">{#N/A,#N/A,FALSE,"Output Ass";#N/A,#N/A,FALSE,"Sum Tot";#N/A,#N/A,FALSE,"Ex Sum Year";#N/A,#N/A,FALSE,"Sum Qtr"}</definedName>
    <definedName name="wrn.Exec._.Summary._1" localSheetId="16" hidden="1">{#N/A,#N/A,FALSE,"Output Ass";#N/A,#N/A,FALSE,"Sum Tot";#N/A,#N/A,FALSE,"Ex Sum Year";#N/A,#N/A,FALSE,"Sum Qtr"}</definedName>
    <definedName name="wrn.Exec._.Summary._1" localSheetId="19" hidden="1">{#N/A,#N/A,FALSE,"Output Ass";#N/A,#N/A,FALSE,"Sum Tot";#N/A,#N/A,FALSE,"Ex Sum Year";#N/A,#N/A,FALSE,"Sum Qtr"}</definedName>
    <definedName name="wrn.Exec._.Summary._1" localSheetId="22" hidden="1">{#N/A,#N/A,FALSE,"Output Ass";#N/A,#N/A,FALSE,"Sum Tot";#N/A,#N/A,FALSE,"Ex Sum Year";#N/A,#N/A,FALSE,"Sum Qtr"}</definedName>
    <definedName name="wrn.Exec._.Summary._1" localSheetId="23" hidden="1">{#N/A,#N/A,FALSE,"Output Ass";#N/A,#N/A,FALSE,"Sum Tot";#N/A,#N/A,FALSE,"Ex Sum Year";#N/A,#N/A,FALSE,"Sum Qtr"}</definedName>
    <definedName name="wrn.Exec._.Summary._1" localSheetId="24" hidden="1">{#N/A,#N/A,FALSE,"Output Ass";#N/A,#N/A,FALSE,"Sum Tot";#N/A,#N/A,FALSE,"Ex Sum Year";#N/A,#N/A,FALSE,"Sum Qtr"}</definedName>
    <definedName name="wrn.Exec._.Summary._1" localSheetId="25" hidden="1">{#N/A,#N/A,FALSE,"Output Ass";#N/A,#N/A,FALSE,"Sum Tot";#N/A,#N/A,FALSE,"Ex Sum Year";#N/A,#N/A,FALSE,"Sum Qtr"}</definedName>
    <definedName name="wrn.Exec._.Summary._1" localSheetId="26" hidden="1">{#N/A,#N/A,FALSE,"Output Ass";#N/A,#N/A,FALSE,"Sum Tot";#N/A,#N/A,FALSE,"Ex Sum Year";#N/A,#N/A,FALSE,"Sum Qtr"}</definedName>
    <definedName name="wrn.Exec._.Summary._1" localSheetId="31" hidden="1">{#N/A,#N/A,FALSE,"Output Ass";#N/A,#N/A,FALSE,"Sum Tot";#N/A,#N/A,FALSE,"Ex Sum Year";#N/A,#N/A,FALSE,"Sum Qtr"}</definedName>
    <definedName name="wrn.Exec._.Summary._1" localSheetId="35" hidden="1">{#N/A,#N/A,FALSE,"Output Ass";#N/A,#N/A,FALSE,"Sum Tot";#N/A,#N/A,FALSE,"Ex Sum Year";#N/A,#N/A,FALSE,"Sum Qtr"}</definedName>
    <definedName name="wrn.Exec._.Summary._1" localSheetId="36" hidden="1">{#N/A,#N/A,FALSE,"Output Ass";#N/A,#N/A,FALSE,"Sum Tot";#N/A,#N/A,FALSE,"Ex Sum Year";#N/A,#N/A,FALSE,"Sum Qtr"}</definedName>
    <definedName name="wrn.Exec._.Summary._1" localSheetId="0" hidden="1">{#N/A,#N/A,FALSE,"Output Ass";#N/A,#N/A,FALSE,"Sum Tot";#N/A,#N/A,FALSE,"Ex Sum Year";#N/A,#N/A,FALSE,"Sum Qtr"}</definedName>
    <definedName name="wrn.Exec._.Summary._1" hidden="1">{#N/A,#N/A,FALSE,"Output Ass";#N/A,#N/A,FALSE,"Sum Tot";#N/A,#N/A,FALSE,"Ex Sum Year";#N/A,#N/A,FALSE,"Sum Qtr"}</definedName>
    <definedName name="wrn.Exec._.Summary._2" localSheetId="1" hidden="1">{#N/A,#N/A,FALSE,"Output Ass";#N/A,#N/A,FALSE,"Sum Tot";#N/A,#N/A,FALSE,"Ex Sum Year";#N/A,#N/A,FALSE,"Sum Qtr"}</definedName>
    <definedName name="wrn.Exec._.Summary._2" localSheetId="3" hidden="1">{#N/A,#N/A,FALSE,"Output Ass";#N/A,#N/A,FALSE,"Sum Tot";#N/A,#N/A,FALSE,"Ex Sum Year";#N/A,#N/A,FALSE,"Sum Qtr"}</definedName>
    <definedName name="wrn.Exec._.Summary._2" localSheetId="4" hidden="1">{#N/A,#N/A,FALSE,"Output Ass";#N/A,#N/A,FALSE,"Sum Tot";#N/A,#N/A,FALSE,"Ex Sum Year";#N/A,#N/A,FALSE,"Sum Qtr"}</definedName>
    <definedName name="wrn.Exec._.Summary._2" localSheetId="13" hidden="1">{#N/A,#N/A,FALSE,"Output Ass";#N/A,#N/A,FALSE,"Sum Tot";#N/A,#N/A,FALSE,"Ex Sum Year";#N/A,#N/A,FALSE,"Sum Qtr"}</definedName>
    <definedName name="wrn.Exec._.Summary._2" localSheetId="14" hidden="1">{#N/A,#N/A,FALSE,"Output Ass";#N/A,#N/A,FALSE,"Sum Tot";#N/A,#N/A,FALSE,"Ex Sum Year";#N/A,#N/A,FALSE,"Sum Qtr"}</definedName>
    <definedName name="wrn.Exec._.Summary._2" localSheetId="15" hidden="1">{#N/A,#N/A,FALSE,"Output Ass";#N/A,#N/A,FALSE,"Sum Tot";#N/A,#N/A,FALSE,"Ex Sum Year";#N/A,#N/A,FALSE,"Sum Qtr"}</definedName>
    <definedName name="wrn.Exec._.Summary._2" localSheetId="16" hidden="1">{#N/A,#N/A,FALSE,"Output Ass";#N/A,#N/A,FALSE,"Sum Tot";#N/A,#N/A,FALSE,"Ex Sum Year";#N/A,#N/A,FALSE,"Sum Qtr"}</definedName>
    <definedName name="wrn.Exec._.Summary._2" localSheetId="19" hidden="1">{#N/A,#N/A,FALSE,"Output Ass";#N/A,#N/A,FALSE,"Sum Tot";#N/A,#N/A,FALSE,"Ex Sum Year";#N/A,#N/A,FALSE,"Sum Qtr"}</definedName>
    <definedName name="wrn.Exec._.Summary._2" localSheetId="22" hidden="1">{#N/A,#N/A,FALSE,"Output Ass";#N/A,#N/A,FALSE,"Sum Tot";#N/A,#N/A,FALSE,"Ex Sum Year";#N/A,#N/A,FALSE,"Sum Qtr"}</definedName>
    <definedName name="wrn.Exec._.Summary._2" localSheetId="23" hidden="1">{#N/A,#N/A,FALSE,"Output Ass";#N/A,#N/A,FALSE,"Sum Tot";#N/A,#N/A,FALSE,"Ex Sum Year";#N/A,#N/A,FALSE,"Sum Qtr"}</definedName>
    <definedName name="wrn.Exec._.Summary._2" localSheetId="24" hidden="1">{#N/A,#N/A,FALSE,"Output Ass";#N/A,#N/A,FALSE,"Sum Tot";#N/A,#N/A,FALSE,"Ex Sum Year";#N/A,#N/A,FALSE,"Sum Qtr"}</definedName>
    <definedName name="wrn.Exec._.Summary._2" localSheetId="25" hidden="1">{#N/A,#N/A,FALSE,"Output Ass";#N/A,#N/A,FALSE,"Sum Tot";#N/A,#N/A,FALSE,"Ex Sum Year";#N/A,#N/A,FALSE,"Sum Qtr"}</definedName>
    <definedName name="wrn.Exec._.Summary._2" localSheetId="26" hidden="1">{#N/A,#N/A,FALSE,"Output Ass";#N/A,#N/A,FALSE,"Sum Tot";#N/A,#N/A,FALSE,"Ex Sum Year";#N/A,#N/A,FALSE,"Sum Qtr"}</definedName>
    <definedName name="wrn.Exec._.Summary._2" localSheetId="31" hidden="1">{#N/A,#N/A,FALSE,"Output Ass";#N/A,#N/A,FALSE,"Sum Tot";#N/A,#N/A,FALSE,"Ex Sum Year";#N/A,#N/A,FALSE,"Sum Qtr"}</definedName>
    <definedName name="wrn.Exec._.Summary._2" localSheetId="35" hidden="1">{#N/A,#N/A,FALSE,"Output Ass";#N/A,#N/A,FALSE,"Sum Tot";#N/A,#N/A,FALSE,"Ex Sum Year";#N/A,#N/A,FALSE,"Sum Qtr"}</definedName>
    <definedName name="wrn.Exec._.Summary._2" localSheetId="36" hidden="1">{#N/A,#N/A,FALSE,"Output Ass";#N/A,#N/A,FALSE,"Sum Tot";#N/A,#N/A,FALSE,"Ex Sum Year";#N/A,#N/A,FALSE,"Sum Qtr"}</definedName>
    <definedName name="wrn.Exec._.Summary._2" localSheetId="0" hidden="1">{#N/A,#N/A,FALSE,"Output Ass";#N/A,#N/A,FALSE,"Sum Tot";#N/A,#N/A,FALSE,"Ex Sum Year";#N/A,#N/A,FALSE,"Sum Qtr"}</definedName>
    <definedName name="wrn.Exec._.Summary._2" hidden="1">{#N/A,#N/A,FALSE,"Output Ass";#N/A,#N/A,FALSE,"Sum Tot";#N/A,#N/A,FALSE,"Ex Sum Year";#N/A,#N/A,FALSE,"Sum Qtr"}</definedName>
    <definedName name="wrn.Exec._.Summary._3" localSheetId="1" hidden="1">{#N/A,#N/A,FALSE,"Output Ass";#N/A,#N/A,FALSE,"Sum Tot";#N/A,#N/A,FALSE,"Ex Sum Year";#N/A,#N/A,FALSE,"Sum Qtr"}</definedName>
    <definedName name="wrn.Exec._.Summary._3" localSheetId="3" hidden="1">{#N/A,#N/A,FALSE,"Output Ass";#N/A,#N/A,FALSE,"Sum Tot";#N/A,#N/A,FALSE,"Ex Sum Year";#N/A,#N/A,FALSE,"Sum Qtr"}</definedName>
    <definedName name="wrn.Exec._.Summary._3" localSheetId="4" hidden="1">{#N/A,#N/A,FALSE,"Output Ass";#N/A,#N/A,FALSE,"Sum Tot";#N/A,#N/A,FALSE,"Ex Sum Year";#N/A,#N/A,FALSE,"Sum Qtr"}</definedName>
    <definedName name="wrn.Exec._.Summary._3" localSheetId="13" hidden="1">{#N/A,#N/A,FALSE,"Output Ass";#N/A,#N/A,FALSE,"Sum Tot";#N/A,#N/A,FALSE,"Ex Sum Year";#N/A,#N/A,FALSE,"Sum Qtr"}</definedName>
    <definedName name="wrn.Exec._.Summary._3" localSheetId="14" hidden="1">{#N/A,#N/A,FALSE,"Output Ass";#N/A,#N/A,FALSE,"Sum Tot";#N/A,#N/A,FALSE,"Ex Sum Year";#N/A,#N/A,FALSE,"Sum Qtr"}</definedName>
    <definedName name="wrn.Exec._.Summary._3" localSheetId="15" hidden="1">{#N/A,#N/A,FALSE,"Output Ass";#N/A,#N/A,FALSE,"Sum Tot";#N/A,#N/A,FALSE,"Ex Sum Year";#N/A,#N/A,FALSE,"Sum Qtr"}</definedName>
    <definedName name="wrn.Exec._.Summary._3" localSheetId="16" hidden="1">{#N/A,#N/A,FALSE,"Output Ass";#N/A,#N/A,FALSE,"Sum Tot";#N/A,#N/A,FALSE,"Ex Sum Year";#N/A,#N/A,FALSE,"Sum Qtr"}</definedName>
    <definedName name="wrn.Exec._.Summary._3" localSheetId="19" hidden="1">{#N/A,#N/A,FALSE,"Output Ass";#N/A,#N/A,FALSE,"Sum Tot";#N/A,#N/A,FALSE,"Ex Sum Year";#N/A,#N/A,FALSE,"Sum Qtr"}</definedName>
    <definedName name="wrn.Exec._.Summary._3" localSheetId="22" hidden="1">{#N/A,#N/A,FALSE,"Output Ass";#N/A,#N/A,FALSE,"Sum Tot";#N/A,#N/A,FALSE,"Ex Sum Year";#N/A,#N/A,FALSE,"Sum Qtr"}</definedName>
    <definedName name="wrn.Exec._.Summary._3" localSheetId="23" hidden="1">{#N/A,#N/A,FALSE,"Output Ass";#N/A,#N/A,FALSE,"Sum Tot";#N/A,#N/A,FALSE,"Ex Sum Year";#N/A,#N/A,FALSE,"Sum Qtr"}</definedName>
    <definedName name="wrn.Exec._.Summary._3" localSheetId="24" hidden="1">{#N/A,#N/A,FALSE,"Output Ass";#N/A,#N/A,FALSE,"Sum Tot";#N/A,#N/A,FALSE,"Ex Sum Year";#N/A,#N/A,FALSE,"Sum Qtr"}</definedName>
    <definedName name="wrn.Exec._.Summary._3" localSheetId="25" hidden="1">{#N/A,#N/A,FALSE,"Output Ass";#N/A,#N/A,FALSE,"Sum Tot";#N/A,#N/A,FALSE,"Ex Sum Year";#N/A,#N/A,FALSE,"Sum Qtr"}</definedName>
    <definedName name="wrn.Exec._.Summary._3" localSheetId="26" hidden="1">{#N/A,#N/A,FALSE,"Output Ass";#N/A,#N/A,FALSE,"Sum Tot";#N/A,#N/A,FALSE,"Ex Sum Year";#N/A,#N/A,FALSE,"Sum Qtr"}</definedName>
    <definedName name="wrn.Exec._.Summary._3" localSheetId="31" hidden="1">{#N/A,#N/A,FALSE,"Output Ass";#N/A,#N/A,FALSE,"Sum Tot";#N/A,#N/A,FALSE,"Ex Sum Year";#N/A,#N/A,FALSE,"Sum Qtr"}</definedName>
    <definedName name="wrn.Exec._.Summary._3" localSheetId="35" hidden="1">{#N/A,#N/A,FALSE,"Output Ass";#N/A,#N/A,FALSE,"Sum Tot";#N/A,#N/A,FALSE,"Ex Sum Year";#N/A,#N/A,FALSE,"Sum Qtr"}</definedName>
    <definedName name="wrn.Exec._.Summary._3" localSheetId="36" hidden="1">{#N/A,#N/A,FALSE,"Output Ass";#N/A,#N/A,FALSE,"Sum Tot";#N/A,#N/A,FALSE,"Ex Sum Year";#N/A,#N/A,FALSE,"Sum Qtr"}</definedName>
    <definedName name="wrn.Exec._.Summary._3" localSheetId="0" hidden="1">{#N/A,#N/A,FALSE,"Output Ass";#N/A,#N/A,FALSE,"Sum Tot";#N/A,#N/A,FALSE,"Ex Sum Year";#N/A,#N/A,FALSE,"Sum Qtr"}</definedName>
    <definedName name="wrn.Exec._.Summary._3" hidden="1">{#N/A,#N/A,FALSE,"Output Ass";#N/A,#N/A,FALSE,"Sum Tot";#N/A,#N/A,FALSE,"Ex Sum Year";#N/A,#N/A,FALSE,"Sum Qtr"}</definedName>
    <definedName name="wrn.Exec._.Summary._4" localSheetId="1" hidden="1">{#N/A,#N/A,FALSE,"Output Ass";#N/A,#N/A,FALSE,"Sum Tot";#N/A,#N/A,FALSE,"Ex Sum Year";#N/A,#N/A,FALSE,"Sum Qtr"}</definedName>
    <definedName name="wrn.Exec._.Summary._4" localSheetId="3" hidden="1">{#N/A,#N/A,FALSE,"Output Ass";#N/A,#N/A,FALSE,"Sum Tot";#N/A,#N/A,FALSE,"Ex Sum Year";#N/A,#N/A,FALSE,"Sum Qtr"}</definedName>
    <definedName name="wrn.Exec._.Summary._4" localSheetId="4" hidden="1">{#N/A,#N/A,FALSE,"Output Ass";#N/A,#N/A,FALSE,"Sum Tot";#N/A,#N/A,FALSE,"Ex Sum Year";#N/A,#N/A,FALSE,"Sum Qtr"}</definedName>
    <definedName name="wrn.Exec._.Summary._4" localSheetId="13" hidden="1">{#N/A,#N/A,FALSE,"Output Ass";#N/A,#N/A,FALSE,"Sum Tot";#N/A,#N/A,FALSE,"Ex Sum Year";#N/A,#N/A,FALSE,"Sum Qtr"}</definedName>
    <definedName name="wrn.Exec._.Summary._4" localSheetId="14" hidden="1">{#N/A,#N/A,FALSE,"Output Ass";#N/A,#N/A,FALSE,"Sum Tot";#N/A,#N/A,FALSE,"Ex Sum Year";#N/A,#N/A,FALSE,"Sum Qtr"}</definedName>
    <definedName name="wrn.Exec._.Summary._4" localSheetId="15" hidden="1">{#N/A,#N/A,FALSE,"Output Ass";#N/A,#N/A,FALSE,"Sum Tot";#N/A,#N/A,FALSE,"Ex Sum Year";#N/A,#N/A,FALSE,"Sum Qtr"}</definedName>
    <definedName name="wrn.Exec._.Summary._4" localSheetId="16" hidden="1">{#N/A,#N/A,FALSE,"Output Ass";#N/A,#N/A,FALSE,"Sum Tot";#N/A,#N/A,FALSE,"Ex Sum Year";#N/A,#N/A,FALSE,"Sum Qtr"}</definedName>
    <definedName name="wrn.Exec._.Summary._4" localSheetId="19" hidden="1">{#N/A,#N/A,FALSE,"Output Ass";#N/A,#N/A,FALSE,"Sum Tot";#N/A,#N/A,FALSE,"Ex Sum Year";#N/A,#N/A,FALSE,"Sum Qtr"}</definedName>
    <definedName name="wrn.Exec._.Summary._4" localSheetId="22" hidden="1">{#N/A,#N/A,FALSE,"Output Ass";#N/A,#N/A,FALSE,"Sum Tot";#N/A,#N/A,FALSE,"Ex Sum Year";#N/A,#N/A,FALSE,"Sum Qtr"}</definedName>
    <definedName name="wrn.Exec._.Summary._4" localSheetId="23" hidden="1">{#N/A,#N/A,FALSE,"Output Ass";#N/A,#N/A,FALSE,"Sum Tot";#N/A,#N/A,FALSE,"Ex Sum Year";#N/A,#N/A,FALSE,"Sum Qtr"}</definedName>
    <definedName name="wrn.Exec._.Summary._4" localSheetId="24" hidden="1">{#N/A,#N/A,FALSE,"Output Ass";#N/A,#N/A,FALSE,"Sum Tot";#N/A,#N/A,FALSE,"Ex Sum Year";#N/A,#N/A,FALSE,"Sum Qtr"}</definedName>
    <definedName name="wrn.Exec._.Summary._4" localSheetId="25" hidden="1">{#N/A,#N/A,FALSE,"Output Ass";#N/A,#N/A,FALSE,"Sum Tot";#N/A,#N/A,FALSE,"Ex Sum Year";#N/A,#N/A,FALSE,"Sum Qtr"}</definedName>
    <definedName name="wrn.Exec._.Summary._4" localSheetId="26" hidden="1">{#N/A,#N/A,FALSE,"Output Ass";#N/A,#N/A,FALSE,"Sum Tot";#N/A,#N/A,FALSE,"Ex Sum Year";#N/A,#N/A,FALSE,"Sum Qtr"}</definedName>
    <definedName name="wrn.Exec._.Summary._4" localSheetId="31" hidden="1">{#N/A,#N/A,FALSE,"Output Ass";#N/A,#N/A,FALSE,"Sum Tot";#N/A,#N/A,FALSE,"Ex Sum Year";#N/A,#N/A,FALSE,"Sum Qtr"}</definedName>
    <definedName name="wrn.Exec._.Summary._4" localSheetId="35" hidden="1">{#N/A,#N/A,FALSE,"Output Ass";#N/A,#N/A,FALSE,"Sum Tot";#N/A,#N/A,FALSE,"Ex Sum Year";#N/A,#N/A,FALSE,"Sum Qtr"}</definedName>
    <definedName name="wrn.Exec._.Summary._4" localSheetId="36" hidden="1">{#N/A,#N/A,FALSE,"Output Ass";#N/A,#N/A,FALSE,"Sum Tot";#N/A,#N/A,FALSE,"Ex Sum Year";#N/A,#N/A,FALSE,"Sum Qtr"}</definedName>
    <definedName name="wrn.Exec._.Summary._4" localSheetId="0" hidden="1">{#N/A,#N/A,FALSE,"Output Ass";#N/A,#N/A,FALSE,"Sum Tot";#N/A,#N/A,FALSE,"Ex Sum Year";#N/A,#N/A,FALSE,"Sum Qtr"}</definedName>
    <definedName name="wrn.Exec._.Summary._4" hidden="1">{#N/A,#N/A,FALSE,"Output Ass";#N/A,#N/A,FALSE,"Sum Tot";#N/A,#N/A,FALSE,"Ex Sum Year";#N/A,#N/A,FALSE,"Sum Qtr"}</definedName>
    <definedName name="wrn.Exec._.Summary._5" localSheetId="1" hidden="1">{#N/A,#N/A,FALSE,"Output Ass";#N/A,#N/A,FALSE,"Sum Tot";#N/A,#N/A,FALSE,"Ex Sum Year";#N/A,#N/A,FALSE,"Sum Qtr"}</definedName>
    <definedName name="wrn.Exec._.Summary._5" localSheetId="3" hidden="1">{#N/A,#N/A,FALSE,"Output Ass";#N/A,#N/A,FALSE,"Sum Tot";#N/A,#N/A,FALSE,"Ex Sum Year";#N/A,#N/A,FALSE,"Sum Qtr"}</definedName>
    <definedName name="wrn.Exec._.Summary._5" localSheetId="4" hidden="1">{#N/A,#N/A,FALSE,"Output Ass";#N/A,#N/A,FALSE,"Sum Tot";#N/A,#N/A,FALSE,"Ex Sum Year";#N/A,#N/A,FALSE,"Sum Qtr"}</definedName>
    <definedName name="wrn.Exec._.Summary._5" localSheetId="13" hidden="1">{#N/A,#N/A,FALSE,"Output Ass";#N/A,#N/A,FALSE,"Sum Tot";#N/A,#N/A,FALSE,"Ex Sum Year";#N/A,#N/A,FALSE,"Sum Qtr"}</definedName>
    <definedName name="wrn.Exec._.Summary._5" localSheetId="14" hidden="1">{#N/A,#N/A,FALSE,"Output Ass";#N/A,#N/A,FALSE,"Sum Tot";#N/A,#N/A,FALSE,"Ex Sum Year";#N/A,#N/A,FALSE,"Sum Qtr"}</definedName>
    <definedName name="wrn.Exec._.Summary._5" localSheetId="15" hidden="1">{#N/A,#N/A,FALSE,"Output Ass";#N/A,#N/A,FALSE,"Sum Tot";#N/A,#N/A,FALSE,"Ex Sum Year";#N/A,#N/A,FALSE,"Sum Qtr"}</definedName>
    <definedName name="wrn.Exec._.Summary._5" localSheetId="16" hidden="1">{#N/A,#N/A,FALSE,"Output Ass";#N/A,#N/A,FALSE,"Sum Tot";#N/A,#N/A,FALSE,"Ex Sum Year";#N/A,#N/A,FALSE,"Sum Qtr"}</definedName>
    <definedName name="wrn.Exec._.Summary._5" localSheetId="19" hidden="1">{#N/A,#N/A,FALSE,"Output Ass";#N/A,#N/A,FALSE,"Sum Tot";#N/A,#N/A,FALSE,"Ex Sum Year";#N/A,#N/A,FALSE,"Sum Qtr"}</definedName>
    <definedName name="wrn.Exec._.Summary._5" localSheetId="22" hidden="1">{#N/A,#N/A,FALSE,"Output Ass";#N/A,#N/A,FALSE,"Sum Tot";#N/A,#N/A,FALSE,"Ex Sum Year";#N/A,#N/A,FALSE,"Sum Qtr"}</definedName>
    <definedName name="wrn.Exec._.Summary._5" localSheetId="23" hidden="1">{#N/A,#N/A,FALSE,"Output Ass";#N/A,#N/A,FALSE,"Sum Tot";#N/A,#N/A,FALSE,"Ex Sum Year";#N/A,#N/A,FALSE,"Sum Qtr"}</definedName>
    <definedName name="wrn.Exec._.Summary._5" localSheetId="24" hidden="1">{#N/A,#N/A,FALSE,"Output Ass";#N/A,#N/A,FALSE,"Sum Tot";#N/A,#N/A,FALSE,"Ex Sum Year";#N/A,#N/A,FALSE,"Sum Qtr"}</definedName>
    <definedName name="wrn.Exec._.Summary._5" localSheetId="25" hidden="1">{#N/A,#N/A,FALSE,"Output Ass";#N/A,#N/A,FALSE,"Sum Tot";#N/A,#N/A,FALSE,"Ex Sum Year";#N/A,#N/A,FALSE,"Sum Qtr"}</definedName>
    <definedName name="wrn.Exec._.Summary._5" localSheetId="26" hidden="1">{#N/A,#N/A,FALSE,"Output Ass";#N/A,#N/A,FALSE,"Sum Tot";#N/A,#N/A,FALSE,"Ex Sum Year";#N/A,#N/A,FALSE,"Sum Qtr"}</definedName>
    <definedName name="wrn.Exec._.Summary._5" localSheetId="31" hidden="1">{#N/A,#N/A,FALSE,"Output Ass";#N/A,#N/A,FALSE,"Sum Tot";#N/A,#N/A,FALSE,"Ex Sum Year";#N/A,#N/A,FALSE,"Sum Qtr"}</definedName>
    <definedName name="wrn.Exec._.Summary._5" localSheetId="35" hidden="1">{#N/A,#N/A,FALSE,"Output Ass";#N/A,#N/A,FALSE,"Sum Tot";#N/A,#N/A,FALSE,"Ex Sum Year";#N/A,#N/A,FALSE,"Sum Qtr"}</definedName>
    <definedName name="wrn.Exec._.Summary._5" localSheetId="36" hidden="1">{#N/A,#N/A,FALSE,"Output Ass";#N/A,#N/A,FALSE,"Sum Tot";#N/A,#N/A,FALSE,"Ex Sum Year";#N/A,#N/A,FALSE,"Sum Qtr"}</definedName>
    <definedName name="wrn.Exec._.Summary._5" localSheetId="0" hidden="1">{#N/A,#N/A,FALSE,"Output Ass";#N/A,#N/A,FALSE,"Sum Tot";#N/A,#N/A,FALSE,"Ex Sum Year";#N/A,#N/A,FALSE,"Sum Qtr"}</definedName>
    <definedName name="wrn.Exec._.Summary._5" hidden="1">{#N/A,#N/A,FALSE,"Output Ass";#N/A,#N/A,FALSE,"Sum Tot";#N/A,#N/A,FALSE,"Ex Sum Year";#N/A,#N/A,FALSE,"Sum Qtr"}</definedName>
    <definedName name="wrn.full._.report.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life.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pages.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Reformat._.only." localSheetId="1" hidden="1">{#N/A,#N/A,FALSE,"Dec 1999 mapping"}</definedName>
    <definedName name="wrn.Reformat._.only." localSheetId="3" hidden="1">{#N/A,#N/A,FALSE,"Dec 1999 mapping"}</definedName>
    <definedName name="wrn.Reformat._.only." localSheetId="4" hidden="1">{#N/A,#N/A,FALSE,"Dec 1999 mapping"}</definedName>
    <definedName name="wrn.Reformat._.only." localSheetId="13" hidden="1">{#N/A,#N/A,FALSE,"Dec 1999 mapping"}</definedName>
    <definedName name="wrn.Reformat._.only." localSheetId="14" hidden="1">{#N/A,#N/A,FALSE,"Dec 1999 mapping"}</definedName>
    <definedName name="wrn.Reformat._.only." localSheetId="15" hidden="1">{#N/A,#N/A,FALSE,"Dec 1999 mapping"}</definedName>
    <definedName name="wrn.Reformat._.only." localSheetId="16" hidden="1">{#N/A,#N/A,FALSE,"Dec 1999 mapping"}</definedName>
    <definedName name="wrn.Reformat._.only." localSheetId="19" hidden="1">{#N/A,#N/A,FALSE,"Dec 1999 mapping"}</definedName>
    <definedName name="wrn.Reformat._.only." localSheetId="22" hidden="1">{#N/A,#N/A,FALSE,"Dec 1999 mapping"}</definedName>
    <definedName name="wrn.Reformat._.only." localSheetId="23" hidden="1">{#N/A,#N/A,FALSE,"Dec 1999 mapping"}</definedName>
    <definedName name="wrn.Reformat._.only." localSheetId="24" hidden="1">{#N/A,#N/A,FALSE,"Dec 1999 mapping"}</definedName>
    <definedName name="wrn.Reformat._.only." localSheetId="25" hidden="1">{#N/A,#N/A,FALSE,"Dec 1999 mapping"}</definedName>
    <definedName name="wrn.Reformat._.only." localSheetId="26" hidden="1">{#N/A,#N/A,FALSE,"Dec 1999 mapping"}</definedName>
    <definedName name="wrn.Reformat._.only." localSheetId="31" hidden="1">{#N/A,#N/A,FALSE,"Dec 1999 mapping"}</definedName>
    <definedName name="wrn.Reformat._.only." localSheetId="35" hidden="1">{#N/A,#N/A,FALSE,"Dec 1999 mapping"}</definedName>
    <definedName name="wrn.Reformat._.only." localSheetId="36" hidden="1">{#N/A,#N/A,FALSE,"Dec 1999 mapping"}</definedName>
    <definedName name="wrn.Reformat._.only." localSheetId="0" hidden="1">{#N/A,#N/A,FALSE,"Dec 1999 mapping"}</definedName>
    <definedName name="wrn.Reformat._.only." hidden="1">{#N/A,#N/A,FALSE,"Dec 1999 mapping"}</definedName>
    <definedName name="wrn.Reformat._.only._1" localSheetId="1" hidden="1">{#N/A,#N/A,FALSE,"Dec 1999 mapping"}</definedName>
    <definedName name="wrn.Reformat._.only._1" localSheetId="3" hidden="1">{#N/A,#N/A,FALSE,"Dec 1999 mapping"}</definedName>
    <definedName name="wrn.Reformat._.only._1" localSheetId="4" hidden="1">{#N/A,#N/A,FALSE,"Dec 1999 mapping"}</definedName>
    <definedName name="wrn.Reformat._.only._1" localSheetId="13" hidden="1">{#N/A,#N/A,FALSE,"Dec 1999 mapping"}</definedName>
    <definedName name="wrn.Reformat._.only._1" localSheetId="14" hidden="1">{#N/A,#N/A,FALSE,"Dec 1999 mapping"}</definedName>
    <definedName name="wrn.Reformat._.only._1" localSheetId="15" hidden="1">{#N/A,#N/A,FALSE,"Dec 1999 mapping"}</definedName>
    <definedName name="wrn.Reformat._.only._1" localSheetId="16" hidden="1">{#N/A,#N/A,FALSE,"Dec 1999 mapping"}</definedName>
    <definedName name="wrn.Reformat._.only._1" localSheetId="19" hidden="1">{#N/A,#N/A,FALSE,"Dec 1999 mapping"}</definedName>
    <definedName name="wrn.Reformat._.only._1" localSheetId="22" hidden="1">{#N/A,#N/A,FALSE,"Dec 1999 mapping"}</definedName>
    <definedName name="wrn.Reformat._.only._1" localSheetId="23" hidden="1">{#N/A,#N/A,FALSE,"Dec 1999 mapping"}</definedName>
    <definedName name="wrn.Reformat._.only._1" localSheetId="24" hidden="1">{#N/A,#N/A,FALSE,"Dec 1999 mapping"}</definedName>
    <definedName name="wrn.Reformat._.only._1" localSheetId="25" hidden="1">{#N/A,#N/A,FALSE,"Dec 1999 mapping"}</definedName>
    <definedName name="wrn.Reformat._.only._1" localSheetId="26" hidden="1">{#N/A,#N/A,FALSE,"Dec 1999 mapping"}</definedName>
    <definedName name="wrn.Reformat._.only._1" localSheetId="31" hidden="1">{#N/A,#N/A,FALSE,"Dec 1999 mapping"}</definedName>
    <definedName name="wrn.Reformat._.only._1" localSheetId="35" hidden="1">{#N/A,#N/A,FALSE,"Dec 1999 mapping"}</definedName>
    <definedName name="wrn.Reformat._.only._1" localSheetId="36" hidden="1">{#N/A,#N/A,FALSE,"Dec 1999 mapping"}</definedName>
    <definedName name="wrn.Reformat._.only._1" localSheetId="0" hidden="1">{#N/A,#N/A,FALSE,"Dec 1999 mapping"}</definedName>
    <definedName name="wrn.Reformat._.only._1" hidden="1">{#N/A,#N/A,FALSE,"Dec 1999 mapping"}</definedName>
    <definedName name="wrn.Reformat._.only._2" localSheetId="1" hidden="1">{#N/A,#N/A,FALSE,"Dec 1999 mapping"}</definedName>
    <definedName name="wrn.Reformat._.only._2" localSheetId="3" hidden="1">{#N/A,#N/A,FALSE,"Dec 1999 mapping"}</definedName>
    <definedName name="wrn.Reformat._.only._2" localSheetId="4" hidden="1">{#N/A,#N/A,FALSE,"Dec 1999 mapping"}</definedName>
    <definedName name="wrn.Reformat._.only._2" localSheetId="13" hidden="1">{#N/A,#N/A,FALSE,"Dec 1999 mapping"}</definedName>
    <definedName name="wrn.Reformat._.only._2" localSheetId="14" hidden="1">{#N/A,#N/A,FALSE,"Dec 1999 mapping"}</definedName>
    <definedName name="wrn.Reformat._.only._2" localSheetId="15" hidden="1">{#N/A,#N/A,FALSE,"Dec 1999 mapping"}</definedName>
    <definedName name="wrn.Reformat._.only._2" localSheetId="16" hidden="1">{#N/A,#N/A,FALSE,"Dec 1999 mapping"}</definedName>
    <definedName name="wrn.Reformat._.only._2" localSheetId="19" hidden="1">{#N/A,#N/A,FALSE,"Dec 1999 mapping"}</definedName>
    <definedName name="wrn.Reformat._.only._2" localSheetId="22" hidden="1">{#N/A,#N/A,FALSE,"Dec 1999 mapping"}</definedName>
    <definedName name="wrn.Reformat._.only._2" localSheetId="23" hidden="1">{#N/A,#N/A,FALSE,"Dec 1999 mapping"}</definedName>
    <definedName name="wrn.Reformat._.only._2" localSheetId="24" hidden="1">{#N/A,#N/A,FALSE,"Dec 1999 mapping"}</definedName>
    <definedName name="wrn.Reformat._.only._2" localSheetId="25" hidden="1">{#N/A,#N/A,FALSE,"Dec 1999 mapping"}</definedName>
    <definedName name="wrn.Reformat._.only._2" localSheetId="26" hidden="1">{#N/A,#N/A,FALSE,"Dec 1999 mapping"}</definedName>
    <definedName name="wrn.Reformat._.only._2" localSheetId="31" hidden="1">{#N/A,#N/A,FALSE,"Dec 1999 mapping"}</definedName>
    <definedName name="wrn.Reformat._.only._2" localSheetId="35" hidden="1">{#N/A,#N/A,FALSE,"Dec 1999 mapping"}</definedName>
    <definedName name="wrn.Reformat._.only._2" localSheetId="36" hidden="1">{#N/A,#N/A,FALSE,"Dec 1999 mapping"}</definedName>
    <definedName name="wrn.Reformat._.only._2" localSheetId="0" hidden="1">{#N/A,#N/A,FALSE,"Dec 1999 mapping"}</definedName>
    <definedName name="wrn.Reformat._.only._2" hidden="1">{#N/A,#N/A,FALSE,"Dec 1999 mapping"}</definedName>
    <definedName name="wrn.Reformat._.only._3" localSheetId="1" hidden="1">{#N/A,#N/A,FALSE,"Dec 1999 mapping"}</definedName>
    <definedName name="wrn.Reformat._.only._3" localSheetId="3" hidden="1">{#N/A,#N/A,FALSE,"Dec 1999 mapping"}</definedName>
    <definedName name="wrn.Reformat._.only._3" localSheetId="4" hidden="1">{#N/A,#N/A,FALSE,"Dec 1999 mapping"}</definedName>
    <definedName name="wrn.Reformat._.only._3" localSheetId="13" hidden="1">{#N/A,#N/A,FALSE,"Dec 1999 mapping"}</definedName>
    <definedName name="wrn.Reformat._.only._3" localSheetId="14" hidden="1">{#N/A,#N/A,FALSE,"Dec 1999 mapping"}</definedName>
    <definedName name="wrn.Reformat._.only._3" localSheetId="15" hidden="1">{#N/A,#N/A,FALSE,"Dec 1999 mapping"}</definedName>
    <definedName name="wrn.Reformat._.only._3" localSheetId="16" hidden="1">{#N/A,#N/A,FALSE,"Dec 1999 mapping"}</definedName>
    <definedName name="wrn.Reformat._.only._3" localSheetId="19" hidden="1">{#N/A,#N/A,FALSE,"Dec 1999 mapping"}</definedName>
    <definedName name="wrn.Reformat._.only._3" localSheetId="22" hidden="1">{#N/A,#N/A,FALSE,"Dec 1999 mapping"}</definedName>
    <definedName name="wrn.Reformat._.only._3" localSheetId="23" hidden="1">{#N/A,#N/A,FALSE,"Dec 1999 mapping"}</definedName>
    <definedName name="wrn.Reformat._.only._3" localSheetId="24" hidden="1">{#N/A,#N/A,FALSE,"Dec 1999 mapping"}</definedName>
    <definedName name="wrn.Reformat._.only._3" localSheetId="25" hidden="1">{#N/A,#N/A,FALSE,"Dec 1999 mapping"}</definedName>
    <definedName name="wrn.Reformat._.only._3" localSheetId="26" hidden="1">{#N/A,#N/A,FALSE,"Dec 1999 mapping"}</definedName>
    <definedName name="wrn.Reformat._.only._3" localSheetId="31" hidden="1">{#N/A,#N/A,FALSE,"Dec 1999 mapping"}</definedName>
    <definedName name="wrn.Reformat._.only._3" localSheetId="35" hidden="1">{#N/A,#N/A,FALSE,"Dec 1999 mapping"}</definedName>
    <definedName name="wrn.Reformat._.only._3" localSheetId="36" hidden="1">{#N/A,#N/A,FALSE,"Dec 1999 mapping"}</definedName>
    <definedName name="wrn.Reformat._.only._3" localSheetId="0" hidden="1">{#N/A,#N/A,FALSE,"Dec 1999 mapping"}</definedName>
    <definedName name="wrn.Reformat._.only._3" hidden="1">{#N/A,#N/A,FALSE,"Dec 1999 mapping"}</definedName>
    <definedName name="wrn.Reformat._.only._4" localSheetId="1" hidden="1">{#N/A,#N/A,FALSE,"Dec 1999 mapping"}</definedName>
    <definedName name="wrn.Reformat._.only._4" localSheetId="3" hidden="1">{#N/A,#N/A,FALSE,"Dec 1999 mapping"}</definedName>
    <definedName name="wrn.Reformat._.only._4" localSheetId="4" hidden="1">{#N/A,#N/A,FALSE,"Dec 1999 mapping"}</definedName>
    <definedName name="wrn.Reformat._.only._4" localSheetId="13" hidden="1">{#N/A,#N/A,FALSE,"Dec 1999 mapping"}</definedName>
    <definedName name="wrn.Reformat._.only._4" localSheetId="14" hidden="1">{#N/A,#N/A,FALSE,"Dec 1999 mapping"}</definedName>
    <definedName name="wrn.Reformat._.only._4" localSheetId="15" hidden="1">{#N/A,#N/A,FALSE,"Dec 1999 mapping"}</definedName>
    <definedName name="wrn.Reformat._.only._4" localSheetId="16" hidden="1">{#N/A,#N/A,FALSE,"Dec 1999 mapping"}</definedName>
    <definedName name="wrn.Reformat._.only._4" localSheetId="19" hidden="1">{#N/A,#N/A,FALSE,"Dec 1999 mapping"}</definedName>
    <definedName name="wrn.Reformat._.only._4" localSheetId="22" hidden="1">{#N/A,#N/A,FALSE,"Dec 1999 mapping"}</definedName>
    <definedName name="wrn.Reformat._.only._4" localSheetId="23" hidden="1">{#N/A,#N/A,FALSE,"Dec 1999 mapping"}</definedName>
    <definedName name="wrn.Reformat._.only._4" localSheetId="24" hidden="1">{#N/A,#N/A,FALSE,"Dec 1999 mapping"}</definedName>
    <definedName name="wrn.Reformat._.only._4" localSheetId="25" hidden="1">{#N/A,#N/A,FALSE,"Dec 1999 mapping"}</definedName>
    <definedName name="wrn.Reformat._.only._4" localSheetId="26" hidden="1">{#N/A,#N/A,FALSE,"Dec 1999 mapping"}</definedName>
    <definedName name="wrn.Reformat._.only._4" localSheetId="31" hidden="1">{#N/A,#N/A,FALSE,"Dec 1999 mapping"}</definedName>
    <definedName name="wrn.Reformat._.only._4" localSheetId="35" hidden="1">{#N/A,#N/A,FALSE,"Dec 1999 mapping"}</definedName>
    <definedName name="wrn.Reformat._.only._4" localSheetId="36" hidden="1">{#N/A,#N/A,FALSE,"Dec 1999 mapping"}</definedName>
    <definedName name="wrn.Reformat._.only._4" localSheetId="0" hidden="1">{#N/A,#N/A,FALSE,"Dec 1999 mapping"}</definedName>
    <definedName name="wrn.Reformat._.only._4" hidden="1">{#N/A,#N/A,FALSE,"Dec 1999 mapping"}</definedName>
    <definedName name="wrn.Reformat._.only._5" localSheetId="1" hidden="1">{#N/A,#N/A,FALSE,"Dec 1999 mapping"}</definedName>
    <definedName name="wrn.Reformat._.only._5" localSheetId="3" hidden="1">{#N/A,#N/A,FALSE,"Dec 1999 mapping"}</definedName>
    <definedName name="wrn.Reformat._.only._5" localSheetId="4" hidden="1">{#N/A,#N/A,FALSE,"Dec 1999 mapping"}</definedName>
    <definedName name="wrn.Reformat._.only._5" localSheetId="13" hidden="1">{#N/A,#N/A,FALSE,"Dec 1999 mapping"}</definedName>
    <definedName name="wrn.Reformat._.only._5" localSheetId="14" hidden="1">{#N/A,#N/A,FALSE,"Dec 1999 mapping"}</definedName>
    <definedName name="wrn.Reformat._.only._5" localSheetId="15" hidden="1">{#N/A,#N/A,FALSE,"Dec 1999 mapping"}</definedName>
    <definedName name="wrn.Reformat._.only._5" localSheetId="16" hidden="1">{#N/A,#N/A,FALSE,"Dec 1999 mapping"}</definedName>
    <definedName name="wrn.Reformat._.only._5" localSheetId="19" hidden="1">{#N/A,#N/A,FALSE,"Dec 1999 mapping"}</definedName>
    <definedName name="wrn.Reformat._.only._5" localSheetId="22" hidden="1">{#N/A,#N/A,FALSE,"Dec 1999 mapping"}</definedName>
    <definedName name="wrn.Reformat._.only._5" localSheetId="23" hidden="1">{#N/A,#N/A,FALSE,"Dec 1999 mapping"}</definedName>
    <definedName name="wrn.Reformat._.only._5" localSheetId="24" hidden="1">{#N/A,#N/A,FALSE,"Dec 1999 mapping"}</definedName>
    <definedName name="wrn.Reformat._.only._5" localSheetId="25" hidden="1">{#N/A,#N/A,FALSE,"Dec 1999 mapping"}</definedName>
    <definedName name="wrn.Reformat._.only._5" localSheetId="26" hidden="1">{#N/A,#N/A,FALSE,"Dec 1999 mapping"}</definedName>
    <definedName name="wrn.Reformat._.only._5" localSheetId="31" hidden="1">{#N/A,#N/A,FALSE,"Dec 1999 mapping"}</definedName>
    <definedName name="wrn.Reformat._.only._5" localSheetId="35" hidden="1">{#N/A,#N/A,FALSE,"Dec 1999 mapping"}</definedName>
    <definedName name="wrn.Reformat._.only._5" localSheetId="36" hidden="1">{#N/A,#N/A,FALSE,"Dec 1999 mapping"}</definedName>
    <definedName name="wrn.Reformat._.only._5" localSheetId="0" hidden="1">{#N/A,#N/A,FALSE,"Dec 1999 mapping"}</definedName>
    <definedName name="wrn.Reformat._.only._5" hidden="1">{#N/A,#N/A,FALSE,"Dec 1999 mapping"}</definedName>
    <definedName name="wrn.SALES._.VAR._.95._.BUDGET.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hidden="1">{"PRINT",#N/A,TRUE,"APPA";"PRINT",#N/A,TRUE,"APS";"PRINT",#N/A,TRUE,"BHPL";"PRINT",#N/A,TRUE,"BHPL2";"PRINT",#N/A,TRUE,"CDWR";"PRINT",#N/A,TRUE,"EWEB";"PRINT",#N/A,TRUE,"LADWP";"PRINT",#N/A,TRUE,"NEVBASE"}</definedName>
    <definedName name="wrn.Summary." localSheetId="1" hidden="1">{#N/A,#N/A,FALSE,"Sum Qtr";#N/A,#N/A,FALSE,"Oper Sum";#N/A,#N/A,FALSE,"Land Sales";#N/A,#N/A,FALSE,"Finance";#N/A,#N/A,FALSE,"Oper Ass"}</definedName>
    <definedName name="wrn.Summary." localSheetId="3" hidden="1">{#N/A,#N/A,FALSE,"Sum Qtr";#N/A,#N/A,FALSE,"Oper Sum";#N/A,#N/A,FALSE,"Land Sales";#N/A,#N/A,FALSE,"Finance";#N/A,#N/A,FALSE,"Oper Ass"}</definedName>
    <definedName name="wrn.Summary." localSheetId="4" hidden="1">{#N/A,#N/A,FALSE,"Sum Qtr";#N/A,#N/A,FALSE,"Oper Sum";#N/A,#N/A,FALSE,"Land Sales";#N/A,#N/A,FALSE,"Finance";#N/A,#N/A,FALSE,"Oper Ass"}</definedName>
    <definedName name="wrn.Summary." localSheetId="13" hidden="1">{#N/A,#N/A,FALSE,"Sum Qtr";#N/A,#N/A,FALSE,"Oper Sum";#N/A,#N/A,FALSE,"Land Sales";#N/A,#N/A,FALSE,"Finance";#N/A,#N/A,FALSE,"Oper Ass"}</definedName>
    <definedName name="wrn.Summary." localSheetId="14" hidden="1">{#N/A,#N/A,FALSE,"Sum Qtr";#N/A,#N/A,FALSE,"Oper Sum";#N/A,#N/A,FALSE,"Land Sales";#N/A,#N/A,FALSE,"Finance";#N/A,#N/A,FALSE,"Oper Ass"}</definedName>
    <definedName name="wrn.Summary." localSheetId="15" hidden="1">{#N/A,#N/A,FALSE,"Sum Qtr";#N/A,#N/A,FALSE,"Oper Sum";#N/A,#N/A,FALSE,"Land Sales";#N/A,#N/A,FALSE,"Finance";#N/A,#N/A,FALSE,"Oper Ass"}</definedName>
    <definedName name="wrn.Summary." localSheetId="16" hidden="1">{#N/A,#N/A,FALSE,"Sum Qtr";#N/A,#N/A,FALSE,"Oper Sum";#N/A,#N/A,FALSE,"Land Sales";#N/A,#N/A,FALSE,"Finance";#N/A,#N/A,FALSE,"Oper Ass"}</definedName>
    <definedName name="wrn.Summary." localSheetId="19" hidden="1">{#N/A,#N/A,FALSE,"Sum Qtr";#N/A,#N/A,FALSE,"Oper Sum";#N/A,#N/A,FALSE,"Land Sales";#N/A,#N/A,FALSE,"Finance";#N/A,#N/A,FALSE,"Oper Ass"}</definedName>
    <definedName name="wrn.Summary." localSheetId="22" hidden="1">{#N/A,#N/A,FALSE,"Sum Qtr";#N/A,#N/A,FALSE,"Oper Sum";#N/A,#N/A,FALSE,"Land Sales";#N/A,#N/A,FALSE,"Finance";#N/A,#N/A,FALSE,"Oper Ass"}</definedName>
    <definedName name="wrn.Summary." localSheetId="23" hidden="1">{#N/A,#N/A,FALSE,"Sum Qtr";#N/A,#N/A,FALSE,"Oper Sum";#N/A,#N/A,FALSE,"Land Sales";#N/A,#N/A,FALSE,"Finance";#N/A,#N/A,FALSE,"Oper Ass"}</definedName>
    <definedName name="wrn.Summary." localSheetId="24" hidden="1">{#N/A,#N/A,FALSE,"Sum Qtr";#N/A,#N/A,FALSE,"Oper Sum";#N/A,#N/A,FALSE,"Land Sales";#N/A,#N/A,FALSE,"Finance";#N/A,#N/A,FALSE,"Oper Ass"}</definedName>
    <definedName name="wrn.Summary." localSheetId="25" hidden="1">{#N/A,#N/A,FALSE,"Sum Qtr";#N/A,#N/A,FALSE,"Oper Sum";#N/A,#N/A,FALSE,"Land Sales";#N/A,#N/A,FALSE,"Finance";#N/A,#N/A,FALSE,"Oper Ass"}</definedName>
    <definedName name="wrn.Summary." localSheetId="26" hidden="1">{#N/A,#N/A,FALSE,"Sum Qtr";#N/A,#N/A,FALSE,"Oper Sum";#N/A,#N/A,FALSE,"Land Sales";#N/A,#N/A,FALSE,"Finance";#N/A,#N/A,FALSE,"Oper Ass"}</definedName>
    <definedName name="wrn.Summary." localSheetId="31" hidden="1">{#N/A,#N/A,FALSE,"Sum Qtr";#N/A,#N/A,FALSE,"Oper Sum";#N/A,#N/A,FALSE,"Land Sales";#N/A,#N/A,FALSE,"Finance";#N/A,#N/A,FALSE,"Oper Ass"}</definedName>
    <definedName name="wrn.Summary." localSheetId="35" hidden="1">{#N/A,#N/A,FALSE,"Sum Qtr";#N/A,#N/A,FALSE,"Oper Sum";#N/A,#N/A,FALSE,"Land Sales";#N/A,#N/A,FALSE,"Finance";#N/A,#N/A,FALSE,"Oper Ass"}</definedName>
    <definedName name="wrn.Summary." localSheetId="36" hidden="1">{#N/A,#N/A,FALSE,"Sum Qtr";#N/A,#N/A,FALSE,"Oper Sum";#N/A,#N/A,FALSE,"Land Sales";#N/A,#N/A,FALSE,"Finance";#N/A,#N/A,FALSE,"Oper Ass"}</definedName>
    <definedName name="wrn.Summary." localSheetId="0" hidden="1">{#N/A,#N/A,FALSE,"Sum Qtr";#N/A,#N/A,FALSE,"Oper Sum";#N/A,#N/A,FALSE,"Land Sales";#N/A,#N/A,FALSE,"Finance";#N/A,#N/A,FALSE,"Oper Ass"}</definedName>
    <definedName name="wrn.Summary." hidden="1">{#N/A,#N/A,FALSE,"Sum Qtr";#N/A,#N/A,FALSE,"Oper Sum";#N/A,#N/A,FALSE,"Land Sales";#N/A,#N/A,FALSE,"Finance";#N/A,#N/A,FALSE,"Oper Ass"}</definedName>
    <definedName name="wrn.Summary._1" localSheetId="1" hidden="1">{#N/A,#N/A,FALSE,"Sum Qtr";#N/A,#N/A,FALSE,"Oper Sum";#N/A,#N/A,FALSE,"Land Sales";#N/A,#N/A,FALSE,"Finance";#N/A,#N/A,FALSE,"Oper Ass"}</definedName>
    <definedName name="wrn.Summary._1" localSheetId="3" hidden="1">{#N/A,#N/A,FALSE,"Sum Qtr";#N/A,#N/A,FALSE,"Oper Sum";#N/A,#N/A,FALSE,"Land Sales";#N/A,#N/A,FALSE,"Finance";#N/A,#N/A,FALSE,"Oper Ass"}</definedName>
    <definedName name="wrn.Summary._1" localSheetId="4" hidden="1">{#N/A,#N/A,FALSE,"Sum Qtr";#N/A,#N/A,FALSE,"Oper Sum";#N/A,#N/A,FALSE,"Land Sales";#N/A,#N/A,FALSE,"Finance";#N/A,#N/A,FALSE,"Oper Ass"}</definedName>
    <definedName name="wrn.Summary._1" localSheetId="13" hidden="1">{#N/A,#N/A,FALSE,"Sum Qtr";#N/A,#N/A,FALSE,"Oper Sum";#N/A,#N/A,FALSE,"Land Sales";#N/A,#N/A,FALSE,"Finance";#N/A,#N/A,FALSE,"Oper Ass"}</definedName>
    <definedName name="wrn.Summary._1" localSheetId="14" hidden="1">{#N/A,#N/A,FALSE,"Sum Qtr";#N/A,#N/A,FALSE,"Oper Sum";#N/A,#N/A,FALSE,"Land Sales";#N/A,#N/A,FALSE,"Finance";#N/A,#N/A,FALSE,"Oper Ass"}</definedName>
    <definedName name="wrn.Summary._1" localSheetId="15" hidden="1">{#N/A,#N/A,FALSE,"Sum Qtr";#N/A,#N/A,FALSE,"Oper Sum";#N/A,#N/A,FALSE,"Land Sales";#N/A,#N/A,FALSE,"Finance";#N/A,#N/A,FALSE,"Oper Ass"}</definedName>
    <definedName name="wrn.Summary._1" localSheetId="16" hidden="1">{#N/A,#N/A,FALSE,"Sum Qtr";#N/A,#N/A,FALSE,"Oper Sum";#N/A,#N/A,FALSE,"Land Sales";#N/A,#N/A,FALSE,"Finance";#N/A,#N/A,FALSE,"Oper Ass"}</definedName>
    <definedName name="wrn.Summary._1" localSheetId="19" hidden="1">{#N/A,#N/A,FALSE,"Sum Qtr";#N/A,#N/A,FALSE,"Oper Sum";#N/A,#N/A,FALSE,"Land Sales";#N/A,#N/A,FALSE,"Finance";#N/A,#N/A,FALSE,"Oper Ass"}</definedName>
    <definedName name="wrn.Summary._1" localSheetId="22" hidden="1">{#N/A,#N/A,FALSE,"Sum Qtr";#N/A,#N/A,FALSE,"Oper Sum";#N/A,#N/A,FALSE,"Land Sales";#N/A,#N/A,FALSE,"Finance";#N/A,#N/A,FALSE,"Oper Ass"}</definedName>
    <definedName name="wrn.Summary._1" localSheetId="23" hidden="1">{#N/A,#N/A,FALSE,"Sum Qtr";#N/A,#N/A,FALSE,"Oper Sum";#N/A,#N/A,FALSE,"Land Sales";#N/A,#N/A,FALSE,"Finance";#N/A,#N/A,FALSE,"Oper Ass"}</definedName>
    <definedName name="wrn.Summary._1" localSheetId="24" hidden="1">{#N/A,#N/A,FALSE,"Sum Qtr";#N/A,#N/A,FALSE,"Oper Sum";#N/A,#N/A,FALSE,"Land Sales";#N/A,#N/A,FALSE,"Finance";#N/A,#N/A,FALSE,"Oper Ass"}</definedName>
    <definedName name="wrn.Summary._1" localSheetId="25" hidden="1">{#N/A,#N/A,FALSE,"Sum Qtr";#N/A,#N/A,FALSE,"Oper Sum";#N/A,#N/A,FALSE,"Land Sales";#N/A,#N/A,FALSE,"Finance";#N/A,#N/A,FALSE,"Oper Ass"}</definedName>
    <definedName name="wrn.Summary._1" localSheetId="26" hidden="1">{#N/A,#N/A,FALSE,"Sum Qtr";#N/A,#N/A,FALSE,"Oper Sum";#N/A,#N/A,FALSE,"Land Sales";#N/A,#N/A,FALSE,"Finance";#N/A,#N/A,FALSE,"Oper Ass"}</definedName>
    <definedName name="wrn.Summary._1" localSheetId="31" hidden="1">{#N/A,#N/A,FALSE,"Sum Qtr";#N/A,#N/A,FALSE,"Oper Sum";#N/A,#N/A,FALSE,"Land Sales";#N/A,#N/A,FALSE,"Finance";#N/A,#N/A,FALSE,"Oper Ass"}</definedName>
    <definedName name="wrn.Summary._1" localSheetId="35" hidden="1">{#N/A,#N/A,FALSE,"Sum Qtr";#N/A,#N/A,FALSE,"Oper Sum";#N/A,#N/A,FALSE,"Land Sales";#N/A,#N/A,FALSE,"Finance";#N/A,#N/A,FALSE,"Oper Ass"}</definedName>
    <definedName name="wrn.Summary._1" localSheetId="36" hidden="1">{#N/A,#N/A,FALSE,"Sum Qtr";#N/A,#N/A,FALSE,"Oper Sum";#N/A,#N/A,FALSE,"Land Sales";#N/A,#N/A,FALSE,"Finance";#N/A,#N/A,FALSE,"Oper Ass"}</definedName>
    <definedName name="wrn.Summary._1" localSheetId="0" hidden="1">{#N/A,#N/A,FALSE,"Sum Qtr";#N/A,#N/A,FALSE,"Oper Sum";#N/A,#N/A,FALSE,"Land Sales";#N/A,#N/A,FALSE,"Finance";#N/A,#N/A,FALSE,"Oper Ass"}</definedName>
    <definedName name="wrn.Summary._1" hidden="1">{#N/A,#N/A,FALSE,"Sum Qtr";#N/A,#N/A,FALSE,"Oper Sum";#N/A,#N/A,FALSE,"Land Sales";#N/A,#N/A,FALSE,"Finance";#N/A,#N/A,FALSE,"Oper Ass"}</definedName>
    <definedName name="wrn.Summary._2" localSheetId="1" hidden="1">{#N/A,#N/A,FALSE,"Sum Qtr";#N/A,#N/A,FALSE,"Oper Sum";#N/A,#N/A,FALSE,"Land Sales";#N/A,#N/A,FALSE,"Finance";#N/A,#N/A,FALSE,"Oper Ass"}</definedName>
    <definedName name="wrn.Summary._2" localSheetId="3" hidden="1">{#N/A,#N/A,FALSE,"Sum Qtr";#N/A,#N/A,FALSE,"Oper Sum";#N/A,#N/A,FALSE,"Land Sales";#N/A,#N/A,FALSE,"Finance";#N/A,#N/A,FALSE,"Oper Ass"}</definedName>
    <definedName name="wrn.Summary._2" localSheetId="4" hidden="1">{#N/A,#N/A,FALSE,"Sum Qtr";#N/A,#N/A,FALSE,"Oper Sum";#N/A,#N/A,FALSE,"Land Sales";#N/A,#N/A,FALSE,"Finance";#N/A,#N/A,FALSE,"Oper Ass"}</definedName>
    <definedName name="wrn.Summary._2" localSheetId="13" hidden="1">{#N/A,#N/A,FALSE,"Sum Qtr";#N/A,#N/A,FALSE,"Oper Sum";#N/A,#N/A,FALSE,"Land Sales";#N/A,#N/A,FALSE,"Finance";#N/A,#N/A,FALSE,"Oper Ass"}</definedName>
    <definedName name="wrn.Summary._2" localSheetId="14" hidden="1">{#N/A,#N/A,FALSE,"Sum Qtr";#N/A,#N/A,FALSE,"Oper Sum";#N/A,#N/A,FALSE,"Land Sales";#N/A,#N/A,FALSE,"Finance";#N/A,#N/A,FALSE,"Oper Ass"}</definedName>
    <definedName name="wrn.Summary._2" localSheetId="15" hidden="1">{#N/A,#N/A,FALSE,"Sum Qtr";#N/A,#N/A,FALSE,"Oper Sum";#N/A,#N/A,FALSE,"Land Sales";#N/A,#N/A,FALSE,"Finance";#N/A,#N/A,FALSE,"Oper Ass"}</definedName>
    <definedName name="wrn.Summary._2" localSheetId="16" hidden="1">{#N/A,#N/A,FALSE,"Sum Qtr";#N/A,#N/A,FALSE,"Oper Sum";#N/A,#N/A,FALSE,"Land Sales";#N/A,#N/A,FALSE,"Finance";#N/A,#N/A,FALSE,"Oper Ass"}</definedName>
    <definedName name="wrn.Summary._2" localSheetId="19" hidden="1">{#N/A,#N/A,FALSE,"Sum Qtr";#N/A,#N/A,FALSE,"Oper Sum";#N/A,#N/A,FALSE,"Land Sales";#N/A,#N/A,FALSE,"Finance";#N/A,#N/A,FALSE,"Oper Ass"}</definedName>
    <definedName name="wrn.Summary._2" localSheetId="22" hidden="1">{#N/A,#N/A,FALSE,"Sum Qtr";#N/A,#N/A,FALSE,"Oper Sum";#N/A,#N/A,FALSE,"Land Sales";#N/A,#N/A,FALSE,"Finance";#N/A,#N/A,FALSE,"Oper Ass"}</definedName>
    <definedName name="wrn.Summary._2" localSheetId="23" hidden="1">{#N/A,#N/A,FALSE,"Sum Qtr";#N/A,#N/A,FALSE,"Oper Sum";#N/A,#N/A,FALSE,"Land Sales";#N/A,#N/A,FALSE,"Finance";#N/A,#N/A,FALSE,"Oper Ass"}</definedName>
    <definedName name="wrn.Summary._2" localSheetId="24" hidden="1">{#N/A,#N/A,FALSE,"Sum Qtr";#N/A,#N/A,FALSE,"Oper Sum";#N/A,#N/A,FALSE,"Land Sales";#N/A,#N/A,FALSE,"Finance";#N/A,#N/A,FALSE,"Oper Ass"}</definedName>
    <definedName name="wrn.Summary._2" localSheetId="25" hidden="1">{#N/A,#N/A,FALSE,"Sum Qtr";#N/A,#N/A,FALSE,"Oper Sum";#N/A,#N/A,FALSE,"Land Sales";#N/A,#N/A,FALSE,"Finance";#N/A,#N/A,FALSE,"Oper Ass"}</definedName>
    <definedName name="wrn.Summary._2" localSheetId="26" hidden="1">{#N/A,#N/A,FALSE,"Sum Qtr";#N/A,#N/A,FALSE,"Oper Sum";#N/A,#N/A,FALSE,"Land Sales";#N/A,#N/A,FALSE,"Finance";#N/A,#N/A,FALSE,"Oper Ass"}</definedName>
    <definedName name="wrn.Summary._2" localSheetId="31" hidden="1">{#N/A,#N/A,FALSE,"Sum Qtr";#N/A,#N/A,FALSE,"Oper Sum";#N/A,#N/A,FALSE,"Land Sales";#N/A,#N/A,FALSE,"Finance";#N/A,#N/A,FALSE,"Oper Ass"}</definedName>
    <definedName name="wrn.Summary._2" localSheetId="35" hidden="1">{#N/A,#N/A,FALSE,"Sum Qtr";#N/A,#N/A,FALSE,"Oper Sum";#N/A,#N/A,FALSE,"Land Sales";#N/A,#N/A,FALSE,"Finance";#N/A,#N/A,FALSE,"Oper Ass"}</definedName>
    <definedName name="wrn.Summary._2" localSheetId="36" hidden="1">{#N/A,#N/A,FALSE,"Sum Qtr";#N/A,#N/A,FALSE,"Oper Sum";#N/A,#N/A,FALSE,"Land Sales";#N/A,#N/A,FALSE,"Finance";#N/A,#N/A,FALSE,"Oper Ass"}</definedName>
    <definedName name="wrn.Summary._2" localSheetId="0" hidden="1">{#N/A,#N/A,FALSE,"Sum Qtr";#N/A,#N/A,FALSE,"Oper Sum";#N/A,#N/A,FALSE,"Land Sales";#N/A,#N/A,FALSE,"Finance";#N/A,#N/A,FALSE,"Oper Ass"}</definedName>
    <definedName name="wrn.Summary._2" hidden="1">{#N/A,#N/A,FALSE,"Sum Qtr";#N/A,#N/A,FALSE,"Oper Sum";#N/A,#N/A,FALSE,"Land Sales";#N/A,#N/A,FALSE,"Finance";#N/A,#N/A,FALSE,"Oper Ass"}</definedName>
    <definedName name="wrn.Summary._3" localSheetId="1" hidden="1">{#N/A,#N/A,FALSE,"Sum Qtr";#N/A,#N/A,FALSE,"Oper Sum";#N/A,#N/A,FALSE,"Land Sales";#N/A,#N/A,FALSE,"Finance";#N/A,#N/A,FALSE,"Oper Ass"}</definedName>
    <definedName name="wrn.Summary._3" localSheetId="3" hidden="1">{#N/A,#N/A,FALSE,"Sum Qtr";#N/A,#N/A,FALSE,"Oper Sum";#N/A,#N/A,FALSE,"Land Sales";#N/A,#N/A,FALSE,"Finance";#N/A,#N/A,FALSE,"Oper Ass"}</definedName>
    <definedName name="wrn.Summary._3" localSheetId="4" hidden="1">{#N/A,#N/A,FALSE,"Sum Qtr";#N/A,#N/A,FALSE,"Oper Sum";#N/A,#N/A,FALSE,"Land Sales";#N/A,#N/A,FALSE,"Finance";#N/A,#N/A,FALSE,"Oper Ass"}</definedName>
    <definedName name="wrn.Summary._3" localSheetId="13" hidden="1">{#N/A,#N/A,FALSE,"Sum Qtr";#N/A,#N/A,FALSE,"Oper Sum";#N/A,#N/A,FALSE,"Land Sales";#N/A,#N/A,FALSE,"Finance";#N/A,#N/A,FALSE,"Oper Ass"}</definedName>
    <definedName name="wrn.Summary._3" localSheetId="14" hidden="1">{#N/A,#N/A,FALSE,"Sum Qtr";#N/A,#N/A,FALSE,"Oper Sum";#N/A,#N/A,FALSE,"Land Sales";#N/A,#N/A,FALSE,"Finance";#N/A,#N/A,FALSE,"Oper Ass"}</definedName>
    <definedName name="wrn.Summary._3" localSheetId="15" hidden="1">{#N/A,#N/A,FALSE,"Sum Qtr";#N/A,#N/A,FALSE,"Oper Sum";#N/A,#N/A,FALSE,"Land Sales";#N/A,#N/A,FALSE,"Finance";#N/A,#N/A,FALSE,"Oper Ass"}</definedName>
    <definedName name="wrn.Summary._3" localSheetId="16" hidden="1">{#N/A,#N/A,FALSE,"Sum Qtr";#N/A,#N/A,FALSE,"Oper Sum";#N/A,#N/A,FALSE,"Land Sales";#N/A,#N/A,FALSE,"Finance";#N/A,#N/A,FALSE,"Oper Ass"}</definedName>
    <definedName name="wrn.Summary._3" localSheetId="19" hidden="1">{#N/A,#N/A,FALSE,"Sum Qtr";#N/A,#N/A,FALSE,"Oper Sum";#N/A,#N/A,FALSE,"Land Sales";#N/A,#N/A,FALSE,"Finance";#N/A,#N/A,FALSE,"Oper Ass"}</definedName>
    <definedName name="wrn.Summary._3" localSheetId="22" hidden="1">{#N/A,#N/A,FALSE,"Sum Qtr";#N/A,#N/A,FALSE,"Oper Sum";#N/A,#N/A,FALSE,"Land Sales";#N/A,#N/A,FALSE,"Finance";#N/A,#N/A,FALSE,"Oper Ass"}</definedName>
    <definedName name="wrn.Summary._3" localSheetId="23" hidden="1">{#N/A,#N/A,FALSE,"Sum Qtr";#N/A,#N/A,FALSE,"Oper Sum";#N/A,#N/A,FALSE,"Land Sales";#N/A,#N/A,FALSE,"Finance";#N/A,#N/A,FALSE,"Oper Ass"}</definedName>
    <definedName name="wrn.Summary._3" localSheetId="24" hidden="1">{#N/A,#N/A,FALSE,"Sum Qtr";#N/A,#N/A,FALSE,"Oper Sum";#N/A,#N/A,FALSE,"Land Sales";#N/A,#N/A,FALSE,"Finance";#N/A,#N/A,FALSE,"Oper Ass"}</definedName>
    <definedName name="wrn.Summary._3" localSheetId="25" hidden="1">{#N/A,#N/A,FALSE,"Sum Qtr";#N/A,#N/A,FALSE,"Oper Sum";#N/A,#N/A,FALSE,"Land Sales";#N/A,#N/A,FALSE,"Finance";#N/A,#N/A,FALSE,"Oper Ass"}</definedName>
    <definedName name="wrn.Summary._3" localSheetId="26" hidden="1">{#N/A,#N/A,FALSE,"Sum Qtr";#N/A,#N/A,FALSE,"Oper Sum";#N/A,#N/A,FALSE,"Land Sales";#N/A,#N/A,FALSE,"Finance";#N/A,#N/A,FALSE,"Oper Ass"}</definedName>
    <definedName name="wrn.Summary._3" localSheetId="31" hidden="1">{#N/A,#N/A,FALSE,"Sum Qtr";#N/A,#N/A,FALSE,"Oper Sum";#N/A,#N/A,FALSE,"Land Sales";#N/A,#N/A,FALSE,"Finance";#N/A,#N/A,FALSE,"Oper Ass"}</definedName>
    <definedName name="wrn.Summary._3" localSheetId="35" hidden="1">{#N/A,#N/A,FALSE,"Sum Qtr";#N/A,#N/A,FALSE,"Oper Sum";#N/A,#N/A,FALSE,"Land Sales";#N/A,#N/A,FALSE,"Finance";#N/A,#N/A,FALSE,"Oper Ass"}</definedName>
    <definedName name="wrn.Summary._3" localSheetId="36" hidden="1">{#N/A,#N/A,FALSE,"Sum Qtr";#N/A,#N/A,FALSE,"Oper Sum";#N/A,#N/A,FALSE,"Land Sales";#N/A,#N/A,FALSE,"Finance";#N/A,#N/A,FALSE,"Oper Ass"}</definedName>
    <definedName name="wrn.Summary._3" localSheetId="0" hidden="1">{#N/A,#N/A,FALSE,"Sum Qtr";#N/A,#N/A,FALSE,"Oper Sum";#N/A,#N/A,FALSE,"Land Sales";#N/A,#N/A,FALSE,"Finance";#N/A,#N/A,FALSE,"Oper Ass"}</definedName>
    <definedName name="wrn.Summary._3" hidden="1">{#N/A,#N/A,FALSE,"Sum Qtr";#N/A,#N/A,FALSE,"Oper Sum";#N/A,#N/A,FALSE,"Land Sales";#N/A,#N/A,FALSE,"Finance";#N/A,#N/A,FALSE,"Oper Ass"}</definedName>
    <definedName name="wrn.Summary._4" localSheetId="1" hidden="1">{#N/A,#N/A,FALSE,"Sum Qtr";#N/A,#N/A,FALSE,"Oper Sum";#N/A,#N/A,FALSE,"Land Sales";#N/A,#N/A,FALSE,"Finance";#N/A,#N/A,FALSE,"Oper Ass"}</definedName>
    <definedName name="wrn.Summary._4" localSheetId="3" hidden="1">{#N/A,#N/A,FALSE,"Sum Qtr";#N/A,#N/A,FALSE,"Oper Sum";#N/A,#N/A,FALSE,"Land Sales";#N/A,#N/A,FALSE,"Finance";#N/A,#N/A,FALSE,"Oper Ass"}</definedName>
    <definedName name="wrn.Summary._4" localSheetId="4" hidden="1">{#N/A,#N/A,FALSE,"Sum Qtr";#N/A,#N/A,FALSE,"Oper Sum";#N/A,#N/A,FALSE,"Land Sales";#N/A,#N/A,FALSE,"Finance";#N/A,#N/A,FALSE,"Oper Ass"}</definedName>
    <definedName name="wrn.Summary._4" localSheetId="13" hidden="1">{#N/A,#N/A,FALSE,"Sum Qtr";#N/A,#N/A,FALSE,"Oper Sum";#N/A,#N/A,FALSE,"Land Sales";#N/A,#N/A,FALSE,"Finance";#N/A,#N/A,FALSE,"Oper Ass"}</definedName>
    <definedName name="wrn.Summary._4" localSheetId="14" hidden="1">{#N/A,#N/A,FALSE,"Sum Qtr";#N/A,#N/A,FALSE,"Oper Sum";#N/A,#N/A,FALSE,"Land Sales";#N/A,#N/A,FALSE,"Finance";#N/A,#N/A,FALSE,"Oper Ass"}</definedName>
    <definedName name="wrn.Summary._4" localSheetId="15" hidden="1">{#N/A,#N/A,FALSE,"Sum Qtr";#N/A,#N/A,FALSE,"Oper Sum";#N/A,#N/A,FALSE,"Land Sales";#N/A,#N/A,FALSE,"Finance";#N/A,#N/A,FALSE,"Oper Ass"}</definedName>
    <definedName name="wrn.Summary._4" localSheetId="16" hidden="1">{#N/A,#N/A,FALSE,"Sum Qtr";#N/A,#N/A,FALSE,"Oper Sum";#N/A,#N/A,FALSE,"Land Sales";#N/A,#N/A,FALSE,"Finance";#N/A,#N/A,FALSE,"Oper Ass"}</definedName>
    <definedName name="wrn.Summary._4" localSheetId="19" hidden="1">{#N/A,#N/A,FALSE,"Sum Qtr";#N/A,#N/A,FALSE,"Oper Sum";#N/A,#N/A,FALSE,"Land Sales";#N/A,#N/A,FALSE,"Finance";#N/A,#N/A,FALSE,"Oper Ass"}</definedName>
    <definedName name="wrn.Summary._4" localSheetId="22" hidden="1">{#N/A,#N/A,FALSE,"Sum Qtr";#N/A,#N/A,FALSE,"Oper Sum";#N/A,#N/A,FALSE,"Land Sales";#N/A,#N/A,FALSE,"Finance";#N/A,#N/A,FALSE,"Oper Ass"}</definedName>
    <definedName name="wrn.Summary._4" localSheetId="23" hidden="1">{#N/A,#N/A,FALSE,"Sum Qtr";#N/A,#N/A,FALSE,"Oper Sum";#N/A,#N/A,FALSE,"Land Sales";#N/A,#N/A,FALSE,"Finance";#N/A,#N/A,FALSE,"Oper Ass"}</definedName>
    <definedName name="wrn.Summary._4" localSheetId="24" hidden="1">{#N/A,#N/A,FALSE,"Sum Qtr";#N/A,#N/A,FALSE,"Oper Sum";#N/A,#N/A,FALSE,"Land Sales";#N/A,#N/A,FALSE,"Finance";#N/A,#N/A,FALSE,"Oper Ass"}</definedName>
    <definedName name="wrn.Summary._4" localSheetId="25" hidden="1">{#N/A,#N/A,FALSE,"Sum Qtr";#N/A,#N/A,FALSE,"Oper Sum";#N/A,#N/A,FALSE,"Land Sales";#N/A,#N/A,FALSE,"Finance";#N/A,#N/A,FALSE,"Oper Ass"}</definedName>
    <definedName name="wrn.Summary._4" localSheetId="26" hidden="1">{#N/A,#N/A,FALSE,"Sum Qtr";#N/A,#N/A,FALSE,"Oper Sum";#N/A,#N/A,FALSE,"Land Sales";#N/A,#N/A,FALSE,"Finance";#N/A,#N/A,FALSE,"Oper Ass"}</definedName>
    <definedName name="wrn.Summary._4" localSheetId="31" hidden="1">{#N/A,#N/A,FALSE,"Sum Qtr";#N/A,#N/A,FALSE,"Oper Sum";#N/A,#N/A,FALSE,"Land Sales";#N/A,#N/A,FALSE,"Finance";#N/A,#N/A,FALSE,"Oper Ass"}</definedName>
    <definedName name="wrn.Summary._4" localSheetId="35" hidden="1">{#N/A,#N/A,FALSE,"Sum Qtr";#N/A,#N/A,FALSE,"Oper Sum";#N/A,#N/A,FALSE,"Land Sales";#N/A,#N/A,FALSE,"Finance";#N/A,#N/A,FALSE,"Oper Ass"}</definedName>
    <definedName name="wrn.Summary._4" localSheetId="36" hidden="1">{#N/A,#N/A,FALSE,"Sum Qtr";#N/A,#N/A,FALSE,"Oper Sum";#N/A,#N/A,FALSE,"Land Sales";#N/A,#N/A,FALSE,"Finance";#N/A,#N/A,FALSE,"Oper Ass"}</definedName>
    <definedName name="wrn.Summary._4" localSheetId="0" hidden="1">{#N/A,#N/A,FALSE,"Sum Qtr";#N/A,#N/A,FALSE,"Oper Sum";#N/A,#N/A,FALSE,"Land Sales";#N/A,#N/A,FALSE,"Finance";#N/A,#N/A,FALSE,"Oper Ass"}</definedName>
    <definedName name="wrn.Summary._4" hidden="1">{#N/A,#N/A,FALSE,"Sum Qtr";#N/A,#N/A,FALSE,"Oper Sum";#N/A,#N/A,FALSE,"Land Sales";#N/A,#N/A,FALSE,"Finance";#N/A,#N/A,FALSE,"Oper Ass"}</definedName>
    <definedName name="wrn.Summary._5" localSheetId="1" hidden="1">{#N/A,#N/A,FALSE,"Sum Qtr";#N/A,#N/A,FALSE,"Oper Sum";#N/A,#N/A,FALSE,"Land Sales";#N/A,#N/A,FALSE,"Finance";#N/A,#N/A,FALSE,"Oper Ass"}</definedName>
    <definedName name="wrn.Summary._5" localSheetId="3" hidden="1">{#N/A,#N/A,FALSE,"Sum Qtr";#N/A,#N/A,FALSE,"Oper Sum";#N/A,#N/A,FALSE,"Land Sales";#N/A,#N/A,FALSE,"Finance";#N/A,#N/A,FALSE,"Oper Ass"}</definedName>
    <definedName name="wrn.Summary._5" localSheetId="4" hidden="1">{#N/A,#N/A,FALSE,"Sum Qtr";#N/A,#N/A,FALSE,"Oper Sum";#N/A,#N/A,FALSE,"Land Sales";#N/A,#N/A,FALSE,"Finance";#N/A,#N/A,FALSE,"Oper Ass"}</definedName>
    <definedName name="wrn.Summary._5" localSheetId="13" hidden="1">{#N/A,#N/A,FALSE,"Sum Qtr";#N/A,#N/A,FALSE,"Oper Sum";#N/A,#N/A,FALSE,"Land Sales";#N/A,#N/A,FALSE,"Finance";#N/A,#N/A,FALSE,"Oper Ass"}</definedName>
    <definedName name="wrn.Summary._5" localSheetId="14" hidden="1">{#N/A,#N/A,FALSE,"Sum Qtr";#N/A,#N/A,FALSE,"Oper Sum";#N/A,#N/A,FALSE,"Land Sales";#N/A,#N/A,FALSE,"Finance";#N/A,#N/A,FALSE,"Oper Ass"}</definedName>
    <definedName name="wrn.Summary._5" localSheetId="15" hidden="1">{#N/A,#N/A,FALSE,"Sum Qtr";#N/A,#N/A,FALSE,"Oper Sum";#N/A,#N/A,FALSE,"Land Sales";#N/A,#N/A,FALSE,"Finance";#N/A,#N/A,FALSE,"Oper Ass"}</definedName>
    <definedName name="wrn.Summary._5" localSheetId="16" hidden="1">{#N/A,#N/A,FALSE,"Sum Qtr";#N/A,#N/A,FALSE,"Oper Sum";#N/A,#N/A,FALSE,"Land Sales";#N/A,#N/A,FALSE,"Finance";#N/A,#N/A,FALSE,"Oper Ass"}</definedName>
    <definedName name="wrn.Summary._5" localSheetId="19" hidden="1">{#N/A,#N/A,FALSE,"Sum Qtr";#N/A,#N/A,FALSE,"Oper Sum";#N/A,#N/A,FALSE,"Land Sales";#N/A,#N/A,FALSE,"Finance";#N/A,#N/A,FALSE,"Oper Ass"}</definedName>
    <definedName name="wrn.Summary._5" localSheetId="22" hidden="1">{#N/A,#N/A,FALSE,"Sum Qtr";#N/A,#N/A,FALSE,"Oper Sum";#N/A,#N/A,FALSE,"Land Sales";#N/A,#N/A,FALSE,"Finance";#N/A,#N/A,FALSE,"Oper Ass"}</definedName>
    <definedName name="wrn.Summary._5" localSheetId="23" hidden="1">{#N/A,#N/A,FALSE,"Sum Qtr";#N/A,#N/A,FALSE,"Oper Sum";#N/A,#N/A,FALSE,"Land Sales";#N/A,#N/A,FALSE,"Finance";#N/A,#N/A,FALSE,"Oper Ass"}</definedName>
    <definedName name="wrn.Summary._5" localSheetId="24" hidden="1">{#N/A,#N/A,FALSE,"Sum Qtr";#N/A,#N/A,FALSE,"Oper Sum";#N/A,#N/A,FALSE,"Land Sales";#N/A,#N/A,FALSE,"Finance";#N/A,#N/A,FALSE,"Oper Ass"}</definedName>
    <definedName name="wrn.Summary._5" localSheetId="25" hidden="1">{#N/A,#N/A,FALSE,"Sum Qtr";#N/A,#N/A,FALSE,"Oper Sum";#N/A,#N/A,FALSE,"Land Sales";#N/A,#N/A,FALSE,"Finance";#N/A,#N/A,FALSE,"Oper Ass"}</definedName>
    <definedName name="wrn.Summary._5" localSheetId="26" hidden="1">{#N/A,#N/A,FALSE,"Sum Qtr";#N/A,#N/A,FALSE,"Oper Sum";#N/A,#N/A,FALSE,"Land Sales";#N/A,#N/A,FALSE,"Finance";#N/A,#N/A,FALSE,"Oper Ass"}</definedName>
    <definedName name="wrn.Summary._5" localSheetId="31" hidden="1">{#N/A,#N/A,FALSE,"Sum Qtr";#N/A,#N/A,FALSE,"Oper Sum";#N/A,#N/A,FALSE,"Land Sales";#N/A,#N/A,FALSE,"Finance";#N/A,#N/A,FALSE,"Oper Ass"}</definedName>
    <definedName name="wrn.Summary._5" localSheetId="35" hidden="1">{#N/A,#N/A,FALSE,"Sum Qtr";#N/A,#N/A,FALSE,"Oper Sum";#N/A,#N/A,FALSE,"Land Sales";#N/A,#N/A,FALSE,"Finance";#N/A,#N/A,FALSE,"Oper Ass"}</definedName>
    <definedName name="wrn.Summary._5" localSheetId="36" hidden="1">{#N/A,#N/A,FALSE,"Sum Qtr";#N/A,#N/A,FALSE,"Oper Sum";#N/A,#N/A,FALSE,"Land Sales";#N/A,#N/A,FALSE,"Finance";#N/A,#N/A,FALSE,"Oper Ass"}</definedName>
    <definedName name="wrn.Summary._5" localSheetId="0" hidden="1">{#N/A,#N/A,FALSE,"Sum Qtr";#N/A,#N/A,FALSE,"Oper Sum";#N/A,#N/A,FALSE,"Land Sales";#N/A,#N/A,FALSE,"Finance";#N/A,#N/A,FALSE,"Oper Ass"}</definedName>
    <definedName name="wrn.Summary._5" hidden="1">{#N/A,#N/A,FALSE,"Sum Qtr";#N/A,#N/A,FALSE,"Oper Sum";#N/A,#N/A,FALSE,"Land Sales";#N/A,#N/A,FALSE,"Finance";#N/A,#N/A,FALSE,"Oper Ass"}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0" i="23" l="1"/>
  <c r="E40" i="23"/>
  <c r="H49" i="23" l="1"/>
  <c r="J49" i="23" s="1"/>
  <c r="H50" i="23"/>
  <c r="J50" i="23" s="1"/>
  <c r="H51" i="23"/>
  <c r="J51" i="23" s="1"/>
  <c r="H52" i="23"/>
  <c r="J52" i="23" s="1"/>
  <c r="H53" i="23"/>
  <c r="J53" i="23" s="1"/>
  <c r="H48" i="23"/>
  <c r="J48" i="23" s="1"/>
  <c r="H43" i="23"/>
  <c r="J43" i="23" s="1"/>
  <c r="H19" i="23"/>
  <c r="J19" i="23" s="1"/>
  <c r="E68" i="23"/>
  <c r="E59" i="23"/>
  <c r="E45" i="23"/>
  <c r="E70" i="23" l="1"/>
  <c r="S53" i="23"/>
  <c r="S52" i="23"/>
  <c r="S51" i="23"/>
  <c r="S50" i="23"/>
  <c r="S49" i="23"/>
  <c r="S48" i="23"/>
  <c r="P45" i="23" l="1"/>
  <c r="I28" i="31" l="1"/>
  <c r="S28" i="75" l="1"/>
  <c r="S59" i="75"/>
  <c r="AB38" i="75"/>
  <c r="AN38" i="75" s="1"/>
  <c r="AP38" i="75" s="1"/>
  <c r="AV38" i="75" s="1"/>
  <c r="AD38" i="75"/>
  <c r="AF38" i="75"/>
  <c r="AH38" i="75"/>
  <c r="AL38" i="75" s="1"/>
  <c r="AT38" i="75" s="1"/>
  <c r="AX38" i="75" s="1"/>
  <c r="AJ38" i="75"/>
  <c r="AR38" i="75"/>
  <c r="AZ38" i="75"/>
  <c r="BB38" i="75"/>
  <c r="BD38" i="75"/>
  <c r="BF38" i="75"/>
  <c r="AB39" i="75"/>
  <c r="AN39" i="75" s="1"/>
  <c r="AP39" i="75" s="1"/>
  <c r="AV39" i="75" s="1"/>
  <c r="AD39" i="75"/>
  <c r="AF39" i="75"/>
  <c r="AH39" i="75"/>
  <c r="AL39" i="75" s="1"/>
  <c r="AT39" i="75" s="1"/>
  <c r="AJ39" i="75"/>
  <c r="AR39" i="75"/>
  <c r="AZ39" i="75"/>
  <c r="BB39" i="75"/>
  <c r="BD39" i="75"/>
  <c r="BF39" i="75"/>
  <c r="AB40" i="75"/>
  <c r="AN40" i="75" s="1"/>
  <c r="AP40" i="75" s="1"/>
  <c r="AV40" i="75" s="1"/>
  <c r="AD40" i="75"/>
  <c r="AF40" i="75"/>
  <c r="AH40" i="75"/>
  <c r="AL40" i="75" s="1"/>
  <c r="AT40" i="75" s="1"/>
  <c r="AX40" i="75" s="1"/>
  <c r="AJ40" i="75"/>
  <c r="AR40" i="75"/>
  <c r="AZ40" i="75"/>
  <c r="BB40" i="75"/>
  <c r="BD40" i="75"/>
  <c r="BF40" i="75"/>
  <c r="AB41" i="75"/>
  <c r="AN41" i="75" s="1"/>
  <c r="AP41" i="75" s="1"/>
  <c r="AV41" i="75" s="1"/>
  <c r="AD41" i="75"/>
  <c r="AF41" i="75"/>
  <c r="AH41" i="75"/>
  <c r="AL41" i="75" s="1"/>
  <c r="AT41" i="75" s="1"/>
  <c r="AJ41" i="75"/>
  <c r="AR41" i="75"/>
  <c r="AZ41" i="75"/>
  <c r="BB41" i="75"/>
  <c r="BD41" i="75"/>
  <c r="BF41" i="75"/>
  <c r="AB42" i="75"/>
  <c r="AN42" i="75" s="1"/>
  <c r="AP42" i="75" s="1"/>
  <c r="AV42" i="75" s="1"/>
  <c r="AD42" i="75"/>
  <c r="AF42" i="75"/>
  <c r="AH42" i="75"/>
  <c r="AL42" i="75" s="1"/>
  <c r="AT42" i="75" s="1"/>
  <c r="AX42" i="75" s="1"/>
  <c r="AJ42" i="75"/>
  <c r="AR42" i="75"/>
  <c r="AZ42" i="75"/>
  <c r="BB42" i="75"/>
  <c r="BD42" i="75"/>
  <c r="BF42" i="75"/>
  <c r="AB43" i="75"/>
  <c r="AN43" i="75" s="1"/>
  <c r="AP43" i="75" s="1"/>
  <c r="AV43" i="75" s="1"/>
  <c r="AD43" i="75"/>
  <c r="AF43" i="75"/>
  <c r="AH43" i="75"/>
  <c r="AL43" i="75" s="1"/>
  <c r="AT43" i="75" s="1"/>
  <c r="AJ43" i="75"/>
  <c r="AR43" i="75"/>
  <c r="AZ43" i="75"/>
  <c r="BB43" i="75"/>
  <c r="BD43" i="75"/>
  <c r="BF43" i="75"/>
  <c r="AB44" i="75"/>
  <c r="AN44" i="75" s="1"/>
  <c r="AP44" i="75" s="1"/>
  <c r="AV44" i="75" s="1"/>
  <c r="AD44" i="75"/>
  <c r="AF44" i="75"/>
  <c r="AH44" i="75"/>
  <c r="AL44" i="75" s="1"/>
  <c r="AT44" i="75" s="1"/>
  <c r="AX44" i="75" s="1"/>
  <c r="AJ44" i="75"/>
  <c r="AR44" i="75"/>
  <c r="AZ44" i="75"/>
  <c r="BB44" i="75"/>
  <c r="BD44" i="75"/>
  <c r="BF44" i="75"/>
  <c r="AB45" i="75"/>
  <c r="AN45" i="75" s="1"/>
  <c r="AP45" i="75" s="1"/>
  <c r="AV45" i="75" s="1"/>
  <c r="AD45" i="75"/>
  <c r="AF45" i="75"/>
  <c r="AH45" i="75"/>
  <c r="AL45" i="75" s="1"/>
  <c r="AT45" i="75" s="1"/>
  <c r="AJ45" i="75"/>
  <c r="AR45" i="75"/>
  <c r="AZ45" i="75"/>
  <c r="BB45" i="75"/>
  <c r="BD45" i="75"/>
  <c r="BF45" i="75"/>
  <c r="AB46" i="75"/>
  <c r="AN46" i="75" s="1"/>
  <c r="AP46" i="75" s="1"/>
  <c r="AV46" i="75" s="1"/>
  <c r="AD46" i="75"/>
  <c r="AF46" i="75"/>
  <c r="AH46" i="75"/>
  <c r="AL46" i="75" s="1"/>
  <c r="AT46" i="75" s="1"/>
  <c r="AX46" i="75" s="1"/>
  <c r="AJ46" i="75"/>
  <c r="AR46" i="75"/>
  <c r="AZ46" i="75"/>
  <c r="BB46" i="75"/>
  <c r="BD46" i="75"/>
  <c r="BF46" i="75"/>
  <c r="AB47" i="75"/>
  <c r="AN47" i="75" s="1"/>
  <c r="AP47" i="75" s="1"/>
  <c r="AV47" i="75" s="1"/>
  <c r="AD47" i="75"/>
  <c r="AF47" i="75"/>
  <c r="AH47" i="75"/>
  <c r="AL47" i="75" s="1"/>
  <c r="AT47" i="75" s="1"/>
  <c r="AJ47" i="75"/>
  <c r="AR47" i="75"/>
  <c r="AZ47" i="75"/>
  <c r="BB47" i="75"/>
  <c r="BD47" i="75"/>
  <c r="BF47" i="75"/>
  <c r="AB48" i="75"/>
  <c r="AN48" i="75" s="1"/>
  <c r="AP48" i="75" s="1"/>
  <c r="AV48" i="75" s="1"/>
  <c r="AD48" i="75"/>
  <c r="AF48" i="75"/>
  <c r="AH48" i="75"/>
  <c r="AL48" i="75" s="1"/>
  <c r="AT48" i="75" s="1"/>
  <c r="AX48" i="75" s="1"/>
  <c r="AJ48" i="75"/>
  <c r="AR48" i="75"/>
  <c r="AZ48" i="75"/>
  <c r="BB48" i="75"/>
  <c r="BD48" i="75"/>
  <c r="BF48" i="75"/>
  <c r="AB49" i="75"/>
  <c r="AN49" i="75" s="1"/>
  <c r="AP49" i="75" s="1"/>
  <c r="AV49" i="75" s="1"/>
  <c r="AD49" i="75"/>
  <c r="AF49" i="75"/>
  <c r="AH49" i="75"/>
  <c r="AL49" i="75" s="1"/>
  <c r="AT49" i="75" s="1"/>
  <c r="AJ49" i="75"/>
  <c r="AR49" i="75"/>
  <c r="AZ49" i="75"/>
  <c r="BB49" i="75"/>
  <c r="BD49" i="75"/>
  <c r="BF49" i="75"/>
  <c r="AB50" i="75"/>
  <c r="AN50" i="75" s="1"/>
  <c r="AP50" i="75" s="1"/>
  <c r="AV50" i="75" s="1"/>
  <c r="AD50" i="75"/>
  <c r="AF50" i="75"/>
  <c r="AH50" i="75"/>
  <c r="AL50" i="75" s="1"/>
  <c r="AT50" i="75" s="1"/>
  <c r="AX50" i="75" s="1"/>
  <c r="AJ50" i="75"/>
  <c r="AR50" i="75"/>
  <c r="AZ50" i="75"/>
  <c r="BB50" i="75"/>
  <c r="BD50" i="75"/>
  <c r="BF50" i="75"/>
  <c r="AB51" i="75"/>
  <c r="AN51" i="75" s="1"/>
  <c r="AP51" i="75" s="1"/>
  <c r="AV51" i="75" s="1"/>
  <c r="AD51" i="75"/>
  <c r="AF51" i="75"/>
  <c r="AH51" i="75"/>
  <c r="AL51" i="75" s="1"/>
  <c r="AT51" i="75" s="1"/>
  <c r="AJ51" i="75"/>
  <c r="AR51" i="75"/>
  <c r="AZ51" i="75"/>
  <c r="BB51" i="75"/>
  <c r="BD51" i="75"/>
  <c r="BF51" i="75"/>
  <c r="AB52" i="75"/>
  <c r="AN52" i="75" s="1"/>
  <c r="AP52" i="75" s="1"/>
  <c r="AV52" i="75" s="1"/>
  <c r="AD52" i="75"/>
  <c r="AF52" i="75"/>
  <c r="AH52" i="75"/>
  <c r="AL52" i="75" s="1"/>
  <c r="AT52" i="75" s="1"/>
  <c r="AX52" i="75" s="1"/>
  <c r="AJ52" i="75"/>
  <c r="AR52" i="75"/>
  <c r="AZ52" i="75"/>
  <c r="BB52" i="75"/>
  <c r="BD52" i="75"/>
  <c r="BF52" i="75"/>
  <c r="AD53" i="75"/>
  <c r="AF53" i="75"/>
  <c r="AH53" i="75"/>
  <c r="AL53" i="75" s="1"/>
  <c r="AT53" i="75" s="1"/>
  <c r="AJ53" i="75"/>
  <c r="AR53" i="75"/>
  <c r="AZ53" i="75"/>
  <c r="AZ54" i="75" s="1"/>
  <c r="AZ55" i="75" s="1"/>
  <c r="AZ56" i="75" s="1"/>
  <c r="AZ57" i="75" s="1"/>
  <c r="BB53" i="75"/>
  <c r="BD53" i="75"/>
  <c r="BF53" i="75"/>
  <c r="AD54" i="75"/>
  <c r="AF54" i="75"/>
  <c r="AH54" i="75"/>
  <c r="AL54" i="75" s="1"/>
  <c r="AT54" i="75" s="1"/>
  <c r="AJ54" i="75"/>
  <c r="AR54" i="75"/>
  <c r="BB54" i="75"/>
  <c r="BD54" i="75"/>
  <c r="BF54" i="75"/>
  <c r="AD55" i="75"/>
  <c r="AF55" i="75"/>
  <c r="AH55" i="75"/>
  <c r="AL55" i="75" s="1"/>
  <c r="AT55" i="75" s="1"/>
  <c r="AJ55" i="75"/>
  <c r="AR55" i="75"/>
  <c r="BB55" i="75"/>
  <c r="BD55" i="75"/>
  <c r="BF55" i="75"/>
  <c r="AD56" i="75"/>
  <c r="AF56" i="75"/>
  <c r="AH56" i="75"/>
  <c r="AL56" i="75" s="1"/>
  <c r="AT56" i="75" s="1"/>
  <c r="AJ56" i="75"/>
  <c r="AR56" i="75"/>
  <c r="BB56" i="75"/>
  <c r="BD56" i="75"/>
  <c r="BF56" i="75"/>
  <c r="AD57" i="75"/>
  <c r="AF57" i="75"/>
  <c r="AH57" i="75"/>
  <c r="AL57" i="75" s="1"/>
  <c r="AT57" i="75" s="1"/>
  <c r="AJ57" i="75"/>
  <c r="AR57" i="75"/>
  <c r="BB57" i="75"/>
  <c r="BD57" i="75"/>
  <c r="BF57" i="75"/>
  <c r="M29" i="75"/>
  <c r="M30" i="75"/>
  <c r="M31" i="75"/>
  <c r="M32" i="75"/>
  <c r="M33" i="75"/>
  <c r="M34" i="75"/>
  <c r="M35" i="75"/>
  <c r="M36" i="75"/>
  <c r="M37" i="75"/>
  <c r="M38" i="75"/>
  <c r="M39" i="75"/>
  <c r="M40" i="75"/>
  <c r="M41" i="75"/>
  <c r="M42" i="75"/>
  <c r="M43" i="75"/>
  <c r="M44" i="75"/>
  <c r="M45" i="75"/>
  <c r="M46" i="75"/>
  <c r="M47" i="75"/>
  <c r="M48" i="75"/>
  <c r="M49" i="75"/>
  <c r="M50" i="75"/>
  <c r="M51" i="75"/>
  <c r="M52" i="75"/>
  <c r="M53" i="75"/>
  <c r="M54" i="75"/>
  <c r="M55" i="75"/>
  <c r="M56" i="75"/>
  <c r="M57" i="75"/>
  <c r="K29" i="75"/>
  <c r="K30" i="75"/>
  <c r="K31" i="75"/>
  <c r="K32" i="75"/>
  <c r="K33" i="75"/>
  <c r="K34" i="75"/>
  <c r="K35" i="75"/>
  <c r="K36" i="75"/>
  <c r="K37" i="75"/>
  <c r="K38" i="75"/>
  <c r="K39" i="75"/>
  <c r="K40" i="75"/>
  <c r="K41" i="75"/>
  <c r="K42" i="75"/>
  <c r="K43" i="75"/>
  <c r="K44" i="75"/>
  <c r="K45" i="75"/>
  <c r="K46" i="75"/>
  <c r="K47" i="75"/>
  <c r="K48" i="75"/>
  <c r="K49" i="75"/>
  <c r="K50" i="75"/>
  <c r="K51" i="75"/>
  <c r="K52" i="75"/>
  <c r="K53" i="75"/>
  <c r="K54" i="75"/>
  <c r="K55" i="75"/>
  <c r="K56" i="75"/>
  <c r="K57" i="75"/>
  <c r="I30" i="75"/>
  <c r="I31" i="75"/>
  <c r="I32" i="75" s="1"/>
  <c r="I33" i="75" s="1"/>
  <c r="I34" i="75" s="1"/>
  <c r="I35" i="75" s="1"/>
  <c r="I36" i="75" s="1"/>
  <c r="I37" i="75" s="1"/>
  <c r="I38" i="75" s="1"/>
  <c r="I39" i="75" s="1"/>
  <c r="I40" i="75" s="1"/>
  <c r="I41" i="75" s="1"/>
  <c r="I42" i="75" s="1"/>
  <c r="I43" i="75" s="1"/>
  <c r="I44" i="75" s="1"/>
  <c r="I45" i="75" s="1"/>
  <c r="I46" i="75" s="1"/>
  <c r="I47" i="75" s="1"/>
  <c r="I48" i="75" s="1"/>
  <c r="I49" i="75" s="1"/>
  <c r="I50" i="75" s="1"/>
  <c r="I51" i="75" s="1"/>
  <c r="I52" i="75" s="1"/>
  <c r="I53" i="75" s="1"/>
  <c r="I54" i="75" s="1"/>
  <c r="I55" i="75" s="1"/>
  <c r="I56" i="75" s="1"/>
  <c r="I57" i="75" s="1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E45" i="75"/>
  <c r="E46" i="75"/>
  <c r="E47" i="75"/>
  <c r="E48" i="75"/>
  <c r="E49" i="75"/>
  <c r="E50" i="75"/>
  <c r="E51" i="75"/>
  <c r="E52" i="75"/>
  <c r="E53" i="75"/>
  <c r="E54" i="75"/>
  <c r="E55" i="75"/>
  <c r="E56" i="75"/>
  <c r="E57" i="75"/>
  <c r="I30" i="19"/>
  <c r="I61" i="19"/>
  <c r="U28" i="19"/>
  <c r="S28" i="14"/>
  <c r="AX51" i="75" l="1"/>
  <c r="AX49" i="75"/>
  <c r="AX47" i="75"/>
  <c r="AX45" i="75"/>
  <c r="AX43" i="75"/>
  <c r="AX41" i="75"/>
  <c r="AX39" i="75"/>
  <c r="AB53" i="75"/>
  <c r="AB54" i="75" l="1"/>
  <c r="AN53" i="75"/>
  <c r="AP53" i="75" s="1"/>
  <c r="AV53" i="75" s="1"/>
  <c r="AX53" i="75" s="1"/>
  <c r="AB55" i="75" l="1"/>
  <c r="AN54" i="75"/>
  <c r="AP54" i="75" s="1"/>
  <c r="AV54" i="75" s="1"/>
  <c r="AX54" i="75" s="1"/>
  <c r="AB56" i="75" l="1"/>
  <c r="AN55" i="75"/>
  <c r="AP55" i="75" s="1"/>
  <c r="AV55" i="75" s="1"/>
  <c r="AX55" i="75" s="1"/>
  <c r="AB57" i="75" l="1"/>
  <c r="AN57" i="75" s="1"/>
  <c r="AP57" i="75" s="1"/>
  <c r="AV57" i="75" s="1"/>
  <c r="AX57" i="75" s="1"/>
  <c r="AN56" i="75"/>
  <c r="AP56" i="75" s="1"/>
  <c r="AV56" i="75" s="1"/>
  <c r="AX56" i="75" s="1"/>
  <c r="U58" i="14" l="1"/>
  <c r="W58" i="14"/>
  <c r="Y53" i="14"/>
  <c r="Y54" i="14"/>
  <c r="Y58" i="14"/>
  <c r="U66" i="19"/>
  <c r="Y60" i="19"/>
  <c r="W60" i="19"/>
  <c r="W66" i="19"/>
  <c r="W28" i="20"/>
  <c r="Y28" i="20"/>
  <c r="Q59" i="75"/>
  <c r="O59" i="75"/>
  <c r="C68" i="5"/>
  <c r="C69" i="5" s="1"/>
  <c r="I68" i="5"/>
  <c r="I69" i="5"/>
  <c r="I70" i="5"/>
  <c r="I71" i="5"/>
  <c r="I72" i="5" s="1"/>
  <c r="I73" i="5" s="1"/>
  <c r="J36" i="32" l="1"/>
  <c r="Q68" i="70" l="1"/>
  <c r="J16" i="32"/>
  <c r="J15" i="32"/>
  <c r="Q37" i="74" l="1"/>
  <c r="Q36" i="74"/>
  <c r="Q35" i="74"/>
  <c r="Q34" i="74"/>
  <c r="Q33" i="74"/>
  <c r="Q32" i="74"/>
  <c r="Q31" i="74"/>
  <c r="Q30" i="74"/>
  <c r="Q29" i="74"/>
  <c r="Q28" i="74"/>
  <c r="Q37" i="61"/>
  <c r="Q36" i="61"/>
  <c r="Q35" i="61"/>
  <c r="Q34" i="61"/>
  <c r="Q33" i="61"/>
  <c r="Q32" i="61"/>
  <c r="Q31" i="61"/>
  <c r="Q30" i="61"/>
  <c r="Q29" i="61"/>
  <c r="Q28" i="61"/>
  <c r="Q37" i="60"/>
  <c r="Q36" i="60"/>
  <c r="Q35" i="60"/>
  <c r="Q34" i="60"/>
  <c r="Q33" i="60"/>
  <c r="Q32" i="60"/>
  <c r="Q31" i="60"/>
  <c r="Q30" i="60"/>
  <c r="Q29" i="60"/>
  <c r="Q28" i="60"/>
  <c r="Q37" i="63"/>
  <c r="Q36" i="63"/>
  <c r="Q35" i="63"/>
  <c r="Q34" i="63"/>
  <c r="Q33" i="63"/>
  <c r="Q32" i="63"/>
  <c r="Q31" i="63"/>
  <c r="Q30" i="63"/>
  <c r="Q29" i="63"/>
  <c r="Q28" i="63"/>
  <c r="Q29" i="62"/>
  <c r="Q30" i="62"/>
  <c r="Q31" i="62"/>
  <c r="Q32" i="62"/>
  <c r="Q33" i="62"/>
  <c r="Q34" i="62"/>
  <c r="Q35" i="62"/>
  <c r="Q36" i="62"/>
  <c r="Q37" i="62"/>
  <c r="Q28" i="62"/>
  <c r="Q35" i="65"/>
  <c r="Q36" i="65"/>
  <c r="Q37" i="65"/>
  <c r="Q29" i="65"/>
  <c r="Q30" i="65"/>
  <c r="Q31" i="65"/>
  <c r="Q32" i="65"/>
  <c r="Q33" i="65"/>
  <c r="Q34" i="65"/>
  <c r="Q28" i="65"/>
  <c r="G18" i="69" l="1"/>
  <c r="AH28" i="5" l="1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27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17" i="5" l="1"/>
  <c r="AG18" i="5"/>
  <c r="AG19" i="5"/>
  <c r="AG20" i="5"/>
  <c r="AG21" i="5"/>
  <c r="AG22" i="5"/>
  <c r="AG23" i="5"/>
  <c r="AG24" i="5"/>
  <c r="AG25" i="5"/>
  <c r="AG26" i="5"/>
  <c r="AG16" i="5"/>
  <c r="J19" i="5" l="1"/>
  <c r="J18" i="5"/>
  <c r="J17" i="5" s="1"/>
  <c r="K18" i="5"/>
  <c r="K17" i="5" s="1"/>
  <c r="K16" i="5" s="1"/>
  <c r="K15" i="5" s="1"/>
  <c r="K19" i="5"/>
  <c r="I15" i="5"/>
  <c r="S66" i="19"/>
  <c r="AF11" i="57"/>
  <c r="K28" i="61"/>
  <c r="M28" i="30"/>
  <c r="K28" i="60"/>
  <c r="K28" i="62"/>
  <c r="K28" i="65"/>
  <c r="M28" i="74"/>
  <c r="C59" i="75" l="1"/>
  <c r="J16" i="5"/>
  <c r="J15" i="5" s="1"/>
  <c r="I28" i="74"/>
  <c r="M28" i="75" l="1"/>
  <c r="K28" i="75"/>
  <c r="E28" i="75"/>
  <c r="W26" i="75"/>
  <c r="U26" i="75"/>
  <c r="S26" i="75"/>
  <c r="Q26" i="75"/>
  <c r="O26" i="75"/>
  <c r="M26" i="75"/>
  <c r="K26" i="75"/>
  <c r="BB16" i="75"/>
  <c r="AJ16" i="75"/>
  <c r="AF16" i="75"/>
  <c r="BD15" i="75"/>
  <c r="AJ15" i="75"/>
  <c r="AF15" i="75"/>
  <c r="BD14" i="75"/>
  <c r="AF14" i="75"/>
  <c r="AJ13" i="75"/>
  <c r="AJ11" i="75"/>
  <c r="A3" i="75"/>
  <c r="A2" i="75"/>
  <c r="A1" i="75"/>
  <c r="C28" i="75" l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BB28" i="75"/>
  <c r="AH28" i="75"/>
  <c r="AJ28" i="75"/>
  <c r="AF28" i="75"/>
  <c r="AR28" i="75"/>
  <c r="BD28" i="75"/>
  <c r="I28" i="75" l="1"/>
  <c r="I29" i="75" s="1"/>
  <c r="AZ28" i="75"/>
  <c r="AZ29" i="75" s="1"/>
  <c r="AZ30" i="75" s="1"/>
  <c r="AZ31" i="75" s="1"/>
  <c r="AZ32" i="75" s="1"/>
  <c r="AZ33" i="75" s="1"/>
  <c r="AZ34" i="75" s="1"/>
  <c r="AZ35" i="75" s="1"/>
  <c r="AZ36" i="75" s="1"/>
  <c r="AZ37" i="75" s="1"/>
  <c r="AJ29" i="75"/>
  <c r="AJ30" i="75" s="1"/>
  <c r="AJ31" i="75" s="1"/>
  <c r="AJ32" i="75" s="1"/>
  <c r="AJ33" i="75" s="1"/>
  <c r="AJ34" i="75" s="1"/>
  <c r="AJ35" i="75" s="1"/>
  <c r="AJ36" i="75" s="1"/>
  <c r="AJ37" i="75" s="1"/>
  <c r="G11" i="32"/>
  <c r="BD29" i="75"/>
  <c r="BD30" i="75" s="1"/>
  <c r="BD31" i="75" s="1"/>
  <c r="BD32" i="75" s="1"/>
  <c r="BD33" i="75" s="1"/>
  <c r="BD34" i="75" s="1"/>
  <c r="BD35" i="75" s="1"/>
  <c r="BD36" i="75" s="1"/>
  <c r="BD37" i="75" s="1"/>
  <c r="AH29" i="75"/>
  <c r="AH30" i="75" s="1"/>
  <c r="AH31" i="75" s="1"/>
  <c r="AH32" i="75" s="1"/>
  <c r="AH33" i="75" s="1"/>
  <c r="AH34" i="75" s="1"/>
  <c r="AH35" i="75" s="1"/>
  <c r="AH36" i="75" s="1"/>
  <c r="AH37" i="75" s="1"/>
  <c r="AB28" i="75"/>
  <c r="AB29" i="75" s="1"/>
  <c r="AR29" i="75"/>
  <c r="AR30" i="75" s="1"/>
  <c r="AR31" i="75" s="1"/>
  <c r="AR32" i="75" s="1"/>
  <c r="AR33" i="75" s="1"/>
  <c r="AR34" i="75" s="1"/>
  <c r="AR35" i="75" s="1"/>
  <c r="AR36" i="75" s="1"/>
  <c r="AR37" i="75" s="1"/>
  <c r="AF29" i="75"/>
  <c r="AF30" i="75" s="1"/>
  <c r="AF31" i="75" s="1"/>
  <c r="BB29" i="75"/>
  <c r="BB30" i="75" s="1"/>
  <c r="AR59" i="75" l="1"/>
  <c r="AB30" i="75"/>
  <c r="AF32" i="75"/>
  <c r="AF33" i="75" s="1"/>
  <c r="BB31" i="75"/>
  <c r="AH59" i="75" l="1"/>
  <c r="I59" i="75"/>
  <c r="BD59" i="75"/>
  <c r="AJ59" i="75"/>
  <c r="K59" i="75"/>
  <c r="M59" i="75"/>
  <c r="BB32" i="75"/>
  <c r="AB31" i="75"/>
  <c r="AB32" i="75" l="1"/>
  <c r="BB33" i="75"/>
  <c r="AF34" i="75"/>
  <c r="AB33" i="75" l="1"/>
  <c r="AF35" i="75"/>
  <c r="BB34" i="75"/>
  <c r="AF36" i="75" l="1"/>
  <c r="AB34" i="75"/>
  <c r="BB35" i="75"/>
  <c r="AB35" i="75" l="1"/>
  <c r="BB36" i="75"/>
  <c r="AF37" i="75"/>
  <c r="AB36" i="75" l="1"/>
  <c r="BB37" i="75"/>
  <c r="AB37" i="75" l="1"/>
  <c r="AF59" i="75" l="1"/>
  <c r="BB59" i="75" l="1"/>
  <c r="AD37" i="75" l="1"/>
  <c r="AD33" i="75"/>
  <c r="AD29" i="75"/>
  <c r="AD36" i="75"/>
  <c r="AD32" i="75"/>
  <c r="AD28" i="75"/>
  <c r="AD35" i="75"/>
  <c r="AD31" i="75"/>
  <c r="AD34" i="75"/>
  <c r="AD30" i="75" l="1"/>
  <c r="G59" i="75"/>
  <c r="AD59" i="75"/>
  <c r="AF11" i="75"/>
  <c r="AL34" i="75" l="1"/>
  <c r="AL37" i="75"/>
  <c r="AL33" i="75"/>
  <c r="AL36" i="75"/>
  <c r="AL30" i="75"/>
  <c r="AL35" i="75"/>
  <c r="AL28" i="75"/>
  <c r="AL32" i="75"/>
  <c r="AL29" i="75"/>
  <c r="AL31" i="75"/>
  <c r="AF12" i="75"/>
  <c r="AL59" i="75" l="1"/>
  <c r="P59" i="23" l="1"/>
  <c r="P68" i="23"/>
  <c r="P70" i="23" l="1"/>
  <c r="K30" i="48"/>
  <c r="K31" i="48"/>
  <c r="K32" i="48" s="1"/>
  <c r="K33" i="48" s="1"/>
  <c r="K34" i="48" s="1"/>
  <c r="K35" i="48" s="1"/>
  <c r="K36" i="48" s="1"/>
  <c r="K37" i="48" s="1"/>
  <c r="K38" i="48" s="1"/>
  <c r="K39" i="48" s="1"/>
  <c r="K40" i="48" s="1"/>
  <c r="K41" i="48" s="1"/>
  <c r="K42" i="48" s="1"/>
  <c r="K43" i="48" s="1"/>
  <c r="K44" i="48" s="1"/>
  <c r="K45" i="48" s="1"/>
  <c r="K46" i="48" s="1"/>
  <c r="K47" i="48" s="1"/>
  <c r="K29" i="48"/>
  <c r="S43" i="23" l="1"/>
  <c r="U43" i="23" s="1"/>
  <c r="U53" i="23"/>
  <c r="S19" i="23"/>
  <c r="U19" i="23" s="1"/>
  <c r="AD68" i="74" l="1"/>
  <c r="AD67" i="74"/>
  <c r="AD66" i="74"/>
  <c r="AD65" i="74"/>
  <c r="AD64" i="74"/>
  <c r="AD63" i="74"/>
  <c r="AD62" i="74"/>
  <c r="AD61" i="74"/>
  <c r="AD60" i="74"/>
  <c r="AD59" i="74"/>
  <c r="AD58" i="74"/>
  <c r="AD57" i="74"/>
  <c r="AD56" i="74"/>
  <c r="AD55" i="74"/>
  <c r="AD54" i="74"/>
  <c r="AD53" i="74"/>
  <c r="AD52" i="74"/>
  <c r="AD51" i="74"/>
  <c r="AD50" i="74"/>
  <c r="AD49" i="74"/>
  <c r="AD48" i="74"/>
  <c r="AD47" i="74"/>
  <c r="AD46" i="74"/>
  <c r="AD45" i="74"/>
  <c r="AD44" i="74"/>
  <c r="AD43" i="74"/>
  <c r="AD42" i="74"/>
  <c r="AD41" i="74"/>
  <c r="AD40" i="74"/>
  <c r="AD39" i="74"/>
  <c r="AD38" i="74"/>
  <c r="AD37" i="74"/>
  <c r="E37" i="74"/>
  <c r="AD36" i="74"/>
  <c r="E36" i="74"/>
  <c r="AD35" i="74"/>
  <c r="E35" i="74"/>
  <c r="AD34" i="74"/>
  <c r="E34" i="74"/>
  <c r="AD33" i="74"/>
  <c r="E33" i="74"/>
  <c r="AD32" i="74"/>
  <c r="E32" i="74"/>
  <c r="AD31" i="74"/>
  <c r="E31" i="74"/>
  <c r="AD30" i="74"/>
  <c r="E30" i="74"/>
  <c r="AD29" i="74"/>
  <c r="E29" i="74"/>
  <c r="AF29" i="74" s="1"/>
  <c r="C29" i="74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AZ28" i="74"/>
  <c r="AZ29" i="74" s="1"/>
  <c r="AZ30" i="74" s="1"/>
  <c r="AZ31" i="74" s="1"/>
  <c r="AZ32" i="74" s="1"/>
  <c r="AZ33" i="74" s="1"/>
  <c r="AZ34" i="74" s="1"/>
  <c r="AZ35" i="74" s="1"/>
  <c r="AZ36" i="74" s="1"/>
  <c r="AZ37" i="74" s="1"/>
  <c r="AZ38" i="74" s="1"/>
  <c r="AZ39" i="74" s="1"/>
  <c r="AZ40" i="74" s="1"/>
  <c r="AZ41" i="74" s="1"/>
  <c r="AZ42" i="74" s="1"/>
  <c r="AZ43" i="74" s="1"/>
  <c r="AZ44" i="74" s="1"/>
  <c r="AZ45" i="74" s="1"/>
  <c r="AZ46" i="74" s="1"/>
  <c r="AZ47" i="74" s="1"/>
  <c r="AZ48" i="74" s="1"/>
  <c r="AZ49" i="74" s="1"/>
  <c r="AZ50" i="74" s="1"/>
  <c r="AZ51" i="74" s="1"/>
  <c r="AZ52" i="74" s="1"/>
  <c r="AZ53" i="74" s="1"/>
  <c r="AZ54" i="74" s="1"/>
  <c r="AZ55" i="74" s="1"/>
  <c r="AZ56" i="74" s="1"/>
  <c r="AZ57" i="74" s="1"/>
  <c r="AZ58" i="74" s="1"/>
  <c r="AZ59" i="74" s="1"/>
  <c r="AZ60" i="74" s="1"/>
  <c r="AZ61" i="74" s="1"/>
  <c r="AZ62" i="74" s="1"/>
  <c r="AZ63" i="74" s="1"/>
  <c r="AZ64" i="74" s="1"/>
  <c r="AZ65" i="74" s="1"/>
  <c r="AZ66" i="74" s="1"/>
  <c r="AZ67" i="74" s="1"/>
  <c r="AZ68" i="74" s="1"/>
  <c r="AD28" i="74"/>
  <c r="AB28" i="74"/>
  <c r="AB29" i="74" s="1"/>
  <c r="AB30" i="74" s="1"/>
  <c r="K28" i="74"/>
  <c r="E28" i="74"/>
  <c r="W26" i="74"/>
  <c r="U26" i="74"/>
  <c r="S26" i="74"/>
  <c r="Q26" i="74"/>
  <c r="O26" i="74"/>
  <c r="M26" i="74"/>
  <c r="K26" i="74"/>
  <c r="I19" i="74"/>
  <c r="G19" i="74"/>
  <c r="BI16" i="74"/>
  <c r="BK15" i="74"/>
  <c r="AR15" i="74"/>
  <c r="BK14" i="74"/>
  <c r="AF11" i="74"/>
  <c r="AL28" i="74" s="1"/>
  <c r="BD29" i="74" l="1"/>
  <c r="BD30" i="74" s="1"/>
  <c r="BB29" i="74"/>
  <c r="M29" i="74"/>
  <c r="M30" i="74" s="1"/>
  <c r="M31" i="74" s="1"/>
  <c r="M32" i="74" s="1"/>
  <c r="M33" i="74" s="1"/>
  <c r="M34" i="74" s="1"/>
  <c r="M35" i="74" s="1"/>
  <c r="M36" i="74" s="1"/>
  <c r="M37" i="74" s="1"/>
  <c r="M38" i="74" s="1"/>
  <c r="S38" i="74" s="1"/>
  <c r="K29" i="74"/>
  <c r="K30" i="74" s="1"/>
  <c r="K31" i="74" s="1"/>
  <c r="K32" i="74" s="1"/>
  <c r="K33" i="74" s="1"/>
  <c r="K34" i="74" s="1"/>
  <c r="K35" i="74" s="1"/>
  <c r="K36" i="74" s="1"/>
  <c r="K37" i="74" s="1"/>
  <c r="AH29" i="74"/>
  <c r="AH30" i="74" s="1"/>
  <c r="AH31" i="74" s="1"/>
  <c r="AH32" i="74" s="1"/>
  <c r="AH33" i="74" s="1"/>
  <c r="AH34" i="74" s="1"/>
  <c r="AH35" i="74" s="1"/>
  <c r="AH36" i="74" s="1"/>
  <c r="AH37" i="74" s="1"/>
  <c r="BD11" i="74"/>
  <c r="BF28" i="74" s="1"/>
  <c r="AT28" i="74" s="1"/>
  <c r="AF12" i="74"/>
  <c r="AF30" i="74"/>
  <c r="BD31" i="74"/>
  <c r="BD32" i="74" s="1"/>
  <c r="BD33" i="74" s="1"/>
  <c r="BD34" i="74" s="1"/>
  <c r="BD35" i="74" s="1"/>
  <c r="BD36" i="74" s="1"/>
  <c r="BD37" i="74" s="1"/>
  <c r="BD38" i="74" s="1"/>
  <c r="AB31" i="74"/>
  <c r="I29" i="74"/>
  <c r="S28" i="74"/>
  <c r="BF29" i="74"/>
  <c r="BB30" i="74"/>
  <c r="AJ29" i="74"/>
  <c r="AJ30" i="74" s="1"/>
  <c r="AJ31" i="74" s="1"/>
  <c r="AJ32" i="74" s="1"/>
  <c r="AJ33" i="74" s="1"/>
  <c r="AJ34" i="74" s="1"/>
  <c r="AJ35" i="74" s="1"/>
  <c r="AJ36" i="74" s="1"/>
  <c r="AJ37" i="74" s="1"/>
  <c r="AR29" i="74"/>
  <c r="AR30" i="74" s="1"/>
  <c r="AR31" i="74" s="1"/>
  <c r="AR32" i="74" s="1"/>
  <c r="AR33" i="74" s="1"/>
  <c r="AR34" i="74" s="1"/>
  <c r="AR35" i="74" s="1"/>
  <c r="AR36" i="74" s="1"/>
  <c r="AR37" i="74" s="1"/>
  <c r="BB31" i="74" l="1"/>
  <c r="BF30" i="74"/>
  <c r="S29" i="74"/>
  <c r="I30" i="74"/>
  <c r="AB32" i="74"/>
  <c r="AF31" i="74"/>
  <c r="AL30" i="74"/>
  <c r="AL29" i="74"/>
  <c r="AT30" i="74" l="1"/>
  <c r="AT29" i="74"/>
  <c r="AF32" i="74"/>
  <c r="AL31" i="74"/>
  <c r="AB33" i="74"/>
  <c r="BF31" i="74"/>
  <c r="BB32" i="74"/>
  <c r="S30" i="74"/>
  <c r="I31" i="74"/>
  <c r="I32" i="74" l="1"/>
  <c r="S31" i="74"/>
  <c r="AL32" i="74"/>
  <c r="AF33" i="74"/>
  <c r="AB34" i="74"/>
  <c r="BB33" i="74"/>
  <c r="BF32" i="74"/>
  <c r="AT31" i="74"/>
  <c r="AT32" i="74" l="1"/>
  <c r="I33" i="74"/>
  <c r="S32" i="74"/>
  <c r="AL33" i="74"/>
  <c r="AF34" i="74"/>
  <c r="BF33" i="74"/>
  <c r="BB34" i="74"/>
  <c r="AB35" i="74"/>
  <c r="AT33" i="74" l="1"/>
  <c r="AB36" i="74"/>
  <c r="BF34" i="74"/>
  <c r="BB35" i="74"/>
  <c r="AF35" i="74"/>
  <c r="AL34" i="74"/>
  <c r="S33" i="74"/>
  <c r="I34" i="74"/>
  <c r="S34" i="74" l="1"/>
  <c r="I35" i="74"/>
  <c r="AT34" i="74"/>
  <c r="BF35" i="74"/>
  <c r="BB36" i="74"/>
  <c r="AL35" i="74"/>
  <c r="AF36" i="74"/>
  <c r="AB37" i="74"/>
  <c r="AT35" i="74" l="1"/>
  <c r="I36" i="74"/>
  <c r="I37" i="74" s="1"/>
  <c r="S35" i="74"/>
  <c r="AB38" i="74"/>
  <c r="AF37" i="74"/>
  <c r="AL37" i="74" s="1"/>
  <c r="AL36" i="74"/>
  <c r="BF36" i="74"/>
  <c r="BB37" i="74"/>
  <c r="AB39" i="74" l="1"/>
  <c r="S36" i="74"/>
  <c r="BF37" i="74"/>
  <c r="AT37" i="74" s="1"/>
  <c r="BB38" i="74"/>
  <c r="AT36" i="74"/>
  <c r="BF38" i="74" l="1"/>
  <c r="AB40" i="74"/>
  <c r="S37" i="74"/>
  <c r="AB41" i="74" l="1"/>
  <c r="AB42" i="74" l="1"/>
  <c r="AB43" i="74" l="1"/>
  <c r="AB44" i="74" l="1"/>
  <c r="AB45" i="74" l="1"/>
  <c r="AB46" i="74" l="1"/>
  <c r="AB47" i="74" l="1"/>
  <c r="AB48" i="74" l="1"/>
  <c r="AB49" i="74" l="1"/>
  <c r="AB50" i="74" l="1"/>
  <c r="AB51" i="74" l="1"/>
  <c r="AB52" i="74" l="1"/>
  <c r="AB53" i="74" l="1"/>
  <c r="AB54" i="74" l="1"/>
  <c r="AB55" i="74" l="1"/>
  <c r="AB56" i="74" l="1"/>
  <c r="AB57" i="74" l="1"/>
  <c r="AB58" i="74" l="1"/>
  <c r="AB59" i="74" l="1"/>
  <c r="AB60" i="74" l="1"/>
  <c r="AB61" i="74" l="1"/>
  <c r="AB62" i="74" l="1"/>
  <c r="AB63" i="74" l="1"/>
  <c r="AB64" i="74" l="1"/>
  <c r="AB65" i="74" l="1"/>
  <c r="AB66" i="74" l="1"/>
  <c r="AB67" i="74" l="1"/>
  <c r="AB68" i="74" l="1"/>
  <c r="G52" i="73" l="1"/>
  <c r="C28" i="73"/>
  <c r="Q52" i="73"/>
  <c r="C52" i="73"/>
  <c r="G48" i="73"/>
  <c r="AD48" i="73" s="1"/>
  <c r="G47" i="73"/>
  <c r="AD47" i="73" s="1"/>
  <c r="G46" i="73"/>
  <c r="AD46" i="73" s="1"/>
  <c r="G45" i="73"/>
  <c r="AD45" i="73" s="1"/>
  <c r="G44" i="73"/>
  <c r="AD44" i="73" s="1"/>
  <c r="G43" i="73"/>
  <c r="AD43" i="73" s="1"/>
  <c r="G42" i="73"/>
  <c r="AD42" i="73" s="1"/>
  <c r="G41" i="73"/>
  <c r="AD41" i="73" s="1"/>
  <c r="G40" i="73"/>
  <c r="AD40" i="73" s="1"/>
  <c r="G39" i="73"/>
  <c r="AD39" i="73" s="1"/>
  <c r="G38" i="73"/>
  <c r="AD38" i="73" s="1"/>
  <c r="G37" i="73"/>
  <c r="AD37" i="73" s="1"/>
  <c r="G36" i="73"/>
  <c r="AD36" i="73" s="1"/>
  <c r="G35" i="73"/>
  <c r="AD35" i="73" s="1"/>
  <c r="G34" i="73"/>
  <c r="AD34" i="73" s="1"/>
  <c r="G33" i="73"/>
  <c r="AD33" i="73" s="1"/>
  <c r="G32" i="73"/>
  <c r="AD32" i="73" s="1"/>
  <c r="G31" i="73"/>
  <c r="AD31" i="73" s="1"/>
  <c r="G30" i="73"/>
  <c r="AD30" i="73" s="1"/>
  <c r="G29" i="73"/>
  <c r="AD28" i="73"/>
  <c r="M28" i="73"/>
  <c r="E28" i="73"/>
  <c r="E29" i="73" s="1"/>
  <c r="E30" i="73" s="1"/>
  <c r="E31" i="73" s="1"/>
  <c r="E32" i="73" s="1"/>
  <c r="C29" i="73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W26" i="73"/>
  <c r="U26" i="73"/>
  <c r="S26" i="73"/>
  <c r="Q26" i="73"/>
  <c r="O26" i="73"/>
  <c r="M26" i="73"/>
  <c r="K26" i="73"/>
  <c r="AF16" i="73"/>
  <c r="BD15" i="73"/>
  <c r="I28" i="73"/>
  <c r="BD14" i="73"/>
  <c r="BB31" i="73" s="1"/>
  <c r="A3" i="73"/>
  <c r="A2" i="73"/>
  <c r="A1" i="73"/>
  <c r="K29" i="73" l="1"/>
  <c r="I29" i="73"/>
  <c r="I30" i="73" s="1"/>
  <c r="I31" i="73" s="1"/>
  <c r="I32" i="73" s="1"/>
  <c r="E33" i="73"/>
  <c r="E34" i="73" s="1"/>
  <c r="E35" i="73" s="1"/>
  <c r="E36" i="73" s="1"/>
  <c r="E37" i="73" s="1"/>
  <c r="E38" i="73" s="1"/>
  <c r="E39" i="73" s="1"/>
  <c r="E40" i="73" s="1"/>
  <c r="E41" i="73" s="1"/>
  <c r="E42" i="73" s="1"/>
  <c r="E43" i="73" s="1"/>
  <c r="E44" i="73" s="1"/>
  <c r="E45" i="73" s="1"/>
  <c r="E46" i="73" s="1"/>
  <c r="E47" i="73" s="1"/>
  <c r="E48" i="73" s="1"/>
  <c r="AD29" i="73"/>
  <c r="BB32" i="73"/>
  <c r="K30" i="73"/>
  <c r="BB30" i="73"/>
  <c r="AB28" i="73"/>
  <c r="AB29" i="73" s="1"/>
  <c r="AB30" i="73" s="1"/>
  <c r="AB31" i="73" s="1"/>
  <c r="AB32" i="73" s="1"/>
  <c r="AZ28" i="73"/>
  <c r="AZ29" i="73" s="1"/>
  <c r="AZ30" i="73" s="1"/>
  <c r="AZ31" i="73" s="1"/>
  <c r="AZ32" i="73" s="1"/>
  <c r="AZ33" i="73" s="1"/>
  <c r="AZ34" i="73" s="1"/>
  <c r="AZ35" i="73" s="1"/>
  <c r="AZ36" i="73" s="1"/>
  <c r="AZ37" i="73" s="1"/>
  <c r="AZ38" i="73" s="1"/>
  <c r="AZ39" i="73" s="1"/>
  <c r="AZ40" i="73" s="1"/>
  <c r="AZ41" i="73" s="1"/>
  <c r="AZ42" i="73" s="1"/>
  <c r="AZ43" i="73" s="1"/>
  <c r="AZ44" i="73" s="1"/>
  <c r="AZ45" i="73" s="1"/>
  <c r="AZ46" i="73" s="1"/>
  <c r="AZ47" i="73" s="1"/>
  <c r="AZ48" i="73" s="1"/>
  <c r="AD52" i="73"/>
  <c r="M29" i="73"/>
  <c r="M30" i="73" s="1"/>
  <c r="M31" i="73" s="1"/>
  <c r="M32" i="73" s="1"/>
  <c r="K31" i="73" l="1"/>
  <c r="BB29" i="73"/>
  <c r="BB33" i="73"/>
  <c r="I33" i="73"/>
  <c r="I34" i="73" s="1"/>
  <c r="I35" i="73" s="1"/>
  <c r="I36" i="73" s="1"/>
  <c r="I37" i="73" s="1"/>
  <c r="I38" i="73" s="1"/>
  <c r="I39" i="73" s="1"/>
  <c r="I40" i="73" s="1"/>
  <c r="I41" i="73" s="1"/>
  <c r="I42" i="73" s="1"/>
  <c r="I43" i="73" s="1"/>
  <c r="I44" i="73" s="1"/>
  <c r="I45" i="73" s="1"/>
  <c r="I46" i="73" s="1"/>
  <c r="I47" i="73" s="1"/>
  <c r="I48" i="73" s="1"/>
  <c r="AB33" i="73"/>
  <c r="M33" i="73"/>
  <c r="M34" i="73" s="1"/>
  <c r="M35" i="73" s="1"/>
  <c r="M36" i="73" s="1"/>
  <c r="M37" i="73" s="1"/>
  <c r="M38" i="73" s="1"/>
  <c r="M39" i="73" s="1"/>
  <c r="M40" i="73" s="1"/>
  <c r="M41" i="73" s="1"/>
  <c r="M42" i="73" s="1"/>
  <c r="M43" i="73" s="1"/>
  <c r="M44" i="73" s="1"/>
  <c r="M45" i="73" s="1"/>
  <c r="M46" i="73" s="1"/>
  <c r="M47" i="73" s="1"/>
  <c r="M48" i="73" s="1"/>
  <c r="M52" i="73" l="1"/>
  <c r="K32" i="73"/>
  <c r="I52" i="73"/>
  <c r="AB34" i="73"/>
  <c r="BB28" i="73"/>
  <c r="BB34" i="73"/>
  <c r="K33" i="73" l="1"/>
  <c r="BB35" i="73"/>
  <c r="AB35" i="73"/>
  <c r="K34" i="73" l="1"/>
  <c r="AB36" i="73"/>
  <c r="BB36" i="73"/>
  <c r="K35" i="73" l="1"/>
  <c r="BB37" i="73"/>
  <c r="AB37" i="73"/>
  <c r="K36" i="73" l="1"/>
  <c r="AB38" i="73"/>
  <c r="BB38" i="73"/>
  <c r="K37" i="73" l="1"/>
  <c r="AB39" i="73"/>
  <c r="BB39" i="73"/>
  <c r="K38" i="73" l="1"/>
  <c r="BB40" i="73"/>
  <c r="AB40" i="73"/>
  <c r="K39" i="73" l="1"/>
  <c r="AB41" i="73"/>
  <c r="BB41" i="73"/>
  <c r="K40" i="73" l="1"/>
  <c r="AB42" i="73"/>
  <c r="BB42" i="73"/>
  <c r="K41" i="73" l="1"/>
  <c r="BB43" i="73"/>
  <c r="AB43" i="73"/>
  <c r="K42" i="73" l="1"/>
  <c r="BB44" i="73"/>
  <c r="AB44" i="73"/>
  <c r="K43" i="73" l="1"/>
  <c r="AB45" i="73"/>
  <c r="BB45" i="73"/>
  <c r="K44" i="73" l="1"/>
  <c r="AB46" i="73"/>
  <c r="BB46" i="73"/>
  <c r="K45" i="73" l="1"/>
  <c r="BB47" i="73"/>
  <c r="AB47" i="73"/>
  <c r="K46" i="73" l="1"/>
  <c r="AB48" i="73"/>
  <c r="BB48" i="73"/>
  <c r="K47" i="73" l="1"/>
  <c r="K48" i="73" l="1"/>
  <c r="BB52" i="73"/>
  <c r="K52" i="73" l="1"/>
  <c r="O30" i="72"/>
  <c r="G18" i="72"/>
  <c r="G19" i="72"/>
  <c r="G48" i="72"/>
  <c r="AD48" i="72" s="1"/>
  <c r="G47" i="72"/>
  <c r="AD47" i="72" s="1"/>
  <c r="G46" i="72"/>
  <c r="AD46" i="72" s="1"/>
  <c r="G45" i="72"/>
  <c r="AD45" i="72" s="1"/>
  <c r="G44" i="72"/>
  <c r="AD44" i="72" s="1"/>
  <c r="G43" i="72"/>
  <c r="AD43" i="72" s="1"/>
  <c r="G42" i="72"/>
  <c r="AD42" i="72" s="1"/>
  <c r="G41" i="72"/>
  <c r="AD41" i="72" s="1"/>
  <c r="G40" i="72"/>
  <c r="AD40" i="72" s="1"/>
  <c r="G39" i="72"/>
  <c r="AD39" i="72" s="1"/>
  <c r="G38" i="72"/>
  <c r="AD38" i="72" s="1"/>
  <c r="G37" i="72"/>
  <c r="AD37" i="72" s="1"/>
  <c r="G36" i="72"/>
  <c r="AD36" i="72" s="1"/>
  <c r="G35" i="72"/>
  <c r="AD35" i="72" s="1"/>
  <c r="G34" i="72"/>
  <c r="AD34" i="72" s="1"/>
  <c r="G33" i="72"/>
  <c r="AD33" i="72" s="1"/>
  <c r="G32" i="72"/>
  <c r="AD32" i="72" s="1"/>
  <c r="G31" i="72"/>
  <c r="AD31" i="72" s="1"/>
  <c r="G30" i="72"/>
  <c r="AD30" i="72" s="1"/>
  <c r="G29" i="72"/>
  <c r="AD28" i="72"/>
  <c r="M28" i="72"/>
  <c r="C28" i="72"/>
  <c r="C29" i="72" s="1"/>
  <c r="C30" i="72" s="1"/>
  <c r="W26" i="72"/>
  <c r="U26" i="72"/>
  <c r="S26" i="72"/>
  <c r="Q26" i="72"/>
  <c r="O26" i="72"/>
  <c r="M26" i="72"/>
  <c r="K26" i="72"/>
  <c r="AF16" i="72"/>
  <c r="BD15" i="72"/>
  <c r="I28" i="72"/>
  <c r="BD14" i="72"/>
  <c r="A3" i="72"/>
  <c r="A2" i="72"/>
  <c r="A1" i="72"/>
  <c r="E28" i="72" l="1"/>
  <c r="BB28" i="72" s="1"/>
  <c r="K50" i="72"/>
  <c r="Q50" i="72"/>
  <c r="C50" i="72"/>
  <c r="G50" i="72"/>
  <c r="C31" i="72"/>
  <c r="E30" i="72"/>
  <c r="E29" i="72"/>
  <c r="AD29" i="72"/>
  <c r="AB28" i="72"/>
  <c r="AZ28" i="72"/>
  <c r="AZ29" i="72" s="1"/>
  <c r="AZ30" i="72" s="1"/>
  <c r="AZ31" i="72" s="1"/>
  <c r="AZ32" i="72" s="1"/>
  <c r="AZ33" i="72" s="1"/>
  <c r="AZ34" i="72" s="1"/>
  <c r="AZ35" i="72" s="1"/>
  <c r="AZ36" i="72" s="1"/>
  <c r="AZ37" i="72" s="1"/>
  <c r="AZ38" i="72" s="1"/>
  <c r="AZ39" i="72" s="1"/>
  <c r="AZ40" i="72" s="1"/>
  <c r="AZ41" i="72" s="1"/>
  <c r="AZ42" i="72" s="1"/>
  <c r="AZ43" i="72" s="1"/>
  <c r="AZ44" i="72" s="1"/>
  <c r="AZ45" i="72" s="1"/>
  <c r="AZ46" i="72" s="1"/>
  <c r="AZ47" i="72" s="1"/>
  <c r="AZ48" i="72" s="1"/>
  <c r="O29" i="70"/>
  <c r="O30" i="70"/>
  <c r="O31" i="70"/>
  <c r="O32" i="70"/>
  <c r="O33" i="70"/>
  <c r="O34" i="70"/>
  <c r="O35" i="70"/>
  <c r="O36" i="70"/>
  <c r="O37" i="70"/>
  <c r="O38" i="70"/>
  <c r="O39" i="70"/>
  <c r="O40" i="70"/>
  <c r="O41" i="70"/>
  <c r="O42" i="70"/>
  <c r="O43" i="70"/>
  <c r="O44" i="70"/>
  <c r="O45" i="70"/>
  <c r="O46" i="70"/>
  <c r="O47" i="70"/>
  <c r="O48" i="70"/>
  <c r="O49" i="70"/>
  <c r="O50" i="70"/>
  <c r="O51" i="70"/>
  <c r="O52" i="70"/>
  <c r="O53" i="70"/>
  <c r="O54" i="70"/>
  <c r="O55" i="70"/>
  <c r="O56" i="70"/>
  <c r="O57" i="70"/>
  <c r="O28" i="70"/>
  <c r="M29" i="70"/>
  <c r="M30" i="70"/>
  <c r="M31" i="70"/>
  <c r="M32" i="70"/>
  <c r="M33" i="70"/>
  <c r="M34" i="70"/>
  <c r="M35" i="70"/>
  <c r="M36" i="70"/>
  <c r="M37" i="70"/>
  <c r="M38" i="70"/>
  <c r="M39" i="70"/>
  <c r="M40" i="70"/>
  <c r="M41" i="70"/>
  <c r="M42" i="70"/>
  <c r="M43" i="70"/>
  <c r="M44" i="70"/>
  <c r="M45" i="70"/>
  <c r="M46" i="70"/>
  <c r="M47" i="70"/>
  <c r="M48" i="70"/>
  <c r="M49" i="70"/>
  <c r="M50" i="70"/>
  <c r="M51" i="70"/>
  <c r="M52" i="70"/>
  <c r="M53" i="70"/>
  <c r="M54" i="70"/>
  <c r="M55" i="70"/>
  <c r="M56" i="70"/>
  <c r="AD36" i="70"/>
  <c r="AD37" i="70"/>
  <c r="AD38" i="70"/>
  <c r="AD39" i="70"/>
  <c r="AD40" i="70"/>
  <c r="AD41" i="70"/>
  <c r="AD42" i="70"/>
  <c r="AD43" i="70"/>
  <c r="AD44" i="70"/>
  <c r="AD45" i="70"/>
  <c r="AD46" i="70"/>
  <c r="AD47" i="70"/>
  <c r="AD48" i="70"/>
  <c r="AD49" i="70"/>
  <c r="AD50" i="70"/>
  <c r="AD51" i="70"/>
  <c r="AD52" i="70"/>
  <c r="AD53" i="70"/>
  <c r="AD54" i="70"/>
  <c r="AD55" i="70"/>
  <c r="AD56" i="70"/>
  <c r="AD57" i="70"/>
  <c r="AD50" i="72" l="1"/>
  <c r="BB29" i="72"/>
  <c r="BB30" i="72" s="1"/>
  <c r="E31" i="72"/>
  <c r="C32" i="72"/>
  <c r="AB29" i="72"/>
  <c r="M29" i="72"/>
  <c r="I29" i="72"/>
  <c r="AD35" i="70"/>
  <c r="AD34" i="70"/>
  <c r="AD33" i="70"/>
  <c r="AD32" i="70"/>
  <c r="AD31" i="70"/>
  <c r="AD30" i="70"/>
  <c r="AD29" i="70"/>
  <c r="AD28" i="70"/>
  <c r="M28" i="70"/>
  <c r="C28" i="70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W26" i="70"/>
  <c r="U26" i="70"/>
  <c r="S26" i="70"/>
  <c r="Q26" i="70"/>
  <c r="O26" i="70"/>
  <c r="M26" i="70"/>
  <c r="K26" i="70"/>
  <c r="G19" i="70"/>
  <c r="BD15" i="70"/>
  <c r="AF15" i="70"/>
  <c r="BD14" i="70"/>
  <c r="A3" i="70"/>
  <c r="A2" i="70"/>
  <c r="A1" i="70"/>
  <c r="Q64" i="69"/>
  <c r="AD48" i="69"/>
  <c r="AD49" i="69"/>
  <c r="AD50" i="69"/>
  <c r="AD51" i="69"/>
  <c r="AD52" i="69"/>
  <c r="AD53" i="69"/>
  <c r="M53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42" i="69"/>
  <c r="M43" i="69"/>
  <c r="M44" i="69"/>
  <c r="M45" i="69"/>
  <c r="M46" i="69"/>
  <c r="M47" i="69"/>
  <c r="M48" i="69"/>
  <c r="M49" i="69"/>
  <c r="M50" i="69"/>
  <c r="M51" i="69"/>
  <c r="M52" i="69"/>
  <c r="C29" i="69"/>
  <c r="AD47" i="69"/>
  <c r="BB31" i="72" l="1"/>
  <c r="I30" i="72"/>
  <c r="AB30" i="72"/>
  <c r="C33" i="72"/>
  <c r="E32" i="72"/>
  <c r="M30" i="72"/>
  <c r="M31" i="72" s="1"/>
  <c r="C30" i="69"/>
  <c r="AB28" i="70"/>
  <c r="AZ28" i="70"/>
  <c r="AZ29" i="70" s="1"/>
  <c r="AZ30" i="70" s="1"/>
  <c r="AZ31" i="70" s="1"/>
  <c r="AZ32" i="70" s="1"/>
  <c r="AZ33" i="70" s="1"/>
  <c r="AZ34" i="70" s="1"/>
  <c r="AZ35" i="70" s="1"/>
  <c r="AZ36" i="70" s="1"/>
  <c r="AZ37" i="70" s="1"/>
  <c r="AZ38" i="70" s="1"/>
  <c r="AZ39" i="70" s="1"/>
  <c r="AZ40" i="70" s="1"/>
  <c r="AZ41" i="70" s="1"/>
  <c r="AZ42" i="70" s="1"/>
  <c r="AZ43" i="70" s="1"/>
  <c r="AZ44" i="70" s="1"/>
  <c r="AZ45" i="70" s="1"/>
  <c r="AZ46" i="70" s="1"/>
  <c r="AZ47" i="70" s="1"/>
  <c r="AZ48" i="70" s="1"/>
  <c r="AZ49" i="70" s="1"/>
  <c r="AZ50" i="70" s="1"/>
  <c r="AZ51" i="70" s="1"/>
  <c r="AZ52" i="70" s="1"/>
  <c r="AZ53" i="70" s="1"/>
  <c r="AZ54" i="70" s="1"/>
  <c r="AZ55" i="70" s="1"/>
  <c r="AZ56" i="70" s="1"/>
  <c r="AZ57" i="70" s="1"/>
  <c r="I31" i="72" l="1"/>
  <c r="I32" i="72" s="1"/>
  <c r="S30" i="72"/>
  <c r="M32" i="72"/>
  <c r="C34" i="72"/>
  <c r="E33" i="72"/>
  <c r="BB32" i="72"/>
  <c r="AB31" i="72"/>
  <c r="C31" i="69"/>
  <c r="AB29" i="70"/>
  <c r="BB33" i="72" l="1"/>
  <c r="C35" i="72"/>
  <c r="E34" i="72"/>
  <c r="I33" i="72"/>
  <c r="M33" i="72"/>
  <c r="AB32" i="72"/>
  <c r="AB30" i="70"/>
  <c r="C32" i="69"/>
  <c r="I34" i="72" l="1"/>
  <c r="E35" i="72"/>
  <c r="C36" i="72"/>
  <c r="BB34" i="72"/>
  <c r="AB33" i="72"/>
  <c r="M34" i="72"/>
  <c r="AB31" i="70"/>
  <c r="C33" i="69"/>
  <c r="M35" i="72" l="1"/>
  <c r="I35" i="72"/>
  <c r="AB34" i="72"/>
  <c r="C37" i="72"/>
  <c r="E36" i="72"/>
  <c r="BB35" i="72"/>
  <c r="AB32" i="70"/>
  <c r="C34" i="69"/>
  <c r="M36" i="72" l="1"/>
  <c r="C38" i="72"/>
  <c r="E37" i="72"/>
  <c r="AB35" i="72"/>
  <c r="BB36" i="72"/>
  <c r="I36" i="72"/>
  <c r="C35" i="69"/>
  <c r="AB33" i="70"/>
  <c r="I37" i="72" l="1"/>
  <c r="AB36" i="72"/>
  <c r="M37" i="72"/>
  <c r="BB37" i="72"/>
  <c r="C39" i="72"/>
  <c r="E38" i="72"/>
  <c r="C36" i="69"/>
  <c r="AB34" i="70"/>
  <c r="I38" i="72" l="1"/>
  <c r="AB37" i="72"/>
  <c r="BB38" i="72"/>
  <c r="M38" i="72"/>
  <c r="E39" i="72"/>
  <c r="C40" i="72"/>
  <c r="AB35" i="70"/>
  <c r="AB36" i="70" s="1"/>
  <c r="C37" i="69"/>
  <c r="M39" i="72" l="1"/>
  <c r="BB39" i="72"/>
  <c r="I39" i="72"/>
  <c r="C41" i="72"/>
  <c r="E40" i="72"/>
  <c r="AB38" i="72"/>
  <c r="AB37" i="70"/>
  <c r="C38" i="69"/>
  <c r="AB39" i="72" l="1"/>
  <c r="M40" i="72"/>
  <c r="BB40" i="72"/>
  <c r="C42" i="72"/>
  <c r="E42" i="72" s="1"/>
  <c r="E41" i="72"/>
  <c r="I40" i="72"/>
  <c r="AB38" i="70"/>
  <c r="C39" i="69"/>
  <c r="C43" i="72" l="1"/>
  <c r="E43" i="72" s="1"/>
  <c r="AB40" i="72"/>
  <c r="BB41" i="72"/>
  <c r="M41" i="72"/>
  <c r="I41" i="72"/>
  <c r="AB39" i="70"/>
  <c r="C40" i="69"/>
  <c r="M42" i="72" l="1"/>
  <c r="I42" i="72"/>
  <c r="C44" i="72"/>
  <c r="E44" i="72" s="1"/>
  <c r="BB42" i="72"/>
  <c r="BB43" i="72" s="1"/>
  <c r="AB41" i="72"/>
  <c r="AB40" i="70"/>
  <c r="C41" i="69"/>
  <c r="M43" i="72" l="1"/>
  <c r="M44" i="72" s="1"/>
  <c r="I50" i="72"/>
  <c r="I43" i="72"/>
  <c r="C45" i="72"/>
  <c r="E45" i="72" s="1"/>
  <c r="AB42" i="72"/>
  <c r="AB41" i="70"/>
  <c r="C42" i="69"/>
  <c r="I44" i="72" l="1"/>
  <c r="M50" i="72"/>
  <c r="BB44" i="72"/>
  <c r="AB43" i="72"/>
  <c r="C46" i="72"/>
  <c r="AB42" i="70"/>
  <c r="C43" i="69"/>
  <c r="I45" i="72" l="1"/>
  <c r="E46" i="72"/>
  <c r="C47" i="72"/>
  <c r="M45" i="72"/>
  <c r="BB45" i="72"/>
  <c r="AB44" i="72"/>
  <c r="AB43" i="70"/>
  <c r="C44" i="69"/>
  <c r="M46" i="72" l="1"/>
  <c r="I46" i="72"/>
  <c r="C48" i="72"/>
  <c r="E48" i="72" s="1"/>
  <c r="E47" i="72"/>
  <c r="AB45" i="72"/>
  <c r="BB46" i="72"/>
  <c r="AB44" i="70"/>
  <c r="C45" i="69"/>
  <c r="M47" i="72" l="1"/>
  <c r="M48" i="72" s="1"/>
  <c r="I47" i="72"/>
  <c r="BB47" i="72"/>
  <c r="AB46" i="72"/>
  <c r="AB45" i="70"/>
  <c r="C46" i="69"/>
  <c r="I48" i="72" l="1"/>
  <c r="AB47" i="72"/>
  <c r="BB48" i="72"/>
  <c r="AB46" i="70"/>
  <c r="C47" i="69"/>
  <c r="BB50" i="72" l="1"/>
  <c r="AB48" i="72"/>
  <c r="AB47" i="70"/>
  <c r="C48" i="69"/>
  <c r="AB48" i="70" l="1"/>
  <c r="C49" i="69"/>
  <c r="AB49" i="70" l="1"/>
  <c r="C50" i="69"/>
  <c r="AB50" i="70" l="1"/>
  <c r="C51" i="69"/>
  <c r="AB51" i="70" l="1"/>
  <c r="C52" i="69"/>
  <c r="AB52" i="70" l="1"/>
  <c r="C53" i="69"/>
  <c r="AB53" i="70" l="1"/>
  <c r="AD46" i="69"/>
  <c r="AD45" i="69"/>
  <c r="AD44" i="69"/>
  <c r="AD43" i="69"/>
  <c r="AD42" i="69"/>
  <c r="AD41" i="69"/>
  <c r="AD40" i="69"/>
  <c r="AD39" i="69"/>
  <c r="AD38" i="69"/>
  <c r="AD37" i="69"/>
  <c r="AD36" i="69"/>
  <c r="AD35" i="69"/>
  <c r="AD34" i="69"/>
  <c r="AD33" i="69"/>
  <c r="AD32" i="69"/>
  <c r="AD31" i="69"/>
  <c r="AD30" i="69"/>
  <c r="AD29" i="69"/>
  <c r="AD28" i="69"/>
  <c r="M28" i="69"/>
  <c r="C28" i="69"/>
  <c r="W26" i="69"/>
  <c r="U26" i="69"/>
  <c r="S26" i="69"/>
  <c r="Q26" i="69"/>
  <c r="O26" i="69"/>
  <c r="M26" i="69"/>
  <c r="K26" i="69"/>
  <c r="G19" i="69"/>
  <c r="AF16" i="69"/>
  <c r="BD15" i="69"/>
  <c r="BD14" i="69"/>
  <c r="A3" i="69"/>
  <c r="A2" i="69"/>
  <c r="A1" i="69"/>
  <c r="AB54" i="70" l="1"/>
  <c r="AB28" i="69"/>
  <c r="AZ28" i="69"/>
  <c r="AZ29" i="69" s="1"/>
  <c r="AZ30" i="69" s="1"/>
  <c r="AZ31" i="69" s="1"/>
  <c r="AZ32" i="69" s="1"/>
  <c r="AZ33" i="69" s="1"/>
  <c r="AZ34" i="69" s="1"/>
  <c r="AZ35" i="69" s="1"/>
  <c r="AZ36" i="69" s="1"/>
  <c r="AZ37" i="69" s="1"/>
  <c r="AZ38" i="69" s="1"/>
  <c r="AZ39" i="69" s="1"/>
  <c r="AZ40" i="69" s="1"/>
  <c r="AZ41" i="69" s="1"/>
  <c r="AZ42" i="69" s="1"/>
  <c r="AZ43" i="69" s="1"/>
  <c r="AZ44" i="69" s="1"/>
  <c r="AZ45" i="69" s="1"/>
  <c r="AZ46" i="69" s="1"/>
  <c r="AZ47" i="69" s="1"/>
  <c r="AZ48" i="69" s="1"/>
  <c r="AZ49" i="69" s="1"/>
  <c r="AZ50" i="69" s="1"/>
  <c r="AZ51" i="69" s="1"/>
  <c r="AZ52" i="69" s="1"/>
  <c r="AZ53" i="69" s="1"/>
  <c r="C64" i="69"/>
  <c r="AD64" i="69"/>
  <c r="K64" i="69"/>
  <c r="G64" i="69"/>
  <c r="O64" i="69"/>
  <c r="AB55" i="70" l="1"/>
  <c r="AB29" i="69"/>
  <c r="AB30" i="69" s="1"/>
  <c r="AB56" i="70" l="1"/>
  <c r="AB31" i="69"/>
  <c r="AB57" i="70" l="1"/>
  <c r="AB32" i="69"/>
  <c r="AB33" i="69" l="1"/>
  <c r="AB34" i="69" l="1"/>
  <c r="AB35" i="69" l="1"/>
  <c r="AB36" i="69" l="1"/>
  <c r="AB37" i="69" l="1"/>
  <c r="AB38" i="69" l="1"/>
  <c r="AB39" i="69" l="1"/>
  <c r="AB40" i="69" l="1"/>
  <c r="AB41" i="69" l="1"/>
  <c r="AB42" i="69" l="1"/>
  <c r="AB43" i="69" l="1"/>
  <c r="AB44" i="69" l="1"/>
  <c r="AB45" i="69" l="1"/>
  <c r="AB46" i="69" l="1"/>
  <c r="AB47" i="69" s="1"/>
  <c r="AB48" i="69" l="1"/>
  <c r="AB49" i="69" l="1"/>
  <c r="AB50" i="69" l="1"/>
  <c r="M64" i="69"/>
  <c r="AB51" i="69" l="1"/>
  <c r="AB52" i="69" l="1"/>
  <c r="AB53" i="69" l="1"/>
  <c r="O57" i="68" l="1"/>
  <c r="O56" i="68"/>
  <c r="O55" i="68"/>
  <c r="O54" i="68"/>
  <c r="O53" i="68"/>
  <c r="O52" i="68"/>
  <c r="O51" i="68"/>
  <c r="O50" i="68"/>
  <c r="O49" i="68"/>
  <c r="O48" i="68"/>
  <c r="O47" i="68"/>
  <c r="O46" i="68"/>
  <c r="O45" i="68"/>
  <c r="O44" i="68"/>
  <c r="O43" i="68"/>
  <c r="O42" i="68"/>
  <c r="O41" i="68"/>
  <c r="O40" i="68"/>
  <c r="O39" i="68"/>
  <c r="O38" i="68"/>
  <c r="O37" i="68"/>
  <c r="O36" i="68"/>
  <c r="O35" i="68"/>
  <c r="O34" i="68"/>
  <c r="O33" i="68"/>
  <c r="O32" i="68"/>
  <c r="O31" i="68"/>
  <c r="O30" i="68"/>
  <c r="AZ29" i="68"/>
  <c r="AZ30" i="68" s="1"/>
  <c r="AZ31" i="68" s="1"/>
  <c r="AZ32" i="68" s="1"/>
  <c r="AZ33" i="68" s="1"/>
  <c r="AZ34" i="68" s="1"/>
  <c r="AZ35" i="68" s="1"/>
  <c r="AZ36" i="68" s="1"/>
  <c r="AZ37" i="68" s="1"/>
  <c r="AZ38" i="68" s="1"/>
  <c r="AZ39" i="68" s="1"/>
  <c r="AZ40" i="68" s="1"/>
  <c r="AZ41" i="68" s="1"/>
  <c r="AZ42" i="68" s="1"/>
  <c r="AZ43" i="68" s="1"/>
  <c r="AZ44" i="68" s="1"/>
  <c r="AZ45" i="68" s="1"/>
  <c r="AZ46" i="68" s="1"/>
  <c r="AZ47" i="68" s="1"/>
  <c r="AZ48" i="68" s="1"/>
  <c r="AZ49" i="68" s="1"/>
  <c r="AZ50" i="68" s="1"/>
  <c r="AZ51" i="68" s="1"/>
  <c r="AZ52" i="68" s="1"/>
  <c r="AZ53" i="68" s="1"/>
  <c r="AZ54" i="68" s="1"/>
  <c r="AZ55" i="68" s="1"/>
  <c r="AZ56" i="68" s="1"/>
  <c r="AZ57" i="68" s="1"/>
  <c r="O29" i="68"/>
  <c r="C29" i="68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C45" i="68" s="1"/>
  <c r="C46" i="68" s="1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AZ28" i="68"/>
  <c r="AB28" i="68"/>
  <c r="AB29" i="68" s="1"/>
  <c r="O28" i="68"/>
  <c r="M28" i="68"/>
  <c r="W26" i="68"/>
  <c r="U26" i="68"/>
  <c r="S26" i="68"/>
  <c r="Q26" i="68"/>
  <c r="O26" i="68"/>
  <c r="M26" i="68"/>
  <c r="K26" i="68"/>
  <c r="G19" i="68"/>
  <c r="AF16" i="68"/>
  <c r="BD15" i="68"/>
  <c r="BD14" i="68"/>
  <c r="A3" i="68"/>
  <c r="A2" i="68"/>
  <c r="A1" i="68"/>
  <c r="AD28" i="68"/>
  <c r="AD29" i="68"/>
  <c r="AD30" i="68"/>
  <c r="AD31" i="68"/>
  <c r="AD34" i="68"/>
  <c r="AD35" i="68"/>
  <c r="AD38" i="68"/>
  <c r="AD39" i="68"/>
  <c r="AD42" i="68"/>
  <c r="AD43" i="68"/>
  <c r="AD46" i="68"/>
  <c r="AD47" i="68"/>
  <c r="AD50" i="68"/>
  <c r="AD51" i="68"/>
  <c r="AD54" i="68"/>
  <c r="AD55" i="68"/>
  <c r="AD57" i="68" l="1"/>
  <c r="AD53" i="68"/>
  <c r="AD49" i="68"/>
  <c r="AD45" i="68"/>
  <c r="AD41" i="68"/>
  <c r="AD37" i="68"/>
  <c r="AD33" i="68"/>
  <c r="AD56" i="68"/>
  <c r="AD52" i="68"/>
  <c r="AD48" i="68"/>
  <c r="AD44" i="68"/>
  <c r="AD40" i="68"/>
  <c r="AD36" i="68"/>
  <c r="AD32" i="68"/>
  <c r="AB30" i="68"/>
  <c r="AB31" i="68" l="1"/>
  <c r="AB32" i="68" l="1"/>
  <c r="AB33" i="68" l="1"/>
  <c r="AB34" i="68" l="1"/>
  <c r="AB35" i="68" l="1"/>
  <c r="AB36" i="68" l="1"/>
  <c r="AB37" i="68" l="1"/>
  <c r="AB38" i="68" l="1"/>
  <c r="AB39" i="68" l="1"/>
  <c r="AB40" i="68" l="1"/>
  <c r="AB41" i="68" l="1"/>
  <c r="AB42" i="68" l="1"/>
  <c r="AB43" i="68" l="1"/>
  <c r="AB44" i="68" l="1"/>
  <c r="AB45" i="68" l="1"/>
  <c r="AB46" i="68" l="1"/>
  <c r="AB47" i="68" l="1"/>
  <c r="AB48" i="68" l="1"/>
  <c r="AB49" i="68" l="1"/>
  <c r="AB50" i="68" l="1"/>
  <c r="AB51" i="68" l="1"/>
  <c r="AB52" i="68" l="1"/>
  <c r="AB53" i="68" l="1"/>
  <c r="AB54" i="68" l="1"/>
  <c r="AB55" i="68" l="1"/>
  <c r="AB56" i="68" l="1"/>
  <c r="AB57" i="68" l="1"/>
  <c r="O57" i="67" l="1"/>
  <c r="AD57" i="67"/>
  <c r="O56" i="67"/>
  <c r="AD56" i="67"/>
  <c r="O55" i="67"/>
  <c r="AD55" i="67"/>
  <c r="O54" i="67"/>
  <c r="AD54" i="67"/>
  <c r="O53" i="67"/>
  <c r="AD53" i="67"/>
  <c r="O52" i="67"/>
  <c r="AD52" i="67"/>
  <c r="O51" i="67"/>
  <c r="AD51" i="67"/>
  <c r="O50" i="67"/>
  <c r="AD50" i="67"/>
  <c r="O49" i="67"/>
  <c r="AD49" i="67"/>
  <c r="O48" i="67"/>
  <c r="AD48" i="67"/>
  <c r="O47" i="67"/>
  <c r="AD47" i="67"/>
  <c r="O46" i="67"/>
  <c r="AD46" i="67"/>
  <c r="O45" i="67"/>
  <c r="AD45" i="67"/>
  <c r="O44" i="67"/>
  <c r="AD44" i="67"/>
  <c r="O43" i="67"/>
  <c r="AD43" i="67"/>
  <c r="O42" i="67"/>
  <c r="AD42" i="67"/>
  <c r="O41" i="67"/>
  <c r="AD41" i="67"/>
  <c r="O40" i="67"/>
  <c r="AD40" i="67"/>
  <c r="O39" i="67"/>
  <c r="AD39" i="67"/>
  <c r="O38" i="67"/>
  <c r="AD38" i="67"/>
  <c r="O37" i="67"/>
  <c r="AD37" i="67"/>
  <c r="O36" i="67"/>
  <c r="AD36" i="67"/>
  <c r="O35" i="67"/>
  <c r="AD35" i="67"/>
  <c r="O34" i="67"/>
  <c r="AD34" i="67"/>
  <c r="O33" i="67"/>
  <c r="AD33" i="67"/>
  <c r="O32" i="67"/>
  <c r="AD32" i="67"/>
  <c r="O31" i="67"/>
  <c r="AD31" i="67"/>
  <c r="O30" i="67"/>
  <c r="AD30" i="67"/>
  <c r="O29" i="67"/>
  <c r="AD29" i="67"/>
  <c r="C29" i="67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AZ28" i="67"/>
  <c r="AZ29" i="67" s="1"/>
  <c r="AZ30" i="67" s="1"/>
  <c r="AZ31" i="67" s="1"/>
  <c r="AZ32" i="67" s="1"/>
  <c r="AZ33" i="67" s="1"/>
  <c r="AZ34" i="67" s="1"/>
  <c r="AZ35" i="67" s="1"/>
  <c r="AZ36" i="67" s="1"/>
  <c r="AZ37" i="67" s="1"/>
  <c r="AZ38" i="67" s="1"/>
  <c r="AZ39" i="67" s="1"/>
  <c r="AZ40" i="67" s="1"/>
  <c r="AZ41" i="67" s="1"/>
  <c r="AZ42" i="67" s="1"/>
  <c r="AZ43" i="67" s="1"/>
  <c r="AZ44" i="67" s="1"/>
  <c r="AZ45" i="67" s="1"/>
  <c r="AZ46" i="67" s="1"/>
  <c r="AZ47" i="67" s="1"/>
  <c r="AZ48" i="67" s="1"/>
  <c r="AZ49" i="67" s="1"/>
  <c r="AZ50" i="67" s="1"/>
  <c r="AZ51" i="67" s="1"/>
  <c r="AZ52" i="67" s="1"/>
  <c r="AZ53" i="67" s="1"/>
  <c r="AZ54" i="67" s="1"/>
  <c r="AZ55" i="67" s="1"/>
  <c r="AZ56" i="67" s="1"/>
  <c r="AZ57" i="67" s="1"/>
  <c r="AB28" i="67"/>
  <c r="O28" i="67"/>
  <c r="M28" i="67"/>
  <c r="AD28" i="67"/>
  <c r="W26" i="67"/>
  <c r="U26" i="67"/>
  <c r="S26" i="67"/>
  <c r="Q26" i="67"/>
  <c r="O26" i="67"/>
  <c r="M26" i="67"/>
  <c r="K26" i="67"/>
  <c r="G19" i="67"/>
  <c r="AF16" i="67"/>
  <c r="BD15" i="67"/>
  <c r="BD14" i="67"/>
  <c r="A3" i="67"/>
  <c r="A2" i="67"/>
  <c r="A1" i="67"/>
  <c r="O29" i="66"/>
  <c r="O30" i="66"/>
  <c r="O31" i="66"/>
  <c r="O32" i="66"/>
  <c r="O33" i="66"/>
  <c r="O34" i="66"/>
  <c r="O35" i="66"/>
  <c r="O36" i="66"/>
  <c r="O37" i="66"/>
  <c r="O38" i="66"/>
  <c r="O39" i="66"/>
  <c r="O40" i="66"/>
  <c r="O41" i="66"/>
  <c r="O42" i="66"/>
  <c r="O43" i="66"/>
  <c r="O44" i="66"/>
  <c r="O45" i="66"/>
  <c r="O46" i="66"/>
  <c r="O47" i="66"/>
  <c r="O48" i="66"/>
  <c r="O49" i="66"/>
  <c r="O50" i="66"/>
  <c r="O51" i="66"/>
  <c r="O52" i="66"/>
  <c r="O53" i="66"/>
  <c r="O54" i="66"/>
  <c r="O55" i="66"/>
  <c r="O56" i="66"/>
  <c r="O57" i="66"/>
  <c r="O28" i="66"/>
  <c r="AB29" i="67" l="1"/>
  <c r="AB30" i="67" s="1"/>
  <c r="AB31" i="67" l="1"/>
  <c r="AB32" i="67" s="1"/>
  <c r="AB33" i="67" l="1"/>
  <c r="AB34" i="67" l="1"/>
  <c r="AB35" i="67" l="1"/>
  <c r="AB36" i="67" l="1"/>
  <c r="AB37" i="67" l="1"/>
  <c r="AB38" i="67" l="1"/>
  <c r="AB39" i="67" l="1"/>
  <c r="AB40" i="67" l="1"/>
  <c r="AB41" i="67" l="1"/>
  <c r="AB42" i="67" l="1"/>
  <c r="AB43" i="67" l="1"/>
  <c r="AB44" i="67" l="1"/>
  <c r="AB45" i="67" l="1"/>
  <c r="AB46" i="67" l="1"/>
  <c r="AB47" i="67" l="1"/>
  <c r="AB48" i="67" l="1"/>
  <c r="AB49" i="67" l="1"/>
  <c r="AB50" i="67" l="1"/>
  <c r="AB51" i="67" l="1"/>
  <c r="AB52" i="67" l="1"/>
  <c r="AB53" i="67" l="1"/>
  <c r="AB54" i="67" l="1"/>
  <c r="AB55" i="67" l="1"/>
  <c r="AB56" i="67" l="1"/>
  <c r="AB57" i="67" l="1"/>
  <c r="AD30" i="66" l="1"/>
  <c r="AD31" i="66"/>
  <c r="AD32" i="66"/>
  <c r="AD33" i="66"/>
  <c r="AD34" i="66"/>
  <c r="AD35" i="66"/>
  <c r="AD36" i="66"/>
  <c r="AD37" i="66"/>
  <c r="AD38" i="66"/>
  <c r="AD39" i="66"/>
  <c r="AD40" i="66"/>
  <c r="AD41" i="66"/>
  <c r="AD42" i="66"/>
  <c r="AD43" i="66"/>
  <c r="AD44" i="66"/>
  <c r="AD45" i="66"/>
  <c r="AD46" i="66"/>
  <c r="AD47" i="66"/>
  <c r="AD48" i="66"/>
  <c r="AD49" i="66"/>
  <c r="AD50" i="66"/>
  <c r="AD51" i="66"/>
  <c r="AD52" i="66"/>
  <c r="AD53" i="66"/>
  <c r="AD54" i="66"/>
  <c r="AD55" i="66"/>
  <c r="AD56" i="66"/>
  <c r="AD57" i="66"/>
  <c r="G19" i="66" l="1"/>
  <c r="AD29" i="66"/>
  <c r="AD28" i="66"/>
  <c r="M28" i="66"/>
  <c r="C28" i="66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W26" i="66"/>
  <c r="U26" i="66"/>
  <c r="S26" i="66"/>
  <c r="Q26" i="66"/>
  <c r="O26" i="66"/>
  <c r="M26" i="66"/>
  <c r="K26" i="66"/>
  <c r="AF16" i="66"/>
  <c r="BD15" i="66"/>
  <c r="BD14" i="66"/>
  <c r="A3" i="66"/>
  <c r="A2" i="66"/>
  <c r="A1" i="66"/>
  <c r="AB28" i="66" l="1"/>
  <c r="AZ28" i="66"/>
  <c r="AZ29" i="66" s="1"/>
  <c r="AZ30" i="66" s="1"/>
  <c r="AZ31" i="66" s="1"/>
  <c r="AZ32" i="66" s="1"/>
  <c r="AZ33" i="66" s="1"/>
  <c r="AZ34" i="66" s="1"/>
  <c r="AZ35" i="66" s="1"/>
  <c r="AZ36" i="66" s="1"/>
  <c r="AZ37" i="66" s="1"/>
  <c r="AZ38" i="66" s="1"/>
  <c r="AZ39" i="66" s="1"/>
  <c r="AZ40" i="66" s="1"/>
  <c r="AZ41" i="66" s="1"/>
  <c r="AZ42" i="66" s="1"/>
  <c r="AZ43" i="66" s="1"/>
  <c r="AZ44" i="66" s="1"/>
  <c r="AZ45" i="66" s="1"/>
  <c r="AZ46" i="66" s="1"/>
  <c r="AZ47" i="66" s="1"/>
  <c r="AZ48" i="66" s="1"/>
  <c r="AZ49" i="66" s="1"/>
  <c r="AZ50" i="66" s="1"/>
  <c r="AZ51" i="66" s="1"/>
  <c r="AZ52" i="66" s="1"/>
  <c r="AZ53" i="66" s="1"/>
  <c r="AZ54" i="66" s="1"/>
  <c r="AZ55" i="66" s="1"/>
  <c r="AZ56" i="66" s="1"/>
  <c r="AZ57" i="66" s="1"/>
  <c r="AB29" i="66" l="1"/>
  <c r="AB30" i="66" s="1"/>
  <c r="AB31" i="66" l="1"/>
  <c r="AB32" i="66" l="1"/>
  <c r="AB33" i="66" l="1"/>
  <c r="AB34" i="66" l="1"/>
  <c r="AB35" i="66" l="1"/>
  <c r="AB36" i="66" l="1"/>
  <c r="AB37" i="66" l="1"/>
  <c r="AB38" i="66" l="1"/>
  <c r="AB39" i="66" l="1"/>
  <c r="AB40" i="66" l="1"/>
  <c r="AB41" i="66" l="1"/>
  <c r="AB42" i="66" l="1"/>
  <c r="AB43" i="66" l="1"/>
  <c r="AB44" i="66" l="1"/>
  <c r="AB45" i="66" l="1"/>
  <c r="AB46" i="66" l="1"/>
  <c r="AB47" i="66" l="1"/>
  <c r="AB48" i="66" l="1"/>
  <c r="AB49" i="66" l="1"/>
  <c r="AB50" i="66" l="1"/>
  <c r="AB51" i="66" l="1"/>
  <c r="AB52" i="66" l="1"/>
  <c r="AB53" i="66" l="1"/>
  <c r="AB54" i="66" l="1"/>
  <c r="AB55" i="66" l="1"/>
  <c r="AB56" i="66" l="1"/>
  <c r="AB57" i="66" l="1"/>
  <c r="BI16" i="65" l="1"/>
  <c r="BK15" i="65"/>
  <c r="BK14" i="65"/>
  <c r="AR15" i="65"/>
  <c r="AD65" i="65"/>
  <c r="AD66" i="65"/>
  <c r="AD67" i="65"/>
  <c r="AD68" i="65"/>
  <c r="AD57" i="65"/>
  <c r="AD53" i="65"/>
  <c r="AD50" i="65"/>
  <c r="AD45" i="65"/>
  <c r="AD38" i="65"/>
  <c r="AD49" i="65"/>
  <c r="AD54" i="65"/>
  <c r="AD64" i="65"/>
  <c r="AD60" i="65"/>
  <c r="AD56" i="65"/>
  <c r="AD44" i="65"/>
  <c r="AD42" i="65"/>
  <c r="AD40" i="65"/>
  <c r="AD63" i="65"/>
  <c r="AD62" i="65"/>
  <c r="AD61" i="65"/>
  <c r="AD59" i="65"/>
  <c r="AD58" i="65"/>
  <c r="AD55" i="65"/>
  <c r="AD52" i="65"/>
  <c r="AD51" i="65"/>
  <c r="AD48" i="65"/>
  <c r="AD29" i="65"/>
  <c r="AD30" i="65"/>
  <c r="AD31" i="65"/>
  <c r="AD32" i="65"/>
  <c r="AD33" i="65"/>
  <c r="AD36" i="65"/>
  <c r="AD37" i="65"/>
  <c r="I19" i="65"/>
  <c r="AD47" i="65"/>
  <c r="AD46" i="65"/>
  <c r="AD43" i="65"/>
  <c r="AD41" i="65"/>
  <c r="AD39" i="65"/>
  <c r="AD35" i="65"/>
  <c r="AD34" i="65"/>
  <c r="AD28" i="65"/>
  <c r="M28" i="65"/>
  <c r="C28" i="65"/>
  <c r="C29" i="65" s="1"/>
  <c r="W26" i="65"/>
  <c r="U26" i="65"/>
  <c r="S26" i="65"/>
  <c r="Q26" i="65"/>
  <c r="O26" i="65"/>
  <c r="M26" i="65"/>
  <c r="K26" i="65"/>
  <c r="G19" i="65"/>
  <c r="G18" i="65"/>
  <c r="C75" i="65" s="1"/>
  <c r="AF16" i="65"/>
  <c r="BD15" i="65"/>
  <c r="BD14" i="65"/>
  <c r="A3" i="65"/>
  <c r="A2" i="65"/>
  <c r="A1" i="65"/>
  <c r="AD39" i="63"/>
  <c r="AD42" i="63"/>
  <c r="AD43" i="63"/>
  <c r="AD46" i="63"/>
  <c r="AD47" i="63"/>
  <c r="AD50" i="63"/>
  <c r="AD51" i="63"/>
  <c r="AD54" i="63"/>
  <c r="AD55" i="63"/>
  <c r="AD58" i="63"/>
  <c r="AD59" i="63"/>
  <c r="AD62" i="63"/>
  <c r="AD63" i="63"/>
  <c r="AD66" i="63"/>
  <c r="AD67" i="63"/>
  <c r="AD38" i="63"/>
  <c r="AD37" i="63"/>
  <c r="AD37" i="62"/>
  <c r="AD41" i="62"/>
  <c r="AD45" i="62"/>
  <c r="AD50" i="62"/>
  <c r="AD53" i="62"/>
  <c r="AD58" i="62"/>
  <c r="AD61" i="62"/>
  <c r="AD62" i="62"/>
  <c r="AD66" i="62"/>
  <c r="AD51" i="62"/>
  <c r="AD52" i="62"/>
  <c r="AD55" i="62"/>
  <c r="AD59" i="62"/>
  <c r="AD63" i="62"/>
  <c r="AD67" i="62"/>
  <c r="AD68" i="63"/>
  <c r="AD65" i="63"/>
  <c r="AD64" i="63"/>
  <c r="AD61" i="63"/>
  <c r="AD60" i="63"/>
  <c r="AD57" i="63"/>
  <c r="AD56" i="63"/>
  <c r="AD53" i="63"/>
  <c r="AD52" i="63"/>
  <c r="AD49" i="63"/>
  <c r="AD48" i="63"/>
  <c r="AD45" i="63"/>
  <c r="AD44" i="63"/>
  <c r="AD41" i="63"/>
  <c r="AD40" i="63"/>
  <c r="E37" i="63"/>
  <c r="AD36" i="63"/>
  <c r="E36" i="63"/>
  <c r="AD35" i="63"/>
  <c r="E35" i="63"/>
  <c r="AD34" i="63"/>
  <c r="E34" i="63"/>
  <c r="AD33" i="63"/>
  <c r="E33" i="63"/>
  <c r="AD32" i="63"/>
  <c r="E32" i="63"/>
  <c r="AD31" i="63"/>
  <c r="E31" i="63"/>
  <c r="AD30" i="63"/>
  <c r="E30" i="63"/>
  <c r="AD29" i="63"/>
  <c r="E29" i="63"/>
  <c r="AR29" i="63" s="1"/>
  <c r="C29" i="63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AZ28" i="63"/>
  <c r="AZ29" i="63" s="1"/>
  <c r="AZ30" i="63" s="1"/>
  <c r="AZ31" i="63" s="1"/>
  <c r="AZ32" i="63" s="1"/>
  <c r="AZ33" i="63" s="1"/>
  <c r="AZ34" i="63" s="1"/>
  <c r="AZ35" i="63" s="1"/>
  <c r="AZ36" i="63" s="1"/>
  <c r="AZ37" i="63" s="1"/>
  <c r="AZ38" i="63" s="1"/>
  <c r="AZ39" i="63" s="1"/>
  <c r="AZ40" i="63" s="1"/>
  <c r="AZ41" i="63" s="1"/>
  <c r="AZ42" i="63" s="1"/>
  <c r="AZ43" i="63" s="1"/>
  <c r="AZ44" i="63" s="1"/>
  <c r="AZ45" i="63" s="1"/>
  <c r="AZ46" i="63" s="1"/>
  <c r="AZ47" i="63" s="1"/>
  <c r="AZ48" i="63" s="1"/>
  <c r="AZ49" i="63" s="1"/>
  <c r="AZ50" i="63" s="1"/>
  <c r="AZ51" i="63" s="1"/>
  <c r="AZ52" i="63" s="1"/>
  <c r="AZ53" i="63" s="1"/>
  <c r="AZ54" i="63" s="1"/>
  <c r="AZ55" i="63" s="1"/>
  <c r="AZ56" i="63" s="1"/>
  <c r="AZ57" i="63" s="1"/>
  <c r="AZ58" i="63" s="1"/>
  <c r="AZ59" i="63" s="1"/>
  <c r="AZ60" i="63" s="1"/>
  <c r="AZ61" i="63" s="1"/>
  <c r="AZ62" i="63" s="1"/>
  <c r="AZ63" i="63" s="1"/>
  <c r="AZ64" i="63" s="1"/>
  <c r="AZ65" i="63" s="1"/>
  <c r="AZ66" i="63" s="1"/>
  <c r="AZ67" i="63" s="1"/>
  <c r="AZ68" i="63" s="1"/>
  <c r="AD28" i="63"/>
  <c r="AB28" i="63"/>
  <c r="AB29" i="63" s="1"/>
  <c r="M28" i="63"/>
  <c r="K28" i="63"/>
  <c r="E28" i="63"/>
  <c r="W26" i="63"/>
  <c r="U26" i="63"/>
  <c r="S26" i="63"/>
  <c r="Q26" i="63"/>
  <c r="O26" i="63"/>
  <c r="M26" i="63"/>
  <c r="K26" i="63"/>
  <c r="I19" i="63"/>
  <c r="G19" i="63"/>
  <c r="BI16" i="63"/>
  <c r="BK15" i="63"/>
  <c r="AR15" i="63"/>
  <c r="BK14" i="63"/>
  <c r="AD68" i="62"/>
  <c r="AD65" i="62"/>
  <c r="AD64" i="62"/>
  <c r="AD60" i="62"/>
  <c r="AD57" i="62"/>
  <c r="AD56" i="62"/>
  <c r="AD54" i="62"/>
  <c r="AD49" i="62"/>
  <c r="AD48" i="62"/>
  <c r="AD47" i="62"/>
  <c r="AD46" i="62"/>
  <c r="AD44" i="62"/>
  <c r="AD43" i="62"/>
  <c r="AD42" i="62"/>
  <c r="AD40" i="62"/>
  <c r="AD39" i="62"/>
  <c r="AD38" i="62"/>
  <c r="E37" i="62"/>
  <c r="AD36" i="62"/>
  <c r="E36" i="62"/>
  <c r="AD35" i="62"/>
  <c r="E35" i="62"/>
  <c r="AD34" i="62"/>
  <c r="E34" i="62"/>
  <c r="AD33" i="62"/>
  <c r="E33" i="62"/>
  <c r="AD32" i="62"/>
  <c r="E32" i="62"/>
  <c r="AD31" i="62"/>
  <c r="E31" i="62"/>
  <c r="AD30" i="62"/>
  <c r="E30" i="62"/>
  <c r="AD29" i="62"/>
  <c r="E29" i="62"/>
  <c r="BB29" i="62" s="1"/>
  <c r="C29" i="62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AZ28" i="62"/>
  <c r="AZ29" i="62" s="1"/>
  <c r="AZ30" i="62" s="1"/>
  <c r="AZ31" i="62" s="1"/>
  <c r="AZ32" i="62" s="1"/>
  <c r="AZ33" i="62" s="1"/>
  <c r="AZ34" i="62" s="1"/>
  <c r="AZ35" i="62" s="1"/>
  <c r="AZ36" i="62" s="1"/>
  <c r="AZ37" i="62" s="1"/>
  <c r="AZ38" i="62" s="1"/>
  <c r="AZ39" i="62" s="1"/>
  <c r="AZ40" i="62" s="1"/>
  <c r="AZ41" i="62" s="1"/>
  <c r="AZ42" i="62" s="1"/>
  <c r="AZ43" i="62" s="1"/>
  <c r="AZ44" i="62" s="1"/>
  <c r="AZ45" i="62" s="1"/>
  <c r="AZ46" i="62" s="1"/>
  <c r="AZ47" i="62" s="1"/>
  <c r="AZ48" i="62" s="1"/>
  <c r="AZ49" i="62" s="1"/>
  <c r="AZ50" i="62" s="1"/>
  <c r="AZ51" i="62" s="1"/>
  <c r="AZ52" i="62" s="1"/>
  <c r="AZ53" i="62" s="1"/>
  <c r="AZ54" i="62" s="1"/>
  <c r="AZ55" i="62" s="1"/>
  <c r="AZ56" i="62" s="1"/>
  <c r="AZ57" i="62" s="1"/>
  <c r="AZ58" i="62" s="1"/>
  <c r="AZ59" i="62" s="1"/>
  <c r="AZ60" i="62" s="1"/>
  <c r="AZ61" i="62" s="1"/>
  <c r="AZ62" i="62" s="1"/>
  <c r="AZ63" i="62" s="1"/>
  <c r="AZ64" i="62" s="1"/>
  <c r="AZ65" i="62" s="1"/>
  <c r="AZ66" i="62" s="1"/>
  <c r="AZ67" i="62" s="1"/>
  <c r="AZ68" i="62" s="1"/>
  <c r="AD28" i="62"/>
  <c r="AB28" i="62"/>
  <c r="M28" i="62"/>
  <c r="E28" i="62"/>
  <c r="W26" i="62"/>
  <c r="U26" i="62"/>
  <c r="S26" i="62"/>
  <c r="Q26" i="62"/>
  <c r="O26" i="62"/>
  <c r="M26" i="62"/>
  <c r="K26" i="62"/>
  <c r="I19" i="62"/>
  <c r="G19" i="62"/>
  <c r="BI16" i="62"/>
  <c r="BK15" i="62"/>
  <c r="AR15" i="62"/>
  <c r="BK14" i="62"/>
  <c r="AD40" i="61"/>
  <c r="AD44" i="61"/>
  <c r="AD48" i="61"/>
  <c r="AD52" i="61"/>
  <c r="AD53" i="61"/>
  <c r="AD54" i="61"/>
  <c r="AD56" i="61"/>
  <c r="AD57" i="61"/>
  <c r="AD58" i="61"/>
  <c r="AD60" i="61"/>
  <c r="AD61" i="61"/>
  <c r="AD62" i="61"/>
  <c r="AD65" i="61"/>
  <c r="AD68" i="61"/>
  <c r="AD49" i="61"/>
  <c r="AD50" i="61"/>
  <c r="AD51" i="61"/>
  <c r="AD55" i="61"/>
  <c r="AD59" i="61"/>
  <c r="AD63" i="61"/>
  <c r="AD66" i="61"/>
  <c r="AD67" i="61"/>
  <c r="AD38" i="61"/>
  <c r="AD64" i="61"/>
  <c r="AD47" i="61"/>
  <c r="AD46" i="61"/>
  <c r="AD45" i="61"/>
  <c r="AD43" i="61"/>
  <c r="AD42" i="61"/>
  <c r="AD41" i="61"/>
  <c r="AD39" i="61"/>
  <c r="AD37" i="61"/>
  <c r="E37" i="61"/>
  <c r="AD36" i="61"/>
  <c r="E36" i="61"/>
  <c r="AD35" i="61"/>
  <c r="E35" i="61"/>
  <c r="AD34" i="61"/>
  <c r="E34" i="61"/>
  <c r="AD33" i="61"/>
  <c r="E33" i="61"/>
  <c r="AD32" i="61"/>
  <c r="E32" i="61"/>
  <c r="AD31" i="61"/>
  <c r="E31" i="61"/>
  <c r="AD30" i="61"/>
  <c r="E30" i="61"/>
  <c r="AZ29" i="61"/>
  <c r="AZ30" i="61" s="1"/>
  <c r="AZ31" i="61" s="1"/>
  <c r="AZ32" i="61" s="1"/>
  <c r="AZ33" i="61" s="1"/>
  <c r="AZ34" i="61" s="1"/>
  <c r="AZ35" i="61" s="1"/>
  <c r="AZ36" i="61" s="1"/>
  <c r="AZ37" i="61" s="1"/>
  <c r="AZ38" i="61" s="1"/>
  <c r="AZ39" i="61" s="1"/>
  <c r="AZ40" i="61" s="1"/>
  <c r="AZ41" i="61" s="1"/>
  <c r="AZ42" i="61" s="1"/>
  <c r="AZ43" i="61" s="1"/>
  <c r="AZ44" i="61" s="1"/>
  <c r="AZ45" i="61" s="1"/>
  <c r="AZ46" i="61" s="1"/>
  <c r="AZ47" i="61" s="1"/>
  <c r="AZ48" i="61" s="1"/>
  <c r="AZ49" i="61" s="1"/>
  <c r="AZ50" i="61" s="1"/>
  <c r="AZ51" i="61" s="1"/>
  <c r="AZ52" i="61" s="1"/>
  <c r="AZ53" i="61" s="1"/>
  <c r="AZ54" i="61" s="1"/>
  <c r="AZ55" i="61" s="1"/>
  <c r="AZ56" i="61" s="1"/>
  <c r="AZ57" i="61" s="1"/>
  <c r="AZ58" i="61" s="1"/>
  <c r="AZ59" i="61" s="1"/>
  <c r="AZ60" i="61" s="1"/>
  <c r="AZ61" i="61" s="1"/>
  <c r="AZ62" i="61" s="1"/>
  <c r="AZ63" i="61" s="1"/>
  <c r="AZ64" i="61" s="1"/>
  <c r="AZ65" i="61" s="1"/>
  <c r="AZ66" i="61" s="1"/>
  <c r="AZ67" i="61" s="1"/>
  <c r="AZ68" i="61" s="1"/>
  <c r="AD29" i="61"/>
  <c r="AB29" i="61"/>
  <c r="E29" i="61"/>
  <c r="C29" i="6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AZ28" i="61"/>
  <c r="AD28" i="61"/>
  <c r="AB28" i="61"/>
  <c r="M28" i="61"/>
  <c r="E28" i="61"/>
  <c r="W26" i="61"/>
  <c r="U26" i="61"/>
  <c r="S26" i="61"/>
  <c r="Q26" i="61"/>
  <c r="O26" i="61"/>
  <c r="M26" i="61"/>
  <c r="K26" i="61"/>
  <c r="I19" i="61"/>
  <c r="G19" i="61"/>
  <c r="BI16" i="61"/>
  <c r="BK15" i="61"/>
  <c r="AR15" i="61"/>
  <c r="BK14" i="61"/>
  <c r="AF11" i="61"/>
  <c r="M29" i="63" l="1"/>
  <c r="K29" i="63"/>
  <c r="M29" i="62"/>
  <c r="AF29" i="62"/>
  <c r="BD29" i="61"/>
  <c r="BD30" i="61" s="1"/>
  <c r="BD31" i="61" s="1"/>
  <c r="BD32" i="61" s="1"/>
  <c r="BD33" i="61" s="1"/>
  <c r="BD34" i="61" s="1"/>
  <c r="BD35" i="61" s="1"/>
  <c r="BD36" i="61" s="1"/>
  <c r="BD37" i="61" s="1"/>
  <c r="BD38" i="61" s="1"/>
  <c r="K29" i="61"/>
  <c r="K30" i="61" s="1"/>
  <c r="K31" i="61" s="1"/>
  <c r="K32" i="61" s="1"/>
  <c r="K33" i="61" s="1"/>
  <c r="K34" i="61" s="1"/>
  <c r="K35" i="61" s="1"/>
  <c r="K36" i="61" s="1"/>
  <c r="K37" i="61" s="1"/>
  <c r="BD29" i="62"/>
  <c r="BD30" i="62" s="1"/>
  <c r="BD31" i="62" s="1"/>
  <c r="BD32" i="62" s="1"/>
  <c r="BD33" i="62" s="1"/>
  <c r="BD34" i="62" s="1"/>
  <c r="BD35" i="62" s="1"/>
  <c r="BD36" i="62" s="1"/>
  <c r="BD37" i="62" s="1"/>
  <c r="BD38" i="62" s="1"/>
  <c r="K29" i="62"/>
  <c r="K30" i="62" s="1"/>
  <c r="K31" i="62" s="1"/>
  <c r="K32" i="62" s="1"/>
  <c r="K33" i="62" s="1"/>
  <c r="K34" i="62" s="1"/>
  <c r="K35" i="62" s="1"/>
  <c r="K36" i="62" s="1"/>
  <c r="K37" i="62" s="1"/>
  <c r="K30" i="63"/>
  <c r="K31" i="63" s="1"/>
  <c r="K32" i="63" s="1"/>
  <c r="K33" i="63" s="1"/>
  <c r="K34" i="63" s="1"/>
  <c r="K35" i="63" s="1"/>
  <c r="K36" i="63" s="1"/>
  <c r="K37" i="63" s="1"/>
  <c r="AF29" i="63"/>
  <c r="AF30" i="63" s="1"/>
  <c r="AF31" i="63" s="1"/>
  <c r="M29" i="61"/>
  <c r="M30" i="61" s="1"/>
  <c r="M31" i="61" s="1"/>
  <c r="M32" i="61" s="1"/>
  <c r="M33" i="61" s="1"/>
  <c r="M34" i="61" s="1"/>
  <c r="M35" i="61" s="1"/>
  <c r="M36" i="61" s="1"/>
  <c r="M37" i="61" s="1"/>
  <c r="M38" i="61" s="1"/>
  <c r="S38" i="61" s="1"/>
  <c r="AJ29" i="61"/>
  <c r="AJ30" i="61" s="1"/>
  <c r="AJ31" i="61" s="1"/>
  <c r="AJ32" i="61" s="1"/>
  <c r="AJ33" i="61" s="1"/>
  <c r="AJ34" i="61" s="1"/>
  <c r="AJ35" i="61" s="1"/>
  <c r="AJ36" i="61" s="1"/>
  <c r="AJ37" i="61" s="1"/>
  <c r="M30" i="62"/>
  <c r="M31" i="62" s="1"/>
  <c r="M32" i="62" s="1"/>
  <c r="M33" i="62" s="1"/>
  <c r="M34" i="62" s="1"/>
  <c r="M35" i="62" s="1"/>
  <c r="M36" i="62" s="1"/>
  <c r="M37" i="62" s="1"/>
  <c r="M38" i="62" s="1"/>
  <c r="S38" i="62" s="1"/>
  <c r="AJ29" i="62"/>
  <c r="AJ30" i="62" s="1"/>
  <c r="AJ31" i="62" s="1"/>
  <c r="AJ32" i="62" s="1"/>
  <c r="AJ33" i="62" s="1"/>
  <c r="AJ34" i="62" s="1"/>
  <c r="AJ35" i="62" s="1"/>
  <c r="AJ36" i="62" s="1"/>
  <c r="AJ37" i="62" s="1"/>
  <c r="M30" i="63"/>
  <c r="M31" i="63" s="1"/>
  <c r="M32" i="63" s="1"/>
  <c r="M33" i="63" s="1"/>
  <c r="M34" i="63" s="1"/>
  <c r="M35" i="63" s="1"/>
  <c r="M36" i="63" s="1"/>
  <c r="M37" i="63" s="1"/>
  <c r="M38" i="63" s="1"/>
  <c r="BB29" i="63"/>
  <c r="AH29" i="61"/>
  <c r="AH30" i="61" s="1"/>
  <c r="AH31" i="61" s="1"/>
  <c r="AH32" i="61" s="1"/>
  <c r="AH33" i="61" s="1"/>
  <c r="AH34" i="61" s="1"/>
  <c r="AH35" i="61" s="1"/>
  <c r="AH36" i="61" s="1"/>
  <c r="AH37" i="61" s="1"/>
  <c r="AR29" i="61"/>
  <c r="AR30" i="61" s="1"/>
  <c r="AR31" i="61" s="1"/>
  <c r="AR32" i="61" s="1"/>
  <c r="AR33" i="61" s="1"/>
  <c r="AR34" i="61" s="1"/>
  <c r="AR35" i="61" s="1"/>
  <c r="AR36" i="61" s="1"/>
  <c r="AR37" i="61" s="1"/>
  <c r="AR29" i="62"/>
  <c r="AR30" i="62" s="1"/>
  <c r="AR31" i="62" s="1"/>
  <c r="AR32" i="62" s="1"/>
  <c r="AR33" i="62" s="1"/>
  <c r="AR34" i="62" s="1"/>
  <c r="AR35" i="62" s="1"/>
  <c r="AR36" i="62" s="1"/>
  <c r="AR37" i="62" s="1"/>
  <c r="AR30" i="63"/>
  <c r="AR31" i="63" s="1"/>
  <c r="AR32" i="63" s="1"/>
  <c r="AR33" i="63" s="1"/>
  <c r="AR34" i="63" s="1"/>
  <c r="AR35" i="63" s="1"/>
  <c r="AR36" i="63" s="1"/>
  <c r="AR37" i="63" s="1"/>
  <c r="BD29" i="63"/>
  <c r="BD30" i="63" s="1"/>
  <c r="BD31" i="63" s="1"/>
  <c r="BD32" i="63" s="1"/>
  <c r="BD33" i="63" s="1"/>
  <c r="BD34" i="63" s="1"/>
  <c r="BD35" i="63" s="1"/>
  <c r="BD36" i="63" s="1"/>
  <c r="BD37" i="63" s="1"/>
  <c r="BD38" i="63" s="1"/>
  <c r="C30" i="65"/>
  <c r="AB28" i="65"/>
  <c r="AZ28" i="65"/>
  <c r="AZ29" i="65" s="1"/>
  <c r="AZ30" i="65" s="1"/>
  <c r="AZ31" i="65" s="1"/>
  <c r="AZ32" i="65" s="1"/>
  <c r="AZ33" i="65" s="1"/>
  <c r="AZ34" i="65" s="1"/>
  <c r="AZ35" i="65" s="1"/>
  <c r="AZ36" i="65" s="1"/>
  <c r="AZ37" i="65" s="1"/>
  <c r="AZ38" i="65" s="1"/>
  <c r="AZ39" i="65" s="1"/>
  <c r="AZ40" i="65" s="1"/>
  <c r="AZ41" i="65" s="1"/>
  <c r="AZ42" i="65" s="1"/>
  <c r="AZ43" i="65" s="1"/>
  <c r="AZ44" i="65" s="1"/>
  <c r="AZ45" i="65" s="1"/>
  <c r="AZ46" i="65" s="1"/>
  <c r="AZ47" i="65" s="1"/>
  <c r="AZ48" i="65" s="1"/>
  <c r="AZ49" i="65" s="1"/>
  <c r="AZ50" i="65" s="1"/>
  <c r="AZ51" i="65" s="1"/>
  <c r="AZ52" i="65" s="1"/>
  <c r="AZ53" i="65" s="1"/>
  <c r="AZ54" i="65" s="1"/>
  <c r="AZ55" i="65" s="1"/>
  <c r="AZ56" i="65" s="1"/>
  <c r="AZ57" i="65" s="1"/>
  <c r="AZ58" i="65" s="1"/>
  <c r="AZ59" i="65" s="1"/>
  <c r="AZ60" i="65" s="1"/>
  <c r="AZ61" i="65" s="1"/>
  <c r="AZ62" i="65" s="1"/>
  <c r="AZ63" i="65" s="1"/>
  <c r="AZ64" i="65" s="1"/>
  <c r="AZ65" i="65" s="1"/>
  <c r="AZ66" i="65" s="1"/>
  <c r="AZ67" i="65" s="1"/>
  <c r="AZ68" i="65" s="1"/>
  <c r="AB30" i="63"/>
  <c r="BB30" i="63"/>
  <c r="S38" i="63"/>
  <c r="AF11" i="63"/>
  <c r="AH29" i="63"/>
  <c r="AJ29" i="63"/>
  <c r="AJ30" i="63" s="1"/>
  <c r="AJ31" i="63" s="1"/>
  <c r="AJ32" i="63" s="1"/>
  <c r="AJ33" i="63" s="1"/>
  <c r="AJ34" i="63" s="1"/>
  <c r="AJ35" i="63" s="1"/>
  <c r="AJ36" i="63" s="1"/>
  <c r="AJ37" i="63" s="1"/>
  <c r="AF11" i="62"/>
  <c r="AL28" i="62" s="1"/>
  <c r="AF30" i="62"/>
  <c r="BB30" i="62"/>
  <c r="AB29" i="62"/>
  <c r="AH29" i="62"/>
  <c r="AH30" i="62" s="1"/>
  <c r="AH31" i="62" s="1"/>
  <c r="AH32" i="62" s="1"/>
  <c r="AH33" i="62" s="1"/>
  <c r="AH34" i="62" s="1"/>
  <c r="AH35" i="62" s="1"/>
  <c r="AH36" i="62" s="1"/>
  <c r="AH37" i="62" s="1"/>
  <c r="AF12" i="61"/>
  <c r="BD11" i="61"/>
  <c r="BF28" i="61" s="1"/>
  <c r="AL28" i="61"/>
  <c r="AB30" i="61"/>
  <c r="BB29" i="61"/>
  <c r="AF29" i="61"/>
  <c r="AD68" i="60"/>
  <c r="AD67" i="60"/>
  <c r="AD66" i="60"/>
  <c r="AD65" i="60"/>
  <c r="AD64" i="60"/>
  <c r="AD63" i="60"/>
  <c r="AD62" i="60"/>
  <c r="AD61" i="60"/>
  <c r="AD60" i="60"/>
  <c r="AD59" i="60"/>
  <c r="AD58" i="60"/>
  <c r="AD57" i="60"/>
  <c r="AD56" i="60"/>
  <c r="AD55" i="60"/>
  <c r="AD54" i="60"/>
  <c r="AD53" i="60"/>
  <c r="AD52" i="60"/>
  <c r="AD51" i="60"/>
  <c r="AD50" i="60"/>
  <c r="AD49" i="60"/>
  <c r="AD48" i="60"/>
  <c r="AD47" i="60"/>
  <c r="AD46" i="60"/>
  <c r="AD45" i="60"/>
  <c r="AD44" i="60"/>
  <c r="AD43" i="60"/>
  <c r="AD42" i="60"/>
  <c r="AD41" i="60"/>
  <c r="AD40" i="60"/>
  <c r="AD39" i="60"/>
  <c r="AD38" i="60"/>
  <c r="AD37" i="60"/>
  <c r="E37" i="60"/>
  <c r="AD36" i="60"/>
  <c r="E36" i="60"/>
  <c r="AD35" i="60"/>
  <c r="E35" i="60"/>
  <c r="AD34" i="60"/>
  <c r="E34" i="60"/>
  <c r="AD33" i="60"/>
  <c r="E33" i="60"/>
  <c r="AD32" i="60"/>
  <c r="E32" i="60"/>
  <c r="AD31" i="60"/>
  <c r="E31" i="60"/>
  <c r="AD30" i="60"/>
  <c r="E30" i="60"/>
  <c r="AD29" i="60"/>
  <c r="E29" i="60"/>
  <c r="C29" i="60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AZ28" i="60"/>
  <c r="AZ29" i="60" s="1"/>
  <c r="AZ30" i="60" s="1"/>
  <c r="AZ31" i="60" s="1"/>
  <c r="AZ32" i="60" s="1"/>
  <c r="AZ33" i="60" s="1"/>
  <c r="AZ34" i="60" s="1"/>
  <c r="AZ35" i="60" s="1"/>
  <c r="AZ36" i="60" s="1"/>
  <c r="AZ37" i="60" s="1"/>
  <c r="AZ38" i="60" s="1"/>
  <c r="AZ39" i="60" s="1"/>
  <c r="AZ40" i="60" s="1"/>
  <c r="AZ41" i="60" s="1"/>
  <c r="AZ42" i="60" s="1"/>
  <c r="AZ43" i="60" s="1"/>
  <c r="AZ44" i="60" s="1"/>
  <c r="AZ45" i="60" s="1"/>
  <c r="AZ46" i="60" s="1"/>
  <c r="AZ47" i="60" s="1"/>
  <c r="AZ48" i="60" s="1"/>
  <c r="AZ49" i="60" s="1"/>
  <c r="AZ50" i="60" s="1"/>
  <c r="AZ51" i="60" s="1"/>
  <c r="AZ52" i="60" s="1"/>
  <c r="AZ53" i="60" s="1"/>
  <c r="AZ54" i="60" s="1"/>
  <c r="AZ55" i="60" s="1"/>
  <c r="AZ56" i="60" s="1"/>
  <c r="AZ57" i="60" s="1"/>
  <c r="AZ58" i="60" s="1"/>
  <c r="AZ59" i="60" s="1"/>
  <c r="AZ60" i="60" s="1"/>
  <c r="AZ61" i="60" s="1"/>
  <c r="AZ62" i="60" s="1"/>
  <c r="AZ63" i="60" s="1"/>
  <c r="AZ64" i="60" s="1"/>
  <c r="AZ65" i="60" s="1"/>
  <c r="AZ66" i="60" s="1"/>
  <c r="AZ67" i="60" s="1"/>
  <c r="AZ68" i="60" s="1"/>
  <c r="AD28" i="60"/>
  <c r="AB28" i="60"/>
  <c r="AB29" i="60" s="1"/>
  <c r="M28" i="60"/>
  <c r="E28" i="60"/>
  <c r="W26" i="60"/>
  <c r="U26" i="60"/>
  <c r="S26" i="60"/>
  <c r="Q26" i="60"/>
  <c r="O26" i="60"/>
  <c r="M26" i="60"/>
  <c r="K26" i="60"/>
  <c r="I19" i="60"/>
  <c r="G19" i="60"/>
  <c r="BI16" i="60"/>
  <c r="BK15" i="60"/>
  <c r="AR15" i="60"/>
  <c r="I28" i="60"/>
  <c r="BK14" i="60"/>
  <c r="AF11" i="60"/>
  <c r="AF12" i="60" s="1"/>
  <c r="BD29" i="60" l="1"/>
  <c r="BD30" i="60" s="1"/>
  <c r="BD31" i="60" s="1"/>
  <c r="BD32" i="60" s="1"/>
  <c r="BD33" i="60" s="1"/>
  <c r="BD34" i="60" s="1"/>
  <c r="BD35" i="60" s="1"/>
  <c r="BD36" i="60" s="1"/>
  <c r="BD37" i="60" s="1"/>
  <c r="BD38" i="60" s="1"/>
  <c r="K29" i="60"/>
  <c r="K30" i="60" s="1"/>
  <c r="K31" i="60" s="1"/>
  <c r="K32" i="60" s="1"/>
  <c r="K33" i="60" s="1"/>
  <c r="K34" i="60" s="1"/>
  <c r="K35" i="60" s="1"/>
  <c r="K36" i="60" s="1"/>
  <c r="K37" i="60" s="1"/>
  <c r="AT28" i="61"/>
  <c r="AF12" i="62"/>
  <c r="BD11" i="62"/>
  <c r="BF28" i="62" s="1"/>
  <c r="AT28" i="62" s="1"/>
  <c r="AB29" i="65"/>
  <c r="C31" i="65"/>
  <c r="AB31" i="63"/>
  <c r="AF32" i="63"/>
  <c r="AH30" i="63"/>
  <c r="AL29" i="63"/>
  <c r="AL28" i="63"/>
  <c r="AF12" i="63"/>
  <c r="BD11" i="63"/>
  <c r="BF30" i="63" s="1"/>
  <c r="BB31" i="63"/>
  <c r="BB31" i="62"/>
  <c r="AB30" i="62"/>
  <c r="AL30" i="62"/>
  <c r="AF31" i="62"/>
  <c r="AL29" i="62"/>
  <c r="BB30" i="61"/>
  <c r="BF29" i="61"/>
  <c r="AB31" i="61"/>
  <c r="AF30" i="61"/>
  <c r="AL29" i="61"/>
  <c r="AL28" i="60"/>
  <c r="BD11" i="60"/>
  <c r="BF28" i="60" s="1"/>
  <c r="AB30" i="60"/>
  <c r="I29" i="60"/>
  <c r="S28" i="60"/>
  <c r="AF29" i="60"/>
  <c r="M29" i="60"/>
  <c r="M30" i="60" s="1"/>
  <c r="M31" i="60" s="1"/>
  <c r="M32" i="60" s="1"/>
  <c r="M33" i="60" s="1"/>
  <c r="M34" i="60" s="1"/>
  <c r="M35" i="60" s="1"/>
  <c r="M36" i="60" s="1"/>
  <c r="M37" i="60" s="1"/>
  <c r="M38" i="60" s="1"/>
  <c r="AH29" i="60"/>
  <c r="AH30" i="60" s="1"/>
  <c r="AH31" i="60" s="1"/>
  <c r="AH32" i="60" s="1"/>
  <c r="AH33" i="60" s="1"/>
  <c r="AH34" i="60" s="1"/>
  <c r="AH35" i="60" s="1"/>
  <c r="AH36" i="60" s="1"/>
  <c r="AH37" i="60" s="1"/>
  <c r="AJ29" i="60"/>
  <c r="AJ30" i="60" s="1"/>
  <c r="AJ31" i="60" s="1"/>
  <c r="AJ32" i="60" s="1"/>
  <c r="AJ33" i="60" s="1"/>
  <c r="AJ34" i="60" s="1"/>
  <c r="AJ35" i="60" s="1"/>
  <c r="AJ36" i="60" s="1"/>
  <c r="AJ37" i="60" s="1"/>
  <c r="AR29" i="60"/>
  <c r="AR30" i="60" s="1"/>
  <c r="AR31" i="60" s="1"/>
  <c r="AR32" i="60" s="1"/>
  <c r="AR33" i="60" s="1"/>
  <c r="AR34" i="60" s="1"/>
  <c r="AR35" i="60" s="1"/>
  <c r="AR36" i="60" s="1"/>
  <c r="AR37" i="60" s="1"/>
  <c r="BB29" i="60"/>
  <c r="BF29" i="62" l="1"/>
  <c r="AT29" i="62" s="1"/>
  <c r="BF30" i="62"/>
  <c r="AT30" i="62" s="1"/>
  <c r="C32" i="65"/>
  <c r="AB30" i="65"/>
  <c r="BB32" i="63"/>
  <c r="BF31" i="63"/>
  <c r="AB32" i="63"/>
  <c r="BF28" i="63"/>
  <c r="BF29" i="63"/>
  <c r="AT29" i="63" s="1"/>
  <c r="AH31" i="63"/>
  <c r="AL30" i="63"/>
  <c r="AT30" i="63" s="1"/>
  <c r="AF33" i="63"/>
  <c r="AB31" i="62"/>
  <c r="BB32" i="62"/>
  <c r="BF31" i="62"/>
  <c r="AL31" i="62"/>
  <c r="AF32" i="62"/>
  <c r="AF31" i="61"/>
  <c r="AL30" i="61"/>
  <c r="AB32" i="61"/>
  <c r="AT29" i="61"/>
  <c r="BB31" i="61"/>
  <c r="BF30" i="61"/>
  <c r="AT28" i="60"/>
  <c r="AL29" i="60"/>
  <c r="AF30" i="60"/>
  <c r="I30" i="60"/>
  <c r="S29" i="60"/>
  <c r="BB30" i="60"/>
  <c r="BF29" i="60"/>
  <c r="S38" i="60"/>
  <c r="AB31" i="60"/>
  <c r="AB31" i="65" l="1"/>
  <c r="C33" i="65"/>
  <c r="AH32" i="63"/>
  <c r="AL31" i="63"/>
  <c r="AF34" i="63"/>
  <c r="AB33" i="63"/>
  <c r="AT28" i="63"/>
  <c r="BB33" i="63"/>
  <c r="BF32" i="63"/>
  <c r="BF32" i="62"/>
  <c r="BB33" i="62"/>
  <c r="AL32" i="62"/>
  <c r="AF33" i="62"/>
  <c r="AT31" i="62"/>
  <c r="AB32" i="62"/>
  <c r="BB32" i="61"/>
  <c r="BF31" i="61"/>
  <c r="AT30" i="61"/>
  <c r="AB33" i="61"/>
  <c r="AF32" i="61"/>
  <c r="AL31" i="61"/>
  <c r="AB32" i="60"/>
  <c r="BF30" i="60"/>
  <c r="BB31" i="60"/>
  <c r="AT29" i="60"/>
  <c r="I31" i="60"/>
  <c r="S30" i="60"/>
  <c r="AL30" i="60"/>
  <c r="AT30" i="60" s="1"/>
  <c r="AF31" i="60"/>
  <c r="AB32" i="65" l="1"/>
  <c r="C34" i="65"/>
  <c r="AT31" i="63"/>
  <c r="BF33" i="63"/>
  <c r="BB34" i="63"/>
  <c r="AB34" i="63"/>
  <c r="AF35" i="63"/>
  <c r="AH33" i="63"/>
  <c r="AL32" i="63"/>
  <c r="AT32" i="63" s="1"/>
  <c r="AT32" i="62"/>
  <c r="BB34" i="62"/>
  <c r="BF33" i="62"/>
  <c r="AB33" i="62"/>
  <c r="AL33" i="62"/>
  <c r="AF34" i="62"/>
  <c r="AB34" i="61"/>
  <c r="BB33" i="61"/>
  <c r="BF32" i="61"/>
  <c r="AT31" i="61"/>
  <c r="AF33" i="61"/>
  <c r="AL32" i="61"/>
  <c r="BF31" i="60"/>
  <c r="BB32" i="60"/>
  <c r="AF32" i="60"/>
  <c r="AL31" i="60"/>
  <c r="S31" i="60"/>
  <c r="I32" i="60"/>
  <c r="AB33" i="60"/>
  <c r="AT31" i="60" l="1"/>
  <c r="AT32" i="61"/>
  <c r="C35" i="65"/>
  <c r="AB33" i="65"/>
  <c r="AF36" i="63"/>
  <c r="BF34" i="63"/>
  <c r="BB35" i="63"/>
  <c r="AH34" i="63"/>
  <c r="AL33" i="63"/>
  <c r="AT33" i="63" s="1"/>
  <c r="AB35" i="63"/>
  <c r="BB35" i="62"/>
  <c r="BF34" i="62"/>
  <c r="AB34" i="62"/>
  <c r="AL34" i="62"/>
  <c r="AF35" i="62"/>
  <c r="AT33" i="62"/>
  <c r="AB35" i="61"/>
  <c r="BB34" i="61"/>
  <c r="BF33" i="61"/>
  <c r="AF34" i="61"/>
  <c r="AL33" i="61"/>
  <c r="I33" i="60"/>
  <c r="S32" i="60"/>
  <c r="BF32" i="60"/>
  <c r="BB33" i="60"/>
  <c r="AB34" i="60"/>
  <c r="AF33" i="60"/>
  <c r="AL32" i="60"/>
  <c r="AT32" i="60" l="1"/>
  <c r="AB34" i="65"/>
  <c r="C36" i="65"/>
  <c r="AB36" i="63"/>
  <c r="AF37" i="63"/>
  <c r="AH35" i="63"/>
  <c r="AL34" i="63"/>
  <c r="BB36" i="63"/>
  <c r="BF35" i="63"/>
  <c r="AT34" i="62"/>
  <c r="BB36" i="62"/>
  <c r="BF35" i="62"/>
  <c r="AB35" i="62"/>
  <c r="AF36" i="62"/>
  <c r="AL35" i="62"/>
  <c r="AF35" i="61"/>
  <c r="AL34" i="61"/>
  <c r="BB35" i="61"/>
  <c r="BF34" i="61"/>
  <c r="AB36" i="61"/>
  <c r="AT33" i="61"/>
  <c r="AB35" i="60"/>
  <c r="AL33" i="60"/>
  <c r="AF34" i="60"/>
  <c r="BB34" i="60"/>
  <c r="BF33" i="60"/>
  <c r="I34" i="60"/>
  <c r="S33" i="60"/>
  <c r="AB35" i="65" l="1"/>
  <c r="C37" i="65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AB37" i="63"/>
  <c r="BF36" i="63"/>
  <c r="BB37" i="63"/>
  <c r="AT34" i="63"/>
  <c r="AH36" i="63"/>
  <c r="AL35" i="63"/>
  <c r="AT35" i="63" s="1"/>
  <c r="AT35" i="62"/>
  <c r="AF37" i="62"/>
  <c r="AL37" i="62" s="1"/>
  <c r="AL36" i="62"/>
  <c r="AB36" i="62"/>
  <c r="BB37" i="62"/>
  <c r="BF36" i="62"/>
  <c r="AF36" i="61"/>
  <c r="AL35" i="61"/>
  <c r="AB37" i="61"/>
  <c r="AT34" i="61"/>
  <c r="BB36" i="61"/>
  <c r="BF35" i="61"/>
  <c r="AL34" i="60"/>
  <c r="AF35" i="60"/>
  <c r="S34" i="60"/>
  <c r="I35" i="60"/>
  <c r="AT33" i="60"/>
  <c r="BB35" i="60"/>
  <c r="BF34" i="60"/>
  <c r="AB36" i="60"/>
  <c r="C49" i="65" l="1"/>
  <c r="AB36" i="65"/>
  <c r="AB38" i="63"/>
  <c r="BB38" i="63"/>
  <c r="BF37" i="63"/>
  <c r="AH37" i="63"/>
  <c r="AL36" i="63"/>
  <c r="AT36" i="63" s="1"/>
  <c r="AT36" i="62"/>
  <c r="AB37" i="62"/>
  <c r="BB38" i="62"/>
  <c r="BF37" i="62"/>
  <c r="AT37" i="62" s="1"/>
  <c r="AT35" i="61"/>
  <c r="AB38" i="61"/>
  <c r="AF37" i="61"/>
  <c r="AL37" i="61" s="1"/>
  <c r="AL36" i="61"/>
  <c r="BB37" i="61"/>
  <c r="BF36" i="61"/>
  <c r="AT34" i="60"/>
  <c r="BF35" i="60"/>
  <c r="BB36" i="60"/>
  <c r="S35" i="60"/>
  <c r="I36" i="60"/>
  <c r="AB37" i="60"/>
  <c r="AF36" i="60"/>
  <c r="AL35" i="60"/>
  <c r="AT35" i="60" l="1"/>
  <c r="C50" i="65"/>
  <c r="AB37" i="65"/>
  <c r="AL37" i="63"/>
  <c r="AT37" i="63" s="1"/>
  <c r="BF38" i="63"/>
  <c r="AB39" i="63"/>
  <c r="BF38" i="62"/>
  <c r="AB38" i="62"/>
  <c r="BB38" i="61"/>
  <c r="BF37" i="61"/>
  <c r="AT37" i="61" s="1"/>
  <c r="AT36" i="61"/>
  <c r="AB39" i="61"/>
  <c r="BF36" i="60"/>
  <c r="BB37" i="60"/>
  <c r="AB38" i="60"/>
  <c r="AF37" i="60"/>
  <c r="AL37" i="60" s="1"/>
  <c r="AL36" i="60"/>
  <c r="I37" i="60"/>
  <c r="S37" i="60" s="1"/>
  <c r="S36" i="60"/>
  <c r="C51" i="65" l="1"/>
  <c r="AB38" i="65"/>
  <c r="AB40" i="63"/>
  <c r="AB39" i="62"/>
  <c r="BF38" i="61"/>
  <c r="AB40" i="61"/>
  <c r="AT36" i="60"/>
  <c r="BB38" i="60"/>
  <c r="BF37" i="60"/>
  <c r="AT37" i="60" s="1"/>
  <c r="AB39" i="60"/>
  <c r="C52" i="65" l="1"/>
  <c r="AB39" i="65"/>
  <c r="AB41" i="63"/>
  <c r="AB40" i="62"/>
  <c r="AB41" i="61"/>
  <c r="AB40" i="60"/>
  <c r="BF38" i="60"/>
  <c r="C53" i="65" l="1"/>
  <c r="AB40" i="65"/>
  <c r="AB42" i="63"/>
  <c r="AB41" i="62"/>
  <c r="AB42" i="61"/>
  <c r="AB41" i="60"/>
  <c r="C54" i="65" l="1"/>
  <c r="AB41" i="65"/>
  <c r="AB43" i="63"/>
  <c r="AB42" i="62"/>
  <c r="AB43" i="61"/>
  <c r="AB42" i="60"/>
  <c r="C55" i="65" l="1"/>
  <c r="AB42" i="65"/>
  <c r="AB44" i="63"/>
  <c r="AB43" i="62"/>
  <c r="AB44" i="61"/>
  <c r="AB43" i="60"/>
  <c r="C56" i="65" l="1"/>
  <c r="AB43" i="65"/>
  <c r="AB45" i="63"/>
  <c r="AB44" i="62"/>
  <c r="AB45" i="61"/>
  <c r="AB44" i="60"/>
  <c r="C57" i="65" l="1"/>
  <c r="AB44" i="65"/>
  <c r="AB46" i="63"/>
  <c r="AB45" i="62"/>
  <c r="AB46" i="61"/>
  <c r="AB45" i="60"/>
  <c r="C58" i="65" l="1"/>
  <c r="AB45" i="65"/>
  <c r="AB47" i="63"/>
  <c r="AB46" i="62"/>
  <c r="AB47" i="61"/>
  <c r="AB46" i="60"/>
  <c r="C59" i="65" l="1"/>
  <c r="AB46" i="65"/>
  <c r="AB48" i="63"/>
  <c r="AB47" i="62"/>
  <c r="AB48" i="61"/>
  <c r="AB47" i="60"/>
  <c r="C60" i="65" l="1"/>
  <c r="AB47" i="65"/>
  <c r="AB49" i="63"/>
  <c r="AB48" i="62"/>
  <c r="AB49" i="61"/>
  <c r="AB48" i="60"/>
  <c r="C61" i="65" l="1"/>
  <c r="AB48" i="65"/>
  <c r="AB50" i="63"/>
  <c r="AB49" i="62"/>
  <c r="AB50" i="61"/>
  <c r="AB49" i="60"/>
  <c r="C62" i="65" l="1"/>
  <c r="AB49" i="65"/>
  <c r="S47" i="65"/>
  <c r="AB51" i="63"/>
  <c r="AB50" i="62"/>
  <c r="AB51" i="61"/>
  <c r="AB50" i="60"/>
  <c r="AB50" i="65" l="1"/>
  <c r="C63" i="65"/>
  <c r="AB52" i="63"/>
  <c r="AB51" i="62"/>
  <c r="AB52" i="61"/>
  <c r="AB51" i="60"/>
  <c r="C64" i="65" l="1"/>
  <c r="AB51" i="65"/>
  <c r="AB53" i="63"/>
  <c r="AB52" i="62"/>
  <c r="AB53" i="61"/>
  <c r="AB52" i="60"/>
  <c r="C65" i="65" l="1"/>
  <c r="AB52" i="65"/>
  <c r="AB54" i="63"/>
  <c r="AB53" i="62"/>
  <c r="AB54" i="61"/>
  <c r="AB53" i="60"/>
  <c r="AB53" i="65" l="1"/>
  <c r="C66" i="65"/>
  <c r="AB55" i="63"/>
  <c r="AB54" i="62"/>
  <c r="AB55" i="61"/>
  <c r="AB54" i="60"/>
  <c r="C67" i="65" l="1"/>
  <c r="AB54" i="65"/>
  <c r="AB56" i="63"/>
  <c r="AB55" i="62"/>
  <c r="AB56" i="61"/>
  <c r="AB55" i="60"/>
  <c r="C68" i="65" l="1"/>
  <c r="AB55" i="65"/>
  <c r="AB57" i="63"/>
  <c r="AB56" i="62"/>
  <c r="AB57" i="61"/>
  <c r="AB56" i="60"/>
  <c r="AB56" i="65" l="1"/>
  <c r="AB58" i="63"/>
  <c r="AB57" i="62"/>
  <c r="AB58" i="61"/>
  <c r="AB57" i="60"/>
  <c r="AB57" i="65" l="1"/>
  <c r="AB59" i="63"/>
  <c r="AB58" i="62"/>
  <c r="AB59" i="61"/>
  <c r="AB58" i="60"/>
  <c r="AB58" i="65" l="1"/>
  <c r="AB60" i="63"/>
  <c r="AB59" i="62"/>
  <c r="AB60" i="61"/>
  <c r="AB59" i="60"/>
  <c r="AB59" i="65" l="1"/>
  <c r="AB61" i="63"/>
  <c r="AB60" i="62"/>
  <c r="AB61" i="61"/>
  <c r="AB60" i="60"/>
  <c r="AB60" i="65" l="1"/>
  <c r="AB62" i="63"/>
  <c r="AB61" i="62"/>
  <c r="AB62" i="61"/>
  <c r="AB61" i="60"/>
  <c r="AB61" i="65" l="1"/>
  <c r="AB63" i="63"/>
  <c r="AB62" i="62"/>
  <c r="AB63" i="61"/>
  <c r="AB62" i="60"/>
  <c r="AB62" i="65" l="1"/>
  <c r="AB64" i="63"/>
  <c r="AB63" i="62"/>
  <c r="AB64" i="61"/>
  <c r="AB63" i="60"/>
  <c r="AB63" i="65" l="1"/>
  <c r="AB65" i="63"/>
  <c r="AB64" i="62"/>
  <c r="AB65" i="61"/>
  <c r="AB64" i="60"/>
  <c r="AB64" i="65" l="1"/>
  <c r="AB66" i="63"/>
  <c r="AB65" i="62"/>
  <c r="AB66" i="61"/>
  <c r="AB65" i="60"/>
  <c r="AB65" i="65" l="1"/>
  <c r="AB67" i="63"/>
  <c r="AB66" i="62"/>
  <c r="AB67" i="61"/>
  <c r="AB66" i="60"/>
  <c r="AB66" i="65" l="1"/>
  <c r="AB68" i="63"/>
  <c r="AB67" i="62"/>
  <c r="AB68" i="61"/>
  <c r="AB67" i="60"/>
  <c r="AB67" i="65" l="1"/>
  <c r="AB68" i="62"/>
  <c r="AB68" i="60"/>
  <c r="AB68" i="65" l="1"/>
  <c r="K28" i="59" l="1"/>
  <c r="G19" i="58"/>
  <c r="AD68" i="59"/>
  <c r="AD67" i="59"/>
  <c r="AD66" i="59"/>
  <c r="AD65" i="59"/>
  <c r="AD64" i="59"/>
  <c r="AD63" i="59"/>
  <c r="AD62" i="59"/>
  <c r="AD61" i="59"/>
  <c r="AD60" i="59"/>
  <c r="AD59" i="59"/>
  <c r="AD58" i="59"/>
  <c r="AD57" i="59"/>
  <c r="AD56" i="59"/>
  <c r="AD55" i="59"/>
  <c r="AD54" i="59"/>
  <c r="AD53" i="59"/>
  <c r="AD52" i="59"/>
  <c r="AD51" i="59"/>
  <c r="AD50" i="59"/>
  <c r="AD49" i="59"/>
  <c r="AD48" i="59"/>
  <c r="AD47" i="59"/>
  <c r="AD46" i="59"/>
  <c r="AD45" i="59"/>
  <c r="AD44" i="59"/>
  <c r="AD43" i="59"/>
  <c r="AD42" i="59"/>
  <c r="AD41" i="59"/>
  <c r="AD40" i="59"/>
  <c r="AD39" i="59"/>
  <c r="AD38" i="59"/>
  <c r="AD37" i="59"/>
  <c r="E37" i="59"/>
  <c r="AD36" i="59"/>
  <c r="E36" i="59"/>
  <c r="AD35" i="59"/>
  <c r="E35" i="59"/>
  <c r="AD34" i="59"/>
  <c r="E34" i="59"/>
  <c r="AD33" i="59"/>
  <c r="E33" i="59"/>
  <c r="AD32" i="59"/>
  <c r="E32" i="59"/>
  <c r="AD31" i="59"/>
  <c r="E31" i="59"/>
  <c r="AD30" i="59"/>
  <c r="E30" i="59"/>
  <c r="AD29" i="59"/>
  <c r="E29" i="59"/>
  <c r="BD29" i="59" s="1"/>
  <c r="C29" i="59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AZ28" i="59"/>
  <c r="AZ29" i="59" s="1"/>
  <c r="AZ30" i="59" s="1"/>
  <c r="AZ31" i="59" s="1"/>
  <c r="AZ32" i="59" s="1"/>
  <c r="AZ33" i="59" s="1"/>
  <c r="AZ34" i="59" s="1"/>
  <c r="AZ35" i="59" s="1"/>
  <c r="AZ36" i="59" s="1"/>
  <c r="AZ37" i="59" s="1"/>
  <c r="AZ38" i="59" s="1"/>
  <c r="AZ39" i="59" s="1"/>
  <c r="AZ40" i="59" s="1"/>
  <c r="AZ41" i="59" s="1"/>
  <c r="AZ42" i="59" s="1"/>
  <c r="AZ43" i="59" s="1"/>
  <c r="AZ44" i="59" s="1"/>
  <c r="AZ45" i="59" s="1"/>
  <c r="AZ46" i="59" s="1"/>
  <c r="AZ47" i="59" s="1"/>
  <c r="AZ48" i="59" s="1"/>
  <c r="AZ49" i="59" s="1"/>
  <c r="AZ50" i="59" s="1"/>
  <c r="AZ51" i="59" s="1"/>
  <c r="AZ52" i="59" s="1"/>
  <c r="AZ53" i="59" s="1"/>
  <c r="AZ54" i="59" s="1"/>
  <c r="AZ55" i="59" s="1"/>
  <c r="AZ56" i="59" s="1"/>
  <c r="AZ57" i="59" s="1"/>
  <c r="AZ58" i="59" s="1"/>
  <c r="AZ59" i="59" s="1"/>
  <c r="AZ60" i="59" s="1"/>
  <c r="AZ61" i="59" s="1"/>
  <c r="AZ62" i="59" s="1"/>
  <c r="AZ63" i="59" s="1"/>
  <c r="AZ64" i="59" s="1"/>
  <c r="AZ65" i="59" s="1"/>
  <c r="AZ66" i="59" s="1"/>
  <c r="AZ67" i="59" s="1"/>
  <c r="AZ68" i="59" s="1"/>
  <c r="AD28" i="59"/>
  <c r="AB28" i="59"/>
  <c r="AB29" i="59" s="1"/>
  <c r="M28" i="59"/>
  <c r="I28" i="59"/>
  <c r="E28" i="59"/>
  <c r="W26" i="59"/>
  <c r="U26" i="59"/>
  <c r="S26" i="59"/>
  <c r="Q26" i="59"/>
  <c r="O26" i="59"/>
  <c r="M26" i="59"/>
  <c r="K26" i="59"/>
  <c r="I19" i="59"/>
  <c r="G19" i="59"/>
  <c r="BI16" i="59"/>
  <c r="BK15" i="59"/>
  <c r="AR15" i="59"/>
  <c r="BK14" i="59"/>
  <c r="AF11" i="59"/>
  <c r="BD11" i="59" s="1"/>
  <c r="BF28" i="59" s="1"/>
  <c r="AF11" i="58"/>
  <c r="I19" i="58"/>
  <c r="I19" i="57"/>
  <c r="BD11" i="58"/>
  <c r="AF11" i="31"/>
  <c r="AF11" i="30"/>
  <c r="AF11" i="24"/>
  <c r="BD11" i="57"/>
  <c r="BD11" i="31"/>
  <c r="BI16" i="58"/>
  <c r="BK15" i="58"/>
  <c r="AR15" i="58"/>
  <c r="BK14" i="58"/>
  <c r="BI16" i="57"/>
  <c r="BK15" i="57"/>
  <c r="AR15" i="57"/>
  <c r="BK14" i="57"/>
  <c r="BI16" i="31"/>
  <c r="BK15" i="31"/>
  <c r="AR15" i="31"/>
  <c r="BK14" i="31"/>
  <c r="AR15" i="30"/>
  <c r="M29" i="59" l="1"/>
  <c r="M30" i="59" s="1"/>
  <c r="M31" i="59" s="1"/>
  <c r="M32" i="59" s="1"/>
  <c r="M33" i="59" s="1"/>
  <c r="M34" i="59" s="1"/>
  <c r="M35" i="59" s="1"/>
  <c r="M36" i="59" s="1"/>
  <c r="M37" i="59" s="1"/>
  <c r="M38" i="59" s="1"/>
  <c r="AF29" i="59"/>
  <c r="AR29" i="59"/>
  <c r="AR30" i="59" s="1"/>
  <c r="AR31" i="59" s="1"/>
  <c r="AR32" i="59" s="1"/>
  <c r="AR33" i="59" s="1"/>
  <c r="AR34" i="59" s="1"/>
  <c r="AR35" i="59" s="1"/>
  <c r="AR36" i="59" s="1"/>
  <c r="AR37" i="59" s="1"/>
  <c r="I29" i="59"/>
  <c r="I30" i="59" s="1"/>
  <c r="I31" i="59" s="1"/>
  <c r="I32" i="59" s="1"/>
  <c r="I33" i="59" s="1"/>
  <c r="I34" i="59" s="1"/>
  <c r="I35" i="59" s="1"/>
  <c r="I36" i="59" s="1"/>
  <c r="I37" i="59" s="1"/>
  <c r="BB29" i="59"/>
  <c r="BB30" i="59" s="1"/>
  <c r="O29" i="59"/>
  <c r="O30" i="59" s="1"/>
  <c r="O31" i="59" s="1"/>
  <c r="O32" i="59" s="1"/>
  <c r="O33" i="59" s="1"/>
  <c r="O34" i="59" s="1"/>
  <c r="O35" i="59" s="1"/>
  <c r="O36" i="59" s="1"/>
  <c r="O37" i="59" s="1"/>
  <c r="K29" i="59"/>
  <c r="K30" i="59" s="1"/>
  <c r="K31" i="59" s="1"/>
  <c r="K32" i="59" s="1"/>
  <c r="K33" i="59" s="1"/>
  <c r="K34" i="59" s="1"/>
  <c r="K35" i="59" s="1"/>
  <c r="K36" i="59" s="1"/>
  <c r="K37" i="59" s="1"/>
  <c r="AH29" i="59"/>
  <c r="AH30" i="59" s="1"/>
  <c r="AH31" i="59" s="1"/>
  <c r="AH32" i="59" s="1"/>
  <c r="AH33" i="59" s="1"/>
  <c r="AH34" i="59" s="1"/>
  <c r="AH35" i="59" s="1"/>
  <c r="AH36" i="59" s="1"/>
  <c r="AH37" i="59" s="1"/>
  <c r="AL28" i="59"/>
  <c r="AT28" i="59" s="1"/>
  <c r="AF12" i="59"/>
  <c r="S28" i="59"/>
  <c r="AB30" i="59"/>
  <c r="S38" i="59"/>
  <c r="AF30" i="59"/>
  <c r="BD30" i="59"/>
  <c r="BD31" i="59" s="1"/>
  <c r="BD32" i="59" s="1"/>
  <c r="BD33" i="59" s="1"/>
  <c r="BD34" i="59" s="1"/>
  <c r="BD35" i="59" s="1"/>
  <c r="BD36" i="59" s="1"/>
  <c r="BD37" i="59" s="1"/>
  <c r="BD38" i="59" s="1"/>
  <c r="AJ29" i="59"/>
  <c r="AJ30" i="59" s="1"/>
  <c r="AJ31" i="59" s="1"/>
  <c r="AJ32" i="59" s="1"/>
  <c r="AJ33" i="59" s="1"/>
  <c r="AJ34" i="59" s="1"/>
  <c r="AJ35" i="59" s="1"/>
  <c r="AJ36" i="59" s="1"/>
  <c r="AJ37" i="59" s="1"/>
  <c r="BF29" i="59"/>
  <c r="BI16" i="30"/>
  <c r="BK15" i="30"/>
  <c r="BK14" i="30"/>
  <c r="E29" i="58"/>
  <c r="E30" i="58"/>
  <c r="E31" i="58"/>
  <c r="E32" i="58"/>
  <c r="E33" i="58"/>
  <c r="E34" i="58"/>
  <c r="E35" i="58"/>
  <c r="E36" i="58"/>
  <c r="E37" i="58"/>
  <c r="E28" i="58"/>
  <c r="AL30" i="59" l="1"/>
  <c r="AF31" i="59"/>
  <c r="S29" i="59"/>
  <c r="AL29" i="59"/>
  <c r="BB31" i="59"/>
  <c r="BF30" i="59"/>
  <c r="AB31" i="59"/>
  <c r="AT30" i="59" l="1"/>
  <c r="AB32" i="59"/>
  <c r="S30" i="59"/>
  <c r="BB32" i="59"/>
  <c r="BF31" i="59"/>
  <c r="AT29" i="59"/>
  <c r="AL31" i="59"/>
  <c r="AF32" i="59"/>
  <c r="AT31" i="59" l="1"/>
  <c r="S31" i="59"/>
  <c r="BF32" i="59"/>
  <c r="BB33" i="59"/>
  <c r="AB33" i="59"/>
  <c r="AF33" i="59"/>
  <c r="AL32" i="59"/>
  <c r="AT32" i="59" l="1"/>
  <c r="AB34" i="59"/>
  <c r="BF33" i="59"/>
  <c r="BB34" i="59"/>
  <c r="AF34" i="59"/>
  <c r="AL33" i="59"/>
  <c r="S32" i="59"/>
  <c r="AT33" i="59" l="1"/>
  <c r="BB35" i="59"/>
  <c r="BF34" i="59"/>
  <c r="AB35" i="59"/>
  <c r="AL34" i="59"/>
  <c r="AF35" i="59"/>
  <c r="S33" i="59"/>
  <c r="S34" i="59" l="1"/>
  <c r="AL35" i="59"/>
  <c r="AF36" i="59"/>
  <c r="AB36" i="59"/>
  <c r="AT34" i="59"/>
  <c r="BB36" i="59"/>
  <c r="BF35" i="59"/>
  <c r="BF36" i="59" l="1"/>
  <c r="BB37" i="59"/>
  <c r="AB37" i="59"/>
  <c r="AF37" i="59"/>
  <c r="AL37" i="59" s="1"/>
  <c r="AL36" i="59"/>
  <c r="AT35" i="59"/>
  <c r="S35" i="59"/>
  <c r="AB38" i="59" l="1"/>
  <c r="S36" i="59"/>
  <c r="AT36" i="59"/>
  <c r="BF37" i="59"/>
  <c r="AT37" i="59" s="1"/>
  <c r="BB38" i="59"/>
  <c r="S37" i="59" l="1"/>
  <c r="BF38" i="59"/>
  <c r="AB39" i="59"/>
  <c r="AB40" i="59" l="1"/>
  <c r="AB41" i="59" l="1"/>
  <c r="AB42" i="59" l="1"/>
  <c r="AB43" i="59" l="1"/>
  <c r="AB44" i="59" l="1"/>
  <c r="AB45" i="59" l="1"/>
  <c r="AB46" i="59" l="1"/>
  <c r="AB47" i="59" l="1"/>
  <c r="AB48" i="59" l="1"/>
  <c r="AB49" i="59" l="1"/>
  <c r="AB50" i="59" l="1"/>
  <c r="AB51" i="59" l="1"/>
  <c r="AB52" i="59" l="1"/>
  <c r="AB53" i="59" l="1"/>
  <c r="AB54" i="59" l="1"/>
  <c r="AB55" i="59" l="1"/>
  <c r="AB56" i="59" l="1"/>
  <c r="AB57" i="59" l="1"/>
  <c r="AB58" i="59" l="1"/>
  <c r="AB59" i="59" l="1"/>
  <c r="AB60" i="59" l="1"/>
  <c r="AB61" i="59" l="1"/>
  <c r="AB62" i="59" l="1"/>
  <c r="AB63" i="59" l="1"/>
  <c r="AB64" i="59" l="1"/>
  <c r="AB65" i="59" l="1"/>
  <c r="AB66" i="59" l="1"/>
  <c r="AB67" i="59" l="1"/>
  <c r="AB68" i="59" l="1"/>
  <c r="G15" i="58" l="1"/>
  <c r="I28" i="58" s="1"/>
  <c r="AB28" i="58"/>
  <c r="K28" i="58"/>
  <c r="M28" i="58"/>
  <c r="AD28" i="58"/>
  <c r="AL28" i="58" l="1"/>
  <c r="S28" i="58"/>
  <c r="AZ28" i="58"/>
  <c r="AD37" i="58" l="1"/>
  <c r="AD36" i="58"/>
  <c r="AD35" i="58"/>
  <c r="AD34" i="58"/>
  <c r="AD33" i="58"/>
  <c r="AD32" i="58"/>
  <c r="AD31" i="58"/>
  <c r="AD30" i="58"/>
  <c r="BD29" i="58"/>
  <c r="BB29" i="58"/>
  <c r="AZ29" i="58"/>
  <c r="AZ30" i="58" s="1"/>
  <c r="AZ31" i="58" s="1"/>
  <c r="AZ32" i="58" s="1"/>
  <c r="AZ33" i="58" s="1"/>
  <c r="AZ34" i="58" s="1"/>
  <c r="AZ35" i="58" s="1"/>
  <c r="AZ36" i="58" s="1"/>
  <c r="AZ37" i="58" s="1"/>
  <c r="AZ38" i="58" s="1"/>
  <c r="AZ39" i="58" s="1"/>
  <c r="AR29" i="58"/>
  <c r="AR30" i="58" s="1"/>
  <c r="AR31" i="58" s="1"/>
  <c r="AR32" i="58" s="1"/>
  <c r="AR33" i="58" s="1"/>
  <c r="AR34" i="58" s="1"/>
  <c r="AR35" i="58" s="1"/>
  <c r="AR36" i="58" s="1"/>
  <c r="AR37" i="58" s="1"/>
  <c r="AJ29" i="58"/>
  <c r="AH29" i="58"/>
  <c r="AF29" i="58"/>
  <c r="AD29" i="58"/>
  <c r="AB29" i="58"/>
  <c r="M29" i="58"/>
  <c r="M30" i="58" s="1"/>
  <c r="M31" i="58" s="1"/>
  <c r="M32" i="58" s="1"/>
  <c r="M33" i="58" s="1"/>
  <c r="M34" i="58" s="1"/>
  <c r="M35" i="58" s="1"/>
  <c r="M36" i="58" s="1"/>
  <c r="M37" i="58" s="1"/>
  <c r="M38" i="58" s="1"/>
  <c r="C29" i="58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W26" i="58"/>
  <c r="U26" i="58"/>
  <c r="S26" i="58"/>
  <c r="Q26" i="58"/>
  <c r="O26" i="58"/>
  <c r="M26" i="58"/>
  <c r="K26" i="58"/>
  <c r="AR29" i="57"/>
  <c r="AR30" i="57" s="1"/>
  <c r="AR31" i="57" s="1"/>
  <c r="AR32" i="57" s="1"/>
  <c r="AR33" i="57" s="1"/>
  <c r="AR34" i="57" s="1"/>
  <c r="AR35" i="57" s="1"/>
  <c r="AR36" i="57" s="1"/>
  <c r="AR37" i="57" s="1"/>
  <c r="AR38" i="57" s="1"/>
  <c r="BD39" i="57"/>
  <c r="BB39" i="57"/>
  <c r="BF39" i="57"/>
  <c r="AL29" i="58" l="1"/>
  <c r="AZ40" i="58"/>
  <c r="AZ41" i="58" s="1"/>
  <c r="AZ42" i="58" s="1"/>
  <c r="AZ43" i="58" s="1"/>
  <c r="AZ44" i="58" s="1"/>
  <c r="AZ45" i="58" s="1"/>
  <c r="AZ46" i="58" s="1"/>
  <c r="AZ47" i="58" s="1"/>
  <c r="AZ48" i="58" s="1"/>
  <c r="AZ49" i="58" s="1"/>
  <c r="AZ50" i="58" s="1"/>
  <c r="AZ51" i="58" s="1"/>
  <c r="AZ52" i="58" s="1"/>
  <c r="AZ53" i="58" s="1"/>
  <c r="AZ54" i="58" s="1"/>
  <c r="AZ55" i="58" s="1"/>
  <c r="AZ56" i="58" s="1"/>
  <c r="AZ57" i="58" s="1"/>
  <c r="AZ58" i="58" s="1"/>
  <c r="AZ59" i="58" s="1"/>
  <c r="AZ60" i="58" s="1"/>
  <c r="AZ61" i="58" s="1"/>
  <c r="AZ62" i="58" s="1"/>
  <c r="AZ63" i="58" s="1"/>
  <c r="AZ64" i="58" s="1"/>
  <c r="AZ65" i="58" s="1"/>
  <c r="AZ66" i="58" s="1"/>
  <c r="AZ67" i="58" s="1"/>
  <c r="AZ68" i="58" s="1"/>
  <c r="C40" i="58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AH30" i="58"/>
  <c r="AH31" i="58" s="1"/>
  <c r="AH32" i="58" s="1"/>
  <c r="AH33" i="58" s="1"/>
  <c r="AH34" i="58" s="1"/>
  <c r="AH35" i="58" s="1"/>
  <c r="AH36" i="58" s="1"/>
  <c r="AH37" i="58" s="1"/>
  <c r="I29" i="58"/>
  <c r="AB30" i="58"/>
  <c r="BB30" i="58"/>
  <c r="AJ30" i="58"/>
  <c r="AJ31" i="58" s="1"/>
  <c r="AJ32" i="58" s="1"/>
  <c r="AJ33" i="58" s="1"/>
  <c r="AJ34" i="58" s="1"/>
  <c r="AJ35" i="58" s="1"/>
  <c r="AJ36" i="58" s="1"/>
  <c r="AJ37" i="58" s="1"/>
  <c r="K29" i="58"/>
  <c r="K30" i="58" s="1"/>
  <c r="K31" i="58" s="1"/>
  <c r="K32" i="58" s="1"/>
  <c r="K33" i="58" s="1"/>
  <c r="K34" i="58" s="1"/>
  <c r="K35" i="58" s="1"/>
  <c r="K36" i="58" s="1"/>
  <c r="K37" i="58" s="1"/>
  <c r="AF30" i="58"/>
  <c r="BD30" i="58"/>
  <c r="BD31" i="58" s="1"/>
  <c r="BD32" i="58" s="1"/>
  <c r="BD33" i="58" s="1"/>
  <c r="BD34" i="58" s="1"/>
  <c r="BD35" i="58" s="1"/>
  <c r="BD36" i="58" s="1"/>
  <c r="BD37" i="58" s="1"/>
  <c r="BD38" i="58" s="1"/>
  <c r="AL30" i="58" l="1"/>
  <c r="I30" i="58"/>
  <c r="S29" i="58"/>
  <c r="AF31" i="58"/>
  <c r="AL31" i="58" s="1"/>
  <c r="AB31" i="58"/>
  <c r="BB31" i="58"/>
  <c r="BF28" i="58" l="1"/>
  <c r="AT28" i="58" s="1"/>
  <c r="BF29" i="58"/>
  <c r="AT29" i="58" s="1"/>
  <c r="I31" i="58"/>
  <c r="S30" i="58"/>
  <c r="BF30" i="58"/>
  <c r="AT30" i="58" s="1"/>
  <c r="BB32" i="58"/>
  <c r="BF31" i="58"/>
  <c r="AB32" i="58"/>
  <c r="AF32" i="58"/>
  <c r="AL32" i="58" s="1"/>
  <c r="AT31" i="58" l="1"/>
  <c r="AF33" i="58"/>
  <c r="AL33" i="58" s="1"/>
  <c r="BB33" i="58"/>
  <c r="BF32" i="58"/>
  <c r="AB33" i="58"/>
  <c r="S31" i="58"/>
  <c r="I32" i="58"/>
  <c r="AT32" i="58" l="1"/>
  <c r="BB34" i="58"/>
  <c r="BF33" i="58"/>
  <c r="S32" i="58"/>
  <c r="I33" i="58"/>
  <c r="AF34" i="58"/>
  <c r="AL34" i="58" s="1"/>
  <c r="AB34" i="58"/>
  <c r="AT33" i="58" l="1"/>
  <c r="S33" i="58"/>
  <c r="I34" i="58"/>
  <c r="AB35" i="58"/>
  <c r="AF35" i="58"/>
  <c r="AL35" i="58" s="1"/>
  <c r="BF34" i="58"/>
  <c r="BB35" i="58"/>
  <c r="AT34" i="58" l="1"/>
  <c r="BF35" i="58"/>
  <c r="BB36" i="58"/>
  <c r="AB36" i="58"/>
  <c r="S34" i="58"/>
  <c r="I35" i="58"/>
  <c r="S35" i="58" s="1"/>
  <c r="AF36" i="58"/>
  <c r="AL36" i="58" s="1"/>
  <c r="AB37" i="58" l="1"/>
  <c r="AT35" i="58"/>
  <c r="I36" i="58"/>
  <c r="S36" i="58" s="1"/>
  <c r="BB37" i="58"/>
  <c r="BF36" i="58"/>
  <c r="AF37" i="58"/>
  <c r="AL37" i="58" s="1"/>
  <c r="AT36" i="58" l="1"/>
  <c r="I37" i="58"/>
  <c r="S37" i="58" s="1"/>
  <c r="AB38" i="58"/>
  <c r="AB39" i="58" s="1"/>
  <c r="BB38" i="58"/>
  <c r="BF38" i="58" s="1"/>
  <c r="BF37" i="58"/>
  <c r="AT37" i="58" l="1"/>
  <c r="AB40" i="58" l="1"/>
  <c r="AB41" i="58" l="1"/>
  <c r="AB42" i="58" l="1"/>
  <c r="AB43" i="58" l="1"/>
  <c r="AB44" i="58" l="1"/>
  <c r="AB45" i="58" l="1"/>
  <c r="AB46" i="58" l="1"/>
  <c r="AB47" i="58" l="1"/>
  <c r="AB48" i="58" l="1"/>
  <c r="AB49" i="58" l="1"/>
  <c r="AB50" i="58" l="1"/>
  <c r="AB51" i="58" l="1"/>
  <c r="AB52" i="58" l="1"/>
  <c r="AB53" i="58" l="1"/>
  <c r="AB54" i="58" l="1"/>
  <c r="AB55" i="58" l="1"/>
  <c r="AB56" i="58" l="1"/>
  <c r="AB57" i="58" l="1"/>
  <c r="AB58" i="58" l="1"/>
  <c r="AB59" i="58" l="1"/>
  <c r="AB60" i="58" l="1"/>
  <c r="AB61" i="58" l="1"/>
  <c r="AB62" i="58" l="1"/>
  <c r="AB63" i="58" l="1"/>
  <c r="AB64" i="58" l="1"/>
  <c r="AB65" i="58" l="1"/>
  <c r="AB66" i="58" l="1"/>
  <c r="AB67" i="58" l="1"/>
  <c r="AB68" i="58" l="1"/>
  <c r="S37" i="31" l="1"/>
  <c r="AL29" i="31"/>
  <c r="AL30" i="31"/>
  <c r="AL31" i="31"/>
  <c r="AL32" i="31"/>
  <c r="AL33" i="31"/>
  <c r="AL34" i="31"/>
  <c r="AL35" i="31"/>
  <c r="AL36" i="31"/>
  <c r="AL37" i="31"/>
  <c r="AL38" i="31"/>
  <c r="AL39" i="31"/>
  <c r="BB35" i="31"/>
  <c r="G19" i="57" l="1"/>
  <c r="K26" i="57"/>
  <c r="M26" i="57"/>
  <c r="O26" i="57"/>
  <c r="Q26" i="57"/>
  <c r="S26" i="57"/>
  <c r="U26" i="57"/>
  <c r="W26" i="57"/>
  <c r="C28" i="57"/>
  <c r="G28" i="57"/>
  <c r="I28" i="57"/>
  <c r="K28" i="57"/>
  <c r="M28" i="57"/>
  <c r="M29" i="57" s="1"/>
  <c r="M30" i="57" s="1"/>
  <c r="M31" i="57" s="1"/>
  <c r="M32" i="57" s="1"/>
  <c r="M33" i="57" s="1"/>
  <c r="M34" i="57" s="1"/>
  <c r="M35" i="57" s="1"/>
  <c r="AD28" i="57"/>
  <c r="AL28" i="57" s="1"/>
  <c r="BF28" i="57"/>
  <c r="I29" i="57"/>
  <c r="K29" i="57"/>
  <c r="AD29" i="57"/>
  <c r="AF29" i="57"/>
  <c r="AH29" i="57"/>
  <c r="AJ29" i="57"/>
  <c r="BB29" i="57"/>
  <c r="BB30" i="57" s="1"/>
  <c r="BF30" i="57" s="1"/>
  <c r="BD29" i="57"/>
  <c r="BF29" i="57"/>
  <c r="K30" i="57"/>
  <c r="AD30" i="57"/>
  <c r="AF30" i="57"/>
  <c r="AH30" i="57"/>
  <c r="AJ30" i="57"/>
  <c r="BD30" i="57"/>
  <c r="K31" i="57"/>
  <c r="AD31" i="57"/>
  <c r="AF31" i="57"/>
  <c r="AJ31" i="57"/>
  <c r="BB31" i="57"/>
  <c r="BD31" i="57"/>
  <c r="K32" i="57"/>
  <c r="AD32" i="57"/>
  <c r="AF32" i="57"/>
  <c r="AJ32" i="57"/>
  <c r="BD32" i="57"/>
  <c r="K33" i="57"/>
  <c r="AD33" i="57"/>
  <c r="AF33" i="57"/>
  <c r="AJ33" i="57"/>
  <c r="BD33" i="57"/>
  <c r="K34" i="57"/>
  <c r="AD34" i="57"/>
  <c r="AF34" i="57"/>
  <c r="AJ34" i="57"/>
  <c r="BD34" i="57"/>
  <c r="K35" i="57"/>
  <c r="AD35" i="57"/>
  <c r="AF35" i="57"/>
  <c r="AJ35" i="57"/>
  <c r="BD35" i="57"/>
  <c r="K36" i="57"/>
  <c r="AD36" i="57"/>
  <c r="AF36" i="57"/>
  <c r="AJ36" i="57"/>
  <c r="BD36" i="57"/>
  <c r="K37" i="57"/>
  <c r="AD37" i="57"/>
  <c r="AF37" i="57"/>
  <c r="AJ37" i="57"/>
  <c r="BD37" i="57"/>
  <c r="K38" i="57"/>
  <c r="AD38" i="57"/>
  <c r="AF12" i="57" s="1"/>
  <c r="AF38" i="57"/>
  <c r="AJ38" i="57"/>
  <c r="BD38" i="57"/>
  <c r="O40" i="31"/>
  <c r="AL29" i="57" l="1"/>
  <c r="AT28" i="57"/>
  <c r="M36" i="57"/>
  <c r="M37" i="57" s="1"/>
  <c r="M38" i="57" s="1"/>
  <c r="C29" i="57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AB28" i="57"/>
  <c r="AZ28" i="57"/>
  <c r="AZ29" i="57" s="1"/>
  <c r="AZ30" i="57" s="1"/>
  <c r="AZ31" i="57" s="1"/>
  <c r="AZ32" i="57" s="1"/>
  <c r="AZ33" i="57" s="1"/>
  <c r="AZ34" i="57" s="1"/>
  <c r="AZ35" i="57" s="1"/>
  <c r="AZ36" i="57" s="1"/>
  <c r="AZ37" i="57" s="1"/>
  <c r="AZ38" i="57" s="1"/>
  <c r="AZ39" i="57" s="1"/>
  <c r="AZ40" i="57" s="1"/>
  <c r="AZ41" i="57" s="1"/>
  <c r="AZ42" i="57" s="1"/>
  <c r="AZ43" i="57" s="1"/>
  <c r="AZ44" i="57" s="1"/>
  <c r="AZ45" i="57" s="1"/>
  <c r="AZ46" i="57" s="1"/>
  <c r="AZ47" i="57" s="1"/>
  <c r="AZ48" i="57" s="1"/>
  <c r="AZ49" i="57" s="1"/>
  <c r="AZ50" i="57" s="1"/>
  <c r="AZ51" i="57" s="1"/>
  <c r="AZ52" i="57" s="1"/>
  <c r="AZ53" i="57" s="1"/>
  <c r="AZ54" i="57" s="1"/>
  <c r="AZ55" i="57" s="1"/>
  <c r="AZ56" i="57" s="1"/>
  <c r="AZ57" i="57" s="1"/>
  <c r="AZ58" i="57" s="1"/>
  <c r="AZ59" i="57" s="1"/>
  <c r="AZ60" i="57" s="1"/>
  <c r="AZ61" i="57" s="1"/>
  <c r="AZ62" i="57" s="1"/>
  <c r="AZ63" i="57" s="1"/>
  <c r="AZ64" i="57" s="1"/>
  <c r="AZ65" i="57" s="1"/>
  <c r="AZ66" i="57" s="1"/>
  <c r="AZ67" i="57" s="1"/>
  <c r="AZ68" i="57" s="1"/>
  <c r="AZ69" i="57" s="1"/>
  <c r="S29" i="57"/>
  <c r="I30" i="57"/>
  <c r="AH31" i="57"/>
  <c r="AL30" i="57"/>
  <c r="BB32" i="57"/>
  <c r="BF31" i="57"/>
  <c r="S28" i="57"/>
  <c r="AT29" i="57" l="1"/>
  <c r="AH32" i="57"/>
  <c r="AL31" i="57"/>
  <c r="AT31" i="57" s="1"/>
  <c r="BB33" i="57"/>
  <c r="BF32" i="57"/>
  <c r="S30" i="57"/>
  <c r="I31" i="57"/>
  <c r="AB29" i="57"/>
  <c r="AT30" i="57"/>
  <c r="AH33" i="57" l="1"/>
  <c r="AL32" i="57"/>
  <c r="S31" i="57"/>
  <c r="I32" i="57"/>
  <c r="BB34" i="57"/>
  <c r="BF33" i="57"/>
  <c r="AB30" i="57"/>
  <c r="AT32" i="57" l="1"/>
  <c r="AB31" i="57"/>
  <c r="BF34" i="57"/>
  <c r="BB35" i="57"/>
  <c r="AL33" i="57"/>
  <c r="AT33" i="57" s="1"/>
  <c r="AH34" i="57"/>
  <c r="S32" i="57"/>
  <c r="I33" i="57"/>
  <c r="AH35" i="57" l="1"/>
  <c r="AL34" i="57"/>
  <c r="AT34" i="57" s="1"/>
  <c r="S33" i="57"/>
  <c r="I34" i="57"/>
  <c r="BB36" i="57"/>
  <c r="BF35" i="57"/>
  <c r="AB32" i="57"/>
  <c r="AB33" i="57" l="1"/>
  <c r="S34" i="57"/>
  <c r="I35" i="57"/>
  <c r="AH36" i="57"/>
  <c r="AL35" i="57"/>
  <c r="BB37" i="57"/>
  <c r="BF36" i="57"/>
  <c r="BB38" i="57" l="1"/>
  <c r="BF37" i="57"/>
  <c r="AB34" i="57"/>
  <c r="AT35" i="57"/>
  <c r="AH37" i="57"/>
  <c r="AL36" i="57"/>
  <c r="AT36" i="57" s="1"/>
  <c r="S35" i="57"/>
  <c r="I36" i="57"/>
  <c r="AB35" i="57" l="1"/>
  <c r="AL37" i="57"/>
  <c r="AH38" i="57"/>
  <c r="BF38" i="57"/>
  <c r="S36" i="57"/>
  <c r="I37" i="57"/>
  <c r="AL38" i="57" l="1"/>
  <c r="AT38" i="57" s="1"/>
  <c r="AT37" i="57"/>
  <c r="AB36" i="57"/>
  <c r="S37" i="57"/>
  <c r="I38" i="57"/>
  <c r="AB37" i="57" l="1"/>
  <c r="S38" i="57"/>
  <c r="AB38" i="57" l="1"/>
  <c r="AB39" i="57" l="1"/>
  <c r="AB40" i="57" l="1"/>
  <c r="AB41" i="57" l="1"/>
  <c r="AB42" i="57" l="1"/>
  <c r="AB43" i="57" l="1"/>
  <c r="AB44" i="57" l="1"/>
  <c r="AB45" i="57" l="1"/>
  <c r="AB46" i="57" l="1"/>
  <c r="AB47" i="57" l="1"/>
  <c r="AB48" i="57" l="1"/>
  <c r="AB49" i="57" l="1"/>
  <c r="AB50" i="57" l="1"/>
  <c r="AB51" i="57" l="1"/>
  <c r="AB52" i="57" l="1"/>
  <c r="AB53" i="57" l="1"/>
  <c r="AB54" i="57" l="1"/>
  <c r="J40" i="32"/>
  <c r="G12" i="56"/>
  <c r="G11" i="56"/>
  <c r="AD47" i="56"/>
  <c r="AD46" i="56"/>
  <c r="AD45" i="56"/>
  <c r="AD44" i="56"/>
  <c r="AD43" i="56"/>
  <c r="AD42" i="56"/>
  <c r="AD41" i="56"/>
  <c r="AD40" i="56"/>
  <c r="AD39" i="56"/>
  <c r="AD38" i="56"/>
  <c r="AD37" i="56"/>
  <c r="AD36" i="56"/>
  <c r="AD35" i="56"/>
  <c r="AD34" i="56"/>
  <c r="AD33" i="56"/>
  <c r="AD32" i="56"/>
  <c r="AD31" i="56"/>
  <c r="AD30" i="56"/>
  <c r="AD29" i="56"/>
  <c r="AD28" i="56"/>
  <c r="M28" i="56"/>
  <c r="C28" i="56"/>
  <c r="C29" i="56" s="1"/>
  <c r="C30" i="56" s="1"/>
  <c r="W26" i="56"/>
  <c r="U26" i="56"/>
  <c r="S26" i="56"/>
  <c r="Q26" i="56"/>
  <c r="O26" i="56"/>
  <c r="M26" i="56"/>
  <c r="K26" i="56"/>
  <c r="G19" i="56"/>
  <c r="AJ14" i="56"/>
  <c r="A3" i="56"/>
  <c r="A2" i="56"/>
  <c r="A1" i="56"/>
  <c r="J39" i="32"/>
  <c r="G19" i="50"/>
  <c r="G19" i="49"/>
  <c r="G19" i="48"/>
  <c r="G19" i="47"/>
  <c r="G19" i="43"/>
  <c r="G19" i="42"/>
  <c r="G19" i="55"/>
  <c r="G19" i="54"/>
  <c r="G19" i="51"/>
  <c r="G19" i="40"/>
  <c r="G12" i="55"/>
  <c r="G11" i="55"/>
  <c r="AD47" i="55"/>
  <c r="AD46" i="55"/>
  <c r="AD45" i="55"/>
  <c r="AD44" i="55"/>
  <c r="AD43" i="55"/>
  <c r="AD42" i="55"/>
  <c r="AD41" i="55"/>
  <c r="AD40" i="55"/>
  <c r="AD39" i="55"/>
  <c r="AD38" i="55"/>
  <c r="AD37" i="55"/>
  <c r="AD36" i="55"/>
  <c r="AD35" i="55"/>
  <c r="AD34" i="55"/>
  <c r="AD33" i="55"/>
  <c r="AD32" i="55"/>
  <c r="AD31" i="55"/>
  <c r="AD30" i="55"/>
  <c r="AD29" i="55"/>
  <c r="AD28" i="55"/>
  <c r="M28" i="55"/>
  <c r="C28" i="55"/>
  <c r="C29" i="55" s="1"/>
  <c r="W26" i="55"/>
  <c r="U26" i="55"/>
  <c r="S26" i="55"/>
  <c r="Q26" i="55"/>
  <c r="O26" i="55"/>
  <c r="M26" i="55"/>
  <c r="K26" i="55"/>
  <c r="AJ14" i="55"/>
  <c r="A3" i="55"/>
  <c r="A2" i="55"/>
  <c r="A1" i="55"/>
  <c r="J29" i="32"/>
  <c r="G19" i="45"/>
  <c r="AJ14" i="54"/>
  <c r="N44" i="4"/>
  <c r="BB16" i="55" s="1"/>
  <c r="K44" i="4"/>
  <c r="BD15" i="54" s="1"/>
  <c r="J44" i="4"/>
  <c r="BD14" i="56" s="1"/>
  <c r="Z73" i="4"/>
  <c r="V80" i="4"/>
  <c r="G12" i="54"/>
  <c r="G11" i="54"/>
  <c r="AD47" i="54"/>
  <c r="AD46" i="54"/>
  <c r="AD45" i="54"/>
  <c r="AD44" i="54"/>
  <c r="AD43" i="54"/>
  <c r="AD42" i="54"/>
  <c r="AD41" i="54"/>
  <c r="AD40" i="54"/>
  <c r="AD39" i="54"/>
  <c r="AD38" i="54"/>
  <c r="AD37" i="54"/>
  <c r="AD36" i="54"/>
  <c r="AD35" i="54"/>
  <c r="AD34" i="54"/>
  <c r="AD33" i="54"/>
  <c r="AD32" i="54"/>
  <c r="AD31" i="54"/>
  <c r="AD30" i="54"/>
  <c r="AD29" i="54"/>
  <c r="AD28" i="54"/>
  <c r="M28" i="54"/>
  <c r="C28" i="54"/>
  <c r="C29" i="54" s="1"/>
  <c r="W26" i="54"/>
  <c r="U26" i="54"/>
  <c r="S26" i="54"/>
  <c r="Q26" i="54"/>
  <c r="O26" i="54"/>
  <c r="M26" i="54"/>
  <c r="K26" i="54"/>
  <c r="A3" i="54"/>
  <c r="A2" i="54"/>
  <c r="A1" i="54"/>
  <c r="BB16" i="54" l="1"/>
  <c r="BD14" i="55"/>
  <c r="BD15" i="56"/>
  <c r="BD15" i="55"/>
  <c r="BB16" i="56"/>
  <c r="BD14" i="54"/>
  <c r="AB55" i="57"/>
  <c r="C31" i="56"/>
  <c r="AB28" i="56"/>
  <c r="AZ28" i="56"/>
  <c r="AZ29" i="56" s="1"/>
  <c r="AZ30" i="56" s="1"/>
  <c r="AZ31" i="56" s="1"/>
  <c r="AZ32" i="56" s="1"/>
  <c r="AZ33" i="56" s="1"/>
  <c r="AZ34" i="56" s="1"/>
  <c r="AZ35" i="56" s="1"/>
  <c r="AZ36" i="56" s="1"/>
  <c r="AZ37" i="56" s="1"/>
  <c r="AZ38" i="56" s="1"/>
  <c r="AZ39" i="56" s="1"/>
  <c r="AZ40" i="56" s="1"/>
  <c r="AZ41" i="56" s="1"/>
  <c r="AZ42" i="56" s="1"/>
  <c r="AZ43" i="56" s="1"/>
  <c r="AZ44" i="56" s="1"/>
  <c r="AZ45" i="56" s="1"/>
  <c r="AZ46" i="56" s="1"/>
  <c r="AZ47" i="56" s="1"/>
  <c r="C30" i="55"/>
  <c r="AB28" i="55"/>
  <c r="AZ28" i="55"/>
  <c r="AZ29" i="55" s="1"/>
  <c r="AZ30" i="55" s="1"/>
  <c r="AZ31" i="55" s="1"/>
  <c r="AZ32" i="55" s="1"/>
  <c r="AZ33" i="55" s="1"/>
  <c r="AZ34" i="55" s="1"/>
  <c r="AZ35" i="55" s="1"/>
  <c r="AZ36" i="55" s="1"/>
  <c r="AZ37" i="55" s="1"/>
  <c r="AZ38" i="55" s="1"/>
  <c r="AZ39" i="55" s="1"/>
  <c r="AZ40" i="55" s="1"/>
  <c r="AZ41" i="55" s="1"/>
  <c r="AZ42" i="55" s="1"/>
  <c r="AZ43" i="55" s="1"/>
  <c r="AZ44" i="55" s="1"/>
  <c r="AZ45" i="55" s="1"/>
  <c r="AZ46" i="55" s="1"/>
  <c r="AZ47" i="55" s="1"/>
  <c r="C30" i="54"/>
  <c r="AB28" i="54"/>
  <c r="AZ28" i="54"/>
  <c r="AZ29" i="54" s="1"/>
  <c r="AZ30" i="54" s="1"/>
  <c r="AZ31" i="54" s="1"/>
  <c r="AZ32" i="54" s="1"/>
  <c r="AZ33" i="54" s="1"/>
  <c r="AZ34" i="54" s="1"/>
  <c r="AZ35" i="54" s="1"/>
  <c r="AZ36" i="54" s="1"/>
  <c r="AZ37" i="54" s="1"/>
  <c r="AZ38" i="54" s="1"/>
  <c r="AZ39" i="54" s="1"/>
  <c r="AZ40" i="54" s="1"/>
  <c r="AZ41" i="54" s="1"/>
  <c r="AZ42" i="54" s="1"/>
  <c r="AZ43" i="54" s="1"/>
  <c r="AZ44" i="54" s="1"/>
  <c r="AZ45" i="54" s="1"/>
  <c r="AZ46" i="54" s="1"/>
  <c r="AZ47" i="54" s="1"/>
  <c r="AB56" i="57" l="1"/>
  <c r="AB29" i="56"/>
  <c r="C32" i="56"/>
  <c r="C31" i="55"/>
  <c r="AB29" i="55"/>
  <c r="AB29" i="54"/>
  <c r="C31" i="54"/>
  <c r="AB57" i="57" l="1"/>
  <c r="C33" i="56"/>
  <c r="AB30" i="56"/>
  <c r="C32" i="55"/>
  <c r="AB30" i="55"/>
  <c r="AB30" i="54"/>
  <c r="C32" i="54"/>
  <c r="AB58" i="57" l="1"/>
  <c r="AB31" i="56"/>
  <c r="C34" i="56"/>
  <c r="C33" i="55"/>
  <c r="AB31" i="55"/>
  <c r="C33" i="54"/>
  <c r="AB31" i="54"/>
  <c r="AB59" i="57" l="1"/>
  <c r="AB32" i="56"/>
  <c r="C35" i="56"/>
  <c r="AB32" i="55"/>
  <c r="C34" i="55"/>
  <c r="AB32" i="54"/>
  <c r="C34" i="54"/>
  <c r="AB60" i="57" l="1"/>
  <c r="C36" i="56"/>
  <c r="AB33" i="56"/>
  <c r="C35" i="55"/>
  <c r="AB33" i="55"/>
  <c r="C35" i="54"/>
  <c r="AB33" i="54"/>
  <c r="AB61" i="57" l="1"/>
  <c r="C37" i="56"/>
  <c r="AB34" i="56"/>
  <c r="AB34" i="55"/>
  <c r="C36" i="55"/>
  <c r="AB34" i="54"/>
  <c r="C36" i="54"/>
  <c r="AB62" i="57" l="1"/>
  <c r="AB35" i="56"/>
  <c r="C38" i="56"/>
  <c r="AB35" i="55"/>
  <c r="C37" i="55"/>
  <c r="C37" i="54"/>
  <c r="AB35" i="54"/>
  <c r="AB63" i="57" l="1"/>
  <c r="C39" i="56"/>
  <c r="AB36" i="56"/>
  <c r="AB36" i="55"/>
  <c r="C38" i="55"/>
  <c r="AB36" i="54"/>
  <c r="C38" i="54"/>
  <c r="AB64" i="57" l="1"/>
  <c r="AB37" i="56"/>
  <c r="C40" i="56"/>
  <c r="AB37" i="55"/>
  <c r="C39" i="55"/>
  <c r="C39" i="54"/>
  <c r="AB37" i="54"/>
  <c r="AB65" i="57" l="1"/>
  <c r="C41" i="56"/>
  <c r="AB38" i="56"/>
  <c r="AB38" i="55"/>
  <c r="C40" i="55"/>
  <c r="C40" i="54"/>
  <c r="AB38" i="54"/>
  <c r="AB66" i="57" l="1"/>
  <c r="C42" i="56"/>
  <c r="AB39" i="56"/>
  <c r="AB39" i="55"/>
  <c r="C41" i="55"/>
  <c r="C41" i="54"/>
  <c r="AB39" i="54"/>
  <c r="AB67" i="57" l="1"/>
  <c r="AB40" i="56"/>
  <c r="C43" i="56"/>
  <c r="C42" i="55"/>
  <c r="AB40" i="55"/>
  <c r="AB40" i="54"/>
  <c r="C42" i="54"/>
  <c r="AB68" i="57" l="1"/>
  <c r="AB41" i="56"/>
  <c r="C44" i="56"/>
  <c r="AB41" i="55"/>
  <c r="C43" i="55"/>
  <c r="C43" i="54"/>
  <c r="AB41" i="54"/>
  <c r="AB69" i="57" l="1"/>
  <c r="C45" i="56"/>
  <c r="AB42" i="56"/>
  <c r="AB42" i="55"/>
  <c r="C44" i="55"/>
  <c r="C44" i="54"/>
  <c r="AB42" i="54"/>
  <c r="C46" i="56" l="1"/>
  <c r="AB43" i="56"/>
  <c r="C45" i="55"/>
  <c r="AB43" i="55"/>
  <c r="C45" i="54"/>
  <c r="AB43" i="54"/>
  <c r="AB44" i="56" l="1"/>
  <c r="C47" i="56"/>
  <c r="AB44" i="55"/>
  <c r="C46" i="55"/>
  <c r="AB44" i="54"/>
  <c r="C46" i="54"/>
  <c r="AB45" i="56" l="1"/>
  <c r="C47" i="55"/>
  <c r="AB45" i="55"/>
  <c r="AB45" i="54"/>
  <c r="C47" i="54"/>
  <c r="AB46" i="56" l="1"/>
  <c r="AB46" i="55"/>
  <c r="AB46" i="54"/>
  <c r="AB47" i="56" l="1"/>
  <c r="AB47" i="55"/>
  <c r="AB47" i="54"/>
  <c r="S80" i="4" l="1"/>
  <c r="G18" i="40"/>
  <c r="G18" i="51"/>
  <c r="Q58" i="51" s="1"/>
  <c r="G12" i="51"/>
  <c r="G11" i="51"/>
  <c r="AD47" i="51"/>
  <c r="AD46" i="51"/>
  <c r="AD45" i="51"/>
  <c r="AD44" i="51"/>
  <c r="AD43" i="51"/>
  <c r="AD42" i="51"/>
  <c r="AD41" i="51"/>
  <c r="AD40" i="51"/>
  <c r="AD39" i="51"/>
  <c r="AD38" i="51"/>
  <c r="AD37" i="51"/>
  <c r="AD36" i="51"/>
  <c r="AD35" i="51"/>
  <c r="AD34" i="51"/>
  <c r="AD33" i="51"/>
  <c r="AD32" i="51"/>
  <c r="AD31" i="51"/>
  <c r="AD30" i="51"/>
  <c r="AD29" i="51"/>
  <c r="AD28" i="51"/>
  <c r="M28" i="51"/>
  <c r="C28" i="51"/>
  <c r="C29" i="51" s="1"/>
  <c r="W26" i="51"/>
  <c r="U26" i="51"/>
  <c r="S26" i="51"/>
  <c r="Q26" i="51"/>
  <c r="O26" i="51"/>
  <c r="M26" i="51"/>
  <c r="K26" i="51"/>
  <c r="AF16" i="51"/>
  <c r="BD15" i="51"/>
  <c r="BD14" i="51"/>
  <c r="A3" i="51"/>
  <c r="A2" i="51"/>
  <c r="A1" i="51"/>
  <c r="O48" i="50"/>
  <c r="AD48" i="50"/>
  <c r="O29" i="50"/>
  <c r="O30" i="50"/>
  <c r="O31" i="50"/>
  <c r="O32" i="50"/>
  <c r="O33" i="50"/>
  <c r="O34" i="50"/>
  <c r="O35" i="50"/>
  <c r="O36" i="50"/>
  <c r="O37" i="50"/>
  <c r="O38" i="50"/>
  <c r="O39" i="50"/>
  <c r="O40" i="50"/>
  <c r="O41" i="50"/>
  <c r="O42" i="50"/>
  <c r="O43" i="50"/>
  <c r="O44" i="50"/>
  <c r="O45" i="50"/>
  <c r="O46" i="50"/>
  <c r="O47" i="50"/>
  <c r="G12" i="50"/>
  <c r="G11" i="50"/>
  <c r="AD47" i="50"/>
  <c r="AD46" i="50"/>
  <c r="AD45" i="50"/>
  <c r="AD44" i="50"/>
  <c r="AD43" i="50"/>
  <c r="AD42" i="50"/>
  <c r="AD41" i="50"/>
  <c r="AD40" i="50"/>
  <c r="AD39" i="50"/>
  <c r="AD38" i="50"/>
  <c r="AD37" i="50"/>
  <c r="AD36" i="50"/>
  <c r="AD35" i="50"/>
  <c r="AD34" i="50"/>
  <c r="AD33" i="50"/>
  <c r="AD32" i="50"/>
  <c r="AD31" i="50"/>
  <c r="AD30" i="50"/>
  <c r="AD29" i="50"/>
  <c r="AD28" i="50"/>
  <c r="M28" i="50"/>
  <c r="C28" i="50"/>
  <c r="C29" i="50" s="1"/>
  <c r="C30" i="50" s="1"/>
  <c r="C31" i="50" s="1"/>
  <c r="C32" i="50" s="1"/>
  <c r="C33" i="50" s="1"/>
  <c r="C34" i="50" s="1"/>
  <c r="C35" i="50" s="1"/>
  <c r="C36" i="50" s="1"/>
  <c r="C37" i="50" s="1"/>
  <c r="C38" i="50" s="1"/>
  <c r="C39" i="50" s="1"/>
  <c r="C40" i="50" s="1"/>
  <c r="C41" i="50" s="1"/>
  <c r="C42" i="50" s="1"/>
  <c r="C43" i="50" s="1"/>
  <c r="C44" i="50" s="1"/>
  <c r="C45" i="50" s="1"/>
  <c r="C46" i="50" s="1"/>
  <c r="C47" i="50" s="1"/>
  <c r="C48" i="50" s="1"/>
  <c r="W26" i="50"/>
  <c r="U26" i="50"/>
  <c r="S26" i="50"/>
  <c r="Q26" i="50"/>
  <c r="O26" i="50"/>
  <c r="M26" i="50"/>
  <c r="K26" i="50"/>
  <c r="AF16" i="50"/>
  <c r="BD15" i="50"/>
  <c r="BD14" i="50"/>
  <c r="A3" i="50"/>
  <c r="A2" i="50"/>
  <c r="A1" i="50"/>
  <c r="AD47" i="49"/>
  <c r="AD45" i="49"/>
  <c r="AD43" i="49"/>
  <c r="AD41" i="49"/>
  <c r="AD39" i="49"/>
  <c r="AD37" i="49"/>
  <c r="AD35" i="49"/>
  <c r="AD34" i="49"/>
  <c r="G12" i="49"/>
  <c r="G11" i="49"/>
  <c r="O47" i="49"/>
  <c r="AD46" i="49"/>
  <c r="O46" i="49"/>
  <c r="O45" i="49"/>
  <c r="AD44" i="49"/>
  <c r="O44" i="49"/>
  <c r="O43" i="49"/>
  <c r="AD42" i="49"/>
  <c r="O42" i="49"/>
  <c r="O41" i="49"/>
  <c r="AD40" i="49"/>
  <c r="O40" i="49"/>
  <c r="O39" i="49"/>
  <c r="AD38" i="49"/>
  <c r="O38" i="49"/>
  <c r="O37" i="49"/>
  <c r="AD36" i="49"/>
  <c r="O36" i="49"/>
  <c r="O35" i="49"/>
  <c r="O34" i="49"/>
  <c r="AD33" i="49"/>
  <c r="O33" i="49"/>
  <c r="AD32" i="49"/>
  <c r="O32" i="49"/>
  <c r="AD31" i="49"/>
  <c r="O31" i="49"/>
  <c r="AD30" i="49"/>
  <c r="O30" i="49"/>
  <c r="AD29" i="49"/>
  <c r="O29" i="49"/>
  <c r="C29" i="49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C45" i="49" s="1"/>
  <c r="C46" i="49" s="1"/>
  <c r="C47" i="49" s="1"/>
  <c r="AZ28" i="49"/>
  <c r="AZ29" i="49" s="1"/>
  <c r="AZ30" i="49" s="1"/>
  <c r="AZ31" i="49" s="1"/>
  <c r="AZ32" i="49" s="1"/>
  <c r="AZ33" i="49" s="1"/>
  <c r="AZ34" i="49" s="1"/>
  <c r="AZ35" i="49" s="1"/>
  <c r="AZ36" i="49" s="1"/>
  <c r="AZ37" i="49" s="1"/>
  <c r="AZ38" i="49" s="1"/>
  <c r="AZ39" i="49" s="1"/>
  <c r="AZ40" i="49" s="1"/>
  <c r="AZ41" i="49" s="1"/>
  <c r="AZ42" i="49" s="1"/>
  <c r="AZ43" i="49" s="1"/>
  <c r="AZ44" i="49" s="1"/>
  <c r="AZ45" i="49" s="1"/>
  <c r="AZ46" i="49" s="1"/>
  <c r="AZ47" i="49" s="1"/>
  <c r="AD28" i="49"/>
  <c r="AB28" i="49"/>
  <c r="O28" i="49"/>
  <c r="M28" i="49"/>
  <c r="C28" i="49"/>
  <c r="W26" i="49"/>
  <c r="U26" i="49"/>
  <c r="S26" i="49"/>
  <c r="Q26" i="49"/>
  <c r="O26" i="49"/>
  <c r="M26" i="49"/>
  <c r="K26" i="49"/>
  <c r="AF16" i="49"/>
  <c r="BD15" i="49"/>
  <c r="BD14" i="49"/>
  <c r="A3" i="49"/>
  <c r="A2" i="49"/>
  <c r="A1" i="49"/>
  <c r="AD47" i="48"/>
  <c r="O47" i="48"/>
  <c r="AD46" i="48"/>
  <c r="O46" i="48"/>
  <c r="AD45" i="48"/>
  <c r="O45" i="48"/>
  <c r="AD44" i="48"/>
  <c r="O44" i="48"/>
  <c r="AD43" i="48"/>
  <c r="O43" i="48"/>
  <c r="AD42" i="48"/>
  <c r="O42" i="48"/>
  <c r="AD41" i="48"/>
  <c r="O41" i="48"/>
  <c r="AD40" i="48"/>
  <c r="O40" i="48"/>
  <c r="AD39" i="48"/>
  <c r="O39" i="48"/>
  <c r="AD38" i="48"/>
  <c r="O38" i="48"/>
  <c r="AD37" i="48"/>
  <c r="O37" i="48"/>
  <c r="AD36" i="48"/>
  <c r="O36" i="48"/>
  <c r="AD35" i="48"/>
  <c r="O35" i="48"/>
  <c r="AD34" i="48"/>
  <c r="O34" i="48"/>
  <c r="AD33" i="48"/>
  <c r="O33" i="48"/>
  <c r="AD32" i="48"/>
  <c r="O32" i="48"/>
  <c r="AD31" i="48"/>
  <c r="O31" i="48"/>
  <c r="AD30" i="48"/>
  <c r="O30" i="48"/>
  <c r="AD29" i="48"/>
  <c r="AB29" i="48"/>
  <c r="O29" i="48"/>
  <c r="AD28" i="48"/>
  <c r="AB28" i="48"/>
  <c r="O28" i="48"/>
  <c r="M28" i="48"/>
  <c r="C28" i="48"/>
  <c r="C29" i="48" s="1"/>
  <c r="C30" i="48" s="1"/>
  <c r="C31" i="48" s="1"/>
  <c r="C32" i="48" s="1"/>
  <c r="C33" i="48" s="1"/>
  <c r="C34" i="48" s="1"/>
  <c r="C35" i="48" s="1"/>
  <c r="C36" i="48" s="1"/>
  <c r="C37" i="48" s="1"/>
  <c r="C38" i="48" s="1"/>
  <c r="C39" i="48" s="1"/>
  <c r="C40" i="48" s="1"/>
  <c r="C41" i="48" s="1"/>
  <c r="C42" i="48" s="1"/>
  <c r="C43" i="48" s="1"/>
  <c r="C44" i="48" s="1"/>
  <c r="C45" i="48" s="1"/>
  <c r="C46" i="48" s="1"/>
  <c r="C47" i="48" s="1"/>
  <c r="W26" i="48"/>
  <c r="U26" i="48"/>
  <c r="S26" i="48"/>
  <c r="Q26" i="48"/>
  <c r="O26" i="48"/>
  <c r="M26" i="48"/>
  <c r="K26" i="48"/>
  <c r="AF16" i="48"/>
  <c r="BD15" i="48"/>
  <c r="BD14" i="48"/>
  <c r="G12" i="48"/>
  <c r="G11" i="48"/>
  <c r="A3" i="48"/>
  <c r="A2" i="48"/>
  <c r="A1" i="48"/>
  <c r="BD15" i="47"/>
  <c r="BD14" i="47"/>
  <c r="J16" i="4"/>
  <c r="AF16" i="47"/>
  <c r="O29" i="47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28" i="47"/>
  <c r="AC19" i="5"/>
  <c r="AC20" i="5" s="1"/>
  <c r="AC21" i="5" s="1"/>
  <c r="AC22" i="5" s="1"/>
  <c r="AC23" i="5" s="1"/>
  <c r="AC24" i="5" s="1"/>
  <c r="AC25" i="5" s="1"/>
  <c r="AC26" i="5" s="1"/>
  <c r="AC27" i="5" s="1"/>
  <c r="AC28" i="5" s="1"/>
  <c r="AC29" i="5" s="1"/>
  <c r="AC30" i="5" s="1"/>
  <c r="AC31" i="5" s="1"/>
  <c r="AC32" i="5" s="1"/>
  <c r="AC33" i="5" s="1"/>
  <c r="AC34" i="5" s="1"/>
  <c r="AC35" i="5" s="1"/>
  <c r="AC36" i="5" s="1"/>
  <c r="AC37" i="5" s="1"/>
  <c r="AC38" i="5" s="1"/>
  <c r="AC39" i="5" s="1"/>
  <c r="AC40" i="5" s="1"/>
  <c r="AC41" i="5" s="1"/>
  <c r="AC42" i="5" s="1"/>
  <c r="AC43" i="5" s="1"/>
  <c r="AC44" i="5" s="1"/>
  <c r="AC45" i="5" s="1"/>
  <c r="AC46" i="5" s="1"/>
  <c r="AC47" i="5" s="1"/>
  <c r="AC48" i="5" s="1"/>
  <c r="AC49" i="5" s="1"/>
  <c r="AC50" i="5" s="1"/>
  <c r="AC51" i="5" s="1"/>
  <c r="AC52" i="5" s="1"/>
  <c r="AC53" i="5" s="1"/>
  <c r="AC54" i="5" s="1"/>
  <c r="AC55" i="5" s="1"/>
  <c r="AC56" i="5" s="1"/>
  <c r="AC57" i="5" s="1"/>
  <c r="AC58" i="5" s="1"/>
  <c r="AC59" i="5" s="1"/>
  <c r="AC60" i="5" s="1"/>
  <c r="AC61" i="5" s="1"/>
  <c r="AC62" i="5" s="1"/>
  <c r="AC63" i="5" s="1"/>
  <c r="G11" i="47"/>
  <c r="G12" i="47"/>
  <c r="AD47" i="47"/>
  <c r="AD46" i="47"/>
  <c r="AD45" i="47"/>
  <c r="AD44" i="47"/>
  <c r="AD43" i="47"/>
  <c r="AD42" i="47"/>
  <c r="AD41" i="47"/>
  <c r="AD40" i="47"/>
  <c r="AD39" i="47"/>
  <c r="AD38" i="47"/>
  <c r="AD37" i="47"/>
  <c r="AD36" i="47"/>
  <c r="AD35" i="47"/>
  <c r="AD34" i="47"/>
  <c r="AD33" i="47"/>
  <c r="AD32" i="47"/>
  <c r="AD31" i="47"/>
  <c r="AD30" i="47"/>
  <c r="AD29" i="47"/>
  <c r="AD28" i="47"/>
  <c r="M28" i="47"/>
  <c r="C28" i="47"/>
  <c r="W26" i="47"/>
  <c r="U26" i="47"/>
  <c r="S26" i="47"/>
  <c r="Q26" i="47"/>
  <c r="O26" i="47"/>
  <c r="M26" i="47"/>
  <c r="K26" i="47"/>
  <c r="A3" i="47"/>
  <c r="A2" i="47"/>
  <c r="A1" i="47"/>
  <c r="K58" i="51" l="1"/>
  <c r="I41" i="4"/>
  <c r="AF15" i="68"/>
  <c r="AF15" i="67"/>
  <c r="AF15" i="66"/>
  <c r="C58" i="51"/>
  <c r="G58" i="51"/>
  <c r="AF16" i="54"/>
  <c r="AF16" i="56"/>
  <c r="AF16" i="55"/>
  <c r="AF15" i="47"/>
  <c r="L43" i="4"/>
  <c r="AF15" i="50"/>
  <c r="AF15" i="48"/>
  <c r="AF15" i="49"/>
  <c r="D43" i="4"/>
  <c r="J43" i="4"/>
  <c r="N41" i="4"/>
  <c r="I42" i="4"/>
  <c r="O43" i="4" s="1"/>
  <c r="N42" i="4"/>
  <c r="C30" i="51"/>
  <c r="AB28" i="51"/>
  <c r="AZ28" i="51"/>
  <c r="AZ29" i="51" s="1"/>
  <c r="AZ30" i="51" s="1"/>
  <c r="AZ31" i="51" s="1"/>
  <c r="AZ32" i="51" s="1"/>
  <c r="AZ33" i="51" s="1"/>
  <c r="AZ34" i="51" s="1"/>
  <c r="AZ35" i="51" s="1"/>
  <c r="AZ36" i="51" s="1"/>
  <c r="AZ37" i="51" s="1"/>
  <c r="AZ38" i="51" s="1"/>
  <c r="AZ39" i="51" s="1"/>
  <c r="AZ40" i="51" s="1"/>
  <c r="AZ41" i="51" s="1"/>
  <c r="AZ42" i="51" s="1"/>
  <c r="AZ43" i="51" s="1"/>
  <c r="AZ44" i="51" s="1"/>
  <c r="AZ45" i="51" s="1"/>
  <c r="AZ46" i="51" s="1"/>
  <c r="AZ47" i="51" s="1"/>
  <c r="AD58" i="51"/>
  <c r="AB28" i="50"/>
  <c r="AZ28" i="50"/>
  <c r="AZ29" i="50" s="1"/>
  <c r="AZ30" i="50" s="1"/>
  <c r="AZ31" i="50" s="1"/>
  <c r="AZ32" i="50" s="1"/>
  <c r="AZ33" i="50" s="1"/>
  <c r="AZ34" i="50" s="1"/>
  <c r="AZ35" i="50" s="1"/>
  <c r="AZ36" i="50" s="1"/>
  <c r="AZ37" i="50" s="1"/>
  <c r="AZ38" i="50" s="1"/>
  <c r="AZ39" i="50" s="1"/>
  <c r="AZ40" i="50" s="1"/>
  <c r="AZ41" i="50" s="1"/>
  <c r="AZ42" i="50" s="1"/>
  <c r="AZ43" i="50" s="1"/>
  <c r="AZ44" i="50" s="1"/>
  <c r="AZ45" i="50" s="1"/>
  <c r="AZ46" i="50" s="1"/>
  <c r="AZ47" i="50" s="1"/>
  <c r="AZ48" i="50" s="1"/>
  <c r="AB29" i="49"/>
  <c r="AB30" i="48"/>
  <c r="AZ28" i="48"/>
  <c r="AZ29" i="48" s="1"/>
  <c r="AZ30" i="48" s="1"/>
  <c r="AZ31" i="48" s="1"/>
  <c r="AZ32" i="48" s="1"/>
  <c r="AZ33" i="48" s="1"/>
  <c r="AZ34" i="48" s="1"/>
  <c r="AZ35" i="48" s="1"/>
  <c r="AZ36" i="48" s="1"/>
  <c r="AZ37" i="48" s="1"/>
  <c r="AZ38" i="48" s="1"/>
  <c r="AZ39" i="48" s="1"/>
  <c r="AZ40" i="48" s="1"/>
  <c r="AZ41" i="48" s="1"/>
  <c r="AZ42" i="48" s="1"/>
  <c r="AZ43" i="48" s="1"/>
  <c r="AZ44" i="48" s="1"/>
  <c r="AZ45" i="48" s="1"/>
  <c r="AZ46" i="48" s="1"/>
  <c r="AZ47" i="48" s="1"/>
  <c r="C29" i="47"/>
  <c r="C30" i="47" s="1"/>
  <c r="C31" i="47" s="1"/>
  <c r="C32" i="47" s="1"/>
  <c r="C33" i="47" s="1"/>
  <c r="C34" i="47" s="1"/>
  <c r="C35" i="47" s="1"/>
  <c r="C36" i="47" s="1"/>
  <c r="C37" i="47" s="1"/>
  <c r="C38" i="47" s="1"/>
  <c r="C39" i="47" s="1"/>
  <c r="C40" i="47" s="1"/>
  <c r="C41" i="47" s="1"/>
  <c r="C42" i="47" s="1"/>
  <c r="C43" i="47" s="1"/>
  <c r="C44" i="47" s="1"/>
  <c r="C45" i="47" s="1"/>
  <c r="C46" i="47" s="1"/>
  <c r="C47" i="47" s="1"/>
  <c r="AZ28" i="47"/>
  <c r="AZ29" i="47" s="1"/>
  <c r="AZ30" i="47" s="1"/>
  <c r="AZ31" i="47" s="1"/>
  <c r="AZ32" i="47" s="1"/>
  <c r="AZ33" i="47" s="1"/>
  <c r="AZ34" i="47" s="1"/>
  <c r="AZ35" i="47" s="1"/>
  <c r="AZ36" i="47" s="1"/>
  <c r="AZ37" i="47" s="1"/>
  <c r="AZ38" i="47" s="1"/>
  <c r="AZ39" i="47" s="1"/>
  <c r="AZ40" i="47" s="1"/>
  <c r="AZ41" i="47" s="1"/>
  <c r="AZ42" i="47" s="1"/>
  <c r="AZ43" i="47" s="1"/>
  <c r="AZ44" i="47" s="1"/>
  <c r="AZ45" i="47" s="1"/>
  <c r="AZ46" i="47" s="1"/>
  <c r="AZ47" i="47" s="1"/>
  <c r="AB28" i="47"/>
  <c r="AF15" i="54" l="1"/>
  <c r="AF15" i="55"/>
  <c r="AF15" i="56"/>
  <c r="AJ11" i="54"/>
  <c r="AJ11" i="56"/>
  <c r="AJ11" i="55"/>
  <c r="AJ16" i="54"/>
  <c r="AF11" i="54" s="1"/>
  <c r="BD11" i="54" s="1"/>
  <c r="AJ16" i="55"/>
  <c r="AF11" i="55" s="1"/>
  <c r="AJ16" i="56"/>
  <c r="AF11" i="56" s="1"/>
  <c r="AJ13" i="54"/>
  <c r="AJ13" i="55"/>
  <c r="AJ13" i="56"/>
  <c r="Q43" i="4"/>
  <c r="H43" i="4"/>
  <c r="N43" i="4"/>
  <c r="AB29" i="51"/>
  <c r="C31" i="51"/>
  <c r="AB29" i="50"/>
  <c r="AB30" i="49"/>
  <c r="AB31" i="48"/>
  <c r="AB29" i="47"/>
  <c r="BD11" i="55" l="1"/>
  <c r="AF14" i="56"/>
  <c r="AF14" i="55"/>
  <c r="AJ15" i="54"/>
  <c r="AJ15" i="56"/>
  <c r="AJ15" i="55"/>
  <c r="BD11" i="56"/>
  <c r="AF14" i="54"/>
  <c r="AB30" i="51"/>
  <c r="C32" i="51"/>
  <c r="AB30" i="50"/>
  <c r="AB31" i="49"/>
  <c r="AB32" i="48"/>
  <c r="AB30" i="47"/>
  <c r="C33" i="51" l="1"/>
  <c r="AB31" i="51"/>
  <c r="AB31" i="50"/>
  <c r="AB32" i="49"/>
  <c r="AB33" i="48"/>
  <c r="AB31" i="47"/>
  <c r="C34" i="51" l="1"/>
  <c r="AB32" i="51"/>
  <c r="AB32" i="50"/>
  <c r="AB33" i="49"/>
  <c r="AB34" i="48"/>
  <c r="AB32" i="47"/>
  <c r="C35" i="51" l="1"/>
  <c r="AB33" i="51"/>
  <c r="AB33" i="50"/>
  <c r="AB34" i="49"/>
  <c r="AB35" i="48"/>
  <c r="AB33" i="47"/>
  <c r="AB34" i="51" l="1"/>
  <c r="C36" i="51"/>
  <c r="AB34" i="50"/>
  <c r="AB35" i="49"/>
  <c r="AB36" i="48"/>
  <c r="AB34" i="47"/>
  <c r="AB35" i="51" l="1"/>
  <c r="C37" i="51"/>
  <c r="AB35" i="50"/>
  <c r="AB36" i="49"/>
  <c r="AB37" i="48"/>
  <c r="AB35" i="47"/>
  <c r="AB36" i="51" l="1"/>
  <c r="C38" i="51"/>
  <c r="AB36" i="50"/>
  <c r="AB37" i="49"/>
  <c r="AB38" i="48"/>
  <c r="AB36" i="47"/>
  <c r="AB37" i="51" l="1"/>
  <c r="C39" i="51"/>
  <c r="AB37" i="50"/>
  <c r="AB38" i="49"/>
  <c r="AB39" i="48"/>
  <c r="AB37" i="47"/>
  <c r="AB38" i="51" l="1"/>
  <c r="C40" i="51"/>
  <c r="AB38" i="50"/>
  <c r="AB39" i="49"/>
  <c r="AB40" i="48"/>
  <c r="AB38" i="47"/>
  <c r="AB39" i="51" l="1"/>
  <c r="C41" i="51"/>
  <c r="AB39" i="50"/>
  <c r="AB40" i="49"/>
  <c r="AB41" i="48"/>
  <c r="AB39" i="47"/>
  <c r="C42" i="51" l="1"/>
  <c r="AB40" i="51"/>
  <c r="AB40" i="50"/>
  <c r="AB41" i="49"/>
  <c r="AB42" i="48"/>
  <c r="AB40" i="47"/>
  <c r="C43" i="51" l="1"/>
  <c r="AB41" i="51"/>
  <c r="AB41" i="50"/>
  <c r="AB42" i="49"/>
  <c r="AB43" i="48"/>
  <c r="AB41" i="47"/>
  <c r="C44" i="51" l="1"/>
  <c r="AB42" i="51"/>
  <c r="AB42" i="50"/>
  <c r="AB43" i="49"/>
  <c r="AB44" i="48"/>
  <c r="AB42" i="47"/>
  <c r="AB43" i="51" l="1"/>
  <c r="C45" i="51"/>
  <c r="AB43" i="50"/>
  <c r="AB44" i="49"/>
  <c r="AB45" i="48"/>
  <c r="AB43" i="47"/>
  <c r="AB44" i="51" l="1"/>
  <c r="C46" i="51"/>
  <c r="AB44" i="50"/>
  <c r="AB45" i="49"/>
  <c r="AB46" i="48"/>
  <c r="AB44" i="47"/>
  <c r="C47" i="51" l="1"/>
  <c r="AB45" i="51"/>
  <c r="AB45" i="50"/>
  <c r="AB46" i="49"/>
  <c r="AB47" i="48"/>
  <c r="AB45" i="47"/>
  <c r="AB46" i="51" l="1"/>
  <c r="AB46" i="50"/>
  <c r="AB47" i="49"/>
  <c r="AB46" i="47"/>
  <c r="AB47" i="51" l="1"/>
  <c r="AB47" i="50"/>
  <c r="AB47" i="47"/>
  <c r="AB48" i="50" l="1"/>
  <c r="G12" i="45" l="1"/>
  <c r="G11" i="45"/>
  <c r="AD52" i="45"/>
  <c r="AD51" i="45"/>
  <c r="AD50" i="45"/>
  <c r="AD49" i="45"/>
  <c r="AD48" i="45"/>
  <c r="AD47" i="45"/>
  <c r="AD46" i="45"/>
  <c r="AD45" i="45"/>
  <c r="AD44" i="45"/>
  <c r="AD43" i="45"/>
  <c r="AD42" i="45"/>
  <c r="AD41" i="45"/>
  <c r="AD40" i="45"/>
  <c r="AD39" i="45"/>
  <c r="AD38" i="45"/>
  <c r="AD37" i="45"/>
  <c r="AD36" i="45"/>
  <c r="AD35" i="45"/>
  <c r="AD34" i="45"/>
  <c r="AD33" i="45"/>
  <c r="BB32" i="45"/>
  <c r="AD32" i="45"/>
  <c r="AR31" i="45"/>
  <c r="AR32" i="45" s="1"/>
  <c r="AR33" i="45" s="1"/>
  <c r="AR34" i="45" s="1"/>
  <c r="AR35" i="45" s="1"/>
  <c r="AR36" i="45" s="1"/>
  <c r="AR37" i="45" s="1"/>
  <c r="AR38" i="45" s="1"/>
  <c r="AR39" i="45" s="1"/>
  <c r="AR40" i="45" s="1"/>
  <c r="AR41" i="45" s="1"/>
  <c r="AR42" i="45" s="1"/>
  <c r="AJ31" i="45"/>
  <c r="AJ32" i="45" s="1"/>
  <c r="AJ33" i="45" s="1"/>
  <c r="AJ34" i="45" s="1"/>
  <c r="AJ35" i="45" s="1"/>
  <c r="AJ36" i="45" s="1"/>
  <c r="AJ37" i="45" s="1"/>
  <c r="AJ38" i="45" s="1"/>
  <c r="AJ39" i="45" s="1"/>
  <c r="AJ40" i="45" s="1"/>
  <c r="AJ41" i="45" s="1"/>
  <c r="AJ42" i="45" s="1"/>
  <c r="AD31" i="45"/>
  <c r="AR30" i="45"/>
  <c r="AJ30" i="45"/>
  <c r="AH30" i="45"/>
  <c r="AH31" i="45" s="1"/>
  <c r="AH32" i="45" s="1"/>
  <c r="AH33" i="45" s="1"/>
  <c r="AH34" i="45" s="1"/>
  <c r="AH35" i="45" s="1"/>
  <c r="AH36" i="45" s="1"/>
  <c r="AH37" i="45" s="1"/>
  <c r="AH38" i="45" s="1"/>
  <c r="AH39" i="45" s="1"/>
  <c r="AH40" i="45" s="1"/>
  <c r="AH41" i="45" s="1"/>
  <c r="AH42" i="45" s="1"/>
  <c r="AD30" i="45"/>
  <c r="BD29" i="45"/>
  <c r="BB29" i="45"/>
  <c r="BB30" i="45" s="1"/>
  <c r="BB31" i="45" s="1"/>
  <c r="AR29" i="45"/>
  <c r="AJ29" i="45"/>
  <c r="AH29" i="45"/>
  <c r="AF29" i="45"/>
  <c r="AD29" i="45"/>
  <c r="I29" i="45"/>
  <c r="AZ28" i="45"/>
  <c r="AZ29" i="45" s="1"/>
  <c r="AZ30" i="45" s="1"/>
  <c r="AZ31" i="45" s="1"/>
  <c r="AZ32" i="45" s="1"/>
  <c r="AZ33" i="45" s="1"/>
  <c r="AZ34" i="45" s="1"/>
  <c r="AZ35" i="45" s="1"/>
  <c r="AZ36" i="45" s="1"/>
  <c r="AZ37" i="45" s="1"/>
  <c r="AZ38" i="45" s="1"/>
  <c r="AZ39" i="45" s="1"/>
  <c r="AZ40" i="45" s="1"/>
  <c r="AZ41" i="45" s="1"/>
  <c r="AZ42" i="45" s="1"/>
  <c r="AD28" i="45"/>
  <c r="AB28" i="45"/>
  <c r="AB29" i="45" s="1"/>
  <c r="AB30" i="45" s="1"/>
  <c r="M28" i="45"/>
  <c r="M29" i="45" s="1"/>
  <c r="M30" i="45" s="1"/>
  <c r="M31" i="45" s="1"/>
  <c r="M32" i="45" s="1"/>
  <c r="M33" i="45" s="1"/>
  <c r="M34" i="45" s="1"/>
  <c r="M35" i="45" s="1"/>
  <c r="M36" i="45" s="1"/>
  <c r="M37" i="45" s="1"/>
  <c r="M38" i="45" s="1"/>
  <c r="M39" i="45" s="1"/>
  <c r="M40" i="45" s="1"/>
  <c r="M41" i="45" s="1"/>
  <c r="M42" i="45" s="1"/>
  <c r="M43" i="45" s="1"/>
  <c r="M44" i="45" s="1"/>
  <c r="M45" i="45" s="1"/>
  <c r="M46" i="45" s="1"/>
  <c r="M47" i="45" s="1"/>
  <c r="M48" i="45" s="1"/>
  <c r="M49" i="45" s="1"/>
  <c r="M50" i="45" s="1"/>
  <c r="M51" i="45" s="1"/>
  <c r="M52" i="45" s="1"/>
  <c r="I28" i="45"/>
  <c r="C28" i="45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W26" i="45"/>
  <c r="U26" i="45"/>
  <c r="S26" i="45"/>
  <c r="Q26" i="45"/>
  <c r="O26" i="45"/>
  <c r="M26" i="45"/>
  <c r="K26" i="45"/>
  <c r="G18" i="45"/>
  <c r="AF11" i="45"/>
  <c r="A2" i="45"/>
  <c r="G18" i="44"/>
  <c r="Q61" i="44" s="1"/>
  <c r="M43" i="44"/>
  <c r="M44" i="44" s="1"/>
  <c r="M45" i="44" s="1"/>
  <c r="M46" i="44" s="1"/>
  <c r="M47" i="44" s="1"/>
  <c r="M48" i="44" s="1"/>
  <c r="M49" i="44" s="1"/>
  <c r="M50" i="44" s="1"/>
  <c r="M51" i="44" s="1"/>
  <c r="M52" i="44" s="1"/>
  <c r="I30" i="44"/>
  <c r="I31" i="44"/>
  <c r="I32" i="44" s="1"/>
  <c r="I33" i="44" s="1"/>
  <c r="I34" i="44" s="1"/>
  <c r="I35" i="44" s="1"/>
  <c r="I36" i="44" s="1"/>
  <c r="I37" i="44" s="1"/>
  <c r="I38" i="44" s="1"/>
  <c r="I39" i="44" s="1"/>
  <c r="I40" i="44" s="1"/>
  <c r="I41" i="44" s="1"/>
  <c r="I42" i="44" s="1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G19" i="44"/>
  <c r="G12" i="44"/>
  <c r="G11" i="44"/>
  <c r="AD49" i="44"/>
  <c r="AD48" i="44"/>
  <c r="AD47" i="44"/>
  <c r="AD46" i="44"/>
  <c r="AD45" i="44"/>
  <c r="AD44" i="44"/>
  <c r="AD43" i="44"/>
  <c r="AD52" i="44"/>
  <c r="AD51" i="44"/>
  <c r="AD50" i="44"/>
  <c r="AD42" i="44"/>
  <c r="AD41" i="44"/>
  <c r="AD40" i="44"/>
  <c r="AD39" i="44"/>
  <c r="AD38" i="44"/>
  <c r="AD37" i="44"/>
  <c r="AD36" i="44"/>
  <c r="AD35" i="44"/>
  <c r="AD34" i="44"/>
  <c r="AD33" i="44"/>
  <c r="AD32" i="44"/>
  <c r="AD31" i="44"/>
  <c r="AD30" i="44"/>
  <c r="BD29" i="44"/>
  <c r="BB29" i="44"/>
  <c r="AR29" i="44"/>
  <c r="AJ29" i="44"/>
  <c r="AH29" i="44"/>
  <c r="AF29" i="44"/>
  <c r="AD29" i="44"/>
  <c r="AD28" i="44"/>
  <c r="M28" i="44"/>
  <c r="M29" i="44" s="1"/>
  <c r="M30" i="44" s="1"/>
  <c r="M31" i="44" s="1"/>
  <c r="M32" i="44" s="1"/>
  <c r="M33" i="44" s="1"/>
  <c r="M34" i="44" s="1"/>
  <c r="M35" i="44" s="1"/>
  <c r="M36" i="44" s="1"/>
  <c r="M37" i="44" s="1"/>
  <c r="M38" i="44" s="1"/>
  <c r="M39" i="44" s="1"/>
  <c r="M40" i="44" s="1"/>
  <c r="M41" i="44" s="1"/>
  <c r="M42" i="44" s="1"/>
  <c r="I28" i="44"/>
  <c r="I29" i="44" s="1"/>
  <c r="C28" i="44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W26" i="44"/>
  <c r="U26" i="44"/>
  <c r="S26" i="44"/>
  <c r="Q26" i="44"/>
  <c r="O26" i="44"/>
  <c r="M26" i="44"/>
  <c r="K26" i="44"/>
  <c r="A2" i="44"/>
  <c r="J18" i="32"/>
  <c r="G12" i="43"/>
  <c r="G11" i="43"/>
  <c r="AD47" i="43"/>
  <c r="O47" i="43"/>
  <c r="AD46" i="43"/>
  <c r="O46" i="43"/>
  <c r="AD45" i="43"/>
  <c r="O45" i="43"/>
  <c r="AD44" i="43"/>
  <c r="O44" i="43"/>
  <c r="AD43" i="43"/>
  <c r="O43" i="43"/>
  <c r="AD42" i="43"/>
  <c r="O42" i="43"/>
  <c r="AD41" i="43"/>
  <c r="O41" i="43"/>
  <c r="AD40" i="43"/>
  <c r="O40" i="43"/>
  <c r="AD39" i="43"/>
  <c r="O39" i="43"/>
  <c r="AD38" i="43"/>
  <c r="O38" i="43"/>
  <c r="AD37" i="43"/>
  <c r="O37" i="43"/>
  <c r="AD36" i="43"/>
  <c r="O36" i="43"/>
  <c r="AD35" i="43"/>
  <c r="O35" i="43"/>
  <c r="AD34" i="43"/>
  <c r="O34" i="43"/>
  <c r="AD33" i="43"/>
  <c r="O33" i="43"/>
  <c r="AD32" i="43"/>
  <c r="O32" i="43"/>
  <c r="AD31" i="43"/>
  <c r="O31" i="43"/>
  <c r="AD30" i="43"/>
  <c r="O30" i="43"/>
  <c r="AD29" i="43"/>
  <c r="O29" i="43"/>
  <c r="C29" i="43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AZ28" i="43"/>
  <c r="AZ29" i="43" s="1"/>
  <c r="AZ30" i="43" s="1"/>
  <c r="AZ31" i="43" s="1"/>
  <c r="AZ32" i="43" s="1"/>
  <c r="AZ33" i="43" s="1"/>
  <c r="AZ34" i="43" s="1"/>
  <c r="AZ35" i="43" s="1"/>
  <c r="AZ36" i="43" s="1"/>
  <c r="AZ37" i="43" s="1"/>
  <c r="AZ38" i="43" s="1"/>
  <c r="AZ39" i="43" s="1"/>
  <c r="AZ40" i="43" s="1"/>
  <c r="AZ41" i="43" s="1"/>
  <c r="AZ42" i="43" s="1"/>
  <c r="AZ43" i="43" s="1"/>
  <c r="AZ44" i="43" s="1"/>
  <c r="AZ45" i="43" s="1"/>
  <c r="AZ46" i="43" s="1"/>
  <c r="AZ47" i="43" s="1"/>
  <c r="AD28" i="43"/>
  <c r="AB28" i="43"/>
  <c r="O28" i="43"/>
  <c r="M28" i="43"/>
  <c r="C28" i="43"/>
  <c r="W26" i="43"/>
  <c r="U26" i="43"/>
  <c r="S26" i="43"/>
  <c r="Q26" i="43"/>
  <c r="O26" i="43"/>
  <c r="M26" i="43"/>
  <c r="K26" i="43"/>
  <c r="BD15" i="43"/>
  <c r="BD14" i="43"/>
  <c r="A3" i="43"/>
  <c r="A2" i="43"/>
  <c r="A1" i="43"/>
  <c r="O29" i="42"/>
  <c r="O30" i="42"/>
  <c r="O31" i="42"/>
  <c r="O32" i="42"/>
  <c r="O33" i="42"/>
  <c r="O34" i="42"/>
  <c r="O35" i="42"/>
  <c r="O36" i="42"/>
  <c r="O37" i="42"/>
  <c r="O38" i="42"/>
  <c r="O39" i="42"/>
  <c r="O40" i="42"/>
  <c r="O41" i="42"/>
  <c r="O42" i="42"/>
  <c r="O43" i="42"/>
  <c r="O44" i="42"/>
  <c r="O45" i="42"/>
  <c r="O46" i="42"/>
  <c r="O47" i="42"/>
  <c r="O28" i="42"/>
  <c r="G61" i="44" l="1"/>
  <c r="AF11" i="44"/>
  <c r="AL28" i="44" s="1"/>
  <c r="C61" i="44"/>
  <c r="AJ50" i="45"/>
  <c r="AJ51" i="45" s="1"/>
  <c r="AJ52" i="45" s="1"/>
  <c r="AJ43" i="45"/>
  <c r="AJ44" i="45" s="1"/>
  <c r="AJ45" i="45" s="1"/>
  <c r="AJ46" i="45" s="1"/>
  <c r="AJ47" i="45" s="1"/>
  <c r="AJ48" i="45" s="1"/>
  <c r="AJ49" i="45" s="1"/>
  <c r="AR50" i="45"/>
  <c r="AR51" i="45" s="1"/>
  <c r="AR52" i="45" s="1"/>
  <c r="AR43" i="45"/>
  <c r="AR44" i="45" s="1"/>
  <c r="AR45" i="45" s="1"/>
  <c r="AR46" i="45" s="1"/>
  <c r="AR47" i="45" s="1"/>
  <c r="AR48" i="45" s="1"/>
  <c r="AR49" i="45" s="1"/>
  <c r="AZ50" i="45"/>
  <c r="AZ51" i="45" s="1"/>
  <c r="AZ52" i="45" s="1"/>
  <c r="AZ43" i="45"/>
  <c r="AZ44" i="45" s="1"/>
  <c r="AZ45" i="45" s="1"/>
  <c r="AZ46" i="45" s="1"/>
  <c r="AZ47" i="45" s="1"/>
  <c r="AZ48" i="45" s="1"/>
  <c r="AZ49" i="45" s="1"/>
  <c r="AH43" i="45"/>
  <c r="AH44" i="45" s="1"/>
  <c r="AH45" i="45" s="1"/>
  <c r="AH46" i="45" s="1"/>
  <c r="AH47" i="45" s="1"/>
  <c r="AH48" i="45" s="1"/>
  <c r="AH49" i="45" s="1"/>
  <c r="AH50" i="45"/>
  <c r="AH51" i="45" s="1"/>
  <c r="AH52" i="45" s="1"/>
  <c r="AB31" i="45"/>
  <c r="I30" i="45"/>
  <c r="M61" i="45"/>
  <c r="C61" i="45"/>
  <c r="AD61" i="45"/>
  <c r="AF12" i="45" s="1"/>
  <c r="K61" i="45"/>
  <c r="AR61" i="45"/>
  <c r="AJ61" i="45"/>
  <c r="Q61" i="45"/>
  <c r="G61" i="45"/>
  <c r="BD30" i="45"/>
  <c r="AL28" i="45"/>
  <c r="BD11" i="45"/>
  <c r="BF28" i="45" s="1"/>
  <c r="AF30" i="45"/>
  <c r="AL29" i="45"/>
  <c r="BB33" i="45"/>
  <c r="AD61" i="44"/>
  <c r="AF12" i="44" s="1"/>
  <c r="BB30" i="44"/>
  <c r="AL29" i="44"/>
  <c r="AH30" i="44"/>
  <c r="AH31" i="44" s="1"/>
  <c r="AH32" i="44" s="1"/>
  <c r="AH33" i="44" s="1"/>
  <c r="AH34" i="44" s="1"/>
  <c r="AH35" i="44" s="1"/>
  <c r="AH36" i="44" s="1"/>
  <c r="AH37" i="44" s="1"/>
  <c r="AH38" i="44" s="1"/>
  <c r="AH39" i="44" s="1"/>
  <c r="AH40" i="44" s="1"/>
  <c r="AH41" i="44" s="1"/>
  <c r="AH42" i="44" s="1"/>
  <c r="AB28" i="44"/>
  <c r="AZ28" i="44"/>
  <c r="AZ29" i="44" s="1"/>
  <c r="AZ30" i="44" s="1"/>
  <c r="AZ31" i="44" s="1"/>
  <c r="AZ32" i="44" s="1"/>
  <c r="AZ33" i="44" s="1"/>
  <c r="AZ34" i="44" s="1"/>
  <c r="AZ35" i="44" s="1"/>
  <c r="AZ36" i="44" s="1"/>
  <c r="AZ37" i="44" s="1"/>
  <c r="AZ38" i="44" s="1"/>
  <c r="AZ39" i="44" s="1"/>
  <c r="AZ40" i="44" s="1"/>
  <c r="AZ41" i="44" s="1"/>
  <c r="AZ42" i="44" s="1"/>
  <c r="AF30" i="44"/>
  <c r="BD30" i="44"/>
  <c r="BD31" i="44" s="1"/>
  <c r="BD32" i="44" s="1"/>
  <c r="BD33" i="44" s="1"/>
  <c r="BD34" i="44" s="1"/>
  <c r="BD35" i="44" s="1"/>
  <c r="BD36" i="44" s="1"/>
  <c r="BD37" i="44" s="1"/>
  <c r="BD38" i="44" s="1"/>
  <c r="BD39" i="44" s="1"/>
  <c r="BD40" i="44" s="1"/>
  <c r="BD41" i="44" s="1"/>
  <c r="BD42" i="44" s="1"/>
  <c r="AJ30" i="44"/>
  <c r="AJ31" i="44" s="1"/>
  <c r="AJ32" i="44" s="1"/>
  <c r="AJ33" i="44" s="1"/>
  <c r="AJ34" i="44" s="1"/>
  <c r="AJ35" i="44" s="1"/>
  <c r="AJ36" i="44" s="1"/>
  <c r="AJ37" i="44" s="1"/>
  <c r="AJ38" i="44" s="1"/>
  <c r="AJ39" i="44" s="1"/>
  <c r="AJ40" i="44" s="1"/>
  <c r="AJ41" i="44" s="1"/>
  <c r="AJ42" i="44" s="1"/>
  <c r="AR30" i="44"/>
  <c r="AR31" i="44" s="1"/>
  <c r="AR32" i="44" s="1"/>
  <c r="AR33" i="44" s="1"/>
  <c r="AR34" i="44" s="1"/>
  <c r="AR35" i="44" s="1"/>
  <c r="AR36" i="44" s="1"/>
  <c r="AR37" i="44" s="1"/>
  <c r="AR38" i="44" s="1"/>
  <c r="AR39" i="44" s="1"/>
  <c r="AR40" i="44" s="1"/>
  <c r="AR41" i="44" s="1"/>
  <c r="AR42" i="44" s="1"/>
  <c r="AB29" i="43"/>
  <c r="BD11" i="44" l="1"/>
  <c r="AT28" i="45"/>
  <c r="BB34" i="45"/>
  <c r="BF29" i="45"/>
  <c r="AT29" i="45" s="1"/>
  <c r="I31" i="45"/>
  <c r="AF31" i="45"/>
  <c r="AL30" i="45"/>
  <c r="BD31" i="45"/>
  <c r="BF30" i="45"/>
  <c r="AH61" i="45"/>
  <c r="AB32" i="45"/>
  <c r="AZ50" i="44"/>
  <c r="AZ51" i="44" s="1"/>
  <c r="AZ52" i="44" s="1"/>
  <c r="AZ43" i="44"/>
  <c r="AZ44" i="44" s="1"/>
  <c r="AZ45" i="44" s="1"/>
  <c r="AZ46" i="44" s="1"/>
  <c r="AZ47" i="44" s="1"/>
  <c r="AZ48" i="44" s="1"/>
  <c r="AZ49" i="44" s="1"/>
  <c r="AR50" i="44"/>
  <c r="AR51" i="44" s="1"/>
  <c r="AR52" i="44" s="1"/>
  <c r="AR43" i="44"/>
  <c r="AJ50" i="44"/>
  <c r="AJ51" i="44" s="1"/>
  <c r="AJ52" i="44" s="1"/>
  <c r="AJ43" i="44"/>
  <c r="AJ44" i="44" s="1"/>
  <c r="AJ45" i="44" s="1"/>
  <c r="AJ46" i="44" s="1"/>
  <c r="AJ47" i="44" s="1"/>
  <c r="AJ48" i="44" s="1"/>
  <c r="AJ49" i="44" s="1"/>
  <c r="BD50" i="44"/>
  <c r="BD51" i="44" s="1"/>
  <c r="BD52" i="44" s="1"/>
  <c r="BD43" i="44"/>
  <c r="BD44" i="44" s="1"/>
  <c r="BD45" i="44" s="1"/>
  <c r="BD46" i="44" s="1"/>
  <c r="BD47" i="44" s="1"/>
  <c r="BD48" i="44" s="1"/>
  <c r="BD49" i="44" s="1"/>
  <c r="M61" i="44"/>
  <c r="AH50" i="44"/>
  <c r="AH51" i="44" s="1"/>
  <c r="AH52" i="44" s="1"/>
  <c r="AH43" i="44"/>
  <c r="BF30" i="44"/>
  <c r="BB31" i="44"/>
  <c r="BF29" i="44"/>
  <c r="AT29" i="44" s="1"/>
  <c r="BF28" i="44"/>
  <c r="AT28" i="44" s="1"/>
  <c r="AF31" i="44"/>
  <c r="AL30" i="44"/>
  <c r="AB29" i="44"/>
  <c r="AB30" i="43"/>
  <c r="AT30" i="45" l="1"/>
  <c r="I32" i="45"/>
  <c r="AF32" i="45"/>
  <c r="AL31" i="45"/>
  <c r="AB33" i="45"/>
  <c r="BD32" i="45"/>
  <c r="BF31" i="45"/>
  <c r="BB35" i="45"/>
  <c r="K61" i="44"/>
  <c r="AR44" i="44"/>
  <c r="AR45" i="44" s="1"/>
  <c r="AR46" i="44" s="1"/>
  <c r="AR47" i="44" s="1"/>
  <c r="AR48" i="44" s="1"/>
  <c r="AR49" i="44" s="1"/>
  <c r="AJ61" i="44"/>
  <c r="AT30" i="44"/>
  <c r="AH44" i="44"/>
  <c r="AH45" i="44" s="1"/>
  <c r="AH46" i="44" s="1"/>
  <c r="AH47" i="44" s="1"/>
  <c r="AH48" i="44" s="1"/>
  <c r="AH49" i="44" s="1"/>
  <c r="BD61" i="44"/>
  <c r="AB30" i="44"/>
  <c r="BF31" i="44"/>
  <c r="BB32" i="44"/>
  <c r="AF32" i="44"/>
  <c r="AL31" i="44"/>
  <c r="AB31" i="43"/>
  <c r="AT31" i="45" l="1"/>
  <c r="BB36" i="45"/>
  <c r="I33" i="45"/>
  <c r="AB34" i="45"/>
  <c r="AF33" i="45"/>
  <c r="AL32" i="45"/>
  <c r="BD33" i="45"/>
  <c r="BF32" i="45"/>
  <c r="AR61" i="44"/>
  <c r="AH61" i="44"/>
  <c r="AT31" i="44"/>
  <c r="AF33" i="44"/>
  <c r="AL32" i="44"/>
  <c r="BF32" i="44"/>
  <c r="BB33" i="44"/>
  <c r="AB31" i="44"/>
  <c r="AB32" i="43"/>
  <c r="BD34" i="45" l="1"/>
  <c r="BF33" i="45"/>
  <c r="AB35" i="45"/>
  <c r="I34" i="45"/>
  <c r="AT32" i="45"/>
  <c r="BB37" i="45"/>
  <c r="AF34" i="45"/>
  <c r="AL33" i="45"/>
  <c r="AT32" i="44"/>
  <c r="BF33" i="44"/>
  <c r="BB34" i="44"/>
  <c r="AB32" i="44"/>
  <c r="AF34" i="44"/>
  <c r="AL33" i="44"/>
  <c r="AB33" i="43"/>
  <c r="AT33" i="45" l="1"/>
  <c r="BB38" i="45"/>
  <c r="I35" i="45"/>
  <c r="AF35" i="45"/>
  <c r="AL34" i="45"/>
  <c r="AB36" i="45"/>
  <c r="BD35" i="45"/>
  <c r="BF34" i="45"/>
  <c r="AB33" i="44"/>
  <c r="AT33" i="44"/>
  <c r="BF34" i="44"/>
  <c r="BB35" i="44"/>
  <c r="AF35" i="44"/>
  <c r="AL34" i="44"/>
  <c r="AB34" i="43"/>
  <c r="BD36" i="45" l="1"/>
  <c r="BF35" i="45"/>
  <c r="AF36" i="45"/>
  <c r="AL35" i="45"/>
  <c r="AB37" i="45"/>
  <c r="AT34" i="45"/>
  <c r="I36" i="45"/>
  <c r="BB39" i="45"/>
  <c r="AF36" i="44"/>
  <c r="AL35" i="44"/>
  <c r="AB34" i="44"/>
  <c r="AT34" i="44"/>
  <c r="BF35" i="44"/>
  <c r="BB36" i="44"/>
  <c r="AB35" i="43"/>
  <c r="AB38" i="45" l="1"/>
  <c r="I37" i="45"/>
  <c r="AL36" i="45"/>
  <c r="AF37" i="45"/>
  <c r="BB40" i="45"/>
  <c r="AT35" i="45"/>
  <c r="BD37" i="45"/>
  <c r="BF36" i="45"/>
  <c r="AT35" i="44"/>
  <c r="AB35" i="44"/>
  <c r="AF37" i="44"/>
  <c r="AL36" i="44"/>
  <c r="BB37" i="44"/>
  <c r="BF36" i="44"/>
  <c r="AB36" i="43"/>
  <c r="BD38" i="45" l="1"/>
  <c r="BF37" i="45"/>
  <c r="BB41" i="45"/>
  <c r="AT36" i="45"/>
  <c r="I38" i="45"/>
  <c r="AF38" i="45"/>
  <c r="AL37" i="45"/>
  <c r="AB39" i="45"/>
  <c r="AT36" i="44"/>
  <c r="BF37" i="44"/>
  <c r="BB38" i="44"/>
  <c r="AF38" i="44"/>
  <c r="AL37" i="44"/>
  <c r="AB36" i="44"/>
  <c r="AB37" i="43"/>
  <c r="AT37" i="45" l="1"/>
  <c r="I39" i="45"/>
  <c r="BB42" i="45"/>
  <c r="AF39" i="45"/>
  <c r="AL38" i="45"/>
  <c r="AB40" i="45"/>
  <c r="BD39" i="45"/>
  <c r="BF38" i="45"/>
  <c r="AT37" i="44"/>
  <c r="AB37" i="44"/>
  <c r="AF39" i="44"/>
  <c r="AL38" i="44"/>
  <c r="BB39" i="44"/>
  <c r="BF38" i="44"/>
  <c r="AB38" i="43"/>
  <c r="AT38" i="45" l="1"/>
  <c r="BD40" i="45"/>
  <c r="BF39" i="45"/>
  <c r="AB41" i="45"/>
  <c r="BB50" i="45"/>
  <c r="BB43" i="45"/>
  <c r="AF40" i="45"/>
  <c r="AL39" i="45"/>
  <c r="I40" i="45"/>
  <c r="BF39" i="44"/>
  <c r="BB40" i="44"/>
  <c r="AB38" i="44"/>
  <c r="AT38" i="44"/>
  <c r="AF40" i="44"/>
  <c r="AL39" i="44"/>
  <c r="AB39" i="43"/>
  <c r="AT39" i="45" l="1"/>
  <c r="AF41" i="45"/>
  <c r="AL40" i="45"/>
  <c r="AB42" i="45"/>
  <c r="I41" i="45"/>
  <c r="BB44" i="45"/>
  <c r="BB51" i="45"/>
  <c r="BD41" i="45"/>
  <c r="BF40" i="45"/>
  <c r="AT39" i="44"/>
  <c r="AF41" i="44"/>
  <c r="AL40" i="44"/>
  <c r="AB39" i="44"/>
  <c r="BF40" i="44"/>
  <c r="BB41" i="44"/>
  <c r="AB40" i="43"/>
  <c r="BD42" i="45" l="1"/>
  <c r="BF41" i="45"/>
  <c r="AB50" i="45"/>
  <c r="AB43" i="45"/>
  <c r="I42" i="45"/>
  <c r="AT40" i="45"/>
  <c r="BB45" i="45"/>
  <c r="BB52" i="45"/>
  <c r="AF42" i="45"/>
  <c r="AL41" i="45"/>
  <c r="AT41" i="45" s="1"/>
  <c r="AF42" i="44"/>
  <c r="AF43" i="44" s="1"/>
  <c r="AL41" i="44"/>
  <c r="AB40" i="44"/>
  <c r="BF41" i="44"/>
  <c r="BB42" i="44"/>
  <c r="BB43" i="44" s="1"/>
  <c r="AT40" i="44"/>
  <c r="AB41" i="43"/>
  <c r="AB51" i="45" l="1"/>
  <c r="AF50" i="45"/>
  <c r="AF43" i="45"/>
  <c r="AL42" i="45"/>
  <c r="I43" i="45"/>
  <c r="BB46" i="45"/>
  <c r="AB44" i="45"/>
  <c r="BD50" i="45"/>
  <c r="BD43" i="45"/>
  <c r="BF42" i="45"/>
  <c r="BF43" i="44"/>
  <c r="BB44" i="44"/>
  <c r="AF44" i="44"/>
  <c r="AL43" i="44"/>
  <c r="AB41" i="44"/>
  <c r="AT41" i="44"/>
  <c r="AF50" i="44"/>
  <c r="AL42" i="44"/>
  <c r="BF42" i="44"/>
  <c r="BB50" i="44"/>
  <c r="AB42" i="43"/>
  <c r="AT42" i="45" l="1"/>
  <c r="BD44" i="45"/>
  <c r="BF43" i="45"/>
  <c r="AF51" i="45"/>
  <c r="AL50" i="45"/>
  <c r="BD51" i="45"/>
  <c r="BF50" i="45"/>
  <c r="BB47" i="45"/>
  <c r="I44" i="45"/>
  <c r="AB52" i="45"/>
  <c r="AB45" i="45"/>
  <c r="AF44" i="45"/>
  <c r="AL43" i="45"/>
  <c r="AT43" i="44"/>
  <c r="AF45" i="44"/>
  <c r="AL44" i="44"/>
  <c r="BF44" i="44"/>
  <c r="BB45" i="44"/>
  <c r="BF50" i="44"/>
  <c r="BB51" i="44"/>
  <c r="AF51" i="44"/>
  <c r="AL50" i="44"/>
  <c r="AT42" i="44"/>
  <c r="AB42" i="44"/>
  <c r="AB43" i="44" s="1"/>
  <c r="AB43" i="43"/>
  <c r="AT50" i="45" l="1"/>
  <c r="BB48" i="45"/>
  <c r="AF52" i="45"/>
  <c r="AL51" i="45"/>
  <c r="AB44" i="44"/>
  <c r="AB46" i="45"/>
  <c r="AL44" i="45"/>
  <c r="AF45" i="45"/>
  <c r="AT43" i="45"/>
  <c r="I45" i="45"/>
  <c r="BD52" i="45"/>
  <c r="BF51" i="45"/>
  <c r="BD45" i="45"/>
  <c r="BF44" i="45"/>
  <c r="AT44" i="44"/>
  <c r="AT50" i="44"/>
  <c r="BF45" i="44"/>
  <c r="BB46" i="44"/>
  <c r="AL45" i="44"/>
  <c r="AT45" i="44" s="1"/>
  <c r="AF46" i="44"/>
  <c r="AF52" i="44"/>
  <c r="AL51" i="44"/>
  <c r="AB50" i="44"/>
  <c r="BF51" i="44"/>
  <c r="BB52" i="44"/>
  <c r="AB44" i="43"/>
  <c r="AT44" i="45" l="1"/>
  <c r="AB45" i="44"/>
  <c r="BB49" i="45"/>
  <c r="AT51" i="45"/>
  <c r="BF52" i="45"/>
  <c r="I46" i="45"/>
  <c r="BD46" i="45"/>
  <c r="BF45" i="45"/>
  <c r="AF46" i="45"/>
  <c r="AL45" i="45"/>
  <c r="AB47" i="45"/>
  <c r="AL52" i="45"/>
  <c r="AL46" i="44"/>
  <c r="AF47" i="44"/>
  <c r="BF46" i="44"/>
  <c r="BB47" i="44"/>
  <c r="AB51" i="44"/>
  <c r="AT51" i="44"/>
  <c r="AL52" i="44"/>
  <c r="BF52" i="44"/>
  <c r="AB45" i="43"/>
  <c r="AT52" i="45" l="1"/>
  <c r="AF47" i="45"/>
  <c r="AL46" i="45"/>
  <c r="AB48" i="45"/>
  <c r="I47" i="45"/>
  <c r="BB61" i="45"/>
  <c r="AB46" i="44"/>
  <c r="AT45" i="45"/>
  <c r="BD47" i="45"/>
  <c r="BF46" i="45"/>
  <c r="AT52" i="44"/>
  <c r="BF47" i="44"/>
  <c r="BB48" i="44"/>
  <c r="AF48" i="44"/>
  <c r="AL47" i="44"/>
  <c r="AT46" i="44"/>
  <c r="AB52" i="44"/>
  <c r="AB46" i="43"/>
  <c r="BD48" i="45" l="1"/>
  <c r="BF47" i="45"/>
  <c r="AF48" i="45"/>
  <c r="AL47" i="45"/>
  <c r="AB47" i="44"/>
  <c r="AT46" i="45"/>
  <c r="AB49" i="45"/>
  <c r="I48" i="45"/>
  <c r="AT47" i="44"/>
  <c r="AF49" i="44"/>
  <c r="AL49" i="44" s="1"/>
  <c r="AL48" i="44"/>
  <c r="BF48" i="44"/>
  <c r="BB49" i="44"/>
  <c r="BF49" i="44" s="1"/>
  <c r="AB47" i="43"/>
  <c r="AT47" i="45" l="1"/>
  <c r="AB48" i="44"/>
  <c r="I49" i="45"/>
  <c r="AF49" i="45"/>
  <c r="AL49" i="45" s="1"/>
  <c r="AL48" i="45"/>
  <c r="BD49" i="45"/>
  <c r="BF48" i="45"/>
  <c r="AT48" i="44"/>
  <c r="AT49" i="44"/>
  <c r="AT48" i="45" l="1"/>
  <c r="AL61" i="45"/>
  <c r="BF49" i="45"/>
  <c r="AT49" i="45" s="1"/>
  <c r="BD61" i="45"/>
  <c r="AF61" i="45"/>
  <c r="I50" i="45"/>
  <c r="AB49" i="44"/>
  <c r="BF61" i="45" l="1"/>
  <c r="AT61" i="45"/>
  <c r="I51" i="45"/>
  <c r="I52" i="45" l="1"/>
  <c r="AF61" i="44"/>
  <c r="BF61" i="44"/>
  <c r="BB61" i="44"/>
  <c r="I61" i="44"/>
  <c r="I61" i="45" l="1"/>
  <c r="AL61" i="44"/>
  <c r="AT61" i="44" l="1"/>
  <c r="I18" i="74" l="1"/>
  <c r="G70" i="74" l="1"/>
  <c r="K70" i="74"/>
  <c r="O70" i="74"/>
  <c r="Q70" i="74"/>
  <c r="AD70" i="74"/>
  <c r="I70" i="74"/>
  <c r="G18" i="47"/>
  <c r="G18" i="68"/>
  <c r="G18" i="67"/>
  <c r="G18" i="66"/>
  <c r="G18" i="48"/>
  <c r="G18" i="50"/>
  <c r="G18" i="49"/>
  <c r="G18" i="43"/>
  <c r="G58" i="43" s="1"/>
  <c r="G18" i="70"/>
  <c r="I18" i="62"/>
  <c r="I18" i="61"/>
  <c r="I18" i="65"/>
  <c r="I18" i="63"/>
  <c r="I18" i="60"/>
  <c r="I18" i="59"/>
  <c r="I18" i="58"/>
  <c r="G18" i="55"/>
  <c r="G18" i="54"/>
  <c r="G18" i="56"/>
  <c r="K58" i="47"/>
  <c r="O58" i="47"/>
  <c r="Q58" i="47"/>
  <c r="AD58" i="47"/>
  <c r="C58" i="47"/>
  <c r="G58" i="47"/>
  <c r="K58" i="43"/>
  <c r="G18" i="42"/>
  <c r="K58" i="42" s="1"/>
  <c r="G12" i="42"/>
  <c r="G11" i="42"/>
  <c r="G10" i="42"/>
  <c r="AD47" i="42"/>
  <c r="AD46" i="42"/>
  <c r="AD45" i="42"/>
  <c r="AD44" i="42"/>
  <c r="AD43" i="42"/>
  <c r="AD42" i="42"/>
  <c r="AD41" i="42"/>
  <c r="AD40" i="42"/>
  <c r="AD39" i="42"/>
  <c r="AD38" i="42"/>
  <c r="AD37" i="42"/>
  <c r="AD36" i="42"/>
  <c r="AD35" i="42"/>
  <c r="AD34" i="42"/>
  <c r="AD33" i="42"/>
  <c r="AD32" i="42"/>
  <c r="AD31" i="42"/>
  <c r="AD30" i="42"/>
  <c r="AD29" i="42"/>
  <c r="AZ28" i="42"/>
  <c r="AZ29" i="42" s="1"/>
  <c r="AZ30" i="42" s="1"/>
  <c r="AZ31" i="42" s="1"/>
  <c r="AZ32" i="42" s="1"/>
  <c r="AZ33" i="42" s="1"/>
  <c r="AZ34" i="42" s="1"/>
  <c r="AZ35" i="42" s="1"/>
  <c r="AZ36" i="42" s="1"/>
  <c r="AZ37" i="42" s="1"/>
  <c r="AZ38" i="42" s="1"/>
  <c r="AZ39" i="42" s="1"/>
  <c r="AZ40" i="42" s="1"/>
  <c r="AZ41" i="42" s="1"/>
  <c r="AZ42" i="42" s="1"/>
  <c r="AZ43" i="42" s="1"/>
  <c r="AZ44" i="42" s="1"/>
  <c r="AZ45" i="42" s="1"/>
  <c r="AZ46" i="42" s="1"/>
  <c r="AZ47" i="42" s="1"/>
  <c r="AD28" i="42"/>
  <c r="M28" i="42"/>
  <c r="C28" i="42"/>
  <c r="W26" i="42"/>
  <c r="U26" i="42"/>
  <c r="S26" i="42"/>
  <c r="Q26" i="42"/>
  <c r="O26" i="42"/>
  <c r="M26" i="42"/>
  <c r="K26" i="42"/>
  <c r="BD15" i="42"/>
  <c r="BD14" i="42"/>
  <c r="A3" i="42"/>
  <c r="A2" i="42"/>
  <c r="A1" i="42"/>
  <c r="D57" i="4"/>
  <c r="W27" i="5"/>
  <c r="W28" i="5" s="1"/>
  <c r="X27" i="5"/>
  <c r="X28" i="5" s="1"/>
  <c r="X29" i="5" s="1"/>
  <c r="X30" i="5" s="1"/>
  <c r="X31" i="5" s="1"/>
  <c r="X32" i="5" s="1"/>
  <c r="X33" i="5" s="1"/>
  <c r="X34" i="5" s="1"/>
  <c r="X35" i="5" s="1"/>
  <c r="X36" i="5" s="1"/>
  <c r="X37" i="5" s="1"/>
  <c r="X38" i="5" s="1"/>
  <c r="X39" i="5" s="1"/>
  <c r="X40" i="5" s="1"/>
  <c r="X41" i="5" s="1"/>
  <c r="X42" i="5" s="1"/>
  <c r="X43" i="5" s="1"/>
  <c r="X44" i="5" s="1"/>
  <c r="X45" i="5" s="1"/>
  <c r="X46" i="5" s="1"/>
  <c r="X47" i="5" s="1"/>
  <c r="X48" i="5" s="1"/>
  <c r="X49" i="5" s="1"/>
  <c r="X50" i="5" s="1"/>
  <c r="X51" i="5" s="1"/>
  <c r="X52" i="5" s="1"/>
  <c r="X53" i="5" s="1"/>
  <c r="X54" i="5" s="1"/>
  <c r="X55" i="5" s="1"/>
  <c r="X56" i="5" s="1"/>
  <c r="X57" i="5" s="1"/>
  <c r="X58" i="5" s="1"/>
  <c r="X59" i="5" s="1"/>
  <c r="X60" i="5" s="1"/>
  <c r="X61" i="5" s="1"/>
  <c r="X62" i="5" s="1"/>
  <c r="V27" i="5"/>
  <c r="AD47" i="40"/>
  <c r="Q58" i="40"/>
  <c r="C58" i="40"/>
  <c r="C29" i="40"/>
  <c r="C30" i="40" s="1"/>
  <c r="AZ28" i="40"/>
  <c r="AZ29" i="40" s="1"/>
  <c r="AZ30" i="40" s="1"/>
  <c r="AZ31" i="40" s="1"/>
  <c r="AZ32" i="40" s="1"/>
  <c r="AZ33" i="40" s="1"/>
  <c r="AZ34" i="40" s="1"/>
  <c r="AZ35" i="40" s="1"/>
  <c r="AZ36" i="40" s="1"/>
  <c r="AZ37" i="40" s="1"/>
  <c r="AZ38" i="40" s="1"/>
  <c r="AZ39" i="40" s="1"/>
  <c r="AZ40" i="40" s="1"/>
  <c r="AZ41" i="40" s="1"/>
  <c r="AZ42" i="40" s="1"/>
  <c r="AZ43" i="40" s="1"/>
  <c r="AZ44" i="40" s="1"/>
  <c r="AZ45" i="40" s="1"/>
  <c r="AZ46" i="40" s="1"/>
  <c r="AZ47" i="40" s="1"/>
  <c r="AB28" i="40"/>
  <c r="AB29" i="40" s="1"/>
  <c r="M28" i="40"/>
  <c r="C28" i="40"/>
  <c r="W26" i="40"/>
  <c r="U26" i="40"/>
  <c r="S26" i="40"/>
  <c r="Q26" i="40"/>
  <c r="O26" i="40"/>
  <c r="M26" i="40"/>
  <c r="K26" i="40"/>
  <c r="AF16" i="40"/>
  <c r="BD15" i="40"/>
  <c r="BD14" i="40"/>
  <c r="A3" i="40"/>
  <c r="A2" i="40"/>
  <c r="A1" i="40"/>
  <c r="V28" i="5" l="1"/>
  <c r="O28" i="54"/>
  <c r="O28" i="56"/>
  <c r="W29" i="5"/>
  <c r="O28" i="55"/>
  <c r="AJ16" i="51"/>
  <c r="AF11" i="51" s="1"/>
  <c r="BD11" i="51" s="1"/>
  <c r="AJ16" i="69"/>
  <c r="AF11" i="69" s="1"/>
  <c r="AJ16" i="65"/>
  <c r="AF11" i="65" s="1"/>
  <c r="BD11" i="65" s="1"/>
  <c r="AD75" i="65"/>
  <c r="G75" i="65"/>
  <c r="Q75" i="65"/>
  <c r="O58" i="43"/>
  <c r="Q58" i="43"/>
  <c r="Q58" i="56"/>
  <c r="C58" i="56"/>
  <c r="G58" i="56"/>
  <c r="AD58" i="56"/>
  <c r="AF12" i="56" s="1"/>
  <c r="K58" i="56"/>
  <c r="G70" i="59"/>
  <c r="AD70" i="59"/>
  <c r="K70" i="59"/>
  <c r="Q70" i="59"/>
  <c r="I70" i="59"/>
  <c r="K70" i="61"/>
  <c r="Q70" i="61"/>
  <c r="G70" i="61"/>
  <c r="AD70" i="61"/>
  <c r="O70" i="61"/>
  <c r="Q58" i="49"/>
  <c r="AD58" i="49"/>
  <c r="O58" i="49"/>
  <c r="C58" i="49"/>
  <c r="G58" i="49"/>
  <c r="K58" i="49"/>
  <c r="G59" i="67"/>
  <c r="Q59" i="67"/>
  <c r="C59" i="67"/>
  <c r="O59" i="67"/>
  <c r="AD59" i="67"/>
  <c r="I70" i="58"/>
  <c r="Q70" i="58"/>
  <c r="G59" i="66"/>
  <c r="Q59" i="66"/>
  <c r="AD59" i="66"/>
  <c r="O59" i="66"/>
  <c r="C59" i="66"/>
  <c r="C58" i="43"/>
  <c r="AD58" i="43"/>
  <c r="K58" i="54"/>
  <c r="AD58" i="54"/>
  <c r="AF12" i="54" s="1"/>
  <c r="Q58" i="54"/>
  <c r="C58" i="54"/>
  <c r="G58" i="54"/>
  <c r="Q70" i="60"/>
  <c r="K70" i="60"/>
  <c r="AD70" i="60"/>
  <c r="G70" i="60"/>
  <c r="I70" i="60"/>
  <c r="G70" i="62"/>
  <c r="AD70" i="62"/>
  <c r="Q70" i="62"/>
  <c r="K70" i="62"/>
  <c r="O70" i="62"/>
  <c r="K58" i="50"/>
  <c r="O58" i="50"/>
  <c r="Q58" i="50"/>
  <c r="C58" i="50"/>
  <c r="AD58" i="50"/>
  <c r="G58" i="50"/>
  <c r="C59" i="68"/>
  <c r="O59" i="68"/>
  <c r="Q59" i="68"/>
  <c r="AD59" i="68"/>
  <c r="G59" i="68"/>
  <c r="AD58" i="55"/>
  <c r="AF12" i="55" s="1"/>
  <c r="G58" i="55"/>
  <c r="C58" i="55"/>
  <c r="Q58" i="55"/>
  <c r="K58" i="55"/>
  <c r="G70" i="63"/>
  <c r="Q70" i="63"/>
  <c r="AD70" i="63"/>
  <c r="O70" i="63"/>
  <c r="K70" i="63"/>
  <c r="C68" i="70"/>
  <c r="G68" i="70"/>
  <c r="AD68" i="70"/>
  <c r="O68" i="70"/>
  <c r="G58" i="48"/>
  <c r="C58" i="48"/>
  <c r="O58" i="48"/>
  <c r="K58" i="48"/>
  <c r="AD58" i="48"/>
  <c r="Q58" i="48"/>
  <c r="AF12" i="51"/>
  <c r="AJ16" i="40"/>
  <c r="AF11" i="40" s="1"/>
  <c r="BD11" i="40" s="1"/>
  <c r="C58" i="42"/>
  <c r="G58" i="42"/>
  <c r="Q58" i="42"/>
  <c r="C29" i="42"/>
  <c r="C30" i="42" s="1"/>
  <c r="C31" i="42" s="1"/>
  <c r="AB28" i="42"/>
  <c r="AD58" i="42"/>
  <c r="AB29" i="42"/>
  <c r="O58" i="42"/>
  <c r="C31" i="40"/>
  <c r="AB30" i="40"/>
  <c r="W30" i="5" l="1"/>
  <c r="O29" i="55"/>
  <c r="V29" i="5"/>
  <c r="O29" i="56"/>
  <c r="O29" i="54"/>
  <c r="AF12" i="65"/>
  <c r="BD11" i="69"/>
  <c r="AF12" i="69"/>
  <c r="C32" i="42"/>
  <c r="AB30" i="42"/>
  <c r="C32" i="40"/>
  <c r="AB31" i="40"/>
  <c r="V30" i="5" l="1"/>
  <c r="O30" i="54"/>
  <c r="O30" i="56"/>
  <c r="W31" i="5"/>
  <c r="O30" i="55"/>
  <c r="C33" i="42"/>
  <c r="AB31" i="42"/>
  <c r="C33" i="40"/>
  <c r="AB32" i="40"/>
  <c r="W32" i="5" l="1"/>
  <c r="O31" i="55"/>
  <c r="V31" i="5"/>
  <c r="O31" i="56"/>
  <c r="O31" i="54"/>
  <c r="AB32" i="42"/>
  <c r="C34" i="42"/>
  <c r="AB33" i="40"/>
  <c r="C34" i="40"/>
  <c r="V32" i="5" l="1"/>
  <c r="O32" i="54"/>
  <c r="O32" i="56"/>
  <c r="W33" i="5"/>
  <c r="O32" i="55"/>
  <c r="C35" i="42"/>
  <c r="AB33" i="42"/>
  <c r="C35" i="40"/>
  <c r="AB34" i="40"/>
  <c r="V33" i="5" l="1"/>
  <c r="O33" i="56"/>
  <c r="O33" i="54"/>
  <c r="W34" i="5"/>
  <c r="O33" i="55"/>
  <c r="AB34" i="42"/>
  <c r="C36" i="42"/>
  <c r="C36" i="40"/>
  <c r="AB35" i="40"/>
  <c r="W35" i="5" l="1"/>
  <c r="O34" i="55"/>
  <c r="V34" i="5"/>
  <c r="O34" i="54"/>
  <c r="O34" i="56"/>
  <c r="C37" i="42"/>
  <c r="AB35" i="42"/>
  <c r="C37" i="40"/>
  <c r="AB36" i="40"/>
  <c r="V35" i="5" l="1"/>
  <c r="O35" i="56"/>
  <c r="O35" i="54"/>
  <c r="W36" i="5"/>
  <c r="O35" i="55"/>
  <c r="AB36" i="42"/>
  <c r="C38" i="42"/>
  <c r="AB37" i="40"/>
  <c r="C38" i="40"/>
  <c r="W37" i="5" l="1"/>
  <c r="O36" i="55"/>
  <c r="V36" i="5"/>
  <c r="O36" i="54"/>
  <c r="O36" i="56"/>
  <c r="C39" i="42"/>
  <c r="AB37" i="42"/>
  <c r="AB38" i="40"/>
  <c r="C39" i="40"/>
  <c r="V37" i="5" l="1"/>
  <c r="O37" i="56"/>
  <c r="O37" i="54"/>
  <c r="W38" i="5"/>
  <c r="O37" i="55"/>
  <c r="C40" i="42"/>
  <c r="AB38" i="42"/>
  <c r="C40" i="40"/>
  <c r="AB39" i="40"/>
  <c r="W39" i="5" l="1"/>
  <c r="O38" i="55"/>
  <c r="V38" i="5"/>
  <c r="O38" i="54"/>
  <c r="O38" i="56"/>
  <c r="AB39" i="42"/>
  <c r="C41" i="42"/>
  <c r="C41" i="40"/>
  <c r="AB40" i="40"/>
  <c r="V39" i="5" l="1"/>
  <c r="O39" i="56"/>
  <c r="O39" i="54"/>
  <c r="W40" i="5"/>
  <c r="O39" i="55"/>
  <c r="AB40" i="42"/>
  <c r="C42" i="42"/>
  <c r="C42" i="40"/>
  <c r="AB41" i="40"/>
  <c r="W41" i="5" l="1"/>
  <c r="O40" i="55"/>
  <c r="V40" i="5"/>
  <c r="O40" i="54"/>
  <c r="O40" i="56"/>
  <c r="C43" i="42"/>
  <c r="AB41" i="42"/>
  <c r="AB42" i="40"/>
  <c r="C43" i="40"/>
  <c r="V41" i="5" l="1"/>
  <c r="O41" i="54"/>
  <c r="O41" i="56"/>
  <c r="W42" i="5"/>
  <c r="O41" i="55"/>
  <c r="AB42" i="42"/>
  <c r="C44" i="42"/>
  <c r="AB43" i="40"/>
  <c r="C44" i="40"/>
  <c r="W43" i="5" l="1"/>
  <c r="O42" i="55"/>
  <c r="V42" i="5"/>
  <c r="O42" i="54"/>
  <c r="O42" i="56"/>
  <c r="C45" i="42"/>
  <c r="AB43" i="42"/>
  <c r="AB44" i="40"/>
  <c r="C45" i="40"/>
  <c r="V43" i="5" l="1"/>
  <c r="O43" i="56"/>
  <c r="O43" i="54"/>
  <c r="W44" i="5"/>
  <c r="O43" i="55"/>
  <c r="C46" i="42"/>
  <c r="AB44" i="42"/>
  <c r="AB45" i="40"/>
  <c r="C46" i="40"/>
  <c r="C47" i="40" s="1"/>
  <c r="W45" i="5" l="1"/>
  <c r="O44" i="55"/>
  <c r="V44" i="5"/>
  <c r="O44" i="54"/>
  <c r="O44" i="56"/>
  <c r="AB45" i="42"/>
  <c r="C47" i="42"/>
  <c r="AB46" i="40"/>
  <c r="AB47" i="40" s="1"/>
  <c r="V45" i="5" l="1"/>
  <c r="O45" i="56"/>
  <c r="O45" i="54"/>
  <c r="W46" i="5"/>
  <c r="O45" i="55"/>
  <c r="AB46" i="42"/>
  <c r="W47" i="5" l="1"/>
  <c r="O46" i="55"/>
  <c r="V46" i="5"/>
  <c r="O46" i="54"/>
  <c r="O46" i="56"/>
  <c r="AB47" i="42"/>
  <c r="V47" i="5" l="1"/>
  <c r="V48" i="5" s="1"/>
  <c r="O47" i="56"/>
  <c r="O58" i="56" s="1"/>
  <c r="O47" i="54"/>
  <c r="O58" i="54" s="1"/>
  <c r="W48" i="5"/>
  <c r="O47" i="55"/>
  <c r="O58" i="55" s="1"/>
  <c r="K58" i="40"/>
  <c r="P16" i="4" l="1"/>
  <c r="AJ15" i="68" l="1"/>
  <c r="AJ15" i="67"/>
  <c r="AJ15" i="66"/>
  <c r="AJ15" i="49"/>
  <c r="AJ15" i="48"/>
  <c r="AJ15" i="50"/>
  <c r="AJ15" i="47"/>
  <c r="G41" i="32"/>
  <c r="G28" i="32"/>
  <c r="G31" i="32"/>
  <c r="AD39" i="31" l="1"/>
  <c r="AF12" i="31" s="1"/>
  <c r="AD38" i="31"/>
  <c r="AD37" i="31"/>
  <c r="AD36" i="31"/>
  <c r="AD35" i="31"/>
  <c r="AD34" i="31"/>
  <c r="AD33" i="31"/>
  <c r="AD32" i="31"/>
  <c r="AD31" i="31"/>
  <c r="BB30" i="31"/>
  <c r="BB31" i="31" s="1"/>
  <c r="AD30" i="31"/>
  <c r="BD29" i="31"/>
  <c r="BB29" i="31"/>
  <c r="AR29" i="31"/>
  <c r="AJ29" i="31"/>
  <c r="AH29" i="31"/>
  <c r="AH30" i="31" s="1"/>
  <c r="AH31" i="31" s="1"/>
  <c r="AH32" i="31" s="1"/>
  <c r="AH33" i="31" s="1"/>
  <c r="AH34" i="31" s="1"/>
  <c r="AH35" i="31" s="1"/>
  <c r="AH36" i="31" s="1"/>
  <c r="AH37" i="31" s="1"/>
  <c r="AH38" i="31" s="1"/>
  <c r="AH39" i="31" s="1"/>
  <c r="AF29" i="31"/>
  <c r="AD29" i="31"/>
  <c r="M29" i="31"/>
  <c r="M30" i="31" s="1"/>
  <c r="M31" i="31" s="1"/>
  <c r="M32" i="31" s="1"/>
  <c r="M33" i="31" s="1"/>
  <c r="M34" i="31" s="1"/>
  <c r="M35" i="31" s="1"/>
  <c r="M36" i="31" s="1"/>
  <c r="M37" i="31" s="1"/>
  <c r="M38" i="31" s="1"/>
  <c r="M39" i="31" s="1"/>
  <c r="BF28" i="31"/>
  <c r="AZ28" i="31"/>
  <c r="AZ29" i="31" s="1"/>
  <c r="AZ30" i="31" s="1"/>
  <c r="AZ31" i="31" s="1"/>
  <c r="AZ32" i="31" s="1"/>
  <c r="AZ33" i="31" s="1"/>
  <c r="AZ34" i="31" s="1"/>
  <c r="AZ35" i="31" s="1"/>
  <c r="AZ36" i="31" s="1"/>
  <c r="AZ37" i="31" s="1"/>
  <c r="AZ38" i="31" s="1"/>
  <c r="AZ39" i="31" s="1"/>
  <c r="AZ40" i="31" s="1"/>
  <c r="AZ41" i="31" s="1"/>
  <c r="AZ42" i="31" s="1"/>
  <c r="AZ43" i="31" s="1"/>
  <c r="AZ44" i="31" s="1"/>
  <c r="AZ45" i="31" s="1"/>
  <c r="AZ46" i="31" s="1"/>
  <c r="AZ47" i="31" s="1"/>
  <c r="AZ48" i="31" s="1"/>
  <c r="AZ49" i="31" s="1"/>
  <c r="AZ50" i="31" s="1"/>
  <c r="AZ51" i="31" s="1"/>
  <c r="AZ52" i="31" s="1"/>
  <c r="AZ53" i="31" s="1"/>
  <c r="AZ54" i="31" s="1"/>
  <c r="AZ55" i="31" s="1"/>
  <c r="AZ56" i="31" s="1"/>
  <c r="AZ57" i="31" s="1"/>
  <c r="AZ58" i="31" s="1"/>
  <c r="AZ59" i="31" s="1"/>
  <c r="AZ60" i="31" s="1"/>
  <c r="AZ61" i="31" s="1"/>
  <c r="AZ62" i="31" s="1"/>
  <c r="AZ63" i="31" s="1"/>
  <c r="AZ64" i="31" s="1"/>
  <c r="AZ65" i="31" s="1"/>
  <c r="AZ66" i="31" s="1"/>
  <c r="AZ67" i="31" s="1"/>
  <c r="AZ68" i="31" s="1"/>
  <c r="AZ69" i="31" s="1"/>
  <c r="AZ70" i="31" s="1"/>
  <c r="AB28" i="31"/>
  <c r="AB29" i="31" s="1"/>
  <c r="M28" i="31"/>
  <c r="K28" i="31"/>
  <c r="I29" i="31"/>
  <c r="G28" i="31"/>
  <c r="C28" i="3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W26" i="31"/>
  <c r="U26" i="31"/>
  <c r="S26" i="31"/>
  <c r="Q26" i="31"/>
  <c r="O26" i="31"/>
  <c r="M26" i="31"/>
  <c r="K26" i="31"/>
  <c r="G19" i="31"/>
  <c r="BD40" i="31"/>
  <c r="BB40" i="31"/>
  <c r="AB30" i="31" l="1"/>
  <c r="BF40" i="31"/>
  <c r="BB32" i="31"/>
  <c r="I30" i="31"/>
  <c r="AD28" i="31"/>
  <c r="BD30" i="31"/>
  <c r="BD31" i="31" s="1"/>
  <c r="BD32" i="31" s="1"/>
  <c r="BD33" i="31" s="1"/>
  <c r="BD34" i="31" s="1"/>
  <c r="BD35" i="31" s="1"/>
  <c r="BD36" i="31" s="1"/>
  <c r="BD37" i="31" s="1"/>
  <c r="BD38" i="31" s="1"/>
  <c r="BD39" i="31" s="1"/>
  <c r="S28" i="31"/>
  <c r="BF29" i="31"/>
  <c r="AT29" i="31" s="1"/>
  <c r="AF30" i="31"/>
  <c r="K29" i="31"/>
  <c r="K30" i="31" s="1"/>
  <c r="K31" i="31" s="1"/>
  <c r="K32" i="31" s="1"/>
  <c r="K33" i="31" s="1"/>
  <c r="K34" i="31" s="1"/>
  <c r="K35" i="31" s="1"/>
  <c r="K36" i="31" s="1"/>
  <c r="K37" i="31" s="1"/>
  <c r="K38" i="31" s="1"/>
  <c r="K39" i="31" s="1"/>
  <c r="BF30" i="31"/>
  <c r="AJ30" i="31"/>
  <c r="AJ31" i="31" s="1"/>
  <c r="AJ32" i="31" s="1"/>
  <c r="AJ33" i="31" s="1"/>
  <c r="AJ34" i="31" s="1"/>
  <c r="AJ35" i="31" s="1"/>
  <c r="AJ36" i="31" s="1"/>
  <c r="AJ37" i="31" s="1"/>
  <c r="AJ38" i="31" s="1"/>
  <c r="AJ39" i="31" s="1"/>
  <c r="AR30" i="31"/>
  <c r="AR31" i="31" s="1"/>
  <c r="AR32" i="31" s="1"/>
  <c r="AR33" i="31" s="1"/>
  <c r="AR34" i="31" s="1"/>
  <c r="AR35" i="31" s="1"/>
  <c r="AR36" i="31" s="1"/>
  <c r="AR37" i="31" s="1"/>
  <c r="AR38" i="31" s="1"/>
  <c r="AR39" i="31" s="1"/>
  <c r="AB31" i="31" l="1"/>
  <c r="AL28" i="31"/>
  <c r="S29" i="31"/>
  <c r="AF31" i="31"/>
  <c r="AT30" i="31"/>
  <c r="BB33" i="31"/>
  <c r="BF32" i="31"/>
  <c r="BF31" i="31"/>
  <c r="S30" i="31"/>
  <c r="I31" i="31"/>
  <c r="AB32" i="31" l="1"/>
  <c r="AT28" i="31"/>
  <c r="BB34" i="31"/>
  <c r="BF33" i="31"/>
  <c r="S31" i="31"/>
  <c r="I32" i="31"/>
  <c r="AF32" i="31"/>
  <c r="AT31" i="31"/>
  <c r="AB33" i="31" l="1"/>
  <c r="S32" i="31"/>
  <c r="I33" i="31"/>
  <c r="AF33" i="31"/>
  <c r="AT32" i="31"/>
  <c r="BF34" i="31"/>
  <c r="AB34" i="31" l="1"/>
  <c r="AF34" i="31"/>
  <c r="AT33" i="31"/>
  <c r="S33" i="31"/>
  <c r="I34" i="31"/>
  <c r="BB36" i="31"/>
  <c r="BF35" i="31"/>
  <c r="AB35" i="31" l="1"/>
  <c r="S34" i="31"/>
  <c r="I35" i="31"/>
  <c r="BB37" i="31"/>
  <c r="BF36" i="31"/>
  <c r="AF35" i="31"/>
  <c r="AB36" i="31" l="1"/>
  <c r="AT34" i="31"/>
  <c r="AT35" i="31"/>
  <c r="AF36" i="31"/>
  <c r="BB38" i="31"/>
  <c r="BF37" i="31"/>
  <c r="S35" i="31"/>
  <c r="I36" i="31"/>
  <c r="AB37" i="31" l="1"/>
  <c r="S36" i="31"/>
  <c r="I37" i="31"/>
  <c r="BB39" i="31"/>
  <c r="BF38" i="31"/>
  <c r="AF37" i="31"/>
  <c r="AT36" i="31"/>
  <c r="AB38" i="31" l="1"/>
  <c r="I38" i="31"/>
  <c r="AF38" i="31"/>
  <c r="AT37" i="31"/>
  <c r="BF39" i="31"/>
  <c r="AB39" i="31" l="1"/>
  <c r="S38" i="31"/>
  <c r="I39" i="31"/>
  <c r="AF39" i="31"/>
  <c r="AT38" i="31"/>
  <c r="AB40" i="31" l="1"/>
  <c r="AB41" i="31" s="1"/>
  <c r="AB42" i="31" s="1"/>
  <c r="AB43" i="31" s="1"/>
  <c r="AB44" i="31" s="1"/>
  <c r="AB45" i="31" s="1"/>
  <c r="AB46" i="31" s="1"/>
  <c r="AB47" i="31" s="1"/>
  <c r="AB48" i="31" s="1"/>
  <c r="AB49" i="31" s="1"/>
  <c r="AB50" i="31" s="1"/>
  <c r="AB51" i="31" s="1"/>
  <c r="AB52" i="31" s="1"/>
  <c r="AB53" i="31" s="1"/>
  <c r="AB54" i="31" s="1"/>
  <c r="AB55" i="31" s="1"/>
  <c r="AB56" i="31" s="1"/>
  <c r="AB57" i="31" s="1"/>
  <c r="AB58" i="31" s="1"/>
  <c r="AB59" i="31" s="1"/>
  <c r="AB60" i="31" s="1"/>
  <c r="AT39" i="31"/>
  <c r="S39" i="31"/>
  <c r="AB61" i="31" l="1"/>
  <c r="AB62" i="31" l="1"/>
  <c r="AB63" i="31" l="1"/>
  <c r="AB64" i="31" l="1"/>
  <c r="AB65" i="31" l="1"/>
  <c r="AB66" i="31" l="1"/>
  <c r="AB67" i="31" l="1"/>
  <c r="AB68" i="31" l="1"/>
  <c r="AB69" i="31" l="1"/>
  <c r="AB70" i="31" l="1"/>
  <c r="G15" i="21" l="1"/>
  <c r="AD71" i="30" l="1"/>
  <c r="AD70" i="30"/>
  <c r="AD69" i="30"/>
  <c r="AD68" i="30"/>
  <c r="AD67" i="30"/>
  <c r="AD66" i="30"/>
  <c r="AD65" i="30"/>
  <c r="AD64" i="30"/>
  <c r="AD63" i="30"/>
  <c r="AD62" i="30"/>
  <c r="AD61" i="30"/>
  <c r="AD60" i="30"/>
  <c r="AD59" i="30"/>
  <c r="AD58" i="30"/>
  <c r="AD57" i="30"/>
  <c r="AD56" i="30"/>
  <c r="AD55" i="30"/>
  <c r="AD54" i="30"/>
  <c r="AD53" i="30"/>
  <c r="AD52" i="30"/>
  <c r="AD51" i="30"/>
  <c r="AD50" i="30"/>
  <c r="AD49" i="30"/>
  <c r="AD48" i="30"/>
  <c r="AD47" i="30"/>
  <c r="AD46" i="30"/>
  <c r="AD45" i="30"/>
  <c r="AD44" i="30"/>
  <c r="AD43" i="30"/>
  <c r="AD42" i="30"/>
  <c r="G41" i="30"/>
  <c r="AD41" i="30" s="1"/>
  <c r="AP40" i="30"/>
  <c r="AD40" i="30"/>
  <c r="AP39" i="30"/>
  <c r="AD39" i="30"/>
  <c r="AP38" i="30"/>
  <c r="AD38" i="30"/>
  <c r="AP37" i="30"/>
  <c r="AD37" i="30"/>
  <c r="AP36" i="30"/>
  <c r="AD36" i="30"/>
  <c r="AP35" i="30"/>
  <c r="AD35" i="30"/>
  <c r="K35" i="30"/>
  <c r="K36" i="30" s="1"/>
  <c r="K37" i="30" s="1"/>
  <c r="K38" i="30" s="1"/>
  <c r="K39" i="30" s="1"/>
  <c r="K40" i="30" s="1"/>
  <c r="AP34" i="30"/>
  <c r="AD34" i="30"/>
  <c r="AP33" i="30"/>
  <c r="AD33" i="30"/>
  <c r="AP32" i="30"/>
  <c r="AD32" i="30"/>
  <c r="AP31" i="30"/>
  <c r="AD31" i="30"/>
  <c r="K31" i="30"/>
  <c r="K32" i="30" s="1"/>
  <c r="K33" i="30" s="1"/>
  <c r="K34" i="30" s="1"/>
  <c r="BD30" i="30"/>
  <c r="BD31" i="30" s="1"/>
  <c r="BD32" i="30" s="1"/>
  <c r="BD33" i="30" s="1"/>
  <c r="BD34" i="30" s="1"/>
  <c r="BD35" i="30" s="1"/>
  <c r="BD36" i="30" s="1"/>
  <c r="BD37" i="30" s="1"/>
  <c r="BD38" i="30" s="1"/>
  <c r="BD39" i="30" s="1"/>
  <c r="BD40" i="30" s="1"/>
  <c r="AP30" i="30"/>
  <c r="AF30" i="30"/>
  <c r="AF31" i="30" s="1"/>
  <c r="AD30" i="30"/>
  <c r="K30" i="30"/>
  <c r="BD29" i="30"/>
  <c r="BB29" i="30"/>
  <c r="AP29" i="30"/>
  <c r="AF29" i="30"/>
  <c r="AD29" i="30"/>
  <c r="AB29" i="30"/>
  <c r="AB30" i="30" s="1"/>
  <c r="AB31" i="30" s="1"/>
  <c r="AB32" i="30" s="1"/>
  <c r="AB33" i="30" s="1"/>
  <c r="AB34" i="30" s="1"/>
  <c r="AB35" i="30" s="1"/>
  <c r="AB36" i="30" s="1"/>
  <c r="AB37" i="30" s="1"/>
  <c r="AB38" i="30" s="1"/>
  <c r="AB39" i="30" s="1"/>
  <c r="AB40" i="30" s="1"/>
  <c r="AB41" i="30" s="1"/>
  <c r="K29" i="30"/>
  <c r="I29" i="30"/>
  <c r="BD28" i="30"/>
  <c r="BB28" i="30"/>
  <c r="AZ28" i="30"/>
  <c r="AZ29" i="30" s="1"/>
  <c r="AZ30" i="30" s="1"/>
  <c r="AZ31" i="30" s="1"/>
  <c r="AZ32" i="30" s="1"/>
  <c r="AZ33" i="30" s="1"/>
  <c r="AZ34" i="30" s="1"/>
  <c r="AZ35" i="30" s="1"/>
  <c r="AZ36" i="30" s="1"/>
  <c r="AZ37" i="30" s="1"/>
  <c r="AZ38" i="30" s="1"/>
  <c r="AZ39" i="30" s="1"/>
  <c r="AZ40" i="30" s="1"/>
  <c r="AZ41" i="30" s="1"/>
  <c r="AZ42" i="30" s="1"/>
  <c r="AZ43" i="30" s="1"/>
  <c r="AZ44" i="30" s="1"/>
  <c r="AZ45" i="30" s="1"/>
  <c r="AZ46" i="30" s="1"/>
  <c r="AZ47" i="30" s="1"/>
  <c r="AZ48" i="30" s="1"/>
  <c r="AZ49" i="30" s="1"/>
  <c r="AZ50" i="30" s="1"/>
  <c r="AZ51" i="30" s="1"/>
  <c r="AZ52" i="30" s="1"/>
  <c r="AZ53" i="30" s="1"/>
  <c r="AZ54" i="30" s="1"/>
  <c r="AZ55" i="30" s="1"/>
  <c r="AZ56" i="30" s="1"/>
  <c r="AZ57" i="30" s="1"/>
  <c r="AZ58" i="30" s="1"/>
  <c r="AZ59" i="30" s="1"/>
  <c r="AZ60" i="30" s="1"/>
  <c r="AZ61" i="30" s="1"/>
  <c r="AZ62" i="30" s="1"/>
  <c r="AZ63" i="30" s="1"/>
  <c r="AZ64" i="30" s="1"/>
  <c r="AZ65" i="30" s="1"/>
  <c r="AZ66" i="30" s="1"/>
  <c r="AZ67" i="30" s="1"/>
  <c r="AZ68" i="30" s="1"/>
  <c r="AZ69" i="30" s="1"/>
  <c r="AZ70" i="30" s="1"/>
  <c r="AZ71" i="30" s="1"/>
  <c r="AR28" i="30"/>
  <c r="AP28" i="30"/>
  <c r="AJ28" i="30"/>
  <c r="AH28" i="30"/>
  <c r="AF28" i="30"/>
  <c r="AB28" i="30"/>
  <c r="K28" i="30"/>
  <c r="I28" i="30"/>
  <c r="G28" i="30"/>
  <c r="C28" i="30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W26" i="30"/>
  <c r="U26" i="30"/>
  <c r="S26" i="30"/>
  <c r="Q26" i="30"/>
  <c r="O26" i="30"/>
  <c r="M26" i="30"/>
  <c r="K26" i="30"/>
  <c r="G19" i="30"/>
  <c r="BD41" i="30"/>
  <c r="BB41" i="30"/>
  <c r="BD11" i="30"/>
  <c r="BD42" i="30" l="1"/>
  <c r="BD43" i="30" s="1"/>
  <c r="BD44" i="30" s="1"/>
  <c r="BB42" i="30"/>
  <c r="BB43" i="30"/>
  <c r="AJ29" i="30"/>
  <c r="AJ30" i="30" s="1"/>
  <c r="AJ31" i="30" s="1"/>
  <c r="AJ32" i="30" s="1"/>
  <c r="AJ33" i="30" s="1"/>
  <c r="AJ34" i="30" s="1"/>
  <c r="AJ35" i="30" s="1"/>
  <c r="AJ36" i="30" s="1"/>
  <c r="AJ37" i="30" s="1"/>
  <c r="AJ38" i="30" s="1"/>
  <c r="AJ39" i="30" s="1"/>
  <c r="AJ40" i="30" s="1"/>
  <c r="AB42" i="30"/>
  <c r="BB30" i="30"/>
  <c r="BF29" i="30"/>
  <c r="I30" i="30"/>
  <c r="AF32" i="30"/>
  <c r="BD45" i="30"/>
  <c r="BD46" i="30" s="1"/>
  <c r="BD47" i="30" s="1"/>
  <c r="BD48" i="30" s="1"/>
  <c r="BD49" i="30" s="1"/>
  <c r="BD50" i="30" s="1"/>
  <c r="BD51" i="30" s="1"/>
  <c r="BD52" i="30" s="1"/>
  <c r="BD53" i="30" s="1"/>
  <c r="BD54" i="30" s="1"/>
  <c r="BD55" i="30" s="1"/>
  <c r="BD56" i="30" s="1"/>
  <c r="BD57" i="30" s="1"/>
  <c r="BD58" i="30" s="1"/>
  <c r="BD59" i="30" s="1"/>
  <c r="BD60" i="30" s="1"/>
  <c r="BD61" i="30" s="1"/>
  <c r="BD62" i="30" s="1"/>
  <c r="BD63" i="30" s="1"/>
  <c r="BD64" i="30" s="1"/>
  <c r="BD65" i="30" s="1"/>
  <c r="BD66" i="30" s="1"/>
  <c r="BD67" i="30" s="1"/>
  <c r="BD68" i="30" s="1"/>
  <c r="BD69" i="30" s="1"/>
  <c r="BD70" i="30" s="1"/>
  <c r="BD71" i="30" s="1"/>
  <c r="BF28" i="30"/>
  <c r="M29" i="30"/>
  <c r="M30" i="30" s="1"/>
  <c r="M31" i="30" s="1"/>
  <c r="M32" i="30" s="1"/>
  <c r="M33" i="30" s="1"/>
  <c r="M34" i="30" s="1"/>
  <c r="M35" i="30" s="1"/>
  <c r="M36" i="30" s="1"/>
  <c r="M37" i="30" s="1"/>
  <c r="M38" i="30" s="1"/>
  <c r="M39" i="30" s="1"/>
  <c r="M40" i="30" s="1"/>
  <c r="M41" i="30" s="1"/>
  <c r="M42" i="30" s="1"/>
  <c r="M43" i="30" s="1"/>
  <c r="M44" i="30" s="1"/>
  <c r="M45" i="30" s="1"/>
  <c r="M46" i="30" s="1"/>
  <c r="M47" i="30" s="1"/>
  <c r="M48" i="30" s="1"/>
  <c r="M49" i="30" s="1"/>
  <c r="M50" i="30" s="1"/>
  <c r="M51" i="30" s="1"/>
  <c r="M52" i="30" s="1"/>
  <c r="M53" i="30" s="1"/>
  <c r="M54" i="30" s="1"/>
  <c r="M55" i="30" s="1"/>
  <c r="M56" i="30" s="1"/>
  <c r="M57" i="30" s="1"/>
  <c r="M58" i="30" s="1"/>
  <c r="M59" i="30" s="1"/>
  <c r="M60" i="30" s="1"/>
  <c r="M61" i="30" s="1"/>
  <c r="M62" i="30" s="1"/>
  <c r="M63" i="30" s="1"/>
  <c r="M64" i="30" s="1"/>
  <c r="M65" i="30" s="1"/>
  <c r="M66" i="30" s="1"/>
  <c r="M67" i="30" s="1"/>
  <c r="M68" i="30" s="1"/>
  <c r="AR29" i="30"/>
  <c r="G73" i="30"/>
  <c r="AD28" i="30"/>
  <c r="AD73" i="30" s="1"/>
  <c r="S28" i="30"/>
  <c r="AH29" i="30"/>
  <c r="O73" i="30"/>
  <c r="K73" i="30"/>
  <c r="Q73" i="30"/>
  <c r="S61" i="30" l="1"/>
  <c r="S56" i="30"/>
  <c r="AL28" i="30"/>
  <c r="S66" i="30"/>
  <c r="S63" i="30"/>
  <c r="S53" i="30"/>
  <c r="BB44" i="30"/>
  <c r="AT28" i="30"/>
  <c r="AV28" i="30"/>
  <c r="S60" i="30"/>
  <c r="S29" i="30"/>
  <c r="S62" i="30"/>
  <c r="S64" i="30"/>
  <c r="M69" i="30"/>
  <c r="S68" i="30"/>
  <c r="AF33" i="30"/>
  <c r="S58" i="30"/>
  <c r="S57" i="30"/>
  <c r="S65" i="30"/>
  <c r="AF12" i="30"/>
  <c r="AB43" i="30"/>
  <c r="S59" i="30"/>
  <c r="S67" i="30"/>
  <c r="BD73" i="30"/>
  <c r="AH30" i="30"/>
  <c r="AL29" i="30"/>
  <c r="AT29" i="30" s="1"/>
  <c r="AR30" i="30"/>
  <c r="AV29" i="30"/>
  <c r="S55" i="30"/>
  <c r="I31" i="30"/>
  <c r="S30" i="30"/>
  <c r="BB31" i="30"/>
  <c r="BF30" i="30"/>
  <c r="AX29" i="30" l="1"/>
  <c r="U29" i="30" s="1"/>
  <c r="BB32" i="30"/>
  <c r="BF31" i="30"/>
  <c r="I32" i="30"/>
  <c r="S31" i="30"/>
  <c r="BB45" i="30"/>
  <c r="AB44" i="30"/>
  <c r="W29" i="30"/>
  <c r="Y29" i="30" s="1"/>
  <c r="AX28" i="30"/>
  <c r="AL30" i="30"/>
  <c r="AT30" i="30" s="1"/>
  <c r="AH31" i="30"/>
  <c r="AF34" i="30"/>
  <c r="M70" i="30"/>
  <c r="S69" i="30"/>
  <c r="AR31" i="30"/>
  <c r="AV30" i="30"/>
  <c r="BF32" i="30" l="1"/>
  <c r="BB33" i="30"/>
  <c r="AR32" i="30"/>
  <c r="AV31" i="30"/>
  <c r="AF35" i="30"/>
  <c r="AH32" i="30"/>
  <c r="AL31" i="30"/>
  <c r="I33" i="30"/>
  <c r="S32" i="30"/>
  <c r="AX30" i="30"/>
  <c r="U30" i="30" s="1"/>
  <c r="W30" i="30" s="1"/>
  <c r="Y30" i="30" s="1"/>
  <c r="BB46" i="30"/>
  <c r="M71" i="30"/>
  <c r="S71" i="30" s="1"/>
  <c r="S70" i="30"/>
  <c r="U28" i="30"/>
  <c r="AB45" i="30"/>
  <c r="M73" i="30" l="1"/>
  <c r="AB46" i="30"/>
  <c r="BB47" i="30"/>
  <c r="S33" i="30"/>
  <c r="I34" i="30"/>
  <c r="AH33" i="30"/>
  <c r="AL32" i="30"/>
  <c r="AT32" i="30" s="1"/>
  <c r="AR33" i="30"/>
  <c r="AV32" i="30"/>
  <c r="AF36" i="30"/>
  <c r="BB34" i="30"/>
  <c r="BF33" i="30"/>
  <c r="AT31" i="30"/>
  <c r="W28" i="30"/>
  <c r="AX32" i="30" l="1"/>
  <c r="U32" i="30" s="1"/>
  <c r="W32" i="30" s="1"/>
  <c r="Y32" i="30" s="1"/>
  <c r="I35" i="30"/>
  <c r="S34" i="30"/>
  <c r="AB47" i="30"/>
  <c r="AR34" i="30"/>
  <c r="AV33" i="30"/>
  <c r="Y28" i="30"/>
  <c r="AF37" i="30"/>
  <c r="AX31" i="30"/>
  <c r="BB35" i="30"/>
  <c r="BF34" i="30"/>
  <c r="AH34" i="30"/>
  <c r="AL33" i="30"/>
  <c r="BB48" i="30"/>
  <c r="AT33" i="30" l="1"/>
  <c r="U31" i="30"/>
  <c r="AF38" i="30"/>
  <c r="AR35" i="30"/>
  <c r="AV34" i="30"/>
  <c r="I36" i="30"/>
  <c r="S35" i="30"/>
  <c r="BB49" i="30"/>
  <c r="BF35" i="30"/>
  <c r="BB36" i="30"/>
  <c r="AB48" i="30"/>
  <c r="AH35" i="30"/>
  <c r="AL34" i="30"/>
  <c r="AT34" i="30" s="1"/>
  <c r="AX34" i="30" s="1"/>
  <c r="U34" i="30" s="1"/>
  <c r="W34" i="30" s="1"/>
  <c r="Y34" i="30" s="1"/>
  <c r="BF36" i="30" l="1"/>
  <c r="BB37" i="30"/>
  <c r="AB49" i="30"/>
  <c r="AF39" i="30"/>
  <c r="AX33" i="30"/>
  <c r="W31" i="30"/>
  <c r="AH36" i="30"/>
  <c r="AL35" i="30"/>
  <c r="AT35" i="30" s="1"/>
  <c r="BB50" i="30"/>
  <c r="I37" i="30"/>
  <c r="S36" i="30"/>
  <c r="AR36" i="30"/>
  <c r="AV35" i="30"/>
  <c r="AH37" i="30" l="1"/>
  <c r="AL36" i="30"/>
  <c r="AT36" i="30" s="1"/>
  <c r="AF40" i="30"/>
  <c r="AR37" i="30"/>
  <c r="AV36" i="30"/>
  <c r="BB51" i="30"/>
  <c r="Y31" i="30"/>
  <c r="U33" i="30"/>
  <c r="BB38" i="30"/>
  <c r="BF37" i="30"/>
  <c r="S37" i="30"/>
  <c r="I38" i="30"/>
  <c r="AX35" i="30"/>
  <c r="U35" i="30" s="1"/>
  <c r="W35" i="30" s="1"/>
  <c r="Y35" i="30" s="1"/>
  <c r="AB50" i="30"/>
  <c r="AR38" i="30" l="1"/>
  <c r="AV37" i="30"/>
  <c r="AB51" i="30"/>
  <c r="BB39" i="30"/>
  <c r="BF38" i="30"/>
  <c r="BB52" i="30"/>
  <c r="AX36" i="30"/>
  <c r="U36" i="30" s="1"/>
  <c r="W36" i="30" s="1"/>
  <c r="Y36" i="30" s="1"/>
  <c r="I39" i="30"/>
  <c r="S38" i="30"/>
  <c r="W33" i="30"/>
  <c r="AH38" i="30"/>
  <c r="AL37" i="30"/>
  <c r="AT37" i="30" s="1"/>
  <c r="AX37" i="30" l="1"/>
  <c r="U37" i="30" s="1"/>
  <c r="W37" i="30" s="1"/>
  <c r="Y37" i="30" s="1"/>
  <c r="AH39" i="30"/>
  <c r="AL38" i="30"/>
  <c r="AT38" i="30" s="1"/>
  <c r="I40" i="30"/>
  <c r="S40" i="30" s="1"/>
  <c r="S39" i="30"/>
  <c r="AR39" i="30"/>
  <c r="AV38" i="30"/>
  <c r="BB40" i="30"/>
  <c r="BF40" i="30" s="1"/>
  <c r="BF39" i="30"/>
  <c r="Y33" i="30"/>
  <c r="BB53" i="30"/>
  <c r="AB52" i="30"/>
  <c r="AB53" i="30" l="1"/>
  <c r="AR40" i="30"/>
  <c r="AV39" i="30"/>
  <c r="BB54" i="30"/>
  <c r="AX38" i="30"/>
  <c r="U38" i="30" s="1"/>
  <c r="AH40" i="30"/>
  <c r="AL39" i="30"/>
  <c r="AT39" i="30" s="1"/>
  <c r="AL40" i="30" l="1"/>
  <c r="AT40" i="30" s="1"/>
  <c r="W38" i="30"/>
  <c r="BB55" i="30"/>
  <c r="AV40" i="30"/>
  <c r="AR41" i="30"/>
  <c r="AX39" i="30"/>
  <c r="U39" i="30" s="1"/>
  <c r="W39" i="30" s="1"/>
  <c r="Y39" i="30" s="1"/>
  <c r="AB54" i="30"/>
  <c r="Y38" i="30" l="1"/>
  <c r="AX40" i="30"/>
  <c r="U40" i="30" s="1"/>
  <c r="W40" i="30" s="1"/>
  <c r="Y40" i="30" s="1"/>
  <c r="AB55" i="30"/>
  <c r="AR42" i="30"/>
  <c r="S41" i="30"/>
  <c r="BB56" i="30"/>
  <c r="AR43" i="30" l="1"/>
  <c r="S42" i="30"/>
  <c r="AB56" i="30"/>
  <c r="BB57" i="30"/>
  <c r="BB58" i="30" l="1"/>
  <c r="AB57" i="30"/>
  <c r="S43" i="30"/>
  <c r="AR44" i="30"/>
  <c r="BB59" i="30" l="1"/>
  <c r="AR45" i="30"/>
  <c r="S44" i="30"/>
  <c r="AB58" i="30"/>
  <c r="BB60" i="30" l="1"/>
  <c r="AB59" i="30"/>
  <c r="S45" i="30"/>
  <c r="AR46" i="30"/>
  <c r="AB60" i="30" l="1"/>
  <c r="AR47" i="30"/>
  <c r="BB61" i="30"/>
  <c r="S46" i="30"/>
  <c r="S47" i="30" l="1"/>
  <c r="AB61" i="30"/>
  <c r="BB62" i="30"/>
  <c r="AR48" i="30"/>
  <c r="AR49" i="30" l="1"/>
  <c r="AB62" i="30"/>
  <c r="BB63" i="30"/>
  <c r="S48" i="30"/>
  <c r="S49" i="30" l="1"/>
  <c r="BB64" i="30"/>
  <c r="AB63" i="30"/>
  <c r="AR50" i="30"/>
  <c r="S50" i="30" l="1"/>
  <c r="BB65" i="30"/>
  <c r="AR51" i="30"/>
  <c r="AB64" i="30"/>
  <c r="S51" i="30" l="1"/>
  <c r="AB65" i="30"/>
  <c r="AR52" i="30"/>
  <c r="BB66" i="30"/>
  <c r="AR53" i="30" l="1"/>
  <c r="AB66" i="30"/>
  <c r="BB67" i="30"/>
  <c r="S52" i="30"/>
  <c r="S54" i="30" l="1"/>
  <c r="I73" i="30"/>
  <c r="BB68" i="30"/>
  <c r="AB67" i="30"/>
  <c r="AR54" i="30"/>
  <c r="AB68" i="30" l="1"/>
  <c r="AR55" i="30"/>
  <c r="BB69" i="30"/>
  <c r="S73" i="30"/>
  <c r="G30" i="32" l="1"/>
  <c r="AR56" i="30"/>
  <c r="BB70" i="30"/>
  <c r="AB69" i="30"/>
  <c r="AB70" i="30" l="1"/>
  <c r="AR57" i="30"/>
  <c r="BB71" i="30"/>
  <c r="BB73" i="30" l="1"/>
  <c r="AB71" i="30"/>
  <c r="AR58" i="30"/>
  <c r="AR59" i="30" l="1"/>
  <c r="AN73" i="30"/>
  <c r="AR60" i="30" l="1"/>
  <c r="AR61" i="30" l="1"/>
  <c r="AR62" i="30" l="1"/>
  <c r="AR63" i="30" l="1"/>
  <c r="AR64" i="30" l="1"/>
  <c r="AR65" i="30" l="1"/>
  <c r="AR66" i="30" l="1"/>
  <c r="AR67" i="30" l="1"/>
  <c r="AR68" i="30" l="1"/>
  <c r="AR69" i="30" l="1"/>
  <c r="AR70" i="30" l="1"/>
  <c r="AR71" i="30" l="1"/>
  <c r="AR73" i="30" l="1"/>
  <c r="U48" i="23" l="1"/>
  <c r="U49" i="23"/>
  <c r="U50" i="23"/>
  <c r="U51" i="23"/>
  <c r="E44" i="49" l="1"/>
  <c r="E44" i="48"/>
  <c r="E44" i="47"/>
  <c r="E40" i="49"/>
  <c r="E40" i="48"/>
  <c r="E40" i="47"/>
  <c r="E36" i="49"/>
  <c r="E36" i="48"/>
  <c r="E36" i="47"/>
  <c r="E32" i="49"/>
  <c r="E32" i="48"/>
  <c r="E32" i="47"/>
  <c r="E47" i="49"/>
  <c r="E47" i="48"/>
  <c r="E47" i="47"/>
  <c r="E43" i="47"/>
  <c r="E43" i="49"/>
  <c r="E43" i="48"/>
  <c r="E39" i="47"/>
  <c r="E39" i="49"/>
  <c r="E39" i="48"/>
  <c r="E35" i="49"/>
  <c r="E35" i="48"/>
  <c r="E35" i="47"/>
  <c r="E31" i="47"/>
  <c r="E31" i="49"/>
  <c r="E31" i="48"/>
  <c r="E46" i="49"/>
  <c r="E46" i="48"/>
  <c r="E46" i="47"/>
  <c r="E42" i="49"/>
  <c r="E42" i="48"/>
  <c r="E42" i="47"/>
  <c r="E38" i="49"/>
  <c r="E38" i="48"/>
  <c r="E38" i="47"/>
  <c r="E34" i="49"/>
  <c r="E34" i="48"/>
  <c r="E34" i="47"/>
  <c r="E30" i="49"/>
  <c r="E30" i="47"/>
  <c r="E30" i="48"/>
  <c r="E28" i="49"/>
  <c r="E28" i="48"/>
  <c r="E28" i="47"/>
  <c r="E45" i="47"/>
  <c r="E45" i="49"/>
  <c r="E45" i="48"/>
  <c r="E41" i="49"/>
  <c r="E41" i="48"/>
  <c r="E41" i="47"/>
  <c r="E37" i="49"/>
  <c r="E37" i="48"/>
  <c r="E37" i="47"/>
  <c r="E33" i="49"/>
  <c r="E33" i="48"/>
  <c r="E33" i="47"/>
  <c r="E29" i="49"/>
  <c r="E29" i="48"/>
  <c r="E29" i="47"/>
  <c r="E68" i="24"/>
  <c r="E56" i="66"/>
  <c r="E43" i="70"/>
  <c r="E53" i="70"/>
  <c r="E44" i="66"/>
  <c r="E35" i="70"/>
  <c r="E36" i="66"/>
  <c r="E31" i="70"/>
  <c r="E32" i="66"/>
  <c r="E67" i="24"/>
  <c r="E55" i="66"/>
  <c r="E46" i="70"/>
  <c r="E56" i="70"/>
  <c r="E47" i="66"/>
  <c r="E48" i="70"/>
  <c r="E38" i="70"/>
  <c r="E39" i="66"/>
  <c r="E30" i="70"/>
  <c r="E31" i="66"/>
  <c r="E66" i="24"/>
  <c r="E54" i="66"/>
  <c r="E62" i="24"/>
  <c r="E50" i="66"/>
  <c r="E55" i="70"/>
  <c r="E45" i="70"/>
  <c r="E46" i="66"/>
  <c r="E51" i="70"/>
  <c r="E41" i="70"/>
  <c r="E42" i="66"/>
  <c r="E37" i="70"/>
  <c r="E38" i="66"/>
  <c r="E33" i="70"/>
  <c r="E34" i="66"/>
  <c r="E29" i="70"/>
  <c r="E30" i="66"/>
  <c r="E64" i="24"/>
  <c r="E52" i="66"/>
  <c r="E47" i="70"/>
  <c r="E57" i="70"/>
  <c r="E48" i="66"/>
  <c r="E39" i="70"/>
  <c r="E49" i="70"/>
  <c r="E40" i="66"/>
  <c r="E28" i="66"/>
  <c r="E63" i="24"/>
  <c r="E51" i="66"/>
  <c r="E42" i="70"/>
  <c r="E52" i="70"/>
  <c r="E43" i="66"/>
  <c r="E34" i="70"/>
  <c r="E35" i="66"/>
  <c r="E69" i="24"/>
  <c r="E57" i="66"/>
  <c r="E65" i="24"/>
  <c r="E53" i="66"/>
  <c r="E61" i="24"/>
  <c r="E49" i="66"/>
  <c r="E54" i="70"/>
  <c r="E44" i="70"/>
  <c r="E45" i="66"/>
  <c r="E50" i="70"/>
  <c r="E40" i="70"/>
  <c r="E41" i="66"/>
  <c r="E36" i="70"/>
  <c r="E37" i="66"/>
  <c r="E32" i="70"/>
  <c r="E33" i="66"/>
  <c r="E28" i="70"/>
  <c r="E29" i="66"/>
  <c r="AF28" i="47"/>
  <c r="AR28" i="47"/>
  <c r="E45" i="43"/>
  <c r="E45" i="42"/>
  <c r="E33" i="43"/>
  <c r="E33" i="42"/>
  <c r="E44" i="43"/>
  <c r="E44" i="42"/>
  <c r="E40" i="42"/>
  <c r="E40" i="43"/>
  <c r="E36" i="43"/>
  <c r="E36" i="42"/>
  <c r="E32" i="42"/>
  <c r="E32" i="43"/>
  <c r="E28" i="42"/>
  <c r="E28" i="43"/>
  <c r="E47" i="42"/>
  <c r="E47" i="43"/>
  <c r="E43" i="42"/>
  <c r="E43" i="43"/>
  <c r="E39" i="42"/>
  <c r="E39" i="43"/>
  <c r="E35" i="42"/>
  <c r="E35" i="43"/>
  <c r="E31" i="42"/>
  <c r="E31" i="43"/>
  <c r="E41" i="43"/>
  <c r="E41" i="42"/>
  <c r="E37" i="43"/>
  <c r="E37" i="42"/>
  <c r="E29" i="43"/>
  <c r="M29" i="43" s="1"/>
  <c r="E29" i="42"/>
  <c r="M29" i="42" s="1"/>
  <c r="E46" i="42"/>
  <c r="E46" i="43"/>
  <c r="E42" i="42"/>
  <c r="E42" i="43"/>
  <c r="E38" i="42"/>
  <c r="E38" i="43"/>
  <c r="E34" i="42"/>
  <c r="E34" i="43"/>
  <c r="E30" i="42"/>
  <c r="E30" i="43"/>
  <c r="E40" i="24"/>
  <c r="E39" i="24"/>
  <c r="E57" i="24"/>
  <c r="E53" i="24"/>
  <c r="E49" i="24"/>
  <c r="E45" i="24"/>
  <c r="E41" i="24"/>
  <c r="E60" i="24"/>
  <c r="E56" i="24"/>
  <c r="E52" i="24"/>
  <c r="E48" i="24"/>
  <c r="E44" i="24"/>
  <c r="E59" i="24"/>
  <c r="E55" i="24"/>
  <c r="E51" i="24"/>
  <c r="E47" i="24"/>
  <c r="E43" i="24"/>
  <c r="E58" i="24"/>
  <c r="E54" i="24"/>
  <c r="E50" i="24"/>
  <c r="E46" i="24"/>
  <c r="E42" i="24"/>
  <c r="BS291" i="5"/>
  <c r="BQ291" i="5"/>
  <c r="BS290" i="5"/>
  <c r="BQ290" i="5"/>
  <c r="BS289" i="5"/>
  <c r="BQ289" i="5"/>
  <c r="BS288" i="5"/>
  <c r="BQ288" i="5"/>
  <c r="BS287" i="5"/>
  <c r="BQ287" i="5"/>
  <c r="BS286" i="5"/>
  <c r="BQ286" i="5"/>
  <c r="BS285" i="5"/>
  <c r="BQ285" i="5"/>
  <c r="BS284" i="5"/>
  <c r="BQ284" i="5"/>
  <c r="BS283" i="5"/>
  <c r="BQ283" i="5"/>
  <c r="BS282" i="5"/>
  <c r="BQ282" i="5"/>
  <c r="BS281" i="5"/>
  <c r="BQ281" i="5"/>
  <c r="BS280" i="5"/>
  <c r="BQ280" i="5"/>
  <c r="BS279" i="5"/>
  <c r="BQ279" i="5"/>
  <c r="BS278" i="5"/>
  <c r="BQ278" i="5"/>
  <c r="BS277" i="5"/>
  <c r="BQ277" i="5"/>
  <c r="BS276" i="5"/>
  <c r="BQ276" i="5"/>
  <c r="BS275" i="5"/>
  <c r="BQ275" i="5"/>
  <c r="BS274" i="5"/>
  <c r="BQ274" i="5"/>
  <c r="BS273" i="5"/>
  <c r="BQ273" i="5"/>
  <c r="BS272" i="5"/>
  <c r="BQ272" i="5"/>
  <c r="BS271" i="5"/>
  <c r="BQ271" i="5"/>
  <c r="BS270" i="5"/>
  <c r="BQ270" i="5"/>
  <c r="BS269" i="5"/>
  <c r="BQ269" i="5"/>
  <c r="BS268" i="5"/>
  <c r="BQ268" i="5"/>
  <c r="BS267" i="5"/>
  <c r="BQ267" i="5"/>
  <c r="BS266" i="5"/>
  <c r="BQ266" i="5"/>
  <c r="BS265" i="5"/>
  <c r="BQ265" i="5"/>
  <c r="BS264" i="5"/>
  <c r="BQ264" i="5"/>
  <c r="BS263" i="5"/>
  <c r="BQ263" i="5"/>
  <c r="BS262" i="5"/>
  <c r="BQ262" i="5"/>
  <c r="BS261" i="5"/>
  <c r="BQ261" i="5"/>
  <c r="BS260" i="5"/>
  <c r="BQ260" i="5"/>
  <c r="BS259" i="5"/>
  <c r="BQ259" i="5"/>
  <c r="BS258" i="5"/>
  <c r="BQ258" i="5"/>
  <c r="BS257" i="5"/>
  <c r="BQ257" i="5"/>
  <c r="BS256" i="5"/>
  <c r="BQ256" i="5"/>
  <c r="BS255" i="5"/>
  <c r="BQ255" i="5"/>
  <c r="BS254" i="5"/>
  <c r="BQ254" i="5"/>
  <c r="BS253" i="5"/>
  <c r="BQ253" i="5"/>
  <c r="BS252" i="5"/>
  <c r="BQ252" i="5"/>
  <c r="BS251" i="5"/>
  <c r="BQ251" i="5"/>
  <c r="BS250" i="5"/>
  <c r="BQ250" i="5"/>
  <c r="BS249" i="5"/>
  <c r="BQ249" i="5"/>
  <c r="BS248" i="5"/>
  <c r="BQ248" i="5"/>
  <c r="BS247" i="5"/>
  <c r="BQ247" i="5"/>
  <c r="BS246" i="5"/>
  <c r="BQ246" i="5"/>
  <c r="BS245" i="5"/>
  <c r="BQ245" i="5"/>
  <c r="BS244" i="5"/>
  <c r="BQ244" i="5"/>
  <c r="BS243" i="5"/>
  <c r="BQ243" i="5"/>
  <c r="BS242" i="5"/>
  <c r="BQ242" i="5"/>
  <c r="BS241" i="5"/>
  <c r="BQ241" i="5"/>
  <c r="BS240" i="5"/>
  <c r="BQ240" i="5"/>
  <c r="BS239" i="5"/>
  <c r="BQ239" i="5"/>
  <c r="BS238" i="5"/>
  <c r="BQ238" i="5"/>
  <c r="BS237" i="5"/>
  <c r="BQ237" i="5"/>
  <c r="BS236" i="5"/>
  <c r="BQ236" i="5"/>
  <c r="BS235" i="5"/>
  <c r="BQ235" i="5"/>
  <c r="BS234" i="5"/>
  <c r="BQ234" i="5"/>
  <c r="BS233" i="5"/>
  <c r="BQ233" i="5"/>
  <c r="BS232" i="5"/>
  <c r="BQ232" i="5"/>
  <c r="BS231" i="5"/>
  <c r="BQ231" i="5"/>
  <c r="BS230" i="5"/>
  <c r="BQ230" i="5"/>
  <c r="BS229" i="5"/>
  <c r="BQ229" i="5"/>
  <c r="BS228" i="5"/>
  <c r="BQ228" i="5"/>
  <c r="BS227" i="5"/>
  <c r="BQ227" i="5"/>
  <c r="BS226" i="5"/>
  <c r="BQ226" i="5"/>
  <c r="BS225" i="5"/>
  <c r="BQ225" i="5"/>
  <c r="BS224" i="5"/>
  <c r="BQ224" i="5"/>
  <c r="BS223" i="5"/>
  <c r="BQ223" i="5"/>
  <c r="BS222" i="5"/>
  <c r="BQ222" i="5"/>
  <c r="BS221" i="5"/>
  <c r="BQ221" i="5"/>
  <c r="BS220" i="5"/>
  <c r="BQ220" i="5"/>
  <c r="BS219" i="5"/>
  <c r="BQ219" i="5"/>
  <c r="BS218" i="5"/>
  <c r="BQ218" i="5"/>
  <c r="BS217" i="5"/>
  <c r="BQ217" i="5"/>
  <c r="BS216" i="5"/>
  <c r="BQ216" i="5"/>
  <c r="BS215" i="5"/>
  <c r="BQ215" i="5"/>
  <c r="BS214" i="5"/>
  <c r="BQ214" i="5"/>
  <c r="BS213" i="5"/>
  <c r="BQ213" i="5"/>
  <c r="BS212" i="5"/>
  <c r="BQ212" i="5"/>
  <c r="BS211" i="5"/>
  <c r="BQ211" i="5"/>
  <c r="BS210" i="5"/>
  <c r="BQ210" i="5"/>
  <c r="BS209" i="5"/>
  <c r="BQ209" i="5"/>
  <c r="BS208" i="5"/>
  <c r="BQ208" i="5"/>
  <c r="BS207" i="5"/>
  <c r="BQ207" i="5"/>
  <c r="BS206" i="5"/>
  <c r="BQ206" i="5"/>
  <c r="BS205" i="5"/>
  <c r="BQ205" i="5"/>
  <c r="BS204" i="5"/>
  <c r="BQ204" i="5"/>
  <c r="BS203" i="5"/>
  <c r="BQ203" i="5"/>
  <c r="BS202" i="5"/>
  <c r="BQ202" i="5"/>
  <c r="BS201" i="5"/>
  <c r="BQ201" i="5"/>
  <c r="BS200" i="5"/>
  <c r="BQ200" i="5"/>
  <c r="BS199" i="5"/>
  <c r="BQ199" i="5"/>
  <c r="BS198" i="5"/>
  <c r="BQ198" i="5"/>
  <c r="BS197" i="5"/>
  <c r="BQ197" i="5"/>
  <c r="BS196" i="5"/>
  <c r="BQ196" i="5"/>
  <c r="BS195" i="5"/>
  <c r="BQ195" i="5"/>
  <c r="BS194" i="5"/>
  <c r="BQ194" i="5"/>
  <c r="BS193" i="5"/>
  <c r="BQ193" i="5"/>
  <c r="BS192" i="5"/>
  <c r="BQ192" i="5"/>
  <c r="BS191" i="5"/>
  <c r="BQ191" i="5"/>
  <c r="BS190" i="5"/>
  <c r="BQ190" i="5"/>
  <c r="BS189" i="5"/>
  <c r="BQ189" i="5"/>
  <c r="BS188" i="5"/>
  <c r="BQ188" i="5"/>
  <c r="BS187" i="5"/>
  <c r="BQ187" i="5"/>
  <c r="BS186" i="5"/>
  <c r="BQ186" i="5"/>
  <c r="BS185" i="5"/>
  <c r="BQ185" i="5"/>
  <c r="BS184" i="5"/>
  <c r="BQ184" i="5"/>
  <c r="BS183" i="5"/>
  <c r="BQ183" i="5"/>
  <c r="BS182" i="5"/>
  <c r="BQ182" i="5"/>
  <c r="BS181" i="5"/>
  <c r="BQ181" i="5"/>
  <c r="BS180" i="5"/>
  <c r="BQ180" i="5"/>
  <c r="BS179" i="5"/>
  <c r="BQ179" i="5"/>
  <c r="BS178" i="5"/>
  <c r="BQ178" i="5"/>
  <c r="BS177" i="5"/>
  <c r="BQ177" i="5"/>
  <c r="BS176" i="5"/>
  <c r="BQ176" i="5"/>
  <c r="BS175" i="5"/>
  <c r="BQ175" i="5"/>
  <c r="BS174" i="5"/>
  <c r="BQ174" i="5"/>
  <c r="BS173" i="5"/>
  <c r="BQ173" i="5"/>
  <c r="BS172" i="5"/>
  <c r="BQ172" i="5"/>
  <c r="BS171" i="5"/>
  <c r="BQ171" i="5"/>
  <c r="BS170" i="5"/>
  <c r="BQ170" i="5"/>
  <c r="BS169" i="5"/>
  <c r="BQ169" i="5"/>
  <c r="BS168" i="5"/>
  <c r="BQ168" i="5"/>
  <c r="BS167" i="5"/>
  <c r="BQ167" i="5"/>
  <c r="BS166" i="5"/>
  <c r="BQ166" i="5"/>
  <c r="BS165" i="5"/>
  <c r="BQ165" i="5"/>
  <c r="BS164" i="5"/>
  <c r="BQ164" i="5"/>
  <c r="BS163" i="5"/>
  <c r="BQ163" i="5"/>
  <c r="BS162" i="5"/>
  <c r="BQ162" i="5"/>
  <c r="BS161" i="5"/>
  <c r="BQ161" i="5"/>
  <c r="BS160" i="5"/>
  <c r="BQ160" i="5"/>
  <c r="BS159" i="5"/>
  <c r="BQ159" i="5"/>
  <c r="BS158" i="5"/>
  <c r="BQ158" i="5"/>
  <c r="BS157" i="5"/>
  <c r="BQ157" i="5"/>
  <c r="BS156" i="5"/>
  <c r="BQ156" i="5"/>
  <c r="BS155" i="5"/>
  <c r="BQ155" i="5"/>
  <c r="BS154" i="5"/>
  <c r="BQ154" i="5"/>
  <c r="BS153" i="5"/>
  <c r="BQ153" i="5"/>
  <c r="BS152" i="5"/>
  <c r="BQ152" i="5"/>
  <c r="BS151" i="5"/>
  <c r="BQ151" i="5"/>
  <c r="BS150" i="5"/>
  <c r="BQ150" i="5"/>
  <c r="BS149" i="5"/>
  <c r="BQ149" i="5"/>
  <c r="BS148" i="5"/>
  <c r="BQ148" i="5"/>
  <c r="BS147" i="5"/>
  <c r="BQ147" i="5"/>
  <c r="BS146" i="5"/>
  <c r="BQ146" i="5"/>
  <c r="BS145" i="5"/>
  <c r="BQ145" i="5"/>
  <c r="BS144" i="5"/>
  <c r="BQ144" i="5"/>
  <c r="BS143" i="5"/>
  <c r="BQ143" i="5"/>
  <c r="BS142" i="5"/>
  <c r="BQ142" i="5"/>
  <c r="BS141" i="5"/>
  <c r="BQ141" i="5"/>
  <c r="BS140" i="5"/>
  <c r="BQ140" i="5"/>
  <c r="BS139" i="5"/>
  <c r="BQ139" i="5"/>
  <c r="BS138" i="5"/>
  <c r="BQ138" i="5"/>
  <c r="BS137" i="5"/>
  <c r="BQ137" i="5"/>
  <c r="BS136" i="5"/>
  <c r="BQ136" i="5"/>
  <c r="BS135" i="5"/>
  <c r="BQ135" i="5"/>
  <c r="BS134" i="5"/>
  <c r="BQ134" i="5"/>
  <c r="BS133" i="5"/>
  <c r="BQ133" i="5"/>
  <c r="BS132" i="5"/>
  <c r="BQ132" i="5"/>
  <c r="BS131" i="5"/>
  <c r="BQ131" i="5"/>
  <c r="BS130" i="5"/>
  <c r="BQ130" i="5"/>
  <c r="BS129" i="5"/>
  <c r="BQ129" i="5"/>
  <c r="BS128" i="5"/>
  <c r="BQ128" i="5"/>
  <c r="BS127" i="5"/>
  <c r="BQ127" i="5"/>
  <c r="BS126" i="5"/>
  <c r="BQ126" i="5"/>
  <c r="BS125" i="5"/>
  <c r="BQ125" i="5"/>
  <c r="BS124" i="5"/>
  <c r="BQ124" i="5"/>
  <c r="BS123" i="5"/>
  <c r="BQ123" i="5"/>
  <c r="BS122" i="5"/>
  <c r="BQ122" i="5"/>
  <c r="BS121" i="5"/>
  <c r="BQ121" i="5"/>
  <c r="BS120" i="5"/>
  <c r="BQ120" i="5"/>
  <c r="BS119" i="5"/>
  <c r="BQ119" i="5"/>
  <c r="BS118" i="5"/>
  <c r="BQ118" i="5"/>
  <c r="BS117" i="5"/>
  <c r="BQ117" i="5"/>
  <c r="BS116" i="5"/>
  <c r="BQ116" i="5"/>
  <c r="BS115" i="5"/>
  <c r="BQ115" i="5"/>
  <c r="BS114" i="5"/>
  <c r="BQ114" i="5"/>
  <c r="BS113" i="5"/>
  <c r="BQ113" i="5"/>
  <c r="BS112" i="5"/>
  <c r="BQ112" i="5"/>
  <c r="BS111" i="5"/>
  <c r="BQ111" i="5"/>
  <c r="BS110" i="5"/>
  <c r="BQ110" i="5"/>
  <c r="BS109" i="5"/>
  <c r="BQ109" i="5"/>
  <c r="BS108" i="5"/>
  <c r="BQ108" i="5"/>
  <c r="BS107" i="5"/>
  <c r="BQ107" i="5"/>
  <c r="BS106" i="5"/>
  <c r="BQ106" i="5"/>
  <c r="BS105" i="5"/>
  <c r="BQ105" i="5"/>
  <c r="BS104" i="5"/>
  <c r="BQ104" i="5"/>
  <c r="BS103" i="5"/>
  <c r="BQ103" i="5"/>
  <c r="BS102" i="5"/>
  <c r="BQ102" i="5"/>
  <c r="BS101" i="5"/>
  <c r="BQ101" i="5"/>
  <c r="BS100" i="5"/>
  <c r="BQ100" i="5"/>
  <c r="BS99" i="5"/>
  <c r="BQ99" i="5"/>
  <c r="BS98" i="5"/>
  <c r="BQ98" i="5"/>
  <c r="BS97" i="5"/>
  <c r="BQ97" i="5"/>
  <c r="BS96" i="5"/>
  <c r="BQ96" i="5"/>
  <c r="BS95" i="5"/>
  <c r="BQ95" i="5"/>
  <c r="BS94" i="5"/>
  <c r="BQ94" i="5"/>
  <c r="BS93" i="5"/>
  <c r="BQ93" i="5"/>
  <c r="BS92" i="5"/>
  <c r="BQ92" i="5"/>
  <c r="BS91" i="5"/>
  <c r="BQ91" i="5"/>
  <c r="BS90" i="5"/>
  <c r="BQ90" i="5"/>
  <c r="BS89" i="5"/>
  <c r="BQ89" i="5"/>
  <c r="BS88" i="5"/>
  <c r="BQ88" i="5"/>
  <c r="BS87" i="5"/>
  <c r="BQ87" i="5"/>
  <c r="BS86" i="5"/>
  <c r="BQ86" i="5"/>
  <c r="BS85" i="5"/>
  <c r="BQ85" i="5"/>
  <c r="BS84" i="5"/>
  <c r="BQ84" i="5"/>
  <c r="BS83" i="5"/>
  <c r="BQ83" i="5"/>
  <c r="BS82" i="5"/>
  <c r="BQ82" i="5"/>
  <c r="BS81" i="5"/>
  <c r="BQ81" i="5"/>
  <c r="BS80" i="5"/>
  <c r="BQ80" i="5"/>
  <c r="BS79" i="5"/>
  <c r="BQ79" i="5"/>
  <c r="BS78" i="5"/>
  <c r="BQ78" i="5"/>
  <c r="BS77" i="5"/>
  <c r="BQ77" i="5"/>
  <c r="BS76" i="5"/>
  <c r="BQ76" i="5"/>
  <c r="BS75" i="5"/>
  <c r="BQ75" i="5"/>
  <c r="BS74" i="5"/>
  <c r="BQ74" i="5"/>
  <c r="BS73" i="5"/>
  <c r="BQ73" i="5"/>
  <c r="BS72" i="5"/>
  <c r="BQ72" i="5"/>
  <c r="BS71" i="5"/>
  <c r="BQ71" i="5"/>
  <c r="BS70" i="5"/>
  <c r="BQ70" i="5"/>
  <c r="BS68" i="5"/>
  <c r="BQ68" i="5"/>
  <c r="BS67" i="5"/>
  <c r="BQ67" i="5"/>
  <c r="BS66" i="5"/>
  <c r="BQ66" i="5"/>
  <c r="BS65" i="5"/>
  <c r="BQ65" i="5"/>
  <c r="BS64" i="5"/>
  <c r="BQ64" i="5"/>
  <c r="BS63" i="5"/>
  <c r="BQ63" i="5"/>
  <c r="BS62" i="5"/>
  <c r="BQ62" i="5"/>
  <c r="BS61" i="5"/>
  <c r="BQ61" i="5"/>
  <c r="BS60" i="5"/>
  <c r="BQ60" i="5"/>
  <c r="BS59" i="5"/>
  <c r="BQ59" i="5"/>
  <c r="BS58" i="5"/>
  <c r="BQ58" i="5"/>
  <c r="BS57" i="5"/>
  <c r="BQ57" i="5"/>
  <c r="BS56" i="5"/>
  <c r="BQ56" i="5"/>
  <c r="BS55" i="5"/>
  <c r="BQ55" i="5"/>
  <c r="BS54" i="5"/>
  <c r="BQ54" i="5"/>
  <c r="BS53" i="5"/>
  <c r="BQ53" i="5"/>
  <c r="BS52" i="5"/>
  <c r="BQ52" i="5"/>
  <c r="BS51" i="5"/>
  <c r="BQ51" i="5"/>
  <c r="BS50" i="5"/>
  <c r="BQ50" i="5"/>
  <c r="BS49" i="5"/>
  <c r="BQ49" i="5"/>
  <c r="BS48" i="5"/>
  <c r="BQ48" i="5"/>
  <c r="BS47" i="5"/>
  <c r="BQ47" i="5"/>
  <c r="BS46" i="5"/>
  <c r="BQ46" i="5"/>
  <c r="BS45" i="5"/>
  <c r="BQ45" i="5"/>
  <c r="BS44" i="5"/>
  <c r="BQ44" i="5"/>
  <c r="BS43" i="5"/>
  <c r="BQ43" i="5"/>
  <c r="BS42" i="5"/>
  <c r="BQ42" i="5"/>
  <c r="BS41" i="5"/>
  <c r="BQ41" i="5"/>
  <c r="BS40" i="5"/>
  <c r="BQ40" i="5"/>
  <c r="BS39" i="5"/>
  <c r="BQ39" i="5"/>
  <c r="BS38" i="5"/>
  <c r="BQ38" i="5"/>
  <c r="BS37" i="5"/>
  <c r="BQ37" i="5"/>
  <c r="BS36" i="5"/>
  <c r="BQ36" i="5"/>
  <c r="BS35" i="5"/>
  <c r="BQ35" i="5"/>
  <c r="BS34" i="5"/>
  <c r="BQ34" i="5"/>
  <c r="BS33" i="5"/>
  <c r="BQ33" i="5"/>
  <c r="BS32" i="5"/>
  <c r="BQ32" i="5"/>
  <c r="BS31" i="5"/>
  <c r="BQ31" i="5"/>
  <c r="BS30" i="5"/>
  <c r="BQ30" i="5"/>
  <c r="BS29" i="5"/>
  <c r="BQ29" i="5"/>
  <c r="BS28" i="5"/>
  <c r="BQ28" i="5"/>
  <c r="BS27" i="5"/>
  <c r="BQ27" i="5"/>
  <c r="BS26" i="5"/>
  <c r="BQ26" i="5"/>
  <c r="BS25" i="5"/>
  <c r="BQ25" i="5"/>
  <c r="BS24" i="5"/>
  <c r="BQ24" i="5"/>
  <c r="BS23" i="5"/>
  <c r="BQ23" i="5"/>
  <c r="BS22" i="5"/>
  <c r="BQ22" i="5"/>
  <c r="BS21" i="5"/>
  <c r="BQ21" i="5"/>
  <c r="BS20" i="5"/>
  <c r="BQ20" i="5"/>
  <c r="BS19" i="5"/>
  <c r="BQ19" i="5"/>
  <c r="BS18" i="5"/>
  <c r="BQ18" i="5"/>
  <c r="BS17" i="5"/>
  <c r="BQ17" i="5"/>
  <c r="BS16" i="5"/>
  <c r="BQ16" i="5"/>
  <c r="BS15" i="5"/>
  <c r="BQ15" i="5"/>
  <c r="M29" i="66" l="1"/>
  <c r="I28" i="66"/>
  <c r="AR28" i="66"/>
  <c r="AF28" i="66"/>
  <c r="BB28" i="66"/>
  <c r="K28" i="66"/>
  <c r="M68" i="70"/>
  <c r="I28" i="70"/>
  <c r="BB28" i="70"/>
  <c r="K28" i="70"/>
  <c r="AF29" i="47"/>
  <c r="AF30" i="47" s="1"/>
  <c r="AF31" i="47" s="1"/>
  <c r="M30" i="42"/>
  <c r="M31" i="42" s="1"/>
  <c r="M32" i="42" s="1"/>
  <c r="M33" i="42" s="1"/>
  <c r="M34" i="42" s="1"/>
  <c r="M35" i="42" s="1"/>
  <c r="M36" i="42" s="1"/>
  <c r="M37" i="42" s="1"/>
  <c r="M38" i="42" s="1"/>
  <c r="M39" i="42" s="1"/>
  <c r="M40" i="42" s="1"/>
  <c r="M41" i="42" s="1"/>
  <c r="M42" i="42" s="1"/>
  <c r="M43" i="42" s="1"/>
  <c r="M44" i="42" s="1"/>
  <c r="M45" i="42" s="1"/>
  <c r="M46" i="42" s="1"/>
  <c r="M58" i="42" s="1"/>
  <c r="I28" i="43"/>
  <c r="BB28" i="43"/>
  <c r="M30" i="43"/>
  <c r="M31" i="43" s="1"/>
  <c r="M32" i="43" s="1"/>
  <c r="M33" i="43" s="1"/>
  <c r="M34" i="43" s="1"/>
  <c r="M35" i="43" s="1"/>
  <c r="M36" i="43" s="1"/>
  <c r="M37" i="43" s="1"/>
  <c r="M38" i="43" s="1"/>
  <c r="M39" i="43" s="1"/>
  <c r="M40" i="43" s="1"/>
  <c r="M41" i="43" s="1"/>
  <c r="M42" i="43" s="1"/>
  <c r="M43" i="43" s="1"/>
  <c r="M44" i="43" s="1"/>
  <c r="M45" i="43" s="1"/>
  <c r="M46" i="43" s="1"/>
  <c r="M58" i="43" s="1"/>
  <c r="BB28" i="42"/>
  <c r="I28" i="42"/>
  <c r="AR201" i="5"/>
  <c r="S28" i="70" l="1"/>
  <c r="K29" i="70"/>
  <c r="K30" i="70" s="1"/>
  <c r="K31" i="70" s="1"/>
  <c r="K32" i="70" s="1"/>
  <c r="K33" i="70" s="1"/>
  <c r="K34" i="70" s="1"/>
  <c r="K35" i="70" s="1"/>
  <c r="K36" i="70" s="1"/>
  <c r="K37" i="70" s="1"/>
  <c r="K38" i="70" s="1"/>
  <c r="K39" i="70" s="1"/>
  <c r="K40" i="70" s="1"/>
  <c r="K41" i="70" s="1"/>
  <c r="K42" i="70" s="1"/>
  <c r="K43" i="70" s="1"/>
  <c r="K44" i="70" s="1"/>
  <c r="K45" i="70" s="1"/>
  <c r="K46" i="70" s="1"/>
  <c r="K47" i="70" s="1"/>
  <c r="K48" i="70" s="1"/>
  <c r="K49" i="70" s="1"/>
  <c r="K50" i="70" s="1"/>
  <c r="K51" i="70" s="1"/>
  <c r="K52" i="70" s="1"/>
  <c r="K53" i="70" s="1"/>
  <c r="K54" i="70" s="1"/>
  <c r="K55" i="70" s="1"/>
  <c r="K56" i="70" s="1"/>
  <c r="K57" i="70" s="1"/>
  <c r="K68" i="70" s="1"/>
  <c r="I29" i="66"/>
  <c r="I30" i="66" s="1"/>
  <c r="I31" i="66" s="1"/>
  <c r="I32" i="66" s="1"/>
  <c r="I33" i="66" s="1"/>
  <c r="I34" i="66" s="1"/>
  <c r="I35" i="66" s="1"/>
  <c r="I36" i="66" s="1"/>
  <c r="I37" i="66" s="1"/>
  <c r="I38" i="66" s="1"/>
  <c r="I39" i="66" s="1"/>
  <c r="I40" i="66" s="1"/>
  <c r="I41" i="66" s="1"/>
  <c r="I42" i="66" s="1"/>
  <c r="I43" i="66" s="1"/>
  <c r="I44" i="66" s="1"/>
  <c r="I45" i="66" s="1"/>
  <c r="I46" i="66" s="1"/>
  <c r="I47" i="66" s="1"/>
  <c r="I48" i="66" s="1"/>
  <c r="I49" i="66" s="1"/>
  <c r="I50" i="66" s="1"/>
  <c r="I51" i="66" s="1"/>
  <c r="I52" i="66" s="1"/>
  <c r="I53" i="66" s="1"/>
  <c r="I54" i="66" s="1"/>
  <c r="I55" i="66" s="1"/>
  <c r="I56" i="66" s="1"/>
  <c r="I57" i="66" s="1"/>
  <c r="BB29" i="66"/>
  <c r="BB30" i="66" s="1"/>
  <c r="BB31" i="66" s="1"/>
  <c r="BB32" i="66" s="1"/>
  <c r="BB33" i="66" s="1"/>
  <c r="BB34" i="66" s="1"/>
  <c r="BB35" i="66" s="1"/>
  <c r="BB36" i="66" s="1"/>
  <c r="BB37" i="66" s="1"/>
  <c r="BB38" i="66" s="1"/>
  <c r="BB39" i="66" s="1"/>
  <c r="BB40" i="66" s="1"/>
  <c r="BB41" i="66" s="1"/>
  <c r="BB42" i="66" s="1"/>
  <c r="BB43" i="66" s="1"/>
  <c r="BB44" i="66" s="1"/>
  <c r="BB45" i="66" s="1"/>
  <c r="BB46" i="66" s="1"/>
  <c r="BB47" i="66" s="1"/>
  <c r="BB48" i="66" s="1"/>
  <c r="BB49" i="66" s="1"/>
  <c r="BB50" i="66" s="1"/>
  <c r="BB51" i="66" s="1"/>
  <c r="BB52" i="66" s="1"/>
  <c r="BB53" i="66" s="1"/>
  <c r="BB54" i="66" s="1"/>
  <c r="BB55" i="66" s="1"/>
  <c r="BB56" i="66" s="1"/>
  <c r="BB57" i="66" s="1"/>
  <c r="AR29" i="66"/>
  <c r="BB29" i="70"/>
  <c r="I29" i="70"/>
  <c r="I30" i="70" s="1"/>
  <c r="I31" i="70" s="1"/>
  <c r="I32" i="70" s="1"/>
  <c r="I33" i="70" s="1"/>
  <c r="I34" i="70" s="1"/>
  <c r="I35" i="70" s="1"/>
  <c r="I36" i="70" s="1"/>
  <c r="I37" i="70" s="1"/>
  <c r="I38" i="70" s="1"/>
  <c r="I39" i="70" s="1"/>
  <c r="I40" i="70" s="1"/>
  <c r="I41" i="70" s="1"/>
  <c r="I42" i="70" s="1"/>
  <c r="I43" i="70" s="1"/>
  <c r="I44" i="70" s="1"/>
  <c r="I45" i="70" s="1"/>
  <c r="I46" i="70" s="1"/>
  <c r="I47" i="70" s="1"/>
  <c r="I48" i="70" s="1"/>
  <c r="I49" i="70" s="1"/>
  <c r="I50" i="70" s="1"/>
  <c r="I51" i="70" s="1"/>
  <c r="I52" i="70" s="1"/>
  <c r="I53" i="70" s="1"/>
  <c r="I54" i="70" s="1"/>
  <c r="I55" i="70" s="1"/>
  <c r="I56" i="70" s="1"/>
  <c r="I57" i="70" s="1"/>
  <c r="K29" i="66"/>
  <c r="K30" i="66" s="1"/>
  <c r="K31" i="66" s="1"/>
  <c r="K32" i="66" s="1"/>
  <c r="K33" i="66" s="1"/>
  <c r="K34" i="66" s="1"/>
  <c r="K35" i="66" s="1"/>
  <c r="K36" i="66" s="1"/>
  <c r="K37" i="66" s="1"/>
  <c r="K38" i="66" s="1"/>
  <c r="K39" i="66" s="1"/>
  <c r="K40" i="66" s="1"/>
  <c r="K41" i="66" s="1"/>
  <c r="K42" i="66" s="1"/>
  <c r="K43" i="66" s="1"/>
  <c r="K44" i="66" s="1"/>
  <c r="K45" i="66" s="1"/>
  <c r="K46" i="66" s="1"/>
  <c r="K47" i="66" s="1"/>
  <c r="K48" i="66" s="1"/>
  <c r="K49" i="66" s="1"/>
  <c r="K50" i="66" s="1"/>
  <c r="K51" i="66" s="1"/>
  <c r="K52" i="66" s="1"/>
  <c r="K53" i="66" s="1"/>
  <c r="K54" i="66" s="1"/>
  <c r="K55" i="66" s="1"/>
  <c r="K56" i="66" s="1"/>
  <c r="K57" i="66" s="1"/>
  <c r="AF29" i="66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F56" i="66" s="1"/>
  <c r="AF57" i="66" s="1"/>
  <c r="M30" i="66"/>
  <c r="M31" i="66" s="1"/>
  <c r="M32" i="66" s="1"/>
  <c r="M33" i="66" s="1"/>
  <c r="M34" i="66" s="1"/>
  <c r="M35" i="66" s="1"/>
  <c r="M36" i="66" s="1"/>
  <c r="M37" i="66" s="1"/>
  <c r="M38" i="66" s="1"/>
  <c r="M39" i="66" s="1"/>
  <c r="M40" i="66" s="1"/>
  <c r="M41" i="66" s="1"/>
  <c r="M42" i="66" s="1"/>
  <c r="M43" i="66" s="1"/>
  <c r="M44" i="66" s="1"/>
  <c r="M45" i="66" s="1"/>
  <c r="M46" i="66" s="1"/>
  <c r="M47" i="66" s="1"/>
  <c r="M48" i="66" s="1"/>
  <c r="M49" i="66" s="1"/>
  <c r="M50" i="66" s="1"/>
  <c r="M51" i="66" s="1"/>
  <c r="M52" i="66" s="1"/>
  <c r="M53" i="66" s="1"/>
  <c r="M54" i="66" s="1"/>
  <c r="M55" i="66" s="1"/>
  <c r="M56" i="66" s="1"/>
  <c r="M57" i="66" s="1"/>
  <c r="S28" i="42"/>
  <c r="I29" i="42"/>
  <c r="BB29" i="42"/>
  <c r="BB29" i="43"/>
  <c r="I29" i="43"/>
  <c r="S28" i="43"/>
  <c r="BK15" i="24"/>
  <c r="BK14" i="24"/>
  <c r="AR16" i="24"/>
  <c r="M59" i="66" l="1"/>
  <c r="K59" i="66"/>
  <c r="S38" i="70"/>
  <c r="S29" i="70"/>
  <c r="AR30" i="66"/>
  <c r="BB59" i="66"/>
  <c r="I59" i="66"/>
  <c r="S39" i="70"/>
  <c r="BB30" i="70"/>
  <c r="AF59" i="66"/>
  <c r="I30" i="43"/>
  <c r="S29" i="43"/>
  <c r="BB30" i="42"/>
  <c r="BB30" i="43"/>
  <c r="S29" i="42"/>
  <c r="I30" i="42"/>
  <c r="BB31" i="70" l="1"/>
  <c r="S30" i="70"/>
  <c r="S40" i="70"/>
  <c r="AR31" i="66"/>
  <c r="I31" i="42"/>
  <c r="S30" i="42"/>
  <c r="BB31" i="43"/>
  <c r="BB31" i="42"/>
  <c r="S30" i="43"/>
  <c r="I31" i="43"/>
  <c r="N17" i="4"/>
  <c r="BI16" i="24" s="1"/>
  <c r="N16" i="4"/>
  <c r="AJ11" i="68" l="1"/>
  <c r="AJ11" i="67"/>
  <c r="AJ11" i="66"/>
  <c r="AH28" i="66" s="1"/>
  <c r="AR32" i="66"/>
  <c r="S31" i="70"/>
  <c r="S41" i="70"/>
  <c r="BB32" i="70"/>
  <c r="AJ11" i="47"/>
  <c r="AJ11" i="49"/>
  <c r="AJ11" i="50"/>
  <c r="AJ11" i="48"/>
  <c r="BB32" i="43"/>
  <c r="BB32" i="42"/>
  <c r="S31" i="43"/>
  <c r="I32" i="43"/>
  <c r="I32" i="42"/>
  <c r="S31" i="42"/>
  <c r="AP37" i="24"/>
  <c r="AH29" i="66" l="1"/>
  <c r="AH30" i="66" s="1"/>
  <c r="AH31" i="66" s="1"/>
  <c r="AH32" i="66" s="1"/>
  <c r="AH33" i="66" s="1"/>
  <c r="AH34" i="66" s="1"/>
  <c r="AH35" i="66" s="1"/>
  <c r="AH36" i="66" s="1"/>
  <c r="AH37" i="66" s="1"/>
  <c r="AH38" i="66" s="1"/>
  <c r="AH39" i="66" s="1"/>
  <c r="AH40" i="66" s="1"/>
  <c r="AH41" i="66" s="1"/>
  <c r="AH42" i="66" s="1"/>
  <c r="AH43" i="66" s="1"/>
  <c r="AH44" i="66" s="1"/>
  <c r="AH45" i="66" s="1"/>
  <c r="AH46" i="66" s="1"/>
  <c r="AH47" i="66" s="1"/>
  <c r="AH48" i="66" s="1"/>
  <c r="AH49" i="66" s="1"/>
  <c r="AH50" i="66" s="1"/>
  <c r="AH51" i="66" s="1"/>
  <c r="AH52" i="66" s="1"/>
  <c r="AH53" i="66" s="1"/>
  <c r="AH54" i="66" s="1"/>
  <c r="AH55" i="66" s="1"/>
  <c r="AH56" i="66" s="1"/>
  <c r="AH57" i="66" s="1"/>
  <c r="S42" i="70"/>
  <c r="AR33" i="66"/>
  <c r="BB33" i="70"/>
  <c r="S32" i="70"/>
  <c r="BB33" i="42"/>
  <c r="I33" i="42"/>
  <c r="S32" i="42"/>
  <c r="BB33" i="43"/>
  <c r="S32" i="43"/>
  <c r="I33" i="43"/>
  <c r="Q71" i="24"/>
  <c r="AH59" i="66" l="1"/>
  <c r="S33" i="70"/>
  <c r="BB34" i="70"/>
  <c r="AR34" i="66"/>
  <c r="S43" i="70"/>
  <c r="BB34" i="42"/>
  <c r="BB34" i="43"/>
  <c r="S33" i="43"/>
  <c r="I34" i="43"/>
  <c r="S33" i="42"/>
  <c r="I34" i="42"/>
  <c r="K28" i="24"/>
  <c r="BB35" i="70" l="1"/>
  <c r="BB36" i="70" s="1"/>
  <c r="S34" i="70"/>
  <c r="S44" i="70"/>
  <c r="AR35" i="66"/>
  <c r="BB35" i="43"/>
  <c r="BB35" i="42"/>
  <c r="S34" i="43"/>
  <c r="I35" i="43"/>
  <c r="S34" i="42"/>
  <c r="I35" i="42"/>
  <c r="BB37" i="70" l="1"/>
  <c r="S45" i="70"/>
  <c r="S35" i="70"/>
  <c r="AR36" i="66"/>
  <c r="S35" i="43"/>
  <c r="I36" i="43"/>
  <c r="S35" i="42"/>
  <c r="I36" i="42"/>
  <c r="BB36" i="42"/>
  <c r="BB36" i="43"/>
  <c r="G71" i="24"/>
  <c r="AR401" i="5"/>
  <c r="AR399" i="5"/>
  <c r="AR397" i="5"/>
  <c r="AR395" i="5"/>
  <c r="AR393" i="5"/>
  <c r="AQ388" i="5"/>
  <c r="AR388" i="5"/>
  <c r="AQ389" i="5"/>
  <c r="AQ390" i="5"/>
  <c r="AR390" i="5"/>
  <c r="AQ392" i="5"/>
  <c r="AR392" i="5"/>
  <c r="AQ393" i="5"/>
  <c r="AQ394" i="5"/>
  <c r="AR394" i="5"/>
  <c r="AQ396" i="5"/>
  <c r="AR396" i="5"/>
  <c r="AQ397" i="5"/>
  <c r="AQ398" i="5"/>
  <c r="AR398" i="5"/>
  <c r="AQ400" i="5"/>
  <c r="AR400" i="5"/>
  <c r="AQ401" i="5"/>
  <c r="AQ402" i="5"/>
  <c r="AR402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154" i="5"/>
  <c r="BL155" i="5"/>
  <c r="BL156" i="5"/>
  <c r="BL157" i="5"/>
  <c r="BL158" i="5"/>
  <c r="BL159" i="5"/>
  <c r="BL160" i="5"/>
  <c r="BL161" i="5"/>
  <c r="BL162" i="5"/>
  <c r="BL163" i="5"/>
  <c r="BL164" i="5"/>
  <c r="BL165" i="5"/>
  <c r="BL166" i="5"/>
  <c r="BL167" i="5"/>
  <c r="BL168" i="5"/>
  <c r="BL169" i="5"/>
  <c r="BL170" i="5"/>
  <c r="BL171" i="5"/>
  <c r="BL172" i="5"/>
  <c r="BL173" i="5"/>
  <c r="BL174" i="5"/>
  <c r="BL175" i="5"/>
  <c r="BL176" i="5"/>
  <c r="BL177" i="5"/>
  <c r="BL178" i="5"/>
  <c r="BL179" i="5"/>
  <c r="BL180" i="5"/>
  <c r="BL181" i="5"/>
  <c r="BL182" i="5"/>
  <c r="BL183" i="5"/>
  <c r="BL184" i="5"/>
  <c r="BL185" i="5"/>
  <c r="BL186" i="5"/>
  <c r="BL187" i="5"/>
  <c r="BL188" i="5"/>
  <c r="BL189" i="5"/>
  <c r="BL190" i="5"/>
  <c r="BL191" i="5"/>
  <c r="BL192" i="5"/>
  <c r="BL193" i="5"/>
  <c r="BL194" i="5"/>
  <c r="BL195" i="5"/>
  <c r="BL196" i="5"/>
  <c r="BL197" i="5"/>
  <c r="BL198" i="5"/>
  <c r="BL199" i="5"/>
  <c r="BL200" i="5"/>
  <c r="BL201" i="5"/>
  <c r="BL202" i="5"/>
  <c r="BL203" i="5"/>
  <c r="BL204" i="5"/>
  <c r="BL205" i="5"/>
  <c r="BL206" i="5"/>
  <c r="BL207" i="5"/>
  <c r="BL208" i="5"/>
  <c r="BL209" i="5"/>
  <c r="BL210" i="5"/>
  <c r="BL211" i="5"/>
  <c r="BL212" i="5"/>
  <c r="BL213" i="5"/>
  <c r="BL214" i="5"/>
  <c r="BL215" i="5"/>
  <c r="BL216" i="5"/>
  <c r="BL217" i="5"/>
  <c r="BL218" i="5"/>
  <c r="BL219" i="5"/>
  <c r="BL220" i="5"/>
  <c r="BL221" i="5"/>
  <c r="BL222" i="5"/>
  <c r="BL223" i="5"/>
  <c r="BL224" i="5"/>
  <c r="BL225" i="5"/>
  <c r="BL226" i="5"/>
  <c r="BL227" i="5"/>
  <c r="BL228" i="5"/>
  <c r="BL229" i="5"/>
  <c r="BL230" i="5"/>
  <c r="BL231" i="5"/>
  <c r="BL232" i="5"/>
  <c r="BL233" i="5"/>
  <c r="BL234" i="5"/>
  <c r="BL235" i="5"/>
  <c r="BL236" i="5"/>
  <c r="BL237" i="5"/>
  <c r="BL238" i="5"/>
  <c r="BL239" i="5"/>
  <c r="BL240" i="5"/>
  <c r="BL241" i="5"/>
  <c r="BL242" i="5"/>
  <c r="BL243" i="5"/>
  <c r="BL244" i="5"/>
  <c r="BL245" i="5"/>
  <c r="BL246" i="5"/>
  <c r="BL247" i="5"/>
  <c r="BL248" i="5"/>
  <c r="BL249" i="5"/>
  <c r="BL250" i="5"/>
  <c r="BL251" i="5"/>
  <c r="BL252" i="5"/>
  <c r="BL253" i="5"/>
  <c r="BL254" i="5"/>
  <c r="BL255" i="5"/>
  <c r="BL256" i="5"/>
  <c r="BL257" i="5"/>
  <c r="BL258" i="5"/>
  <c r="BL259" i="5"/>
  <c r="BL260" i="5"/>
  <c r="BL261" i="5"/>
  <c r="BL262" i="5"/>
  <c r="BL263" i="5"/>
  <c r="BL264" i="5"/>
  <c r="BL265" i="5"/>
  <c r="BL266" i="5"/>
  <c r="BL267" i="5"/>
  <c r="BL268" i="5"/>
  <c r="BL269" i="5"/>
  <c r="BL270" i="5"/>
  <c r="BL271" i="5"/>
  <c r="BL272" i="5"/>
  <c r="BL273" i="5"/>
  <c r="BL274" i="5"/>
  <c r="BL275" i="5"/>
  <c r="BL276" i="5"/>
  <c r="BL277" i="5"/>
  <c r="BL278" i="5"/>
  <c r="BL279" i="5"/>
  <c r="BL280" i="5"/>
  <c r="BL281" i="5"/>
  <c r="BL282" i="5"/>
  <c r="BL283" i="5"/>
  <c r="BL284" i="5"/>
  <c r="BL285" i="5"/>
  <c r="BL286" i="5"/>
  <c r="BL287" i="5"/>
  <c r="BL288" i="5"/>
  <c r="BL289" i="5"/>
  <c r="BL290" i="5"/>
  <c r="BL291" i="5"/>
  <c r="BL292" i="5"/>
  <c r="BL293" i="5"/>
  <c r="BL294" i="5"/>
  <c r="BL295" i="5"/>
  <c r="BL296" i="5"/>
  <c r="BL297" i="5"/>
  <c r="BL298" i="5"/>
  <c r="BL299" i="5"/>
  <c r="BL300" i="5"/>
  <c r="BL301" i="5"/>
  <c r="BL302" i="5"/>
  <c r="BL303" i="5"/>
  <c r="BL304" i="5"/>
  <c r="BL305" i="5"/>
  <c r="BL306" i="5"/>
  <c r="BL307" i="5"/>
  <c r="BL308" i="5"/>
  <c r="BL309" i="5"/>
  <c r="BL310" i="5"/>
  <c r="BL311" i="5"/>
  <c r="BL312" i="5"/>
  <c r="BL313" i="5"/>
  <c r="BL314" i="5"/>
  <c r="BL315" i="5"/>
  <c r="BL316" i="5"/>
  <c r="BL317" i="5"/>
  <c r="BL318" i="5"/>
  <c r="BL319" i="5"/>
  <c r="BL320" i="5"/>
  <c r="BL321" i="5"/>
  <c r="BL322" i="5"/>
  <c r="BL323" i="5"/>
  <c r="BL324" i="5"/>
  <c r="BL325" i="5"/>
  <c r="BL326" i="5"/>
  <c r="BL327" i="5"/>
  <c r="BL328" i="5"/>
  <c r="BL329" i="5"/>
  <c r="BL330" i="5"/>
  <c r="BL331" i="5"/>
  <c r="BL332" i="5"/>
  <c r="BL333" i="5"/>
  <c r="BL334" i="5"/>
  <c r="BL335" i="5"/>
  <c r="BL336" i="5"/>
  <c r="BL337" i="5"/>
  <c r="BL338" i="5"/>
  <c r="BL339" i="5"/>
  <c r="BL340" i="5"/>
  <c r="BL341" i="5"/>
  <c r="BL342" i="5"/>
  <c r="BL343" i="5"/>
  <c r="BL344" i="5"/>
  <c r="BL345" i="5"/>
  <c r="BL346" i="5"/>
  <c r="BL347" i="5"/>
  <c r="BL348" i="5"/>
  <c r="BL349" i="5"/>
  <c r="BL350" i="5"/>
  <c r="BL351" i="5"/>
  <c r="BL352" i="5"/>
  <c r="BL353" i="5"/>
  <c r="BL354" i="5"/>
  <c r="BL95" i="5"/>
  <c r="BB38" i="70" l="1"/>
  <c r="S46" i="70"/>
  <c r="S47" i="70"/>
  <c r="S36" i="70"/>
  <c r="AR37" i="66"/>
  <c r="BN353" i="5"/>
  <c r="BN341" i="5"/>
  <c r="BN337" i="5"/>
  <c r="BN329" i="5"/>
  <c r="BN325" i="5"/>
  <c r="BN321" i="5"/>
  <c r="BN313" i="5"/>
  <c r="BN309" i="5"/>
  <c r="S36" i="42"/>
  <c r="I37" i="42"/>
  <c r="I37" i="43"/>
  <c r="S36" i="43"/>
  <c r="BB37" i="43"/>
  <c r="BB37" i="42"/>
  <c r="BN305" i="5"/>
  <c r="BN347" i="5"/>
  <c r="BN332" i="5"/>
  <c r="BN338" i="5"/>
  <c r="BN334" i="5"/>
  <c r="BN330" i="5"/>
  <c r="BN326" i="5"/>
  <c r="BN322" i="5"/>
  <c r="BN318" i="5"/>
  <c r="BN314" i="5"/>
  <c r="BN310" i="5"/>
  <c r="BN306" i="5"/>
  <c r="BN302" i="5"/>
  <c r="BN319" i="5"/>
  <c r="BN299" i="5"/>
  <c r="BN333" i="5"/>
  <c r="BN317" i="5"/>
  <c r="BN301" i="5"/>
  <c r="BN351" i="5"/>
  <c r="BN343" i="5"/>
  <c r="BN339" i="5"/>
  <c r="BN335" i="5"/>
  <c r="BN331" i="5"/>
  <c r="BN327" i="5"/>
  <c r="BN323" i="5"/>
  <c r="BN315" i="5"/>
  <c r="BN311" i="5"/>
  <c r="BN307" i="5"/>
  <c r="BN303" i="5"/>
  <c r="BN352" i="5"/>
  <c r="BN348" i="5"/>
  <c r="BN344" i="5"/>
  <c r="BN340" i="5"/>
  <c r="BN336" i="5"/>
  <c r="BN328" i="5"/>
  <c r="BN324" i="5"/>
  <c r="BN320" i="5"/>
  <c r="BN316" i="5"/>
  <c r="BN312" i="5"/>
  <c r="BN308" i="5"/>
  <c r="BN304" i="5"/>
  <c r="BN300" i="5"/>
  <c r="AQ419" i="5"/>
  <c r="AQ409" i="5"/>
  <c r="AR389" i="5"/>
  <c r="AQ425" i="5"/>
  <c r="AR391" i="5"/>
  <c r="AQ391" i="5"/>
  <c r="AQ415" i="5"/>
  <c r="AQ423" i="5"/>
  <c r="AQ395" i="5"/>
  <c r="AQ399" i="5"/>
  <c r="AR403" i="5"/>
  <c r="AR405" i="5"/>
  <c r="AR411" i="5"/>
  <c r="AR413" i="5"/>
  <c r="AR417" i="5"/>
  <c r="AR421" i="5"/>
  <c r="AQ408" i="5"/>
  <c r="AQ410" i="5"/>
  <c r="AQ416" i="5"/>
  <c r="AQ418" i="5"/>
  <c r="AQ424" i="5"/>
  <c r="AQ426" i="5"/>
  <c r="AQ432" i="5"/>
  <c r="AQ434" i="5"/>
  <c r="AR404" i="5"/>
  <c r="AR406" i="5"/>
  <c r="AR412" i="5"/>
  <c r="AR414" i="5"/>
  <c r="AR420" i="5"/>
  <c r="AR422" i="5"/>
  <c r="AR428" i="5"/>
  <c r="AR430" i="5"/>
  <c r="AR436" i="5"/>
  <c r="AR438" i="5"/>
  <c r="BN354" i="5"/>
  <c r="BN350" i="5"/>
  <c r="BN346" i="5"/>
  <c r="BN342" i="5"/>
  <c r="BN349" i="5"/>
  <c r="BN345" i="5"/>
  <c r="BB39" i="70" l="1"/>
  <c r="AR38" i="66"/>
  <c r="S37" i="70"/>
  <c r="BB38" i="43"/>
  <c r="S37" i="42"/>
  <c r="I38" i="42"/>
  <c r="BB38" i="42"/>
  <c r="I38" i="43"/>
  <c r="S37" i="43"/>
  <c r="AR419" i="5"/>
  <c r="AQ407" i="5"/>
  <c r="AQ413" i="5"/>
  <c r="AQ411" i="5"/>
  <c r="AQ433" i="5"/>
  <c r="AQ443" i="5"/>
  <c r="AQ417" i="5"/>
  <c r="AQ403" i="5"/>
  <c r="AQ445" i="5"/>
  <c r="AQ450" i="5"/>
  <c r="AR434" i="5"/>
  <c r="AR426" i="5"/>
  <c r="AR418" i="5"/>
  <c r="AR410" i="5"/>
  <c r="AR454" i="5"/>
  <c r="AQ438" i="5"/>
  <c r="AQ430" i="5"/>
  <c r="AQ422" i="5"/>
  <c r="AQ414" i="5"/>
  <c r="AQ406" i="5"/>
  <c r="AR433" i="5"/>
  <c r="AR425" i="5"/>
  <c r="AR409" i="5"/>
  <c r="AQ437" i="5"/>
  <c r="AQ435" i="5"/>
  <c r="AQ457" i="5"/>
  <c r="AQ467" i="5"/>
  <c r="AQ441" i="5"/>
  <c r="AQ405" i="5"/>
  <c r="AQ427" i="5"/>
  <c r="AR446" i="5"/>
  <c r="AQ458" i="5"/>
  <c r="AQ442" i="5"/>
  <c r="AR437" i="5"/>
  <c r="AR472" i="5"/>
  <c r="AR464" i="5"/>
  <c r="AQ448" i="5"/>
  <c r="AQ440" i="5"/>
  <c r="AR432" i="5"/>
  <c r="AR424" i="5"/>
  <c r="AR416" i="5"/>
  <c r="AR408" i="5"/>
  <c r="AQ468" i="5"/>
  <c r="AQ436" i="5"/>
  <c r="AQ428" i="5"/>
  <c r="AQ420" i="5"/>
  <c r="AQ412" i="5"/>
  <c r="AQ404" i="5"/>
  <c r="AR431" i="5"/>
  <c r="AR423" i="5"/>
  <c r="AR415" i="5"/>
  <c r="AR407" i="5"/>
  <c r="AQ455" i="5"/>
  <c r="AQ447" i="5"/>
  <c r="AQ471" i="5"/>
  <c r="AQ461" i="5"/>
  <c r="AQ459" i="5"/>
  <c r="AQ421" i="5"/>
  <c r="AR429" i="5"/>
  <c r="AQ451" i="5"/>
  <c r="BB40" i="70" l="1"/>
  <c r="S48" i="70"/>
  <c r="AR39" i="66"/>
  <c r="I39" i="42"/>
  <c r="S38" i="42"/>
  <c r="S38" i="43"/>
  <c r="I39" i="43"/>
  <c r="BB39" i="42"/>
  <c r="BB39" i="43"/>
  <c r="AR466" i="5"/>
  <c r="AQ466" i="5"/>
  <c r="AR481" i="5"/>
  <c r="AR439" i="5"/>
  <c r="AR471" i="5"/>
  <c r="AQ462" i="5"/>
  <c r="AR458" i="5"/>
  <c r="AQ431" i="5"/>
  <c r="AR443" i="5"/>
  <c r="AR460" i="5"/>
  <c r="AR462" i="5"/>
  <c r="AQ429" i="5"/>
  <c r="AR447" i="5"/>
  <c r="AQ444" i="5"/>
  <c r="AQ476" i="5"/>
  <c r="AR440" i="5"/>
  <c r="AR476" i="5"/>
  <c r="AR500" i="5"/>
  <c r="AR441" i="5"/>
  <c r="AQ464" i="5"/>
  <c r="AR451" i="5"/>
  <c r="AQ465" i="5"/>
  <c r="AQ481" i="5"/>
  <c r="AR455" i="5"/>
  <c r="AQ452" i="5"/>
  <c r="AR448" i="5"/>
  <c r="AR508" i="5"/>
  <c r="AR480" i="5"/>
  <c r="AR512" i="5"/>
  <c r="AQ472" i="5"/>
  <c r="AR461" i="5"/>
  <c r="AQ479" i="5"/>
  <c r="AR449" i="5"/>
  <c r="AR485" i="5"/>
  <c r="AQ446" i="5"/>
  <c r="AR442" i="5"/>
  <c r="AR478" i="5"/>
  <c r="AR468" i="5"/>
  <c r="AQ439" i="5"/>
  <c r="AQ477" i="5"/>
  <c r="AQ495" i="5"/>
  <c r="AR427" i="5"/>
  <c r="AR459" i="5"/>
  <c r="AQ456" i="5"/>
  <c r="AQ483" i="5"/>
  <c r="AQ491" i="5"/>
  <c r="AR463" i="5"/>
  <c r="AQ460" i="5"/>
  <c r="AQ496" i="5"/>
  <c r="AQ492" i="5"/>
  <c r="AR456" i="5"/>
  <c r="AR488" i="5"/>
  <c r="AR452" i="5"/>
  <c r="AR457" i="5"/>
  <c r="AQ454" i="5"/>
  <c r="AQ490" i="5"/>
  <c r="AR450" i="5"/>
  <c r="AQ475" i="5"/>
  <c r="AR445" i="5"/>
  <c r="AQ449" i="5"/>
  <c r="AR435" i="5"/>
  <c r="AR467" i="5"/>
  <c r="AR444" i="5"/>
  <c r="BB41" i="70" l="1"/>
  <c r="AR40" i="66"/>
  <c r="S49" i="70"/>
  <c r="I40" i="43"/>
  <c r="S39" i="43"/>
  <c r="I40" i="42"/>
  <c r="S39" i="42"/>
  <c r="BB40" i="43"/>
  <c r="BB40" i="42"/>
  <c r="AR482" i="5"/>
  <c r="AR514" i="5"/>
  <c r="AR486" i="5"/>
  <c r="AQ519" i="5"/>
  <c r="AQ502" i="5"/>
  <c r="AQ510" i="5"/>
  <c r="AQ482" i="5"/>
  <c r="AQ516" i="5"/>
  <c r="AQ507" i="5"/>
  <c r="AQ453" i="5"/>
  <c r="AR453" i="5"/>
  <c r="AQ515" i="5"/>
  <c r="AQ473" i="5"/>
  <c r="AR496" i="5"/>
  <c r="AR473" i="5"/>
  <c r="AQ478" i="5"/>
  <c r="AR484" i="5"/>
  <c r="AR520" i="5"/>
  <c r="AQ512" i="5"/>
  <c r="AR491" i="5"/>
  <c r="AQ470" i="5"/>
  <c r="AR470" i="5"/>
  <c r="AR477" i="5"/>
  <c r="AR524" i="5"/>
  <c r="AQ480" i="5"/>
  <c r="AR483" i="5"/>
  <c r="AR522" i="5"/>
  <c r="AR516" i="5"/>
  <c r="AR495" i="5"/>
  <c r="AQ469" i="5"/>
  <c r="AQ517" i="5"/>
  <c r="AR469" i="5"/>
  <c r="AR526" i="5"/>
  <c r="AQ538" i="5"/>
  <c r="AQ527" i="5"/>
  <c r="AR493" i="5"/>
  <c r="AQ508" i="5"/>
  <c r="AR479" i="5"/>
  <c r="AR543" i="5"/>
  <c r="AR465" i="5"/>
  <c r="AQ485" i="5"/>
  <c r="AQ500" i="5"/>
  <c r="AR499" i="5"/>
  <c r="AR497" i="5"/>
  <c r="AR510" i="5"/>
  <c r="AQ486" i="5"/>
  <c r="AR492" i="5"/>
  <c r="AQ520" i="5"/>
  <c r="AR474" i="5"/>
  <c r="AQ474" i="5"/>
  <c r="AR546" i="5"/>
  <c r="AQ506" i="5"/>
  <c r="AR532" i="5"/>
  <c r="AQ488" i="5"/>
  <c r="AQ505" i="5"/>
  <c r="AQ509" i="5"/>
  <c r="AQ541" i="5"/>
  <c r="AQ501" i="5"/>
  <c r="AR536" i="5"/>
  <c r="AQ540" i="5"/>
  <c r="AR531" i="5"/>
  <c r="AQ463" i="5"/>
  <c r="AR494" i="5"/>
  <c r="AQ498" i="5"/>
  <c r="AR475" i="5"/>
  <c r="AR490" i="5"/>
  <c r="AQ484" i="5"/>
  <c r="BB42" i="70" l="1"/>
  <c r="S50" i="70"/>
  <c r="AR41" i="66"/>
  <c r="I41" i="42"/>
  <c r="S40" i="42"/>
  <c r="BB41" i="43"/>
  <c r="BB41" i="42"/>
  <c r="I41" i="43"/>
  <c r="S40" i="43"/>
  <c r="AQ487" i="5"/>
  <c r="AQ524" i="5"/>
  <c r="AQ489" i="5"/>
  <c r="AR506" i="5"/>
  <c r="AQ536" i="5"/>
  <c r="AQ531" i="5"/>
  <c r="AR541" i="5"/>
  <c r="AR511" i="5"/>
  <c r="AR540" i="5"/>
  <c r="AQ497" i="5"/>
  <c r="AQ521" i="5"/>
  <c r="AQ545" i="5"/>
  <c r="AQ533" i="5"/>
  <c r="AQ525" i="5"/>
  <c r="AQ555" i="5"/>
  <c r="AR515" i="5"/>
  <c r="AR501" i="5"/>
  <c r="AR513" i="5"/>
  <c r="AQ493" i="5"/>
  <c r="AQ553" i="5"/>
  <c r="AQ543" i="5"/>
  <c r="AQ526" i="5"/>
  <c r="AQ546" i="5"/>
  <c r="AR489" i="5"/>
  <c r="AR487" i="5"/>
  <c r="AR517" i="5"/>
  <c r="AQ494" i="5"/>
  <c r="AQ518" i="5"/>
  <c r="AQ499" i="5"/>
  <c r="AR502" i="5"/>
  <c r="AR550" i="5"/>
  <c r="AQ514" i="5"/>
  <c r="AR519" i="5"/>
  <c r="AR553" i="5"/>
  <c r="AR505" i="5"/>
  <c r="AR525" i="5"/>
  <c r="AR518" i="5"/>
  <c r="AQ504" i="5"/>
  <c r="AR498" i="5"/>
  <c r="AR534" i="5"/>
  <c r="AQ548" i="5"/>
  <c r="AQ523" i="5"/>
  <c r="AR538" i="5"/>
  <c r="AQ532" i="5"/>
  <c r="AQ556" i="5"/>
  <c r="AQ551" i="5"/>
  <c r="AQ503" i="5"/>
  <c r="AR503" i="5"/>
  <c r="AQ542" i="5"/>
  <c r="AR527" i="5"/>
  <c r="AQ557" i="5"/>
  <c r="AQ539" i="5"/>
  <c r="AR504" i="5"/>
  <c r="AR509" i="5"/>
  <c r="AR530" i="5"/>
  <c r="AQ528" i="5"/>
  <c r="AR507" i="5"/>
  <c r="AQ522" i="5"/>
  <c r="BB43" i="70" l="1"/>
  <c r="AR42" i="66"/>
  <c r="S51" i="70"/>
  <c r="S41" i="43"/>
  <c r="I42" i="43"/>
  <c r="BB42" i="43"/>
  <c r="S41" i="42"/>
  <c r="I42" i="42"/>
  <c r="BB42" i="42"/>
  <c r="AR556" i="5"/>
  <c r="AQ547" i="5"/>
  <c r="AR523" i="5"/>
  <c r="AR548" i="5"/>
  <c r="AR555" i="5"/>
  <c r="AQ534" i="5"/>
  <c r="AR558" i="5"/>
  <c r="AR552" i="5"/>
  <c r="AQ552" i="5"/>
  <c r="AR551" i="5"/>
  <c r="AR544" i="5"/>
  <c r="AQ544" i="5"/>
  <c r="AR521" i="5"/>
  <c r="AQ511" i="5"/>
  <c r="AQ550" i="5"/>
  <c r="AR547" i="5"/>
  <c r="AQ529" i="5"/>
  <c r="AR529" i="5"/>
  <c r="AR545" i="5"/>
  <c r="AR539" i="5"/>
  <c r="AQ513" i="5"/>
  <c r="AQ549" i="5"/>
  <c r="AR533" i="5"/>
  <c r="AQ530" i="5"/>
  <c r="AR557" i="5"/>
  <c r="AR528" i="5"/>
  <c r="AR542" i="5"/>
  <c r="AQ554" i="5"/>
  <c r="AR535" i="5"/>
  <c r="BB44" i="70" l="1"/>
  <c r="AR43" i="66"/>
  <c r="S52" i="70"/>
  <c r="S42" i="42"/>
  <c r="I43" i="42"/>
  <c r="I43" i="43"/>
  <c r="S42" i="43"/>
  <c r="BB43" i="42"/>
  <c r="BB43" i="43"/>
  <c r="AR549" i="5"/>
  <c r="AQ535" i="5"/>
  <c r="AR554" i="5"/>
  <c r="AQ537" i="5"/>
  <c r="AR537" i="5"/>
  <c r="AQ558" i="5"/>
  <c r="BB45" i="70" l="1"/>
  <c r="AR44" i="66"/>
  <c r="S53" i="70"/>
  <c r="BB44" i="43"/>
  <c r="I44" i="43"/>
  <c r="S43" i="43"/>
  <c r="I44" i="42"/>
  <c r="S43" i="42"/>
  <c r="BB44" i="42"/>
  <c r="AY22" i="5"/>
  <c r="AR15" i="24"/>
  <c r="M16" i="4"/>
  <c r="L16" i="4"/>
  <c r="AV11" i="24" s="1"/>
  <c r="D16" i="4"/>
  <c r="AJ16" i="68" l="1"/>
  <c r="AF11" i="68" s="1"/>
  <c r="AJ16" i="67"/>
  <c r="AJ16" i="66"/>
  <c r="BD15" i="74"/>
  <c r="BD15" i="62"/>
  <c r="BD15" i="61"/>
  <c r="BD15" i="63"/>
  <c r="BD15" i="60"/>
  <c r="BD15" i="58"/>
  <c r="BD15" i="59"/>
  <c r="BB16" i="68"/>
  <c r="BB16" i="67"/>
  <c r="BB16" i="66"/>
  <c r="BD28" i="66" s="1"/>
  <c r="BB46" i="70"/>
  <c r="S54" i="70"/>
  <c r="AR45" i="66"/>
  <c r="AV16" i="24"/>
  <c r="AJ16" i="49"/>
  <c r="AF11" i="49" s="1"/>
  <c r="AJ16" i="48"/>
  <c r="AF11" i="48" s="1"/>
  <c r="BD11" i="48" s="1"/>
  <c r="AJ16" i="47"/>
  <c r="AF11" i="47" s="1"/>
  <c r="AJ16" i="50"/>
  <c r="AF11" i="50" s="1"/>
  <c r="BD11" i="50" s="1"/>
  <c r="BB16" i="48"/>
  <c r="BB16" i="50"/>
  <c r="BB16" i="47"/>
  <c r="BB16" i="49"/>
  <c r="S44" i="43"/>
  <c r="I45" i="43"/>
  <c r="BB45" i="42"/>
  <c r="S44" i="42"/>
  <c r="I45" i="42"/>
  <c r="BB45" i="43"/>
  <c r="O16" i="4"/>
  <c r="E39" i="57"/>
  <c r="M39" i="57" s="1"/>
  <c r="E39" i="74"/>
  <c r="E40" i="74"/>
  <c r="E41" i="74"/>
  <c r="E42" i="74"/>
  <c r="E43" i="74"/>
  <c r="E44" i="74"/>
  <c r="E45" i="74"/>
  <c r="E46" i="74"/>
  <c r="E47" i="74"/>
  <c r="E48" i="74"/>
  <c r="E49" i="74"/>
  <c r="E50" i="74"/>
  <c r="E51" i="74"/>
  <c r="E52" i="74"/>
  <c r="E53" i="74"/>
  <c r="E54" i="74"/>
  <c r="E55" i="74"/>
  <c r="E56" i="74"/>
  <c r="E57" i="74"/>
  <c r="E58" i="74"/>
  <c r="E59" i="74"/>
  <c r="E60" i="74"/>
  <c r="E61" i="74"/>
  <c r="E62" i="74"/>
  <c r="E63" i="74"/>
  <c r="E64" i="74"/>
  <c r="E65" i="74"/>
  <c r="E66" i="74"/>
  <c r="E67" i="74"/>
  <c r="E68" i="74"/>
  <c r="BD39" i="74" l="1"/>
  <c r="M39" i="74"/>
  <c r="BB39" i="74"/>
  <c r="AJ13" i="68"/>
  <c r="AJ13" i="67"/>
  <c r="AJ13" i="66"/>
  <c r="AJ28" i="66" s="1"/>
  <c r="AR16" i="74"/>
  <c r="AF38" i="74" s="1"/>
  <c r="AF16" i="70"/>
  <c r="AF28" i="70" s="1"/>
  <c r="AR16" i="65"/>
  <c r="AF38" i="65" s="1"/>
  <c r="AR16" i="63"/>
  <c r="AF38" i="63" s="1"/>
  <c r="AR16" i="62"/>
  <c r="AF38" i="62" s="1"/>
  <c r="AR16" i="61"/>
  <c r="AF38" i="61" s="1"/>
  <c r="AR16" i="60"/>
  <c r="AF38" i="60" s="1"/>
  <c r="AR16" i="59"/>
  <c r="AF38" i="59" s="1"/>
  <c r="AR16" i="58"/>
  <c r="AF38" i="58" s="1"/>
  <c r="AR16" i="57"/>
  <c r="AF39" i="57" s="1"/>
  <c r="AR16" i="31"/>
  <c r="BD29" i="66"/>
  <c r="BD30" i="66" s="1"/>
  <c r="BD31" i="66" s="1"/>
  <c r="BD32" i="66" s="1"/>
  <c r="BD33" i="66" s="1"/>
  <c r="BD34" i="66" s="1"/>
  <c r="BD35" i="66" s="1"/>
  <c r="BD36" i="66" s="1"/>
  <c r="BD37" i="66" s="1"/>
  <c r="BD38" i="66" s="1"/>
  <c r="BD39" i="66" s="1"/>
  <c r="BD40" i="66" s="1"/>
  <c r="BD41" i="66" s="1"/>
  <c r="BD42" i="66" s="1"/>
  <c r="BD43" i="66" s="1"/>
  <c r="BD44" i="66" s="1"/>
  <c r="BD45" i="66" s="1"/>
  <c r="BD46" i="66" s="1"/>
  <c r="BD47" i="66" s="1"/>
  <c r="BD48" i="66" s="1"/>
  <c r="BD49" i="66" s="1"/>
  <c r="BD50" i="66" s="1"/>
  <c r="BD51" i="66" s="1"/>
  <c r="BD52" i="66" s="1"/>
  <c r="BD53" i="66" s="1"/>
  <c r="BD54" i="66" s="1"/>
  <c r="BD55" i="66" s="1"/>
  <c r="BD56" i="66" s="1"/>
  <c r="BD57" i="66" s="1"/>
  <c r="BD11" i="68"/>
  <c r="AF12" i="68"/>
  <c r="E48" i="69"/>
  <c r="E47" i="68"/>
  <c r="E47" i="67"/>
  <c r="E60" i="63"/>
  <c r="E60" i="61"/>
  <c r="E60" i="62"/>
  <c r="E60" i="60"/>
  <c r="E60" i="59"/>
  <c r="E40" i="69"/>
  <c r="E39" i="68"/>
  <c r="E39" i="67"/>
  <c r="E52" i="62"/>
  <c r="E52" i="63"/>
  <c r="E52" i="61"/>
  <c r="E52" i="60"/>
  <c r="E52" i="59"/>
  <c r="E28" i="69"/>
  <c r="E40" i="61"/>
  <c r="E40" i="63"/>
  <c r="E40" i="62"/>
  <c r="E40" i="60"/>
  <c r="E40" i="59"/>
  <c r="E54" i="67"/>
  <c r="E54" i="68"/>
  <c r="E67" i="61"/>
  <c r="E67" i="63"/>
  <c r="E67" i="62"/>
  <c r="E67" i="60"/>
  <c r="E67" i="59"/>
  <c r="E51" i="69"/>
  <c r="E50" i="68"/>
  <c r="E50" i="67"/>
  <c r="E63" i="63"/>
  <c r="E63" i="61"/>
  <c r="E63" i="62"/>
  <c r="E63" i="60"/>
  <c r="E63" i="59"/>
  <c r="E47" i="69"/>
  <c r="E46" i="67"/>
  <c r="E46" i="68"/>
  <c r="E59" i="63"/>
  <c r="E59" i="61"/>
  <c r="E59" i="62"/>
  <c r="E59" i="60"/>
  <c r="E59" i="59"/>
  <c r="E43" i="69"/>
  <c r="E42" i="67"/>
  <c r="E42" i="68"/>
  <c r="E55" i="62"/>
  <c r="E55" i="61"/>
  <c r="E55" i="63"/>
  <c r="E55" i="60"/>
  <c r="E55" i="59"/>
  <c r="E39" i="69"/>
  <c r="E38" i="67"/>
  <c r="E38" i="68"/>
  <c r="E51" i="62"/>
  <c r="E51" i="63"/>
  <c r="E51" i="61"/>
  <c r="E51" i="60"/>
  <c r="E51" i="59"/>
  <c r="E35" i="69"/>
  <c r="E34" i="67"/>
  <c r="E34" i="68"/>
  <c r="E47" i="62"/>
  <c r="E47" i="61"/>
  <c r="E47" i="63"/>
  <c r="E47" i="60"/>
  <c r="E47" i="59"/>
  <c r="E31" i="69"/>
  <c r="E30" i="68"/>
  <c r="E30" i="67"/>
  <c r="E43" i="62"/>
  <c r="E43" i="63"/>
  <c r="E43" i="61"/>
  <c r="E43" i="60"/>
  <c r="E43" i="59"/>
  <c r="E39" i="63"/>
  <c r="E39" i="62"/>
  <c r="E39" i="61"/>
  <c r="E39" i="60"/>
  <c r="E39" i="59"/>
  <c r="E52" i="69"/>
  <c r="E51" i="68"/>
  <c r="E51" i="67"/>
  <c r="E64" i="63"/>
  <c r="E64" i="61"/>
  <c r="E64" i="62"/>
  <c r="E64" i="60"/>
  <c r="E64" i="59"/>
  <c r="E36" i="69"/>
  <c r="E35" i="68"/>
  <c r="E35" i="67"/>
  <c r="E48" i="63"/>
  <c r="E48" i="62"/>
  <c r="E48" i="61"/>
  <c r="E48" i="60"/>
  <c r="E48" i="59"/>
  <c r="E42" i="69"/>
  <c r="E41" i="67"/>
  <c r="E41" i="68"/>
  <c r="E54" i="63"/>
  <c r="E54" i="62"/>
  <c r="E54" i="61"/>
  <c r="E54" i="60"/>
  <c r="E54" i="59"/>
  <c r="E30" i="69"/>
  <c r="E29" i="67"/>
  <c r="M29" i="67" s="1"/>
  <c r="E29" i="68"/>
  <c r="M29" i="68" s="1"/>
  <c r="E42" i="61"/>
  <c r="E42" i="63"/>
  <c r="E42" i="62"/>
  <c r="E42" i="60"/>
  <c r="E42" i="59"/>
  <c r="BB47" i="70"/>
  <c r="E55" i="68"/>
  <c r="E55" i="67"/>
  <c r="E68" i="61"/>
  <c r="E68" i="62"/>
  <c r="E68" i="63"/>
  <c r="E68" i="60"/>
  <c r="E68" i="59"/>
  <c r="E44" i="69"/>
  <c r="E43" i="68"/>
  <c r="E43" i="67"/>
  <c r="E56" i="62"/>
  <c r="E56" i="63"/>
  <c r="E56" i="61"/>
  <c r="E56" i="60"/>
  <c r="E56" i="59"/>
  <c r="E32" i="69"/>
  <c r="E31" i="68"/>
  <c r="E31" i="67"/>
  <c r="E44" i="63"/>
  <c r="E44" i="62"/>
  <c r="E44" i="61"/>
  <c r="E44" i="60"/>
  <c r="E44" i="59"/>
  <c r="E57" i="67"/>
  <c r="E57" i="68"/>
  <c r="E53" i="67"/>
  <c r="E53" i="68"/>
  <c r="E66" i="62"/>
  <c r="E66" i="61"/>
  <c r="E66" i="63"/>
  <c r="E66" i="60"/>
  <c r="E66" i="59"/>
  <c r="E50" i="69"/>
  <c r="E49" i="67"/>
  <c r="E49" i="68"/>
  <c r="E62" i="62"/>
  <c r="E62" i="63"/>
  <c r="E62" i="61"/>
  <c r="E62" i="60"/>
  <c r="E62" i="59"/>
  <c r="E46" i="69"/>
  <c r="E45" i="67"/>
  <c r="E45" i="68"/>
  <c r="E58" i="61"/>
  <c r="E58" i="63"/>
  <c r="E58" i="62"/>
  <c r="E58" i="60"/>
  <c r="E58" i="59"/>
  <c r="E38" i="69"/>
  <c r="E37" i="67"/>
  <c r="E37" i="68"/>
  <c r="E50" i="63"/>
  <c r="E50" i="62"/>
  <c r="E50" i="61"/>
  <c r="E50" i="60"/>
  <c r="E50" i="59"/>
  <c r="E34" i="69"/>
  <c r="E33" i="67"/>
  <c r="E33" i="68"/>
  <c r="E46" i="61"/>
  <c r="E46" i="63"/>
  <c r="E46" i="62"/>
  <c r="E46" i="60"/>
  <c r="E46" i="59"/>
  <c r="E70" i="31"/>
  <c r="E56" i="67"/>
  <c r="E56" i="68"/>
  <c r="E53" i="69"/>
  <c r="E52" i="67"/>
  <c r="E52" i="68"/>
  <c r="E65" i="62"/>
  <c r="E65" i="61"/>
  <c r="E65" i="63"/>
  <c r="E65" i="60"/>
  <c r="E65" i="59"/>
  <c r="E49" i="69"/>
  <c r="E48" i="67"/>
  <c r="E48" i="68"/>
  <c r="E61" i="63"/>
  <c r="E61" i="61"/>
  <c r="E61" i="62"/>
  <c r="E61" i="60"/>
  <c r="E61" i="59"/>
  <c r="E45" i="69"/>
  <c r="E44" i="67"/>
  <c r="E44" i="68"/>
  <c r="E57" i="63"/>
  <c r="E57" i="62"/>
  <c r="E57" i="61"/>
  <c r="E57" i="60"/>
  <c r="E57" i="59"/>
  <c r="E41" i="69"/>
  <c r="E40" i="67"/>
  <c r="E40" i="68"/>
  <c r="E53" i="61"/>
  <c r="E53" i="63"/>
  <c r="E53" i="62"/>
  <c r="E53" i="60"/>
  <c r="E53" i="59"/>
  <c r="E37" i="69"/>
  <c r="E36" i="67"/>
  <c r="E36" i="68"/>
  <c r="E49" i="62"/>
  <c r="E49" i="61"/>
  <c r="E49" i="63"/>
  <c r="E49" i="60"/>
  <c r="E49" i="59"/>
  <c r="E33" i="69"/>
  <c r="E32" i="67"/>
  <c r="E32" i="68"/>
  <c r="E45" i="62"/>
  <c r="E45" i="61"/>
  <c r="E45" i="63"/>
  <c r="E45" i="60"/>
  <c r="E45" i="59"/>
  <c r="E29" i="69"/>
  <c r="E28" i="67"/>
  <c r="E28" i="68"/>
  <c r="E41" i="63"/>
  <c r="E41" i="62"/>
  <c r="E41" i="61"/>
  <c r="E41" i="60"/>
  <c r="E41" i="59"/>
  <c r="AR46" i="66"/>
  <c r="S55" i="70"/>
  <c r="E69" i="31"/>
  <c r="E69" i="57"/>
  <c r="E68" i="58"/>
  <c r="E57" i="31"/>
  <c r="E57" i="57"/>
  <c r="E56" i="58"/>
  <c r="E45" i="31"/>
  <c r="E45" i="57"/>
  <c r="E44" i="58"/>
  <c r="E68" i="31"/>
  <c r="E67" i="58"/>
  <c r="E68" i="57"/>
  <c r="E64" i="31"/>
  <c r="E64" i="57"/>
  <c r="E63" i="58"/>
  <c r="E60" i="31"/>
  <c r="E60" i="57"/>
  <c r="E59" i="58"/>
  <c r="E56" i="31"/>
  <c r="E55" i="58"/>
  <c r="E56" i="57"/>
  <c r="E52" i="31"/>
  <c r="E52" i="57"/>
  <c r="E51" i="58"/>
  <c r="E48" i="31"/>
  <c r="E47" i="58"/>
  <c r="E48" i="57"/>
  <c r="E44" i="31"/>
  <c r="E43" i="58"/>
  <c r="E44" i="57"/>
  <c r="E40" i="31"/>
  <c r="M40" i="31" s="1"/>
  <c r="E39" i="58"/>
  <c r="AF39" i="58" s="1"/>
  <c r="E40" i="57"/>
  <c r="E61" i="31"/>
  <c r="E61" i="57"/>
  <c r="E60" i="58"/>
  <c r="E41" i="31"/>
  <c r="E41" i="57"/>
  <c r="E40" i="58"/>
  <c r="AF40" i="31"/>
  <c r="AR16" i="30"/>
  <c r="E67" i="31"/>
  <c r="E67" i="57"/>
  <c r="E66" i="58"/>
  <c r="E59" i="31"/>
  <c r="E58" i="58"/>
  <c r="E59" i="57"/>
  <c r="E55" i="31"/>
  <c r="E54" i="58"/>
  <c r="E55" i="57"/>
  <c r="E51" i="31"/>
  <c r="E50" i="58"/>
  <c r="E51" i="57"/>
  <c r="E47" i="31"/>
  <c r="E46" i="58"/>
  <c r="E47" i="57"/>
  <c r="E43" i="31"/>
  <c r="E42" i="58"/>
  <c r="E43" i="57"/>
  <c r="M40" i="57"/>
  <c r="E65" i="31"/>
  <c r="E65" i="57"/>
  <c r="E64" i="58"/>
  <c r="E53" i="31"/>
  <c r="E53" i="57"/>
  <c r="E52" i="58"/>
  <c r="E49" i="31"/>
  <c r="E49" i="57"/>
  <c r="E48" i="58"/>
  <c r="E63" i="31"/>
  <c r="E62" i="58"/>
  <c r="E63" i="57"/>
  <c r="E66" i="31"/>
  <c r="E66" i="57"/>
  <c r="E65" i="58"/>
  <c r="E62" i="31"/>
  <c r="E62" i="57"/>
  <c r="E61" i="58"/>
  <c r="E58" i="31"/>
  <c r="E58" i="57"/>
  <c r="E57" i="58"/>
  <c r="E54" i="31"/>
  <c r="E54" i="57"/>
  <c r="E53" i="58"/>
  <c r="E50" i="31"/>
  <c r="E50" i="57"/>
  <c r="E49" i="58"/>
  <c r="E46" i="31"/>
  <c r="E45" i="58"/>
  <c r="E46" i="57"/>
  <c r="E42" i="31"/>
  <c r="E42" i="57"/>
  <c r="E41" i="58"/>
  <c r="BD41" i="31"/>
  <c r="BB41" i="31"/>
  <c r="E46" i="50"/>
  <c r="E42" i="50"/>
  <c r="E38" i="50"/>
  <c r="E34" i="50"/>
  <c r="E30" i="50"/>
  <c r="E45" i="50"/>
  <c r="E41" i="50"/>
  <c r="E37" i="50"/>
  <c r="E33" i="50"/>
  <c r="M29" i="47"/>
  <c r="M30" i="47" s="1"/>
  <c r="M31" i="47" s="1"/>
  <c r="M32" i="47" s="1"/>
  <c r="M33" i="47" s="1"/>
  <c r="M34" i="47" s="1"/>
  <c r="M35" i="47" s="1"/>
  <c r="M36" i="47" s="1"/>
  <c r="M37" i="47" s="1"/>
  <c r="M38" i="47" s="1"/>
  <c r="M39" i="47" s="1"/>
  <c r="M40" i="47" s="1"/>
  <c r="M41" i="47" s="1"/>
  <c r="M42" i="47" s="1"/>
  <c r="M43" i="47" s="1"/>
  <c r="M44" i="47" s="1"/>
  <c r="M45" i="47" s="1"/>
  <c r="M46" i="47" s="1"/>
  <c r="M29" i="49"/>
  <c r="M29" i="48"/>
  <c r="E29" i="50"/>
  <c r="M29" i="50" s="1"/>
  <c r="E48" i="50"/>
  <c r="E44" i="50"/>
  <c r="E40" i="50"/>
  <c r="E36" i="50"/>
  <c r="E32" i="50"/>
  <c r="E28" i="50"/>
  <c r="BD28" i="49"/>
  <c r="BD29" i="49" s="1"/>
  <c r="E47" i="50"/>
  <c r="E43" i="50"/>
  <c r="E39" i="50"/>
  <c r="E35" i="50"/>
  <c r="E31" i="50"/>
  <c r="L29" i="4"/>
  <c r="BD11" i="49"/>
  <c r="AF12" i="49"/>
  <c r="AF12" i="50"/>
  <c r="AV13" i="24"/>
  <c r="AJ13" i="49"/>
  <c r="AJ13" i="48"/>
  <c r="AJ13" i="50"/>
  <c r="AJ13" i="47"/>
  <c r="BD11" i="47"/>
  <c r="AF12" i="47"/>
  <c r="AF12" i="48"/>
  <c r="AF16" i="43"/>
  <c r="AF16" i="42"/>
  <c r="BD28" i="47"/>
  <c r="I28" i="47"/>
  <c r="AH28" i="47"/>
  <c r="BB28" i="47"/>
  <c r="AJ28" i="47"/>
  <c r="I46" i="43"/>
  <c r="S45" i="43"/>
  <c r="BB46" i="43"/>
  <c r="I46" i="42"/>
  <c r="S45" i="42"/>
  <c r="BB46" i="42"/>
  <c r="BD39" i="24"/>
  <c r="AF39" i="24"/>
  <c r="AJ39" i="24"/>
  <c r="BB39" i="24"/>
  <c r="AH39" i="24"/>
  <c r="N28" i="4"/>
  <c r="I28" i="4"/>
  <c r="D29" i="4"/>
  <c r="H16" i="4"/>
  <c r="M29" i="4"/>
  <c r="I27" i="4"/>
  <c r="N27" i="4"/>
  <c r="AF41" i="31" l="1"/>
  <c r="AJ28" i="50"/>
  <c r="BB40" i="74"/>
  <c r="BF39" i="74"/>
  <c r="S39" i="74"/>
  <c r="M40" i="74"/>
  <c r="BD40" i="74"/>
  <c r="BD41" i="74" s="1"/>
  <c r="BD42" i="74" s="1"/>
  <c r="BD43" i="74" s="1"/>
  <c r="BD44" i="74" s="1"/>
  <c r="BD45" i="74" s="1"/>
  <c r="BD46" i="74" s="1"/>
  <c r="BD47" i="74" s="1"/>
  <c r="BD48" i="74" s="1"/>
  <c r="BD49" i="74" s="1"/>
  <c r="BD50" i="74" s="1"/>
  <c r="BD51" i="74" s="1"/>
  <c r="BD52" i="74" s="1"/>
  <c r="BD53" i="74" s="1"/>
  <c r="BD54" i="74" s="1"/>
  <c r="BD55" i="74" s="1"/>
  <c r="BD56" i="74" s="1"/>
  <c r="BD57" i="74" s="1"/>
  <c r="BD58" i="74" s="1"/>
  <c r="BD59" i="74" s="1"/>
  <c r="BD60" i="74" s="1"/>
  <c r="BD61" i="74" s="1"/>
  <c r="BD62" i="74" s="1"/>
  <c r="BD63" i="74" s="1"/>
  <c r="BD64" i="74" s="1"/>
  <c r="BD65" i="74" s="1"/>
  <c r="BD66" i="74" s="1"/>
  <c r="BD67" i="74" s="1"/>
  <c r="BD68" i="74" s="1"/>
  <c r="BD59" i="66"/>
  <c r="AF39" i="74"/>
  <c r="AF14" i="68"/>
  <c r="AF14" i="67"/>
  <c r="AF14" i="66"/>
  <c r="AJ29" i="66"/>
  <c r="AJ30" i="66" s="1"/>
  <c r="AJ31" i="66" s="1"/>
  <c r="AJ32" i="66" s="1"/>
  <c r="AJ33" i="66" s="1"/>
  <c r="AJ34" i="66" s="1"/>
  <c r="AJ35" i="66" s="1"/>
  <c r="AJ36" i="66" s="1"/>
  <c r="AJ37" i="66" s="1"/>
  <c r="AJ38" i="66" s="1"/>
  <c r="AJ39" i="66" s="1"/>
  <c r="AJ40" i="66" s="1"/>
  <c r="AJ41" i="66" s="1"/>
  <c r="AJ42" i="66" s="1"/>
  <c r="AJ43" i="66" s="1"/>
  <c r="AJ44" i="66" s="1"/>
  <c r="AJ45" i="66" s="1"/>
  <c r="AJ46" i="66" s="1"/>
  <c r="AJ47" i="66" s="1"/>
  <c r="AJ48" i="66" s="1"/>
  <c r="AJ49" i="66" s="1"/>
  <c r="AJ50" i="66" s="1"/>
  <c r="AJ51" i="66" s="1"/>
  <c r="AJ52" i="66" s="1"/>
  <c r="AJ53" i="66" s="1"/>
  <c r="AJ54" i="66" s="1"/>
  <c r="AJ55" i="66" s="1"/>
  <c r="AJ56" i="66" s="1"/>
  <c r="AJ57" i="66" s="1"/>
  <c r="AV16" i="74"/>
  <c r="AR11" i="74" s="1"/>
  <c r="AJ16" i="70"/>
  <c r="AF11" i="70" s="1"/>
  <c r="AV16" i="62"/>
  <c r="AR11" i="62" s="1"/>
  <c r="AV16" i="61"/>
  <c r="AR11" i="61" s="1"/>
  <c r="AV16" i="65"/>
  <c r="AR11" i="65" s="1"/>
  <c r="AV16" i="63"/>
  <c r="AR11" i="63" s="1"/>
  <c r="AV16" i="60"/>
  <c r="AR11" i="60" s="1"/>
  <c r="AV16" i="59"/>
  <c r="AR11" i="59" s="1"/>
  <c r="AV16" i="58"/>
  <c r="AR11" i="58" s="1"/>
  <c r="BK11" i="58" s="1"/>
  <c r="AV16" i="57"/>
  <c r="AV16" i="31"/>
  <c r="AF29" i="70"/>
  <c r="AF39" i="63"/>
  <c r="BD39" i="63"/>
  <c r="M39" i="63"/>
  <c r="BB39" i="63"/>
  <c r="BD42" i="31"/>
  <c r="BD43" i="31" s="1"/>
  <c r="BD44" i="31" s="1"/>
  <c r="BD45" i="31" s="1"/>
  <c r="BD46" i="31" s="1"/>
  <c r="BD47" i="31" s="1"/>
  <c r="BD48" i="31" s="1"/>
  <c r="BD49" i="31" s="1"/>
  <c r="BD50" i="31" s="1"/>
  <c r="BD51" i="31" s="1"/>
  <c r="BD52" i="31" s="1"/>
  <c r="BD53" i="31" s="1"/>
  <c r="BD54" i="31" s="1"/>
  <c r="BD55" i="31" s="1"/>
  <c r="BD56" i="31" s="1"/>
  <c r="BD57" i="31" s="1"/>
  <c r="BD58" i="31" s="1"/>
  <c r="BD59" i="31" s="1"/>
  <c r="BD60" i="31" s="1"/>
  <c r="BD61" i="31" s="1"/>
  <c r="BD62" i="31" s="1"/>
  <c r="BD63" i="31" s="1"/>
  <c r="BD64" i="31" s="1"/>
  <c r="BD65" i="31" s="1"/>
  <c r="BD66" i="31" s="1"/>
  <c r="BD67" i="31" s="1"/>
  <c r="BD68" i="31" s="1"/>
  <c r="BD69" i="31" s="1"/>
  <c r="BD70" i="31" s="1"/>
  <c r="K28" i="67"/>
  <c r="AF28" i="67"/>
  <c r="AH28" i="67"/>
  <c r="BD28" i="67"/>
  <c r="AJ28" i="67"/>
  <c r="BB28" i="67"/>
  <c r="I28" i="67"/>
  <c r="AR28" i="67"/>
  <c r="M30" i="68"/>
  <c r="M31" i="68" s="1"/>
  <c r="M32" i="68" s="1"/>
  <c r="M33" i="68" s="1"/>
  <c r="M34" i="68" s="1"/>
  <c r="M35" i="68" s="1"/>
  <c r="M36" i="68" s="1"/>
  <c r="M37" i="68" s="1"/>
  <c r="M38" i="68" s="1"/>
  <c r="M39" i="68" s="1"/>
  <c r="M40" i="68" s="1"/>
  <c r="M41" i="68" s="1"/>
  <c r="M42" i="68" s="1"/>
  <c r="M43" i="68" s="1"/>
  <c r="M44" i="68" s="1"/>
  <c r="M45" i="68" s="1"/>
  <c r="M46" i="68" s="1"/>
  <c r="M47" i="68" s="1"/>
  <c r="M48" i="68" s="1"/>
  <c r="M49" i="68" s="1"/>
  <c r="M50" i="68" s="1"/>
  <c r="M51" i="68" s="1"/>
  <c r="M52" i="68" s="1"/>
  <c r="M53" i="68" s="1"/>
  <c r="M54" i="68" s="1"/>
  <c r="M55" i="68" s="1"/>
  <c r="M56" i="68" s="1"/>
  <c r="M57" i="68" s="1"/>
  <c r="AF39" i="60"/>
  <c r="BD39" i="60"/>
  <c r="M39" i="60"/>
  <c r="BB39" i="60"/>
  <c r="K28" i="68"/>
  <c r="AJ28" i="68"/>
  <c r="AH28" i="68"/>
  <c r="I28" i="68"/>
  <c r="AR28" i="68"/>
  <c r="AF28" i="68"/>
  <c r="BB28" i="68"/>
  <c r="BD28" i="68"/>
  <c r="AF39" i="59"/>
  <c r="M39" i="59"/>
  <c r="BD39" i="59"/>
  <c r="BB39" i="59"/>
  <c r="AJ28" i="49"/>
  <c r="AJ29" i="49" s="1"/>
  <c r="BB48" i="70"/>
  <c r="M30" i="67"/>
  <c r="M31" i="67" s="1"/>
  <c r="M32" i="67" s="1"/>
  <c r="M33" i="67" s="1"/>
  <c r="M34" i="67" s="1"/>
  <c r="M35" i="67" s="1"/>
  <c r="M36" i="67" s="1"/>
  <c r="M37" i="67" s="1"/>
  <c r="M38" i="67" s="1"/>
  <c r="M39" i="67" s="1"/>
  <c r="M40" i="67" s="1"/>
  <c r="M41" i="67" s="1"/>
  <c r="M42" i="67" s="1"/>
  <c r="M43" i="67" s="1"/>
  <c r="M44" i="67" s="1"/>
  <c r="M45" i="67" s="1"/>
  <c r="M46" i="67" s="1"/>
  <c r="M47" i="67" s="1"/>
  <c r="M48" i="67" s="1"/>
  <c r="M49" i="67" s="1"/>
  <c r="M50" i="67" s="1"/>
  <c r="M51" i="67" s="1"/>
  <c r="M52" i="67" s="1"/>
  <c r="M53" i="67" s="1"/>
  <c r="M54" i="67" s="1"/>
  <c r="M55" i="67" s="1"/>
  <c r="M56" i="67" s="1"/>
  <c r="M57" i="67" s="1"/>
  <c r="AF39" i="61"/>
  <c r="BD39" i="61"/>
  <c r="M39" i="61"/>
  <c r="BB39" i="61"/>
  <c r="M39" i="62"/>
  <c r="BD39" i="62"/>
  <c r="AF39" i="62"/>
  <c r="BB39" i="62"/>
  <c r="BB28" i="69"/>
  <c r="S56" i="70"/>
  <c r="AR47" i="66"/>
  <c r="M41" i="57"/>
  <c r="BD39" i="58"/>
  <c r="BB39" i="58"/>
  <c r="M39" i="58"/>
  <c r="BB42" i="31"/>
  <c r="BB43" i="31" s="1"/>
  <c r="BB44" i="31" s="1"/>
  <c r="BB45" i="31" s="1"/>
  <c r="BB46" i="31" s="1"/>
  <c r="BB47" i="31" s="1"/>
  <c r="BB48" i="31" s="1"/>
  <c r="BB49" i="31" s="1"/>
  <c r="BB50" i="31" s="1"/>
  <c r="BB51" i="31" s="1"/>
  <c r="BB52" i="31" s="1"/>
  <c r="BB53" i="31" s="1"/>
  <c r="BB54" i="31" s="1"/>
  <c r="BB55" i="31" s="1"/>
  <c r="BB56" i="31" s="1"/>
  <c r="BB57" i="31" s="1"/>
  <c r="BB58" i="31" s="1"/>
  <c r="BB59" i="31" s="1"/>
  <c r="BB60" i="31" s="1"/>
  <c r="BB61" i="31" s="1"/>
  <c r="BB62" i="31" s="1"/>
  <c r="BB63" i="31" s="1"/>
  <c r="BB64" i="31" s="1"/>
  <c r="BB65" i="31" s="1"/>
  <c r="BB66" i="31" s="1"/>
  <c r="BB67" i="31" s="1"/>
  <c r="BB68" i="31" s="1"/>
  <c r="BB69" i="31" s="1"/>
  <c r="BB70" i="31" s="1"/>
  <c r="AV16" i="30"/>
  <c r="AR11" i="30" s="1"/>
  <c r="BD40" i="57"/>
  <c r="AF40" i="57"/>
  <c r="BB40" i="57"/>
  <c r="P29" i="4"/>
  <c r="AJ15" i="42" s="1"/>
  <c r="AR28" i="42" s="1"/>
  <c r="AR29" i="42" s="1"/>
  <c r="AR30" i="42" s="1"/>
  <c r="AR31" i="42" s="1"/>
  <c r="AR32" i="42" s="1"/>
  <c r="AR33" i="42" s="1"/>
  <c r="AR34" i="42" s="1"/>
  <c r="AR35" i="42" s="1"/>
  <c r="AR36" i="42" s="1"/>
  <c r="AR37" i="42" s="1"/>
  <c r="AR38" i="42" s="1"/>
  <c r="AR39" i="42" s="1"/>
  <c r="AR40" i="42" s="1"/>
  <c r="AR41" i="42" s="1"/>
  <c r="AR42" i="42" s="1"/>
  <c r="AR43" i="42" s="1"/>
  <c r="AR44" i="42" s="1"/>
  <c r="AR45" i="42" s="1"/>
  <c r="AR46" i="42" s="1"/>
  <c r="AR47" i="42" s="1"/>
  <c r="AR58" i="42" s="1"/>
  <c r="AF42" i="31"/>
  <c r="BF41" i="31"/>
  <c r="M41" i="31"/>
  <c r="AJ28" i="48"/>
  <c r="AJ29" i="48" s="1"/>
  <c r="I28" i="50"/>
  <c r="BB28" i="50"/>
  <c r="AF28" i="50"/>
  <c r="AR28" i="50"/>
  <c r="AH28" i="50"/>
  <c r="AH29" i="50" s="1"/>
  <c r="AH30" i="50" s="1"/>
  <c r="AH31" i="50" s="1"/>
  <c r="AH32" i="50" s="1"/>
  <c r="AH33" i="50" s="1"/>
  <c r="AH34" i="50" s="1"/>
  <c r="AH35" i="50" s="1"/>
  <c r="AH36" i="50" s="1"/>
  <c r="AH37" i="50" s="1"/>
  <c r="AH38" i="50" s="1"/>
  <c r="AH39" i="50" s="1"/>
  <c r="AH40" i="50" s="1"/>
  <c r="AH41" i="50" s="1"/>
  <c r="AH42" i="50" s="1"/>
  <c r="AH43" i="50" s="1"/>
  <c r="AH44" i="50" s="1"/>
  <c r="M30" i="49"/>
  <c r="M31" i="49" s="1"/>
  <c r="M32" i="49" s="1"/>
  <c r="M33" i="49" s="1"/>
  <c r="M34" i="49" s="1"/>
  <c r="M35" i="49" s="1"/>
  <c r="M36" i="49" s="1"/>
  <c r="M37" i="49" s="1"/>
  <c r="M38" i="49" s="1"/>
  <c r="M39" i="49" s="1"/>
  <c r="M40" i="49" s="1"/>
  <c r="M41" i="49" s="1"/>
  <c r="M42" i="49" s="1"/>
  <c r="M43" i="49" s="1"/>
  <c r="M44" i="49" s="1"/>
  <c r="M45" i="49" s="1"/>
  <c r="M46" i="49" s="1"/>
  <c r="I28" i="48"/>
  <c r="BB28" i="48"/>
  <c r="AF28" i="48"/>
  <c r="AR28" i="48"/>
  <c r="AH28" i="48"/>
  <c r="AH29" i="48" s="1"/>
  <c r="AH30" i="48" s="1"/>
  <c r="AH31" i="48" s="1"/>
  <c r="AH32" i="48" s="1"/>
  <c r="AH33" i="48" s="1"/>
  <c r="AH34" i="48" s="1"/>
  <c r="AH35" i="48" s="1"/>
  <c r="AH36" i="48" s="1"/>
  <c r="AH37" i="48" s="1"/>
  <c r="AH38" i="48" s="1"/>
  <c r="AH39" i="48" s="1"/>
  <c r="AH40" i="48" s="1"/>
  <c r="AH41" i="48" s="1"/>
  <c r="AH42" i="48" s="1"/>
  <c r="AH43" i="48" s="1"/>
  <c r="BD28" i="48"/>
  <c r="BD29" i="48" s="1"/>
  <c r="BD30" i="48" s="1"/>
  <c r="M30" i="50"/>
  <c r="M31" i="50" s="1"/>
  <c r="M32" i="50" s="1"/>
  <c r="M33" i="50" s="1"/>
  <c r="M34" i="50" s="1"/>
  <c r="M35" i="50" s="1"/>
  <c r="M36" i="50" s="1"/>
  <c r="M37" i="50" s="1"/>
  <c r="M38" i="50" s="1"/>
  <c r="M39" i="50" s="1"/>
  <c r="M40" i="50" s="1"/>
  <c r="M41" i="50" s="1"/>
  <c r="M42" i="50" s="1"/>
  <c r="M43" i="50" s="1"/>
  <c r="M44" i="50" s="1"/>
  <c r="M45" i="50" s="1"/>
  <c r="M46" i="50" s="1"/>
  <c r="BB28" i="49"/>
  <c r="I28" i="49"/>
  <c r="AF28" i="49"/>
  <c r="AR28" i="49"/>
  <c r="AH28" i="49"/>
  <c r="AH29" i="49" s="1"/>
  <c r="AH30" i="49" s="1"/>
  <c r="AH31" i="49" s="1"/>
  <c r="AH32" i="49" s="1"/>
  <c r="AH33" i="49" s="1"/>
  <c r="AH34" i="49" s="1"/>
  <c r="AH35" i="49" s="1"/>
  <c r="AH36" i="49" s="1"/>
  <c r="AH37" i="49" s="1"/>
  <c r="AH38" i="49" s="1"/>
  <c r="AH39" i="49" s="1"/>
  <c r="AH40" i="49" s="1"/>
  <c r="AH41" i="49" s="1"/>
  <c r="AH42" i="49" s="1"/>
  <c r="AH43" i="49" s="1"/>
  <c r="M30" i="48"/>
  <c r="M31" i="48" s="1"/>
  <c r="M32" i="48" s="1"/>
  <c r="M33" i="48" s="1"/>
  <c r="M34" i="48" s="1"/>
  <c r="M35" i="48" s="1"/>
  <c r="M36" i="48" s="1"/>
  <c r="M37" i="48" s="1"/>
  <c r="M38" i="48" s="1"/>
  <c r="M39" i="48" s="1"/>
  <c r="M40" i="48" s="1"/>
  <c r="M41" i="48" s="1"/>
  <c r="M42" i="48" s="1"/>
  <c r="M43" i="48" s="1"/>
  <c r="M44" i="48" s="1"/>
  <c r="M45" i="48" s="1"/>
  <c r="M46" i="48" s="1"/>
  <c r="BD28" i="50"/>
  <c r="BD29" i="50" s="1"/>
  <c r="BD30" i="50" s="1"/>
  <c r="N29" i="4"/>
  <c r="AR14" i="24"/>
  <c r="AF14" i="50"/>
  <c r="AF14" i="48"/>
  <c r="AF14" i="47"/>
  <c r="AF14" i="49"/>
  <c r="AJ29" i="50"/>
  <c r="BD30" i="49"/>
  <c r="AJ16" i="42"/>
  <c r="AF11" i="42" s="1"/>
  <c r="AJ16" i="43"/>
  <c r="AF11" i="43" s="1"/>
  <c r="BB47" i="42"/>
  <c r="AJ29" i="47"/>
  <c r="AJ30" i="47" s="1"/>
  <c r="AJ31" i="47" s="1"/>
  <c r="AJ32" i="47" s="1"/>
  <c r="AJ33" i="47" s="1"/>
  <c r="AJ34" i="47" s="1"/>
  <c r="AJ35" i="47" s="1"/>
  <c r="AJ36" i="47" s="1"/>
  <c r="AJ37" i="47" s="1"/>
  <c r="AJ38" i="47" s="1"/>
  <c r="AJ39" i="47" s="1"/>
  <c r="AJ40" i="47" s="1"/>
  <c r="AJ41" i="47" s="1"/>
  <c r="AJ42" i="47" s="1"/>
  <c r="AJ43" i="47" s="1"/>
  <c r="AJ44" i="47" s="1"/>
  <c r="AJ45" i="47" s="1"/>
  <c r="AJ46" i="47" s="1"/>
  <c r="AJ47" i="47" s="1"/>
  <c r="AL28" i="47"/>
  <c r="S46" i="42"/>
  <c r="I47" i="42"/>
  <c r="BB47" i="43"/>
  <c r="I47" i="43"/>
  <c r="S46" i="43"/>
  <c r="BB29" i="47"/>
  <c r="BF28" i="47"/>
  <c r="M58" i="47"/>
  <c r="AH29" i="47"/>
  <c r="AH30" i="47" s="1"/>
  <c r="AH31" i="47" s="1"/>
  <c r="AH32" i="47" s="1"/>
  <c r="AH33" i="47" s="1"/>
  <c r="AH34" i="47" s="1"/>
  <c r="AH35" i="47" s="1"/>
  <c r="AH36" i="47" s="1"/>
  <c r="AH37" i="47" s="1"/>
  <c r="AH38" i="47" s="1"/>
  <c r="AH39" i="47" s="1"/>
  <c r="AH40" i="47" s="1"/>
  <c r="AH41" i="47" s="1"/>
  <c r="AH42" i="47" s="1"/>
  <c r="AH43" i="47" s="1"/>
  <c r="AH44" i="47" s="1"/>
  <c r="AH45" i="47" s="1"/>
  <c r="AH46" i="47" s="1"/>
  <c r="AH47" i="47" s="1"/>
  <c r="I29" i="47"/>
  <c r="S28" i="47"/>
  <c r="AR29" i="47"/>
  <c r="AR30" i="47" s="1"/>
  <c r="AR31" i="47" s="1"/>
  <c r="AR32" i="47" s="1"/>
  <c r="AR33" i="47" s="1"/>
  <c r="AR34" i="47" s="1"/>
  <c r="AR35" i="47" s="1"/>
  <c r="AR36" i="47" s="1"/>
  <c r="AR37" i="47" s="1"/>
  <c r="AR38" i="47" s="1"/>
  <c r="AR39" i="47" s="1"/>
  <c r="AR40" i="47" s="1"/>
  <c r="AR41" i="47" s="1"/>
  <c r="AR42" i="47" s="1"/>
  <c r="AR43" i="47" s="1"/>
  <c r="AR44" i="47" s="1"/>
  <c r="AR45" i="47" s="1"/>
  <c r="AR46" i="47" s="1"/>
  <c r="AR47" i="47" s="1"/>
  <c r="BD29" i="47"/>
  <c r="BD30" i="47" s="1"/>
  <c r="BD31" i="47" s="1"/>
  <c r="BD32" i="47" s="1"/>
  <c r="BD33" i="47" s="1"/>
  <c r="BD34" i="47" s="1"/>
  <c r="BD35" i="47" s="1"/>
  <c r="BD36" i="47" s="1"/>
  <c r="BD37" i="47" s="1"/>
  <c r="BD38" i="47" s="1"/>
  <c r="BD39" i="47" s="1"/>
  <c r="BD40" i="47" s="1"/>
  <c r="BD41" i="47" s="1"/>
  <c r="BD42" i="47" s="1"/>
  <c r="BD43" i="47" s="1"/>
  <c r="BD44" i="47" s="1"/>
  <c r="BD45" i="47" s="1"/>
  <c r="BD46" i="47" s="1"/>
  <c r="BD47" i="47" s="1"/>
  <c r="AF40" i="24"/>
  <c r="H29" i="4"/>
  <c r="O29" i="4"/>
  <c r="AJ15" i="43" l="1"/>
  <c r="AR28" i="43" s="1"/>
  <c r="BD70" i="74"/>
  <c r="M41" i="74"/>
  <c r="S40" i="74"/>
  <c r="BF40" i="74"/>
  <c r="BB41" i="74"/>
  <c r="AV13" i="74"/>
  <c r="AJ38" i="74" s="1"/>
  <c r="AJ13" i="70"/>
  <c r="AJ28" i="70" s="1"/>
  <c r="AV13" i="65"/>
  <c r="AJ38" i="65" s="1"/>
  <c r="AV13" i="62"/>
  <c r="AJ38" i="62" s="1"/>
  <c r="AJ39" i="62" s="1"/>
  <c r="AV13" i="61"/>
  <c r="AJ38" i="61" s="1"/>
  <c r="AJ39" i="61" s="1"/>
  <c r="AV13" i="63"/>
  <c r="AJ38" i="63" s="1"/>
  <c r="AJ39" i="63" s="1"/>
  <c r="AJ40" i="63" s="1"/>
  <c r="AV13" i="60"/>
  <c r="AJ38" i="60" s="1"/>
  <c r="AJ39" i="60" s="1"/>
  <c r="AJ40" i="60" s="1"/>
  <c r="AJ41" i="60" s="1"/>
  <c r="AJ42" i="60" s="1"/>
  <c r="AJ43" i="60" s="1"/>
  <c r="AJ44" i="60" s="1"/>
  <c r="AJ45" i="60" s="1"/>
  <c r="AJ46" i="60" s="1"/>
  <c r="AJ47" i="60" s="1"/>
  <c r="AJ48" i="60" s="1"/>
  <c r="AJ49" i="60" s="1"/>
  <c r="AJ50" i="60" s="1"/>
  <c r="AJ51" i="60" s="1"/>
  <c r="AJ52" i="60" s="1"/>
  <c r="AJ53" i="60" s="1"/>
  <c r="AJ54" i="60" s="1"/>
  <c r="AJ55" i="60" s="1"/>
  <c r="AJ56" i="60" s="1"/>
  <c r="AJ57" i="60" s="1"/>
  <c r="AJ58" i="60" s="1"/>
  <c r="AJ59" i="60" s="1"/>
  <c r="AJ60" i="60" s="1"/>
  <c r="AJ61" i="60" s="1"/>
  <c r="AJ62" i="60" s="1"/>
  <c r="AJ63" i="60" s="1"/>
  <c r="AJ64" i="60" s="1"/>
  <c r="AJ65" i="60" s="1"/>
  <c r="AJ66" i="60" s="1"/>
  <c r="AJ67" i="60" s="1"/>
  <c r="AJ68" i="60" s="1"/>
  <c r="AV13" i="59"/>
  <c r="AJ38" i="59" s="1"/>
  <c r="AJ39" i="59" s="1"/>
  <c r="AV13" i="31"/>
  <c r="AV13" i="58"/>
  <c r="AJ38" i="58" s="1"/>
  <c r="AJ39" i="58" s="1"/>
  <c r="AJ40" i="58" s="1"/>
  <c r="AJ41" i="58" s="1"/>
  <c r="AJ42" i="58" s="1"/>
  <c r="AJ43" i="58" s="1"/>
  <c r="AJ44" i="58" s="1"/>
  <c r="AJ45" i="58" s="1"/>
  <c r="AJ46" i="58" s="1"/>
  <c r="AJ47" i="58" s="1"/>
  <c r="AJ48" i="58" s="1"/>
  <c r="AJ49" i="58" s="1"/>
  <c r="AJ50" i="58" s="1"/>
  <c r="AJ51" i="58" s="1"/>
  <c r="AJ52" i="58" s="1"/>
  <c r="AJ53" i="58" s="1"/>
  <c r="AJ54" i="58" s="1"/>
  <c r="AJ55" i="58" s="1"/>
  <c r="AJ56" i="58" s="1"/>
  <c r="AJ57" i="58" s="1"/>
  <c r="AJ58" i="58" s="1"/>
  <c r="AJ59" i="58" s="1"/>
  <c r="AJ60" i="58" s="1"/>
  <c r="AJ61" i="58" s="1"/>
  <c r="AJ62" i="58" s="1"/>
  <c r="AJ63" i="58" s="1"/>
  <c r="AJ64" i="58" s="1"/>
  <c r="AJ65" i="58" s="1"/>
  <c r="AJ66" i="58" s="1"/>
  <c r="AJ67" i="58" s="1"/>
  <c r="AJ68" i="58" s="1"/>
  <c r="AV13" i="57"/>
  <c r="AJ39" i="57" s="1"/>
  <c r="AJ40" i="57" s="1"/>
  <c r="AF30" i="70"/>
  <c r="BK11" i="59"/>
  <c r="AR12" i="59"/>
  <c r="BK11" i="61"/>
  <c r="AR12" i="61"/>
  <c r="AJ59" i="66"/>
  <c r="AF40" i="74"/>
  <c r="BK11" i="60"/>
  <c r="AR12" i="60"/>
  <c r="BK11" i="62"/>
  <c r="AR12" i="62"/>
  <c r="AV11" i="74"/>
  <c r="AH38" i="74" s="1"/>
  <c r="AJ11" i="70"/>
  <c r="AH28" i="70" s="1"/>
  <c r="AV11" i="61"/>
  <c r="AH38" i="61" s="1"/>
  <c r="AV11" i="65"/>
  <c r="AH38" i="65" s="1"/>
  <c r="AV11" i="63"/>
  <c r="AH38" i="63" s="1"/>
  <c r="AV11" i="62"/>
  <c r="AH38" i="62" s="1"/>
  <c r="AV11" i="60"/>
  <c r="AH38" i="60" s="1"/>
  <c r="AV11" i="57"/>
  <c r="AH39" i="57" s="1"/>
  <c r="AH40" i="57" s="1"/>
  <c r="AV11" i="59"/>
  <c r="AH38" i="59" s="1"/>
  <c r="AV11" i="31"/>
  <c r="AV11" i="58"/>
  <c r="AH38" i="58" s="1"/>
  <c r="AH39" i="58" s="1"/>
  <c r="BK11" i="63"/>
  <c r="AR12" i="63"/>
  <c r="BD11" i="70"/>
  <c r="AF12" i="70"/>
  <c r="AR14" i="74"/>
  <c r="AR14" i="62"/>
  <c r="AR14" i="61"/>
  <c r="AR14" i="63"/>
  <c r="AR14" i="65"/>
  <c r="AR14" i="60"/>
  <c r="AR14" i="58"/>
  <c r="AR14" i="57"/>
  <c r="AR14" i="59"/>
  <c r="AR14" i="31"/>
  <c r="AF14" i="70"/>
  <c r="AV15" i="74"/>
  <c r="AR38" i="74" s="1"/>
  <c r="AJ15" i="70"/>
  <c r="AR28" i="70" s="1"/>
  <c r="AV15" i="65"/>
  <c r="AR38" i="65" s="1"/>
  <c r="AV15" i="62"/>
  <c r="AR38" i="62" s="1"/>
  <c r="AV15" i="61"/>
  <c r="AR38" i="61" s="1"/>
  <c r="AV15" i="63"/>
  <c r="AR38" i="63" s="1"/>
  <c r="AV15" i="60"/>
  <c r="AR38" i="60" s="1"/>
  <c r="AV15" i="59"/>
  <c r="AR38" i="59" s="1"/>
  <c r="AV15" i="57"/>
  <c r="AR39" i="57" s="1"/>
  <c r="AV15" i="58"/>
  <c r="AR38" i="58" s="1"/>
  <c r="AR39" i="58" s="1"/>
  <c r="AR40" i="58" s="1"/>
  <c r="AR41" i="58" s="1"/>
  <c r="AR42" i="58" s="1"/>
  <c r="AR43" i="58" s="1"/>
  <c r="AR44" i="58" s="1"/>
  <c r="AR45" i="58" s="1"/>
  <c r="AR46" i="58" s="1"/>
  <c r="AR47" i="58" s="1"/>
  <c r="AR48" i="58" s="1"/>
  <c r="AR49" i="58" s="1"/>
  <c r="AR50" i="58" s="1"/>
  <c r="AR51" i="58" s="1"/>
  <c r="AR52" i="58" s="1"/>
  <c r="AR53" i="58" s="1"/>
  <c r="AR54" i="58" s="1"/>
  <c r="AR55" i="58" s="1"/>
  <c r="AR56" i="58" s="1"/>
  <c r="AR57" i="58" s="1"/>
  <c r="AR58" i="58" s="1"/>
  <c r="AR59" i="58" s="1"/>
  <c r="AR60" i="58" s="1"/>
  <c r="AR61" i="58" s="1"/>
  <c r="AR62" i="58" s="1"/>
  <c r="AR63" i="58" s="1"/>
  <c r="AR64" i="58" s="1"/>
  <c r="AR65" i="58" s="1"/>
  <c r="AR66" i="58" s="1"/>
  <c r="AR67" i="58" s="1"/>
  <c r="AR68" i="58" s="1"/>
  <c r="AR12" i="65"/>
  <c r="BK11" i="65"/>
  <c r="BK11" i="74"/>
  <c r="AR12" i="74"/>
  <c r="AF40" i="61"/>
  <c r="M40" i="59"/>
  <c r="S39" i="59"/>
  <c r="K29" i="68"/>
  <c r="K30" i="68" s="1"/>
  <c r="K31" i="68" s="1"/>
  <c r="K32" i="68" s="1"/>
  <c r="K33" i="68" s="1"/>
  <c r="K34" i="68" s="1"/>
  <c r="K35" i="68" s="1"/>
  <c r="K36" i="68" s="1"/>
  <c r="K37" i="68" s="1"/>
  <c r="K38" i="68" s="1"/>
  <c r="K39" i="68" s="1"/>
  <c r="K40" i="68" s="1"/>
  <c r="K41" i="68" s="1"/>
  <c r="K42" i="68" s="1"/>
  <c r="K43" i="68" s="1"/>
  <c r="K44" i="68" s="1"/>
  <c r="K45" i="68" s="1"/>
  <c r="K46" i="68" s="1"/>
  <c r="K47" i="68" s="1"/>
  <c r="K48" i="68" s="1"/>
  <c r="K49" i="68" s="1"/>
  <c r="K50" i="68" s="1"/>
  <c r="K51" i="68" s="1"/>
  <c r="K52" i="68" s="1"/>
  <c r="K53" i="68" s="1"/>
  <c r="K54" i="68" s="1"/>
  <c r="K55" i="68" s="1"/>
  <c r="K56" i="68" s="1"/>
  <c r="K57" i="68" s="1"/>
  <c r="BB29" i="69"/>
  <c r="AJ40" i="62"/>
  <c r="AJ41" i="62" s="1"/>
  <c r="AJ42" i="62" s="1"/>
  <c r="AJ43" i="62" s="1"/>
  <c r="AJ44" i="62" s="1"/>
  <c r="AJ45" i="62" s="1"/>
  <c r="AJ46" i="62" s="1"/>
  <c r="AJ47" i="62" s="1"/>
  <c r="AJ48" i="62" s="1"/>
  <c r="AJ49" i="62" s="1"/>
  <c r="AJ50" i="62" s="1"/>
  <c r="AJ51" i="62" s="1"/>
  <c r="AJ52" i="62" s="1"/>
  <c r="AJ53" i="62" s="1"/>
  <c r="AJ54" i="62" s="1"/>
  <c r="AJ55" i="62" s="1"/>
  <c r="AJ56" i="62" s="1"/>
  <c r="AJ57" i="62" s="1"/>
  <c r="AJ58" i="62" s="1"/>
  <c r="AJ59" i="62" s="1"/>
  <c r="AJ60" i="62" s="1"/>
  <c r="AJ61" i="62" s="1"/>
  <c r="AJ62" i="62" s="1"/>
  <c r="AJ63" i="62" s="1"/>
  <c r="AJ64" i="62" s="1"/>
  <c r="AJ65" i="62" s="1"/>
  <c r="AJ66" i="62" s="1"/>
  <c r="AJ67" i="62" s="1"/>
  <c r="AJ68" i="62" s="1"/>
  <c r="AJ40" i="61"/>
  <c r="AJ41" i="61" s="1"/>
  <c r="AJ42" i="61" s="1"/>
  <c r="AJ43" i="61" s="1"/>
  <c r="AJ44" i="61" s="1"/>
  <c r="AJ45" i="61" s="1"/>
  <c r="AJ46" i="61" s="1"/>
  <c r="AJ47" i="61" s="1"/>
  <c r="AJ48" i="61" s="1"/>
  <c r="AJ49" i="61" s="1"/>
  <c r="AJ50" i="61" s="1"/>
  <c r="AJ51" i="61" s="1"/>
  <c r="AJ52" i="61" s="1"/>
  <c r="AJ53" i="61" s="1"/>
  <c r="AJ54" i="61" s="1"/>
  <c r="AJ55" i="61" s="1"/>
  <c r="AJ56" i="61" s="1"/>
  <c r="AJ57" i="61" s="1"/>
  <c r="AJ58" i="61" s="1"/>
  <c r="AJ59" i="61" s="1"/>
  <c r="AJ60" i="61" s="1"/>
  <c r="AJ61" i="61" s="1"/>
  <c r="AJ62" i="61" s="1"/>
  <c r="AJ63" i="61" s="1"/>
  <c r="AJ64" i="61" s="1"/>
  <c r="AJ65" i="61" s="1"/>
  <c r="AJ66" i="61" s="1"/>
  <c r="AJ67" i="61" s="1"/>
  <c r="AJ68" i="61" s="1"/>
  <c r="M59" i="67"/>
  <c r="AF40" i="59"/>
  <c r="BD29" i="68"/>
  <c r="BD30" i="68" s="1"/>
  <c r="BD31" i="68" s="1"/>
  <c r="BD32" i="68" s="1"/>
  <c r="BD33" i="68" s="1"/>
  <c r="BD34" i="68" s="1"/>
  <c r="BD35" i="68" s="1"/>
  <c r="BD36" i="68" s="1"/>
  <c r="BD37" i="68" s="1"/>
  <c r="BD38" i="68" s="1"/>
  <c r="BD39" i="68" s="1"/>
  <c r="BD40" i="68" s="1"/>
  <c r="BD41" i="68" s="1"/>
  <c r="BD42" i="68" s="1"/>
  <c r="BD43" i="68" s="1"/>
  <c r="BD44" i="68" s="1"/>
  <c r="BD45" i="68" s="1"/>
  <c r="BD46" i="68" s="1"/>
  <c r="BD47" i="68" s="1"/>
  <c r="BD48" i="68" s="1"/>
  <c r="BD49" i="68" s="1"/>
  <c r="BD50" i="68" s="1"/>
  <c r="BD51" i="68" s="1"/>
  <c r="BD52" i="68" s="1"/>
  <c r="BD53" i="68" s="1"/>
  <c r="BD54" i="68" s="1"/>
  <c r="BD55" i="68" s="1"/>
  <c r="BD56" i="68" s="1"/>
  <c r="BD57" i="68" s="1"/>
  <c r="S28" i="68"/>
  <c r="I29" i="68"/>
  <c r="I29" i="67"/>
  <c r="I30" i="67" s="1"/>
  <c r="I31" i="67" s="1"/>
  <c r="I32" i="67" s="1"/>
  <c r="I33" i="67" s="1"/>
  <c r="I34" i="67" s="1"/>
  <c r="I35" i="67" s="1"/>
  <c r="I36" i="67" s="1"/>
  <c r="I37" i="67" s="1"/>
  <c r="I38" i="67" s="1"/>
  <c r="I39" i="67" s="1"/>
  <c r="I40" i="67" s="1"/>
  <c r="I41" i="67" s="1"/>
  <c r="I42" i="67" s="1"/>
  <c r="I43" i="67" s="1"/>
  <c r="I44" i="67" s="1"/>
  <c r="I45" i="67" s="1"/>
  <c r="I46" i="67" s="1"/>
  <c r="I47" i="67" s="1"/>
  <c r="I48" i="67" s="1"/>
  <c r="I49" i="67" s="1"/>
  <c r="I50" i="67" s="1"/>
  <c r="I51" i="67" s="1"/>
  <c r="I52" i="67" s="1"/>
  <c r="I53" i="67" s="1"/>
  <c r="I54" i="67" s="1"/>
  <c r="I55" i="67" s="1"/>
  <c r="I56" i="67" s="1"/>
  <c r="I57" i="67" s="1"/>
  <c r="AH29" i="67"/>
  <c r="AH30" i="67" s="1"/>
  <c r="AH31" i="67" s="1"/>
  <c r="AH32" i="67" s="1"/>
  <c r="AH33" i="67" s="1"/>
  <c r="AH34" i="67" s="1"/>
  <c r="AH35" i="67" s="1"/>
  <c r="AH36" i="67" s="1"/>
  <c r="AH37" i="67" s="1"/>
  <c r="AH38" i="67" s="1"/>
  <c r="AH39" i="67" s="1"/>
  <c r="AH40" i="67" s="1"/>
  <c r="AH41" i="67" s="1"/>
  <c r="AH42" i="67" s="1"/>
  <c r="AH43" i="67" s="1"/>
  <c r="AH44" i="67" s="1"/>
  <c r="AH45" i="67" s="1"/>
  <c r="AH46" i="67" s="1"/>
  <c r="AH47" i="67" s="1"/>
  <c r="AH48" i="67" s="1"/>
  <c r="AH49" i="67" s="1"/>
  <c r="AH50" i="67" s="1"/>
  <c r="AH51" i="67" s="1"/>
  <c r="AH52" i="67" s="1"/>
  <c r="AH53" i="67" s="1"/>
  <c r="AH54" i="67" s="1"/>
  <c r="AH55" i="67" s="1"/>
  <c r="AH56" i="67" s="1"/>
  <c r="AH57" i="67" s="1"/>
  <c r="BB40" i="63"/>
  <c r="BF39" i="63"/>
  <c r="BD40" i="62"/>
  <c r="BD41" i="62" s="1"/>
  <c r="BD42" i="62" s="1"/>
  <c r="BD43" i="62" s="1"/>
  <c r="BD44" i="62" s="1"/>
  <c r="BD45" i="62" s="1"/>
  <c r="BD46" i="62" s="1"/>
  <c r="BD47" i="62" s="1"/>
  <c r="BD48" i="62" s="1"/>
  <c r="BD49" i="62" s="1"/>
  <c r="BD50" i="62" s="1"/>
  <c r="BD51" i="62" s="1"/>
  <c r="BD52" i="62" s="1"/>
  <c r="BD53" i="62" s="1"/>
  <c r="BD54" i="62" s="1"/>
  <c r="BD55" i="62" s="1"/>
  <c r="BD56" i="62" s="1"/>
  <c r="BD57" i="62" s="1"/>
  <c r="BD58" i="62" s="1"/>
  <c r="BD59" i="62" s="1"/>
  <c r="BD60" i="62" s="1"/>
  <c r="BD61" i="62" s="1"/>
  <c r="BD62" i="62" s="1"/>
  <c r="BD63" i="62" s="1"/>
  <c r="BD64" i="62" s="1"/>
  <c r="BD65" i="62" s="1"/>
  <c r="BD66" i="62" s="1"/>
  <c r="BD67" i="62" s="1"/>
  <c r="BD68" i="62" s="1"/>
  <c r="AR29" i="68"/>
  <c r="AR30" i="68" s="1"/>
  <c r="AR31" i="68" s="1"/>
  <c r="AR32" i="68" s="1"/>
  <c r="AR33" i="68" s="1"/>
  <c r="AR34" i="68" s="1"/>
  <c r="AR35" i="68" s="1"/>
  <c r="AR36" i="68" s="1"/>
  <c r="AR37" i="68" s="1"/>
  <c r="AR38" i="68" s="1"/>
  <c r="AR39" i="68" s="1"/>
  <c r="AR40" i="68" s="1"/>
  <c r="AR41" i="68" s="1"/>
  <c r="AR42" i="68" s="1"/>
  <c r="AR43" i="68" s="1"/>
  <c r="AR44" i="68" s="1"/>
  <c r="AR45" i="68" s="1"/>
  <c r="AR46" i="68" s="1"/>
  <c r="AR47" i="68" s="1"/>
  <c r="AR48" i="68" s="1"/>
  <c r="AR49" i="68" s="1"/>
  <c r="AR50" i="68" s="1"/>
  <c r="AR51" i="68" s="1"/>
  <c r="AR52" i="68" s="1"/>
  <c r="AR53" i="68" s="1"/>
  <c r="AR54" i="68" s="1"/>
  <c r="AR55" i="68" s="1"/>
  <c r="AR56" i="68" s="1"/>
  <c r="AR57" i="68" s="1"/>
  <c r="M40" i="60"/>
  <c r="M41" i="60" s="1"/>
  <c r="M42" i="60" s="1"/>
  <c r="M43" i="60" s="1"/>
  <c r="M44" i="60" s="1"/>
  <c r="M45" i="60" s="1"/>
  <c r="M46" i="60" s="1"/>
  <c r="M47" i="60" s="1"/>
  <c r="M48" i="60" s="1"/>
  <c r="M49" i="60" s="1"/>
  <c r="M50" i="60" s="1"/>
  <c r="M51" i="60" s="1"/>
  <c r="M52" i="60" s="1"/>
  <c r="M53" i="60" s="1"/>
  <c r="M54" i="60" s="1"/>
  <c r="M55" i="60" s="1"/>
  <c r="M56" i="60" s="1"/>
  <c r="M57" i="60" s="1"/>
  <c r="M58" i="60" s="1"/>
  <c r="M59" i="60" s="1"/>
  <c r="M60" i="60" s="1"/>
  <c r="M61" i="60" s="1"/>
  <c r="M62" i="60" s="1"/>
  <c r="M63" i="60" s="1"/>
  <c r="M64" i="60" s="1"/>
  <c r="M65" i="60" s="1"/>
  <c r="M66" i="60" s="1"/>
  <c r="M67" i="60" s="1"/>
  <c r="M68" i="60" s="1"/>
  <c r="AF40" i="60"/>
  <c r="AR29" i="67"/>
  <c r="AR30" i="67" s="1"/>
  <c r="AR31" i="67" s="1"/>
  <c r="AR32" i="67" s="1"/>
  <c r="AR33" i="67" s="1"/>
  <c r="AR34" i="67" s="1"/>
  <c r="AR35" i="67" s="1"/>
  <c r="AR36" i="67" s="1"/>
  <c r="AR37" i="67" s="1"/>
  <c r="AR38" i="67" s="1"/>
  <c r="AR39" i="67" s="1"/>
  <c r="AR40" i="67" s="1"/>
  <c r="AR41" i="67" s="1"/>
  <c r="AR42" i="67" s="1"/>
  <c r="AR43" i="67" s="1"/>
  <c r="AR44" i="67" s="1"/>
  <c r="AR45" i="67" s="1"/>
  <c r="AR46" i="67" s="1"/>
  <c r="AR47" i="67" s="1"/>
  <c r="AR48" i="67" s="1"/>
  <c r="AR49" i="67" s="1"/>
  <c r="AR50" i="67" s="1"/>
  <c r="AR51" i="67" s="1"/>
  <c r="AR52" i="67" s="1"/>
  <c r="AR53" i="67" s="1"/>
  <c r="AR54" i="67" s="1"/>
  <c r="AR55" i="67" s="1"/>
  <c r="AR56" i="67" s="1"/>
  <c r="AR57" i="67" s="1"/>
  <c r="BD29" i="67"/>
  <c r="BD30" i="67" s="1"/>
  <c r="BD31" i="67" s="1"/>
  <c r="BD32" i="67" s="1"/>
  <c r="BD33" i="67" s="1"/>
  <c r="BD34" i="67" s="1"/>
  <c r="BD35" i="67" s="1"/>
  <c r="BD36" i="67" s="1"/>
  <c r="BD37" i="67" s="1"/>
  <c r="BD38" i="67" s="1"/>
  <c r="BD39" i="67" s="1"/>
  <c r="BD40" i="67" s="1"/>
  <c r="BD41" i="67" s="1"/>
  <c r="BD42" i="67" s="1"/>
  <c r="BD43" i="67" s="1"/>
  <c r="BD44" i="67" s="1"/>
  <c r="BD45" i="67" s="1"/>
  <c r="BD46" i="67" s="1"/>
  <c r="BD47" i="67" s="1"/>
  <c r="BD48" i="67" s="1"/>
  <c r="BD49" i="67" s="1"/>
  <c r="BD50" i="67" s="1"/>
  <c r="BD51" i="67" s="1"/>
  <c r="BD52" i="67" s="1"/>
  <c r="BD53" i="67" s="1"/>
  <c r="BD54" i="67" s="1"/>
  <c r="BD55" i="67" s="1"/>
  <c r="BD56" i="67" s="1"/>
  <c r="BD57" i="67" s="1"/>
  <c r="AF40" i="63"/>
  <c r="BF39" i="62"/>
  <c r="BB40" i="62"/>
  <c r="M40" i="62"/>
  <c r="S39" i="62"/>
  <c r="BB40" i="61"/>
  <c r="BF39" i="61"/>
  <c r="BB40" i="59"/>
  <c r="BF39" i="59"/>
  <c r="AJ40" i="59"/>
  <c r="AJ41" i="59" s="1"/>
  <c r="AJ42" i="59" s="1"/>
  <c r="AJ43" i="59" s="1"/>
  <c r="AJ44" i="59" s="1"/>
  <c r="AJ45" i="59" s="1"/>
  <c r="AJ46" i="59" s="1"/>
  <c r="AJ47" i="59" s="1"/>
  <c r="AJ48" i="59" s="1"/>
  <c r="AJ49" i="59" s="1"/>
  <c r="AJ50" i="59" s="1"/>
  <c r="AJ51" i="59" s="1"/>
  <c r="AJ52" i="59" s="1"/>
  <c r="AJ53" i="59" s="1"/>
  <c r="AJ54" i="59" s="1"/>
  <c r="AJ55" i="59" s="1"/>
  <c r="AJ56" i="59" s="1"/>
  <c r="AJ57" i="59" s="1"/>
  <c r="AJ58" i="59" s="1"/>
  <c r="AJ59" i="59" s="1"/>
  <c r="AJ60" i="59" s="1"/>
  <c r="AJ61" i="59" s="1"/>
  <c r="AJ62" i="59" s="1"/>
  <c r="AJ63" i="59" s="1"/>
  <c r="AJ64" i="59" s="1"/>
  <c r="AJ65" i="59" s="1"/>
  <c r="AJ66" i="59" s="1"/>
  <c r="AJ67" i="59" s="1"/>
  <c r="AJ68" i="59" s="1"/>
  <c r="BB29" i="68"/>
  <c r="BF28" i="68"/>
  <c r="AH29" i="68"/>
  <c r="AH30" i="68" s="1"/>
  <c r="AH31" i="68" s="1"/>
  <c r="AH32" i="68" s="1"/>
  <c r="AH33" i="68" s="1"/>
  <c r="AH34" i="68" s="1"/>
  <c r="AH35" i="68" s="1"/>
  <c r="AH36" i="68" s="1"/>
  <c r="AH37" i="68" s="1"/>
  <c r="AH38" i="68" s="1"/>
  <c r="AH39" i="68" s="1"/>
  <c r="AH40" i="68" s="1"/>
  <c r="AH41" i="68" s="1"/>
  <c r="AH42" i="68" s="1"/>
  <c r="AH43" i="68" s="1"/>
  <c r="AH44" i="68" s="1"/>
  <c r="AH45" i="68" s="1"/>
  <c r="AH46" i="68" s="1"/>
  <c r="AH47" i="68" s="1"/>
  <c r="AH48" i="68" s="1"/>
  <c r="AH49" i="68" s="1"/>
  <c r="AH50" i="68" s="1"/>
  <c r="AH51" i="68" s="1"/>
  <c r="AH52" i="68" s="1"/>
  <c r="AH53" i="68" s="1"/>
  <c r="AH54" i="68" s="1"/>
  <c r="AH55" i="68" s="1"/>
  <c r="AH56" i="68" s="1"/>
  <c r="AH57" i="68" s="1"/>
  <c r="M59" i="68"/>
  <c r="BB29" i="67"/>
  <c r="BB30" i="67" s="1"/>
  <c r="BB31" i="67" s="1"/>
  <c r="BB32" i="67" s="1"/>
  <c r="BB33" i="67" s="1"/>
  <c r="BB34" i="67" s="1"/>
  <c r="BB35" i="67" s="1"/>
  <c r="BB36" i="67" s="1"/>
  <c r="BB37" i="67" s="1"/>
  <c r="BB38" i="67" s="1"/>
  <c r="BB39" i="67" s="1"/>
  <c r="BB40" i="67" s="1"/>
  <c r="BB41" i="67" s="1"/>
  <c r="BB42" i="67" s="1"/>
  <c r="BB43" i="67" s="1"/>
  <c r="BB44" i="67" s="1"/>
  <c r="BB45" i="67" s="1"/>
  <c r="BB46" i="67" s="1"/>
  <c r="BB47" i="67" s="1"/>
  <c r="BB48" i="67" s="1"/>
  <c r="BB49" i="67" s="1"/>
  <c r="BB50" i="67" s="1"/>
  <c r="BB51" i="67" s="1"/>
  <c r="BB52" i="67" s="1"/>
  <c r="BB53" i="67" s="1"/>
  <c r="BB54" i="67" s="1"/>
  <c r="BB55" i="67" s="1"/>
  <c r="BB56" i="67" s="1"/>
  <c r="BB57" i="67" s="1"/>
  <c r="AF29" i="67"/>
  <c r="AF30" i="67" s="1"/>
  <c r="AF31" i="67" s="1"/>
  <c r="AF32" i="67" s="1"/>
  <c r="AF33" i="67" s="1"/>
  <c r="AF34" i="67" s="1"/>
  <c r="AF35" i="67" s="1"/>
  <c r="AF36" i="67" s="1"/>
  <c r="AF37" i="67" s="1"/>
  <c r="AF38" i="67" s="1"/>
  <c r="AF39" i="67" s="1"/>
  <c r="AF40" i="67" s="1"/>
  <c r="AF41" i="67" s="1"/>
  <c r="AF42" i="67" s="1"/>
  <c r="AF43" i="67" s="1"/>
  <c r="AF44" i="67" s="1"/>
  <c r="AF45" i="67" s="1"/>
  <c r="AF46" i="67" s="1"/>
  <c r="AF47" i="67" s="1"/>
  <c r="AF48" i="67" s="1"/>
  <c r="AF49" i="67" s="1"/>
  <c r="AF50" i="67" s="1"/>
  <c r="AF51" i="67" s="1"/>
  <c r="AF52" i="67" s="1"/>
  <c r="AF53" i="67" s="1"/>
  <c r="AF54" i="67" s="1"/>
  <c r="AF55" i="67" s="1"/>
  <c r="AF56" i="67" s="1"/>
  <c r="AF57" i="67" s="1"/>
  <c r="M40" i="63"/>
  <c r="S39" i="63"/>
  <c r="AF40" i="62"/>
  <c r="M40" i="61"/>
  <c r="S39" i="61"/>
  <c r="BD40" i="61"/>
  <c r="BD41" i="61" s="1"/>
  <c r="BD42" i="61" s="1"/>
  <c r="BD43" i="61" s="1"/>
  <c r="BD44" i="61" s="1"/>
  <c r="BD45" i="61" s="1"/>
  <c r="BD46" i="61" s="1"/>
  <c r="BD47" i="61" s="1"/>
  <c r="BD48" i="61" s="1"/>
  <c r="BD49" i="61" s="1"/>
  <c r="BD50" i="61" s="1"/>
  <c r="BD51" i="61" s="1"/>
  <c r="BD52" i="61" s="1"/>
  <c r="BD53" i="61" s="1"/>
  <c r="BD54" i="61" s="1"/>
  <c r="BD55" i="61" s="1"/>
  <c r="BD56" i="61" s="1"/>
  <c r="BD57" i="61" s="1"/>
  <c r="BD58" i="61" s="1"/>
  <c r="BD59" i="61" s="1"/>
  <c r="BD60" i="61" s="1"/>
  <c r="BD61" i="61" s="1"/>
  <c r="BD62" i="61" s="1"/>
  <c r="BD63" i="61" s="1"/>
  <c r="BD64" i="61" s="1"/>
  <c r="BD65" i="61" s="1"/>
  <c r="BD66" i="61" s="1"/>
  <c r="BD67" i="61" s="1"/>
  <c r="BD68" i="61" s="1"/>
  <c r="BB49" i="70"/>
  <c r="BD40" i="59"/>
  <c r="BD41" i="59" s="1"/>
  <c r="BD42" i="59" s="1"/>
  <c r="BD43" i="59" s="1"/>
  <c r="BD44" i="59" s="1"/>
  <c r="BD45" i="59" s="1"/>
  <c r="BD46" i="59" s="1"/>
  <c r="BD47" i="59" s="1"/>
  <c r="BD48" i="59" s="1"/>
  <c r="BD49" i="59" s="1"/>
  <c r="BD50" i="59" s="1"/>
  <c r="BD51" i="59" s="1"/>
  <c r="BD52" i="59" s="1"/>
  <c r="BD53" i="59" s="1"/>
  <c r="BD54" i="59" s="1"/>
  <c r="BD55" i="59" s="1"/>
  <c r="BD56" i="59" s="1"/>
  <c r="BD57" i="59" s="1"/>
  <c r="BD58" i="59" s="1"/>
  <c r="BD59" i="59" s="1"/>
  <c r="BD60" i="59" s="1"/>
  <c r="BD61" i="59" s="1"/>
  <c r="BD62" i="59" s="1"/>
  <c r="BD63" i="59" s="1"/>
  <c r="BD64" i="59" s="1"/>
  <c r="BD65" i="59" s="1"/>
  <c r="BD66" i="59" s="1"/>
  <c r="BD67" i="59" s="1"/>
  <c r="BD68" i="59" s="1"/>
  <c r="AL28" i="68"/>
  <c r="AF29" i="68"/>
  <c r="AJ29" i="68"/>
  <c r="AJ30" i="68" s="1"/>
  <c r="AJ31" i="68" s="1"/>
  <c r="AJ32" i="68" s="1"/>
  <c r="AJ33" i="68" s="1"/>
  <c r="AJ34" i="68" s="1"/>
  <c r="AJ35" i="68" s="1"/>
  <c r="AJ36" i="68" s="1"/>
  <c r="AJ37" i="68" s="1"/>
  <c r="AJ38" i="68" s="1"/>
  <c r="AJ39" i="68" s="1"/>
  <c r="AJ40" i="68" s="1"/>
  <c r="AJ41" i="68" s="1"/>
  <c r="AJ42" i="68" s="1"/>
  <c r="AJ43" i="68" s="1"/>
  <c r="AJ44" i="68" s="1"/>
  <c r="AJ45" i="68" s="1"/>
  <c r="AJ46" i="68" s="1"/>
  <c r="AJ47" i="68" s="1"/>
  <c r="AJ48" i="68" s="1"/>
  <c r="AJ49" i="68" s="1"/>
  <c r="AJ50" i="68" s="1"/>
  <c r="AJ51" i="68" s="1"/>
  <c r="AJ52" i="68" s="1"/>
  <c r="AJ53" i="68" s="1"/>
  <c r="AJ54" i="68" s="1"/>
  <c r="AJ55" i="68" s="1"/>
  <c r="AJ56" i="68" s="1"/>
  <c r="AJ57" i="68" s="1"/>
  <c r="BB40" i="60"/>
  <c r="BF39" i="60"/>
  <c r="BD40" i="60"/>
  <c r="BD41" i="60" s="1"/>
  <c r="BD42" i="60" s="1"/>
  <c r="BD43" i="60" s="1"/>
  <c r="BD44" i="60" s="1"/>
  <c r="BD45" i="60" s="1"/>
  <c r="BD46" i="60" s="1"/>
  <c r="BD47" i="60" s="1"/>
  <c r="BD48" i="60" s="1"/>
  <c r="BD49" i="60" s="1"/>
  <c r="BD50" i="60" s="1"/>
  <c r="BD51" i="60" s="1"/>
  <c r="BD52" i="60" s="1"/>
  <c r="BD53" i="60" s="1"/>
  <c r="BD54" i="60" s="1"/>
  <c r="BD55" i="60" s="1"/>
  <c r="BD56" i="60" s="1"/>
  <c r="BD57" i="60" s="1"/>
  <c r="BD58" i="60" s="1"/>
  <c r="BD59" i="60" s="1"/>
  <c r="BD60" i="60" s="1"/>
  <c r="BD61" i="60" s="1"/>
  <c r="BD62" i="60" s="1"/>
  <c r="BD63" i="60" s="1"/>
  <c r="BD64" i="60" s="1"/>
  <c r="BD65" i="60" s="1"/>
  <c r="BD66" i="60" s="1"/>
  <c r="BD67" i="60" s="1"/>
  <c r="BD68" i="60" s="1"/>
  <c r="AJ29" i="67"/>
  <c r="AJ30" i="67" s="1"/>
  <c r="AJ31" i="67" s="1"/>
  <c r="AJ32" i="67" s="1"/>
  <c r="AJ33" i="67" s="1"/>
  <c r="AJ34" i="67" s="1"/>
  <c r="AJ35" i="67" s="1"/>
  <c r="AJ36" i="67" s="1"/>
  <c r="AJ37" i="67" s="1"/>
  <c r="AJ38" i="67" s="1"/>
  <c r="AJ39" i="67" s="1"/>
  <c r="AJ40" i="67" s="1"/>
  <c r="AJ41" i="67" s="1"/>
  <c r="AJ42" i="67" s="1"/>
  <c r="AJ43" i="67" s="1"/>
  <c r="AJ44" i="67" s="1"/>
  <c r="AJ45" i="67" s="1"/>
  <c r="AJ46" i="67" s="1"/>
  <c r="AJ47" i="67" s="1"/>
  <c r="AJ48" i="67" s="1"/>
  <c r="AJ49" i="67" s="1"/>
  <c r="AJ50" i="67" s="1"/>
  <c r="AJ51" i="67" s="1"/>
  <c r="AJ52" i="67" s="1"/>
  <c r="AJ53" i="67" s="1"/>
  <c r="AJ54" i="67" s="1"/>
  <c r="AJ55" i="67" s="1"/>
  <c r="AJ56" i="67" s="1"/>
  <c r="AJ57" i="67" s="1"/>
  <c r="K29" i="67"/>
  <c r="K30" i="67" s="1"/>
  <c r="K31" i="67" s="1"/>
  <c r="K32" i="67" s="1"/>
  <c r="K33" i="67" s="1"/>
  <c r="K34" i="67" s="1"/>
  <c r="K35" i="67" s="1"/>
  <c r="K36" i="67" s="1"/>
  <c r="K37" i="67" s="1"/>
  <c r="K38" i="67" s="1"/>
  <c r="K39" i="67" s="1"/>
  <c r="K40" i="67" s="1"/>
  <c r="K41" i="67" s="1"/>
  <c r="K42" i="67" s="1"/>
  <c r="K43" i="67" s="1"/>
  <c r="K44" i="67" s="1"/>
  <c r="K45" i="67" s="1"/>
  <c r="K46" i="67" s="1"/>
  <c r="K47" i="67" s="1"/>
  <c r="K48" i="67" s="1"/>
  <c r="K49" i="67" s="1"/>
  <c r="K50" i="67" s="1"/>
  <c r="K51" i="67" s="1"/>
  <c r="K52" i="67" s="1"/>
  <c r="K53" i="67" s="1"/>
  <c r="K54" i="67" s="1"/>
  <c r="K55" i="67" s="1"/>
  <c r="K56" i="67" s="1"/>
  <c r="K57" i="67" s="1"/>
  <c r="BD40" i="63"/>
  <c r="BD41" i="63" s="1"/>
  <c r="BD42" i="63" s="1"/>
  <c r="BD43" i="63" s="1"/>
  <c r="BD44" i="63" s="1"/>
  <c r="BD45" i="63" s="1"/>
  <c r="BD46" i="63" s="1"/>
  <c r="BD47" i="63" s="1"/>
  <c r="BD48" i="63" s="1"/>
  <c r="BD49" i="63" s="1"/>
  <c r="BD50" i="63" s="1"/>
  <c r="BD51" i="63" s="1"/>
  <c r="BD52" i="63" s="1"/>
  <c r="BD53" i="63" s="1"/>
  <c r="BD54" i="63" s="1"/>
  <c r="BD55" i="63" s="1"/>
  <c r="BD56" i="63" s="1"/>
  <c r="BD57" i="63" s="1"/>
  <c r="BD58" i="63" s="1"/>
  <c r="BD59" i="63" s="1"/>
  <c r="BD60" i="63" s="1"/>
  <c r="BD61" i="63" s="1"/>
  <c r="BD62" i="63" s="1"/>
  <c r="BD63" i="63" s="1"/>
  <c r="BD64" i="63" s="1"/>
  <c r="BD65" i="63" s="1"/>
  <c r="BD66" i="63" s="1"/>
  <c r="BD67" i="63" s="1"/>
  <c r="BD68" i="63" s="1"/>
  <c r="AR48" i="66"/>
  <c r="S57" i="70"/>
  <c r="I68" i="70"/>
  <c r="BF42" i="31"/>
  <c r="AJ40" i="31"/>
  <c r="AV13" i="30"/>
  <c r="AJ41" i="30" s="1"/>
  <c r="BD40" i="58"/>
  <c r="BD41" i="58" s="1"/>
  <c r="BD42" i="58" s="1"/>
  <c r="BD43" i="58" s="1"/>
  <c r="BD44" i="58" s="1"/>
  <c r="BD45" i="58" s="1"/>
  <c r="BD46" i="58" s="1"/>
  <c r="BD47" i="58" s="1"/>
  <c r="BD48" i="58" s="1"/>
  <c r="BD49" i="58" s="1"/>
  <c r="BD50" i="58" s="1"/>
  <c r="BD51" i="58" s="1"/>
  <c r="BD52" i="58" s="1"/>
  <c r="BD53" i="58" s="1"/>
  <c r="BD54" i="58" s="1"/>
  <c r="BD55" i="58" s="1"/>
  <c r="BD56" i="58" s="1"/>
  <c r="BD57" i="58" s="1"/>
  <c r="BD58" i="58" s="1"/>
  <c r="BD59" i="58" s="1"/>
  <c r="BD60" i="58" s="1"/>
  <c r="BD61" i="58" s="1"/>
  <c r="BD62" i="58" s="1"/>
  <c r="BD63" i="58" s="1"/>
  <c r="BD64" i="58" s="1"/>
  <c r="BD65" i="58" s="1"/>
  <c r="BD66" i="58" s="1"/>
  <c r="BD67" i="58" s="1"/>
  <c r="BD68" i="58" s="1"/>
  <c r="AF41" i="57"/>
  <c r="AH40" i="58"/>
  <c r="AH41" i="58" s="1"/>
  <c r="AH42" i="58" s="1"/>
  <c r="AH43" i="58" s="1"/>
  <c r="AH44" i="58" s="1"/>
  <c r="AH45" i="58" s="1"/>
  <c r="AH46" i="58" s="1"/>
  <c r="AH47" i="58" s="1"/>
  <c r="AH48" i="58" s="1"/>
  <c r="AH49" i="58" s="1"/>
  <c r="AH50" i="58" s="1"/>
  <c r="AH51" i="58" s="1"/>
  <c r="AH52" i="58" s="1"/>
  <c r="AH53" i="58" s="1"/>
  <c r="AH54" i="58" s="1"/>
  <c r="AH55" i="58" s="1"/>
  <c r="AH56" i="58" s="1"/>
  <c r="AH57" i="58" s="1"/>
  <c r="AH58" i="58" s="1"/>
  <c r="AH59" i="58" s="1"/>
  <c r="AH60" i="58" s="1"/>
  <c r="AH61" i="58" s="1"/>
  <c r="AH62" i="58" s="1"/>
  <c r="AH63" i="58" s="1"/>
  <c r="AH64" i="58" s="1"/>
  <c r="AH65" i="58" s="1"/>
  <c r="AH66" i="58" s="1"/>
  <c r="AH67" i="58" s="1"/>
  <c r="AH68" i="58" s="1"/>
  <c r="AF40" i="58"/>
  <c r="AR14" i="30"/>
  <c r="BD72" i="31"/>
  <c r="AH41" i="57"/>
  <c r="AH42" i="57" s="1"/>
  <c r="AH43" i="57" s="1"/>
  <c r="AH44" i="57" s="1"/>
  <c r="AH45" i="57" s="1"/>
  <c r="AH46" i="57" s="1"/>
  <c r="AH47" i="57" s="1"/>
  <c r="AH48" i="57" s="1"/>
  <c r="AH49" i="57" s="1"/>
  <c r="AH50" i="57" s="1"/>
  <c r="AH51" i="57" s="1"/>
  <c r="AH52" i="57" s="1"/>
  <c r="AH53" i="57" s="1"/>
  <c r="AH54" i="57" s="1"/>
  <c r="AH55" i="57" s="1"/>
  <c r="AH56" i="57" s="1"/>
  <c r="AH57" i="57" s="1"/>
  <c r="AH58" i="57" s="1"/>
  <c r="AH59" i="57" s="1"/>
  <c r="AH60" i="57" s="1"/>
  <c r="AH61" i="57" s="1"/>
  <c r="AH62" i="57" s="1"/>
  <c r="AH63" i="57" s="1"/>
  <c r="AH64" i="57" s="1"/>
  <c r="AH65" i="57" s="1"/>
  <c r="AH66" i="57" s="1"/>
  <c r="AH67" i="57" s="1"/>
  <c r="AH68" i="57" s="1"/>
  <c r="AH69" i="57" s="1"/>
  <c r="M40" i="58"/>
  <c r="BB40" i="58"/>
  <c r="BF39" i="58"/>
  <c r="BF40" i="57"/>
  <c r="BB41" i="57"/>
  <c r="BD41" i="57"/>
  <c r="BD42" i="57" s="1"/>
  <c r="BD43" i="57" s="1"/>
  <c r="BD44" i="57" s="1"/>
  <c r="BD45" i="57" s="1"/>
  <c r="BD46" i="57" s="1"/>
  <c r="BD47" i="57" s="1"/>
  <c r="BD48" i="57" s="1"/>
  <c r="BD49" i="57" s="1"/>
  <c r="BD50" i="57" s="1"/>
  <c r="BD51" i="57" s="1"/>
  <c r="BD52" i="57" s="1"/>
  <c r="BD53" i="57" s="1"/>
  <c r="BD54" i="57" s="1"/>
  <c r="BD55" i="57" s="1"/>
  <c r="BD56" i="57" s="1"/>
  <c r="BD57" i="57" s="1"/>
  <c r="BD58" i="57" s="1"/>
  <c r="BD59" i="57" s="1"/>
  <c r="BD60" i="57" s="1"/>
  <c r="BD61" i="57" s="1"/>
  <c r="BD62" i="57" s="1"/>
  <c r="BD63" i="57" s="1"/>
  <c r="BD64" i="57" s="1"/>
  <c r="BD65" i="57" s="1"/>
  <c r="BD66" i="57" s="1"/>
  <c r="BD67" i="57" s="1"/>
  <c r="BD68" i="57" s="1"/>
  <c r="BD69" i="57" s="1"/>
  <c r="AJ11" i="42"/>
  <c r="AH28" i="42" s="1"/>
  <c r="AH29" i="42" s="1"/>
  <c r="AH30" i="42" s="1"/>
  <c r="AH31" i="42" s="1"/>
  <c r="AH32" i="42" s="1"/>
  <c r="AH33" i="42" s="1"/>
  <c r="AH34" i="42" s="1"/>
  <c r="AH35" i="42" s="1"/>
  <c r="AH36" i="42" s="1"/>
  <c r="AH37" i="42" s="1"/>
  <c r="AH38" i="42" s="1"/>
  <c r="AH39" i="42" s="1"/>
  <c r="AH40" i="42" s="1"/>
  <c r="AH41" i="42" s="1"/>
  <c r="AH42" i="42" s="1"/>
  <c r="AH43" i="42" s="1"/>
  <c r="AH44" i="42" s="1"/>
  <c r="AH45" i="42" s="1"/>
  <c r="AH46" i="42" s="1"/>
  <c r="AH47" i="42" s="1"/>
  <c r="AH58" i="42" s="1"/>
  <c r="AH40" i="31"/>
  <c r="AV11" i="30"/>
  <c r="AH41" i="30" s="1"/>
  <c r="AR40" i="31"/>
  <c r="AR41" i="31" s="1"/>
  <c r="AR42" i="31" s="1"/>
  <c r="AJ41" i="57"/>
  <c r="AJ42" i="57" s="1"/>
  <c r="AJ43" i="57" s="1"/>
  <c r="AJ44" i="57" s="1"/>
  <c r="AJ45" i="57" s="1"/>
  <c r="AJ46" i="57" s="1"/>
  <c r="AJ47" i="57" s="1"/>
  <c r="AJ48" i="57" s="1"/>
  <c r="AJ49" i="57" s="1"/>
  <c r="AJ50" i="57" s="1"/>
  <c r="AJ51" i="57" s="1"/>
  <c r="AJ52" i="57" s="1"/>
  <c r="AJ53" i="57" s="1"/>
  <c r="AJ54" i="57" s="1"/>
  <c r="AJ55" i="57" s="1"/>
  <c r="AJ56" i="57" s="1"/>
  <c r="AJ57" i="57" s="1"/>
  <c r="AJ58" i="57" s="1"/>
  <c r="AJ59" i="57" s="1"/>
  <c r="AJ60" i="57" s="1"/>
  <c r="AJ61" i="57" s="1"/>
  <c r="AJ62" i="57" s="1"/>
  <c r="AJ63" i="57" s="1"/>
  <c r="AJ64" i="57" s="1"/>
  <c r="AJ65" i="57" s="1"/>
  <c r="AJ66" i="57" s="1"/>
  <c r="AJ67" i="57" s="1"/>
  <c r="AJ68" i="57" s="1"/>
  <c r="AJ69" i="57" s="1"/>
  <c r="BK11" i="30"/>
  <c r="AR12" i="30"/>
  <c r="M42" i="57"/>
  <c r="AJ11" i="43"/>
  <c r="AH28" i="43" s="1"/>
  <c r="AH29" i="43" s="1"/>
  <c r="AH30" i="43" s="1"/>
  <c r="AH31" i="43" s="1"/>
  <c r="AH32" i="43" s="1"/>
  <c r="AH33" i="43" s="1"/>
  <c r="AH34" i="43" s="1"/>
  <c r="AH35" i="43" s="1"/>
  <c r="AH36" i="43" s="1"/>
  <c r="AH37" i="43" s="1"/>
  <c r="AH38" i="43" s="1"/>
  <c r="AH39" i="43" s="1"/>
  <c r="AH40" i="43" s="1"/>
  <c r="AH41" i="43" s="1"/>
  <c r="AH42" i="43" s="1"/>
  <c r="AH43" i="43" s="1"/>
  <c r="AH44" i="43" s="1"/>
  <c r="AH45" i="43" s="1"/>
  <c r="AH46" i="43" s="1"/>
  <c r="AH47" i="43" s="1"/>
  <c r="AF43" i="31"/>
  <c r="M58" i="50"/>
  <c r="M42" i="31"/>
  <c r="BF28" i="48"/>
  <c r="BF43" i="31"/>
  <c r="M58" i="49"/>
  <c r="AL28" i="50"/>
  <c r="I29" i="49"/>
  <c r="S28" i="49"/>
  <c r="AF29" i="48"/>
  <c r="AF30" i="48" s="1"/>
  <c r="AF31" i="48" s="1"/>
  <c r="AF32" i="48" s="1"/>
  <c r="AF33" i="48" s="1"/>
  <c r="AF34" i="48" s="1"/>
  <c r="AF35" i="48" s="1"/>
  <c r="AF36" i="48" s="1"/>
  <c r="AF37" i="48" s="1"/>
  <c r="AF38" i="48" s="1"/>
  <c r="AF39" i="48" s="1"/>
  <c r="AF40" i="48" s="1"/>
  <c r="AF41" i="48" s="1"/>
  <c r="AF42" i="48" s="1"/>
  <c r="AF43" i="48" s="1"/>
  <c r="AF44" i="48" s="1"/>
  <c r="AF45" i="48" s="1"/>
  <c r="AF46" i="48" s="1"/>
  <c r="AF47" i="48" s="1"/>
  <c r="AL28" i="48"/>
  <c r="AR29" i="50"/>
  <c r="AR30" i="50" s="1"/>
  <c r="AR31" i="50" s="1"/>
  <c r="AR32" i="50" s="1"/>
  <c r="AR33" i="50" s="1"/>
  <c r="AR34" i="50" s="1"/>
  <c r="AR35" i="50" s="1"/>
  <c r="AR36" i="50" s="1"/>
  <c r="AR37" i="50" s="1"/>
  <c r="AR38" i="50" s="1"/>
  <c r="AR39" i="50" s="1"/>
  <c r="AR40" i="50" s="1"/>
  <c r="AR41" i="50" s="1"/>
  <c r="AR42" i="50" s="1"/>
  <c r="AR43" i="50" s="1"/>
  <c r="AR44" i="50" s="1"/>
  <c r="AR45" i="50" s="1"/>
  <c r="AR46" i="50" s="1"/>
  <c r="AR47" i="50" s="1"/>
  <c r="AR48" i="50" s="1"/>
  <c r="AF29" i="50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BF28" i="50"/>
  <c r="S28" i="48"/>
  <c r="I29" i="48"/>
  <c r="BB29" i="50"/>
  <c r="BB29" i="49"/>
  <c r="BB29" i="48"/>
  <c r="AR29" i="49"/>
  <c r="AR30" i="49" s="1"/>
  <c r="AR31" i="49" s="1"/>
  <c r="AR32" i="49" s="1"/>
  <c r="AR33" i="49" s="1"/>
  <c r="AR34" i="49" s="1"/>
  <c r="AR35" i="49" s="1"/>
  <c r="AR36" i="49" s="1"/>
  <c r="AR37" i="49" s="1"/>
  <c r="AR38" i="49" s="1"/>
  <c r="AR39" i="49" s="1"/>
  <c r="AR40" i="49" s="1"/>
  <c r="AR41" i="49" s="1"/>
  <c r="AR42" i="49" s="1"/>
  <c r="AR43" i="49" s="1"/>
  <c r="AR44" i="49" s="1"/>
  <c r="AR45" i="49" s="1"/>
  <c r="AR46" i="49" s="1"/>
  <c r="AR47" i="49" s="1"/>
  <c r="AL28" i="49"/>
  <c r="M58" i="48"/>
  <c r="AF29" i="49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R29" i="48"/>
  <c r="AR30" i="48" s="1"/>
  <c r="AR31" i="48" s="1"/>
  <c r="AR32" i="48" s="1"/>
  <c r="AR33" i="48" s="1"/>
  <c r="AR34" i="48" s="1"/>
  <c r="AR35" i="48" s="1"/>
  <c r="AR36" i="48" s="1"/>
  <c r="AR37" i="48" s="1"/>
  <c r="AR38" i="48" s="1"/>
  <c r="AR39" i="48" s="1"/>
  <c r="AR40" i="48" s="1"/>
  <c r="AR41" i="48" s="1"/>
  <c r="AR42" i="48" s="1"/>
  <c r="AR43" i="48" s="1"/>
  <c r="AR44" i="48" s="1"/>
  <c r="AR45" i="48" s="1"/>
  <c r="AR46" i="48" s="1"/>
  <c r="AR47" i="48" s="1"/>
  <c r="BF28" i="49"/>
  <c r="I29" i="50"/>
  <c r="S28" i="50"/>
  <c r="AH45" i="50"/>
  <c r="AJ30" i="49"/>
  <c r="AH44" i="49"/>
  <c r="AH44" i="48"/>
  <c r="AJ30" i="50"/>
  <c r="AL29" i="50"/>
  <c r="AJ30" i="48"/>
  <c r="AJ13" i="43"/>
  <c r="AJ28" i="43" s="1"/>
  <c r="AJ13" i="42"/>
  <c r="AJ28" i="42" s="1"/>
  <c r="AJ29" i="42" s="1"/>
  <c r="AJ30" i="42" s="1"/>
  <c r="AJ31" i="42" s="1"/>
  <c r="AJ32" i="42" s="1"/>
  <c r="AJ33" i="42" s="1"/>
  <c r="AJ34" i="42" s="1"/>
  <c r="AJ35" i="42" s="1"/>
  <c r="AJ36" i="42" s="1"/>
  <c r="AJ37" i="42" s="1"/>
  <c r="AJ38" i="42" s="1"/>
  <c r="AJ39" i="42" s="1"/>
  <c r="AJ40" i="42" s="1"/>
  <c r="AJ41" i="42" s="1"/>
  <c r="AJ42" i="42" s="1"/>
  <c r="AJ43" i="42" s="1"/>
  <c r="AJ44" i="42" s="1"/>
  <c r="AJ45" i="42" s="1"/>
  <c r="AJ46" i="42" s="1"/>
  <c r="AJ47" i="42" s="1"/>
  <c r="AJ58" i="42" s="1"/>
  <c r="BD31" i="50"/>
  <c r="AF14" i="43"/>
  <c r="AF14" i="42"/>
  <c r="BD11" i="43"/>
  <c r="AF12" i="43"/>
  <c r="BD31" i="48"/>
  <c r="BD11" i="42"/>
  <c r="AF12" i="42"/>
  <c r="BD31" i="49"/>
  <c r="AR29" i="43"/>
  <c r="AR30" i="43" s="1"/>
  <c r="AR31" i="43" s="1"/>
  <c r="AR32" i="43" s="1"/>
  <c r="AR33" i="43" s="1"/>
  <c r="AR34" i="43" s="1"/>
  <c r="AR35" i="43" s="1"/>
  <c r="AR36" i="43" s="1"/>
  <c r="AR37" i="43" s="1"/>
  <c r="AR38" i="43" s="1"/>
  <c r="AR39" i="43" s="1"/>
  <c r="AR40" i="43" s="1"/>
  <c r="AR41" i="43" s="1"/>
  <c r="AR42" i="43" s="1"/>
  <c r="AR43" i="43" s="1"/>
  <c r="AR44" i="43" s="1"/>
  <c r="AR45" i="43" s="1"/>
  <c r="AR46" i="43" s="1"/>
  <c r="AR47" i="43" s="1"/>
  <c r="AH58" i="47"/>
  <c r="BB58" i="43"/>
  <c r="BB30" i="47"/>
  <c r="BF29" i="47"/>
  <c r="AT28" i="47"/>
  <c r="S47" i="42"/>
  <c r="I58" i="42"/>
  <c r="AL29" i="47"/>
  <c r="BB58" i="42"/>
  <c r="AR58" i="47"/>
  <c r="BD58" i="47"/>
  <c r="I30" i="47"/>
  <c r="S29" i="47"/>
  <c r="S47" i="43"/>
  <c r="I58" i="43"/>
  <c r="AJ58" i="47"/>
  <c r="BN298" i="5"/>
  <c r="BN297" i="5"/>
  <c r="BN296" i="5"/>
  <c r="BN295" i="5"/>
  <c r="BN294" i="5"/>
  <c r="BN293" i="5"/>
  <c r="BN292" i="5"/>
  <c r="BN291" i="5"/>
  <c r="BN290" i="5"/>
  <c r="BN289" i="5"/>
  <c r="BN288" i="5"/>
  <c r="BN287" i="5"/>
  <c r="BN286" i="5"/>
  <c r="BN285" i="5"/>
  <c r="BN284" i="5"/>
  <c r="BN283" i="5"/>
  <c r="BN282" i="5"/>
  <c r="BN281" i="5"/>
  <c r="BN280" i="5"/>
  <c r="BN279" i="5"/>
  <c r="BN278" i="5"/>
  <c r="BN277" i="5"/>
  <c r="BN276" i="5"/>
  <c r="BN275" i="5"/>
  <c r="BN274" i="5"/>
  <c r="BN273" i="5"/>
  <c r="BN272" i="5"/>
  <c r="BN271" i="5"/>
  <c r="BN270" i="5"/>
  <c r="BN269" i="5"/>
  <c r="BN268" i="5"/>
  <c r="BN267" i="5"/>
  <c r="BN266" i="5"/>
  <c r="BN265" i="5"/>
  <c r="BN264" i="5"/>
  <c r="BN263" i="5"/>
  <c r="BN262" i="5"/>
  <c r="BN261" i="5"/>
  <c r="BN260" i="5"/>
  <c r="BN259" i="5"/>
  <c r="BN258" i="5"/>
  <c r="BN257" i="5"/>
  <c r="BN256" i="5"/>
  <c r="BN255" i="5"/>
  <c r="BN254" i="5"/>
  <c r="BN253" i="5"/>
  <c r="BN252" i="5"/>
  <c r="BN251" i="5"/>
  <c r="BN250" i="5"/>
  <c r="BN249" i="5"/>
  <c r="BN248" i="5"/>
  <c r="BN247" i="5"/>
  <c r="BN246" i="5"/>
  <c r="BN245" i="5"/>
  <c r="BN244" i="5"/>
  <c r="BN243" i="5"/>
  <c r="BN242" i="5"/>
  <c r="BN241" i="5"/>
  <c r="BN240" i="5"/>
  <c r="BN239" i="5"/>
  <c r="BN238" i="5"/>
  <c r="BN237" i="5"/>
  <c r="BN236" i="5"/>
  <c r="BN235" i="5"/>
  <c r="BN234" i="5"/>
  <c r="BN233" i="5"/>
  <c r="BN232" i="5"/>
  <c r="BN231" i="5"/>
  <c r="BN230" i="5"/>
  <c r="BN229" i="5"/>
  <c r="BN228" i="5"/>
  <c r="BN227" i="5"/>
  <c r="BN226" i="5"/>
  <c r="BN225" i="5"/>
  <c r="BN224" i="5"/>
  <c r="BN223" i="5"/>
  <c r="BN222" i="5"/>
  <c r="BN221" i="5"/>
  <c r="BN220" i="5"/>
  <c r="BN219" i="5"/>
  <c r="BN218" i="5"/>
  <c r="BN217" i="5"/>
  <c r="BN216" i="5"/>
  <c r="BN215" i="5"/>
  <c r="BN214" i="5"/>
  <c r="BN213" i="5"/>
  <c r="BN212" i="5"/>
  <c r="BN211" i="5"/>
  <c r="BN210" i="5"/>
  <c r="BN209" i="5"/>
  <c r="BN208" i="5"/>
  <c r="BN207" i="5"/>
  <c r="BN206" i="5"/>
  <c r="BN205" i="5"/>
  <c r="BN204" i="5"/>
  <c r="BN203" i="5"/>
  <c r="BN202" i="5"/>
  <c r="BN201" i="5"/>
  <c r="BN200" i="5"/>
  <c r="BN199" i="5"/>
  <c r="BN198" i="5"/>
  <c r="BN197" i="5"/>
  <c r="BN196" i="5"/>
  <c r="BN195" i="5"/>
  <c r="BN194" i="5"/>
  <c r="BN193" i="5"/>
  <c r="BN192" i="5"/>
  <c r="BN191" i="5"/>
  <c r="BN190" i="5"/>
  <c r="BN189" i="5"/>
  <c r="BN188" i="5"/>
  <c r="BN187" i="5"/>
  <c r="BN186" i="5"/>
  <c r="BN185" i="5"/>
  <c r="BN184" i="5"/>
  <c r="BN183" i="5"/>
  <c r="BN182" i="5"/>
  <c r="BN181" i="5"/>
  <c r="BN180" i="5"/>
  <c r="BN179" i="5"/>
  <c r="BN178" i="5"/>
  <c r="BN177" i="5"/>
  <c r="BN176" i="5"/>
  <c r="BN175" i="5"/>
  <c r="BN174" i="5"/>
  <c r="BN173" i="5"/>
  <c r="BN172" i="5"/>
  <c r="BN171" i="5"/>
  <c r="BN170" i="5"/>
  <c r="BN169" i="5"/>
  <c r="BN168" i="5"/>
  <c r="BN167" i="5"/>
  <c r="BN166" i="5"/>
  <c r="BN165" i="5"/>
  <c r="BN164" i="5"/>
  <c r="BN163" i="5"/>
  <c r="BN162" i="5"/>
  <c r="BN161" i="5"/>
  <c r="BN160" i="5"/>
  <c r="BN159" i="5"/>
  <c r="BN158" i="5"/>
  <c r="BN157" i="5"/>
  <c r="BN156" i="5"/>
  <c r="BN155" i="5"/>
  <c r="BN154" i="5"/>
  <c r="BN153" i="5"/>
  <c r="BN152" i="5"/>
  <c r="BN151" i="5"/>
  <c r="BN150" i="5"/>
  <c r="BN149" i="5"/>
  <c r="BN148" i="5"/>
  <c r="BN147" i="5"/>
  <c r="BN146" i="5"/>
  <c r="BN145" i="5"/>
  <c r="BN144" i="5"/>
  <c r="BN143" i="5"/>
  <c r="BN142" i="5"/>
  <c r="BN141" i="5"/>
  <c r="BN140" i="5"/>
  <c r="BN139" i="5"/>
  <c r="BN138" i="5"/>
  <c r="BN137" i="5"/>
  <c r="BN136" i="5"/>
  <c r="BN135" i="5"/>
  <c r="BN134" i="5"/>
  <c r="BN133" i="5"/>
  <c r="BN132" i="5"/>
  <c r="BN131" i="5"/>
  <c r="BN130" i="5"/>
  <c r="BN129" i="5"/>
  <c r="BN128" i="5"/>
  <c r="BN127" i="5"/>
  <c r="BN126" i="5"/>
  <c r="BN125" i="5"/>
  <c r="BN124" i="5"/>
  <c r="BN123" i="5"/>
  <c r="BN122" i="5"/>
  <c r="BN121" i="5"/>
  <c r="BN120" i="5"/>
  <c r="BN119" i="5"/>
  <c r="BN118" i="5"/>
  <c r="BN117" i="5"/>
  <c r="BN116" i="5"/>
  <c r="BN115" i="5"/>
  <c r="BN114" i="5"/>
  <c r="BN113" i="5"/>
  <c r="BN112" i="5"/>
  <c r="BN111" i="5"/>
  <c r="BN110" i="5"/>
  <c r="BN109" i="5"/>
  <c r="BN108" i="5"/>
  <c r="BN107" i="5"/>
  <c r="BN106" i="5"/>
  <c r="BN105" i="5"/>
  <c r="BN104" i="5"/>
  <c r="BN103" i="5"/>
  <c r="BN102" i="5"/>
  <c r="BN101" i="5"/>
  <c r="BN100" i="5"/>
  <c r="BN99" i="5"/>
  <c r="BN98" i="5"/>
  <c r="BN97" i="5"/>
  <c r="BN96" i="5"/>
  <c r="BN95" i="5"/>
  <c r="BN94" i="5"/>
  <c r="BN93" i="5"/>
  <c r="BN92" i="5"/>
  <c r="BN91" i="5"/>
  <c r="BN90" i="5"/>
  <c r="BN89" i="5"/>
  <c r="BN88" i="5"/>
  <c r="BN87" i="5"/>
  <c r="BN86" i="5"/>
  <c r="BN85" i="5"/>
  <c r="BN84" i="5"/>
  <c r="BN83" i="5"/>
  <c r="BN82" i="5"/>
  <c r="BN81" i="5"/>
  <c r="BN80" i="5"/>
  <c r="BN79" i="5"/>
  <c r="BN78" i="5"/>
  <c r="BN77" i="5"/>
  <c r="BN76" i="5"/>
  <c r="BN75" i="5"/>
  <c r="BN74" i="5"/>
  <c r="BN73" i="5"/>
  <c r="BN72" i="5"/>
  <c r="BN71" i="5"/>
  <c r="BN70" i="5"/>
  <c r="BN68" i="5"/>
  <c r="BN67" i="5"/>
  <c r="BN66" i="5"/>
  <c r="BN65" i="5"/>
  <c r="BN64" i="5"/>
  <c r="BN63" i="5"/>
  <c r="BN62" i="5"/>
  <c r="BN61" i="5"/>
  <c r="BN60" i="5"/>
  <c r="BN59" i="5"/>
  <c r="BN58" i="5"/>
  <c r="BN57" i="5"/>
  <c r="BN56" i="5"/>
  <c r="BN55" i="5"/>
  <c r="BN54" i="5"/>
  <c r="BN53" i="5"/>
  <c r="BN52" i="5"/>
  <c r="BN51" i="5"/>
  <c r="BN50" i="5"/>
  <c r="BN49" i="5"/>
  <c r="BN48" i="5"/>
  <c r="BN47" i="5"/>
  <c r="BN46" i="5"/>
  <c r="BN45" i="5"/>
  <c r="BN44" i="5"/>
  <c r="BN43" i="5"/>
  <c r="BN42" i="5"/>
  <c r="BN41" i="5"/>
  <c r="BN40" i="5"/>
  <c r="BN39" i="5"/>
  <c r="BN38" i="5"/>
  <c r="BN37" i="5"/>
  <c r="BN36" i="5"/>
  <c r="BN35" i="5"/>
  <c r="BN34" i="5"/>
  <c r="BN33" i="5"/>
  <c r="BN32" i="5"/>
  <c r="BN31" i="5"/>
  <c r="BN30" i="5"/>
  <c r="BN29" i="5"/>
  <c r="BN28" i="5"/>
  <c r="BN27" i="5"/>
  <c r="BN26" i="5"/>
  <c r="BN25" i="5"/>
  <c r="BN24" i="5"/>
  <c r="BN23" i="5"/>
  <c r="BN22" i="5"/>
  <c r="BN21" i="5"/>
  <c r="BN20" i="5"/>
  <c r="BN19" i="5"/>
  <c r="BN18" i="5"/>
  <c r="BN17" i="5"/>
  <c r="BN16" i="5"/>
  <c r="BN15" i="5"/>
  <c r="AD28" i="24"/>
  <c r="C71" i="24"/>
  <c r="O71" i="24"/>
  <c r="M28" i="24"/>
  <c r="M29" i="24" s="1"/>
  <c r="M30" i="24" s="1"/>
  <c r="M31" i="24" s="1"/>
  <c r="M32" i="24" s="1"/>
  <c r="M33" i="24" s="1"/>
  <c r="M34" i="24" s="1"/>
  <c r="M35" i="24" s="1"/>
  <c r="M36" i="24" s="1"/>
  <c r="M37" i="24" s="1"/>
  <c r="M38" i="24" s="1"/>
  <c r="M39" i="24" s="1"/>
  <c r="M40" i="24" s="1"/>
  <c r="M41" i="24" s="1"/>
  <c r="M42" i="24" s="1"/>
  <c r="M43" i="24" s="1"/>
  <c r="M44" i="24" s="1"/>
  <c r="M45" i="24" s="1"/>
  <c r="M46" i="24" s="1"/>
  <c r="M47" i="24" s="1"/>
  <c r="M48" i="24" s="1"/>
  <c r="M49" i="24" s="1"/>
  <c r="M50" i="24" s="1"/>
  <c r="M51" i="24" s="1"/>
  <c r="M52" i="24" s="1"/>
  <c r="M53" i="24" s="1"/>
  <c r="M54" i="24" s="1"/>
  <c r="M55" i="24" s="1"/>
  <c r="M56" i="24" s="1"/>
  <c r="M57" i="24" s="1"/>
  <c r="M58" i="24" s="1"/>
  <c r="M59" i="24" s="1"/>
  <c r="M60" i="24" s="1"/>
  <c r="M61" i="24" s="1"/>
  <c r="M62" i="24" s="1"/>
  <c r="M63" i="24" s="1"/>
  <c r="M64" i="24" s="1"/>
  <c r="M65" i="24" s="1"/>
  <c r="M66" i="24" s="1"/>
  <c r="M67" i="24" s="1"/>
  <c r="M68" i="24" s="1"/>
  <c r="M69" i="24" s="1"/>
  <c r="AD40" i="24"/>
  <c r="AD42" i="24"/>
  <c r="AD46" i="24"/>
  <c r="AD50" i="24"/>
  <c r="AD52" i="24"/>
  <c r="AD54" i="24"/>
  <c r="AD56" i="24"/>
  <c r="AD58" i="24"/>
  <c r="AD60" i="24"/>
  <c r="AD68" i="24"/>
  <c r="AD62" i="24"/>
  <c r="AD66" i="24"/>
  <c r="AD51" i="24"/>
  <c r="AD67" i="24"/>
  <c r="AD59" i="24"/>
  <c r="AD43" i="24"/>
  <c r="AD49" i="24"/>
  <c r="AD64" i="24"/>
  <c r="AD48" i="24"/>
  <c r="AD65" i="24"/>
  <c r="AD63" i="24"/>
  <c r="AD61" i="24"/>
  <c r="AD57" i="24"/>
  <c r="AD55" i="24"/>
  <c r="AD53" i="24"/>
  <c r="AD47" i="24"/>
  <c r="AD45" i="24"/>
  <c r="AD44" i="24"/>
  <c r="AD41" i="24"/>
  <c r="AD39" i="24"/>
  <c r="AD38" i="24"/>
  <c r="AD37" i="24"/>
  <c r="AD36" i="24"/>
  <c r="AD35" i="24"/>
  <c r="AD34" i="24"/>
  <c r="AD33" i="24"/>
  <c r="AD32" i="24"/>
  <c r="AD31" i="24"/>
  <c r="AD30" i="24"/>
  <c r="BD29" i="24"/>
  <c r="BD30" i="24" s="1"/>
  <c r="BD31" i="24" s="1"/>
  <c r="BD32" i="24" s="1"/>
  <c r="BD33" i="24" s="1"/>
  <c r="BD34" i="24" s="1"/>
  <c r="BD35" i="24" s="1"/>
  <c r="BD36" i="24" s="1"/>
  <c r="BD37" i="24" s="1"/>
  <c r="BD38" i="24" s="1"/>
  <c r="BD40" i="24" s="1"/>
  <c r="BB29" i="24"/>
  <c r="AR29" i="24"/>
  <c r="AJ29" i="24"/>
  <c r="AH29" i="24"/>
  <c r="AF29" i="24"/>
  <c r="AD29" i="24"/>
  <c r="K29" i="24"/>
  <c r="I28" i="24"/>
  <c r="S28" i="24" s="1"/>
  <c r="C28" i="24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W26" i="24"/>
  <c r="U26" i="24"/>
  <c r="S26" i="24"/>
  <c r="Q26" i="24"/>
  <c r="O26" i="24"/>
  <c r="M26" i="24"/>
  <c r="K26" i="24"/>
  <c r="G19" i="24"/>
  <c r="A2" i="24"/>
  <c r="I68" i="4"/>
  <c r="K59" i="67" l="1"/>
  <c r="BD70" i="60"/>
  <c r="AJ41" i="63"/>
  <c r="AJ42" i="63" s="1"/>
  <c r="AJ43" i="63" s="1"/>
  <c r="AJ44" i="63" s="1"/>
  <c r="AJ45" i="63" s="1"/>
  <c r="AJ46" i="63" s="1"/>
  <c r="AJ47" i="63" s="1"/>
  <c r="AJ48" i="63" s="1"/>
  <c r="AJ49" i="63" s="1"/>
  <c r="AJ50" i="63" s="1"/>
  <c r="AJ51" i="63" s="1"/>
  <c r="AJ52" i="63" s="1"/>
  <c r="AJ53" i="63" s="1"/>
  <c r="AJ54" i="63" s="1"/>
  <c r="AJ55" i="63" s="1"/>
  <c r="AJ56" i="63" s="1"/>
  <c r="AJ57" i="63" s="1"/>
  <c r="AJ58" i="63" s="1"/>
  <c r="AJ59" i="63" s="1"/>
  <c r="AJ60" i="63" s="1"/>
  <c r="AJ61" i="63" s="1"/>
  <c r="AJ62" i="63" s="1"/>
  <c r="AJ63" i="63" s="1"/>
  <c r="AJ64" i="63" s="1"/>
  <c r="AJ65" i="63" s="1"/>
  <c r="AJ66" i="63" s="1"/>
  <c r="AJ67" i="63" s="1"/>
  <c r="AJ68" i="63" s="1"/>
  <c r="K59" i="68"/>
  <c r="M42" i="74"/>
  <c r="M43" i="74" s="1"/>
  <c r="S41" i="74"/>
  <c r="BD70" i="63"/>
  <c r="AJ59" i="67"/>
  <c r="BD70" i="61"/>
  <c r="BF41" i="74"/>
  <c r="BB42" i="74"/>
  <c r="BD70" i="59"/>
  <c r="AH59" i="68"/>
  <c r="BD59" i="67"/>
  <c r="AR39" i="59"/>
  <c r="AR40" i="59" s="1"/>
  <c r="AR41" i="59" s="1"/>
  <c r="AR42" i="59" s="1"/>
  <c r="AR43" i="59" s="1"/>
  <c r="AR44" i="59" s="1"/>
  <c r="AR45" i="59" s="1"/>
  <c r="AR46" i="59" s="1"/>
  <c r="AR47" i="59" s="1"/>
  <c r="AR48" i="59" s="1"/>
  <c r="AR49" i="59" s="1"/>
  <c r="AR50" i="59" s="1"/>
  <c r="AR51" i="59" s="1"/>
  <c r="AR52" i="59" s="1"/>
  <c r="AR53" i="59" s="1"/>
  <c r="AR54" i="59" s="1"/>
  <c r="AR55" i="59" s="1"/>
  <c r="AR56" i="59" s="1"/>
  <c r="AR57" i="59" s="1"/>
  <c r="AR58" i="59" s="1"/>
  <c r="AR59" i="59" s="1"/>
  <c r="AR60" i="59" s="1"/>
  <c r="AR61" i="59" s="1"/>
  <c r="AR62" i="59" s="1"/>
  <c r="AR63" i="59" s="1"/>
  <c r="AR64" i="59" s="1"/>
  <c r="AR65" i="59" s="1"/>
  <c r="AR66" i="59" s="1"/>
  <c r="AR67" i="59" s="1"/>
  <c r="AR68" i="59" s="1"/>
  <c r="AR39" i="62"/>
  <c r="AR40" i="62" s="1"/>
  <c r="AR41" i="62" s="1"/>
  <c r="AR42" i="62" s="1"/>
  <c r="AR43" i="62" s="1"/>
  <c r="AR44" i="62" s="1"/>
  <c r="AR45" i="62" s="1"/>
  <c r="AR46" i="62" s="1"/>
  <c r="AR47" i="62" s="1"/>
  <c r="AR48" i="62" s="1"/>
  <c r="AR49" i="62" s="1"/>
  <c r="AR50" i="62" s="1"/>
  <c r="AR51" i="62" s="1"/>
  <c r="AR52" i="62" s="1"/>
  <c r="AR53" i="62" s="1"/>
  <c r="AR54" i="62" s="1"/>
  <c r="AR55" i="62" s="1"/>
  <c r="AR56" i="62" s="1"/>
  <c r="AR57" i="62" s="1"/>
  <c r="AR58" i="62" s="1"/>
  <c r="AR59" i="62" s="1"/>
  <c r="AR60" i="62" s="1"/>
  <c r="AR61" i="62" s="1"/>
  <c r="AR62" i="62" s="1"/>
  <c r="AR63" i="62" s="1"/>
  <c r="AR64" i="62" s="1"/>
  <c r="AR65" i="62" s="1"/>
  <c r="AR66" i="62" s="1"/>
  <c r="AR67" i="62" s="1"/>
  <c r="AR68" i="62" s="1"/>
  <c r="AL38" i="65"/>
  <c r="AF41" i="74"/>
  <c r="AR39" i="60"/>
  <c r="AR40" i="60" s="1"/>
  <c r="AR41" i="60" s="1"/>
  <c r="AR42" i="60" s="1"/>
  <c r="AR43" i="60" s="1"/>
  <c r="AR44" i="60" s="1"/>
  <c r="AR45" i="60" s="1"/>
  <c r="AR46" i="60" s="1"/>
  <c r="AR47" i="60" s="1"/>
  <c r="AR48" i="60" s="1"/>
  <c r="AR49" i="60" s="1"/>
  <c r="AR50" i="60" s="1"/>
  <c r="AR51" i="60" s="1"/>
  <c r="AR52" i="60" s="1"/>
  <c r="AR53" i="60" s="1"/>
  <c r="AR54" i="60" s="1"/>
  <c r="AR55" i="60" s="1"/>
  <c r="AR56" i="60" s="1"/>
  <c r="AR57" i="60" s="1"/>
  <c r="AR58" i="60" s="1"/>
  <c r="AR59" i="60" s="1"/>
  <c r="AR60" i="60" s="1"/>
  <c r="AR61" i="60" s="1"/>
  <c r="AR62" i="60" s="1"/>
  <c r="AR63" i="60" s="1"/>
  <c r="AR64" i="60" s="1"/>
  <c r="AR65" i="60" s="1"/>
  <c r="AR66" i="60" s="1"/>
  <c r="AR67" i="60" s="1"/>
  <c r="AR68" i="60" s="1"/>
  <c r="AH39" i="60"/>
  <c r="AL38" i="60"/>
  <c r="AT38" i="60" s="1"/>
  <c r="AH39" i="61"/>
  <c r="AL38" i="61"/>
  <c r="AT38" i="61" s="1"/>
  <c r="AT28" i="50"/>
  <c r="AR59" i="67"/>
  <c r="AR39" i="63"/>
  <c r="AR29" i="70"/>
  <c r="AR30" i="70" s="1"/>
  <c r="AR31" i="70" s="1"/>
  <c r="AR32" i="70" s="1"/>
  <c r="AR33" i="70" s="1"/>
  <c r="AR34" i="70" s="1"/>
  <c r="AR35" i="70" s="1"/>
  <c r="AR36" i="70" s="1"/>
  <c r="AR37" i="70" s="1"/>
  <c r="AR38" i="70" s="1"/>
  <c r="AR39" i="70" s="1"/>
  <c r="AR40" i="70" s="1"/>
  <c r="AR41" i="70" s="1"/>
  <c r="AR42" i="70" s="1"/>
  <c r="AR43" i="70" s="1"/>
  <c r="AR44" i="70" s="1"/>
  <c r="AR45" i="70" s="1"/>
  <c r="AR46" i="70" s="1"/>
  <c r="AR47" i="70" s="1"/>
  <c r="AR48" i="70" s="1"/>
  <c r="AR49" i="70" s="1"/>
  <c r="AR50" i="70" s="1"/>
  <c r="AR51" i="70" s="1"/>
  <c r="AR52" i="70" s="1"/>
  <c r="AR53" i="70" s="1"/>
  <c r="AR54" i="70" s="1"/>
  <c r="AR55" i="70" s="1"/>
  <c r="AR56" i="70" s="1"/>
  <c r="AR57" i="70" s="1"/>
  <c r="AL38" i="62"/>
  <c r="AT38" i="62" s="1"/>
  <c r="AH39" i="62"/>
  <c r="AH29" i="70"/>
  <c r="AL28" i="70"/>
  <c r="AJ29" i="70"/>
  <c r="AJ30" i="70" s="1"/>
  <c r="AJ31" i="70" s="1"/>
  <c r="AJ32" i="70" s="1"/>
  <c r="AJ33" i="70" s="1"/>
  <c r="AJ34" i="70" s="1"/>
  <c r="AJ35" i="70" s="1"/>
  <c r="AJ36" i="70" s="1"/>
  <c r="AJ37" i="70" s="1"/>
  <c r="AJ38" i="70" s="1"/>
  <c r="AJ39" i="70" s="1"/>
  <c r="AJ40" i="70" s="1"/>
  <c r="AJ41" i="70" s="1"/>
  <c r="AJ42" i="70" s="1"/>
  <c r="AJ43" i="70" s="1"/>
  <c r="AJ44" i="70" s="1"/>
  <c r="AJ45" i="70" s="1"/>
  <c r="AJ46" i="70" s="1"/>
  <c r="AJ47" i="70" s="1"/>
  <c r="AJ48" i="70" s="1"/>
  <c r="AJ49" i="70" s="1"/>
  <c r="AJ50" i="70" s="1"/>
  <c r="AJ51" i="70" s="1"/>
  <c r="AJ52" i="70" s="1"/>
  <c r="AJ53" i="70" s="1"/>
  <c r="AJ54" i="70" s="1"/>
  <c r="AJ55" i="70" s="1"/>
  <c r="AJ56" i="70" s="1"/>
  <c r="AJ57" i="70" s="1"/>
  <c r="AR39" i="61"/>
  <c r="AR40" i="61" s="1"/>
  <c r="AR41" i="61" s="1"/>
  <c r="AR42" i="61" s="1"/>
  <c r="AR43" i="61" s="1"/>
  <c r="AR44" i="61" s="1"/>
  <c r="AR45" i="61" s="1"/>
  <c r="AR46" i="61" s="1"/>
  <c r="AR47" i="61" s="1"/>
  <c r="AR48" i="61" s="1"/>
  <c r="AR49" i="61" s="1"/>
  <c r="AR50" i="61" s="1"/>
  <c r="AR51" i="61" s="1"/>
  <c r="AR52" i="61" s="1"/>
  <c r="AR53" i="61" s="1"/>
  <c r="AR54" i="61" s="1"/>
  <c r="AR55" i="61" s="1"/>
  <c r="AR56" i="61" s="1"/>
  <c r="AR57" i="61" s="1"/>
  <c r="AR58" i="61" s="1"/>
  <c r="AR59" i="61" s="1"/>
  <c r="AR60" i="61" s="1"/>
  <c r="AR61" i="61" s="1"/>
  <c r="AR62" i="61" s="1"/>
  <c r="AR63" i="61" s="1"/>
  <c r="AR64" i="61" s="1"/>
  <c r="AR65" i="61" s="1"/>
  <c r="AR66" i="61" s="1"/>
  <c r="AR67" i="61" s="1"/>
  <c r="AR68" i="61" s="1"/>
  <c r="AR39" i="74"/>
  <c r="AL38" i="59"/>
  <c r="AT38" i="59" s="1"/>
  <c r="AH39" i="59"/>
  <c r="AL38" i="63"/>
  <c r="AT38" i="63" s="1"/>
  <c r="AH39" i="63"/>
  <c r="AH39" i="74"/>
  <c r="AL38" i="74"/>
  <c r="AF31" i="70"/>
  <c r="AJ39" i="74"/>
  <c r="AJ40" i="74" s="1"/>
  <c r="AJ41" i="74" s="1"/>
  <c r="AJ42" i="74" s="1"/>
  <c r="AJ43" i="74" s="1"/>
  <c r="AJ44" i="74" s="1"/>
  <c r="AJ45" i="74" s="1"/>
  <c r="AJ46" i="74" s="1"/>
  <c r="AJ47" i="74" s="1"/>
  <c r="AJ48" i="74" s="1"/>
  <c r="AJ49" i="74" s="1"/>
  <c r="AJ50" i="74" s="1"/>
  <c r="AJ51" i="74" s="1"/>
  <c r="AJ52" i="74" s="1"/>
  <c r="AJ53" i="74" s="1"/>
  <c r="AJ54" i="74" s="1"/>
  <c r="AJ55" i="74" s="1"/>
  <c r="AJ56" i="74" s="1"/>
  <c r="AJ57" i="74" s="1"/>
  <c r="AJ58" i="74" s="1"/>
  <c r="AJ59" i="74" s="1"/>
  <c r="AJ60" i="74" s="1"/>
  <c r="AJ61" i="74" s="1"/>
  <c r="AJ62" i="74" s="1"/>
  <c r="AJ63" i="74" s="1"/>
  <c r="AJ64" i="74" s="1"/>
  <c r="AJ65" i="74" s="1"/>
  <c r="AJ66" i="74" s="1"/>
  <c r="AJ67" i="74" s="1"/>
  <c r="AJ68" i="74" s="1"/>
  <c r="BD71" i="57"/>
  <c r="BB50" i="70"/>
  <c r="AF59" i="67"/>
  <c r="BB41" i="62"/>
  <c r="BF40" i="62"/>
  <c r="AF41" i="60"/>
  <c r="AR59" i="68"/>
  <c r="AH59" i="67"/>
  <c r="AJ70" i="60"/>
  <c r="BD59" i="68"/>
  <c r="AF41" i="59"/>
  <c r="AJ70" i="62"/>
  <c r="M41" i="59"/>
  <c r="S40" i="59"/>
  <c r="BF40" i="60"/>
  <c r="BB41" i="60"/>
  <c r="AL29" i="68"/>
  <c r="AF30" i="68"/>
  <c r="M41" i="61"/>
  <c r="S40" i="61"/>
  <c r="BB30" i="68"/>
  <c r="BF29" i="68"/>
  <c r="AJ71" i="57"/>
  <c r="AJ59" i="68"/>
  <c r="AT28" i="68"/>
  <c r="AR70" i="62"/>
  <c r="AF41" i="62"/>
  <c r="BB59" i="67"/>
  <c r="AJ70" i="59"/>
  <c r="BB41" i="59"/>
  <c r="BF40" i="59"/>
  <c r="M41" i="62"/>
  <c r="S40" i="62"/>
  <c r="AF41" i="63"/>
  <c r="M70" i="60"/>
  <c r="AR70" i="59"/>
  <c r="BD70" i="62"/>
  <c r="I59" i="67"/>
  <c r="AR70" i="60"/>
  <c r="I30" i="68"/>
  <c r="S29" i="68"/>
  <c r="AJ70" i="61"/>
  <c r="BB30" i="69"/>
  <c r="AF41" i="61"/>
  <c r="M41" i="63"/>
  <c r="S40" i="63"/>
  <c r="BB41" i="61"/>
  <c r="BF40" i="61"/>
  <c r="BB41" i="63"/>
  <c r="BF40" i="63"/>
  <c r="S68" i="70"/>
  <c r="G17" i="32" s="1"/>
  <c r="AR49" i="66"/>
  <c r="AR50" i="66" s="1"/>
  <c r="AR51" i="66" s="1"/>
  <c r="AR52" i="66" s="1"/>
  <c r="AR53" i="66" s="1"/>
  <c r="AR54" i="66" s="1"/>
  <c r="AR55" i="66" s="1"/>
  <c r="AR56" i="66" s="1"/>
  <c r="AR57" i="66" s="1"/>
  <c r="AR59" i="66" s="1"/>
  <c r="AJ70" i="58"/>
  <c r="AH70" i="58"/>
  <c r="AL29" i="48"/>
  <c r="M43" i="57"/>
  <c r="AR70" i="58"/>
  <c r="AH42" i="30"/>
  <c r="AF41" i="58"/>
  <c r="BD70" i="58"/>
  <c r="AR40" i="57"/>
  <c r="AR41" i="57" s="1"/>
  <c r="AR42" i="57" s="1"/>
  <c r="AR43" i="57" s="1"/>
  <c r="AR44" i="57" s="1"/>
  <c r="AR45" i="57" s="1"/>
  <c r="AR46" i="57" s="1"/>
  <c r="AR47" i="57" s="1"/>
  <c r="AR48" i="57" s="1"/>
  <c r="AR49" i="57" s="1"/>
  <c r="AR50" i="57" s="1"/>
  <c r="AR51" i="57" s="1"/>
  <c r="AR52" i="57" s="1"/>
  <c r="AR53" i="57" s="1"/>
  <c r="AR54" i="57" s="1"/>
  <c r="AR55" i="57" s="1"/>
  <c r="AR56" i="57" s="1"/>
  <c r="AR57" i="57" s="1"/>
  <c r="AR58" i="57" s="1"/>
  <c r="AR59" i="57" s="1"/>
  <c r="AR60" i="57" s="1"/>
  <c r="AR61" i="57" s="1"/>
  <c r="AR62" i="57" s="1"/>
  <c r="AR63" i="57" s="1"/>
  <c r="AR64" i="57" s="1"/>
  <c r="AR65" i="57" s="1"/>
  <c r="AR66" i="57" s="1"/>
  <c r="AR67" i="57" s="1"/>
  <c r="AR68" i="57" s="1"/>
  <c r="AR69" i="57" s="1"/>
  <c r="AH41" i="31"/>
  <c r="BB41" i="58"/>
  <c r="BF40" i="58"/>
  <c r="M41" i="58"/>
  <c r="AF42" i="57"/>
  <c r="AJ42" i="30"/>
  <c r="AJ43" i="30" s="1"/>
  <c r="AJ44" i="30" s="1"/>
  <c r="AJ45" i="30" s="1"/>
  <c r="AJ46" i="30" s="1"/>
  <c r="AJ47" i="30" s="1"/>
  <c r="AJ48" i="30" s="1"/>
  <c r="AJ49" i="30" s="1"/>
  <c r="AJ50" i="30" s="1"/>
  <c r="AJ51" i="30" s="1"/>
  <c r="AJ52" i="30" s="1"/>
  <c r="AJ53" i="30" s="1"/>
  <c r="AJ54" i="30" s="1"/>
  <c r="AJ55" i="30" s="1"/>
  <c r="AJ56" i="30" s="1"/>
  <c r="AJ57" i="30" s="1"/>
  <c r="AJ58" i="30" s="1"/>
  <c r="AJ59" i="30" s="1"/>
  <c r="AJ60" i="30" s="1"/>
  <c r="AJ61" i="30" s="1"/>
  <c r="AJ62" i="30" s="1"/>
  <c r="AJ63" i="30" s="1"/>
  <c r="AJ64" i="30" s="1"/>
  <c r="AJ65" i="30" s="1"/>
  <c r="AJ66" i="30" s="1"/>
  <c r="AJ67" i="30" s="1"/>
  <c r="AJ68" i="30" s="1"/>
  <c r="AJ69" i="30" s="1"/>
  <c r="AJ70" i="30" s="1"/>
  <c r="AJ71" i="30" s="1"/>
  <c r="AT28" i="48"/>
  <c r="BF41" i="30"/>
  <c r="BF42" i="30"/>
  <c r="BF43" i="30"/>
  <c r="BF44" i="30"/>
  <c r="BF45" i="30"/>
  <c r="BF46" i="30"/>
  <c r="BF47" i="30"/>
  <c r="BF48" i="30"/>
  <c r="BF49" i="30"/>
  <c r="BF50" i="30"/>
  <c r="BF51" i="30"/>
  <c r="BF52" i="30"/>
  <c r="BF53" i="30"/>
  <c r="BF54" i="30"/>
  <c r="BF55" i="30"/>
  <c r="BF56" i="30"/>
  <c r="BF57" i="30"/>
  <c r="BF58" i="30"/>
  <c r="BF59" i="30"/>
  <c r="BF60" i="30"/>
  <c r="BF61" i="30"/>
  <c r="BF62" i="30"/>
  <c r="BF63" i="30"/>
  <c r="BF64" i="30"/>
  <c r="BF65" i="30"/>
  <c r="BF66" i="30"/>
  <c r="BF67" i="30"/>
  <c r="BF68" i="30"/>
  <c r="BF69" i="30"/>
  <c r="BF70" i="30"/>
  <c r="BF71" i="30"/>
  <c r="BB42" i="57"/>
  <c r="BF41" i="57"/>
  <c r="AH71" i="57"/>
  <c r="AP41" i="30"/>
  <c r="AP42" i="30"/>
  <c r="AV42" i="30" s="1"/>
  <c r="AP43" i="30"/>
  <c r="AV43" i="30" s="1"/>
  <c r="AP44" i="30"/>
  <c r="AV44" i="30" s="1"/>
  <c r="AP45" i="30"/>
  <c r="AV45" i="30" s="1"/>
  <c r="AP46" i="30"/>
  <c r="AV46" i="30" s="1"/>
  <c r="AP47" i="30"/>
  <c r="AV47" i="30" s="1"/>
  <c r="AP48" i="30"/>
  <c r="AV48" i="30" s="1"/>
  <c r="AP49" i="30"/>
  <c r="AV49" i="30" s="1"/>
  <c r="AP50" i="30"/>
  <c r="AV50" i="30" s="1"/>
  <c r="AP51" i="30"/>
  <c r="AV51" i="30" s="1"/>
  <c r="AP52" i="30"/>
  <c r="AV52" i="30" s="1"/>
  <c r="AP53" i="30"/>
  <c r="AV53" i="30" s="1"/>
  <c r="AP54" i="30"/>
  <c r="AV54" i="30" s="1"/>
  <c r="AP55" i="30"/>
  <c r="AV55" i="30" s="1"/>
  <c r="AP56" i="30"/>
  <c r="AV56" i="30" s="1"/>
  <c r="AP57" i="30"/>
  <c r="AV57" i="30" s="1"/>
  <c r="AP58" i="30"/>
  <c r="AV58" i="30" s="1"/>
  <c r="AP59" i="30"/>
  <c r="AV59" i="30" s="1"/>
  <c r="AP60" i="30"/>
  <c r="AV60" i="30" s="1"/>
  <c r="AP61" i="30"/>
  <c r="AV61" i="30" s="1"/>
  <c r="AP62" i="30"/>
  <c r="AV62" i="30" s="1"/>
  <c r="AP63" i="30"/>
  <c r="AV63" i="30" s="1"/>
  <c r="AP64" i="30"/>
  <c r="AV64" i="30" s="1"/>
  <c r="AP65" i="30"/>
  <c r="AV65" i="30" s="1"/>
  <c r="AP66" i="30"/>
  <c r="AV66" i="30" s="1"/>
  <c r="AP67" i="30"/>
  <c r="AV67" i="30" s="1"/>
  <c r="AP68" i="30"/>
  <c r="AV68" i="30" s="1"/>
  <c r="AP69" i="30"/>
  <c r="AV69" i="30" s="1"/>
  <c r="AP70" i="30"/>
  <c r="AV70" i="30" s="1"/>
  <c r="AP71" i="30"/>
  <c r="AV71" i="30" s="1"/>
  <c r="AJ41" i="31"/>
  <c r="AJ42" i="31" s="1"/>
  <c r="AJ43" i="31" s="1"/>
  <c r="AJ44" i="31" s="1"/>
  <c r="AJ45" i="31" s="1"/>
  <c r="AJ46" i="31" s="1"/>
  <c r="AJ47" i="31" s="1"/>
  <c r="AJ48" i="31" s="1"/>
  <c r="AJ49" i="31" s="1"/>
  <c r="AJ50" i="31" s="1"/>
  <c r="AJ51" i="31" s="1"/>
  <c r="AJ52" i="31" s="1"/>
  <c r="AJ53" i="31" s="1"/>
  <c r="AJ54" i="31" s="1"/>
  <c r="AJ55" i="31" s="1"/>
  <c r="AJ56" i="31" s="1"/>
  <c r="AJ57" i="31" s="1"/>
  <c r="AJ58" i="31" s="1"/>
  <c r="AJ59" i="31" s="1"/>
  <c r="AJ60" i="31" s="1"/>
  <c r="AJ61" i="31" s="1"/>
  <c r="AJ62" i="31" s="1"/>
  <c r="AJ63" i="31" s="1"/>
  <c r="AJ64" i="31" s="1"/>
  <c r="AJ65" i="31" s="1"/>
  <c r="AJ66" i="31" s="1"/>
  <c r="AJ67" i="31" s="1"/>
  <c r="AJ68" i="31" s="1"/>
  <c r="AJ69" i="31" s="1"/>
  <c r="AJ70" i="31" s="1"/>
  <c r="AR58" i="50"/>
  <c r="AF44" i="31"/>
  <c r="AR43" i="31"/>
  <c r="BF44" i="31"/>
  <c r="M43" i="31"/>
  <c r="AL29" i="49"/>
  <c r="AT28" i="49"/>
  <c r="BB30" i="50"/>
  <c r="BF29" i="50"/>
  <c r="AT29" i="50" s="1"/>
  <c r="AF58" i="48"/>
  <c r="I30" i="50"/>
  <c r="S29" i="50"/>
  <c r="AF58" i="49"/>
  <c r="AR58" i="49"/>
  <c r="BB30" i="48"/>
  <c r="BF29" i="48"/>
  <c r="BB30" i="49"/>
  <c r="BF29" i="49"/>
  <c r="I30" i="48"/>
  <c r="S29" i="48"/>
  <c r="AR58" i="48"/>
  <c r="AF58" i="50"/>
  <c r="I30" i="49"/>
  <c r="S29" i="49"/>
  <c r="AH58" i="43"/>
  <c r="AJ31" i="48"/>
  <c r="AL30" i="48"/>
  <c r="AJ31" i="50"/>
  <c r="AL30" i="50"/>
  <c r="AH45" i="49"/>
  <c r="AH46" i="50"/>
  <c r="AH45" i="48"/>
  <c r="AJ31" i="49"/>
  <c r="AL30" i="49"/>
  <c r="AR58" i="43"/>
  <c r="BD32" i="49"/>
  <c r="BD32" i="48"/>
  <c r="BD32" i="50"/>
  <c r="AJ29" i="43"/>
  <c r="AJ30" i="43" s="1"/>
  <c r="AJ31" i="43" s="1"/>
  <c r="AJ32" i="43" s="1"/>
  <c r="AJ33" i="43" s="1"/>
  <c r="AJ34" i="43" s="1"/>
  <c r="AJ35" i="43" s="1"/>
  <c r="AJ36" i="43" s="1"/>
  <c r="AJ37" i="43" s="1"/>
  <c r="AJ38" i="43" s="1"/>
  <c r="AJ39" i="43" s="1"/>
  <c r="AJ40" i="43" s="1"/>
  <c r="AJ41" i="43" s="1"/>
  <c r="AJ42" i="43" s="1"/>
  <c r="AJ43" i="43" s="1"/>
  <c r="AJ44" i="43" s="1"/>
  <c r="AJ45" i="43" s="1"/>
  <c r="AJ46" i="43" s="1"/>
  <c r="AJ47" i="43" s="1"/>
  <c r="AT29" i="47"/>
  <c r="BF30" i="47"/>
  <c r="BB31" i="47"/>
  <c r="AL30" i="47"/>
  <c r="S58" i="43"/>
  <c r="G18" i="32" s="1"/>
  <c r="S30" i="47"/>
  <c r="I31" i="47"/>
  <c r="S58" i="42"/>
  <c r="G16" i="32" s="1"/>
  <c r="I29" i="24"/>
  <c r="S29" i="24" s="1"/>
  <c r="AL28" i="24"/>
  <c r="BD11" i="24"/>
  <c r="K30" i="24"/>
  <c r="K31" i="24" s="1"/>
  <c r="AL29" i="24"/>
  <c r="AR11" i="24"/>
  <c r="AL39" i="24" s="1"/>
  <c r="S53" i="24"/>
  <c r="S57" i="24"/>
  <c r="S61" i="24"/>
  <c r="S65" i="24"/>
  <c r="S69" i="24"/>
  <c r="S55" i="24"/>
  <c r="S67" i="24"/>
  <c r="S60" i="24"/>
  <c r="S68" i="24"/>
  <c r="S54" i="24"/>
  <c r="S58" i="24"/>
  <c r="S62" i="24"/>
  <c r="S66" i="24"/>
  <c r="S63" i="24"/>
  <c r="S56" i="24"/>
  <c r="S64" i="24"/>
  <c r="S59" i="24"/>
  <c r="M71" i="24"/>
  <c r="BD41" i="24"/>
  <c r="BD42" i="24" s="1"/>
  <c r="BD43" i="24" s="1"/>
  <c r="BD44" i="24" s="1"/>
  <c r="BD45" i="24" s="1"/>
  <c r="BD46" i="24" s="1"/>
  <c r="BD47" i="24" s="1"/>
  <c r="BD48" i="24" s="1"/>
  <c r="BD49" i="24" s="1"/>
  <c r="BD50" i="24" s="1"/>
  <c r="BD51" i="24" s="1"/>
  <c r="BD69" i="24" s="1"/>
  <c r="I30" i="24"/>
  <c r="BB30" i="24"/>
  <c r="AB28" i="24"/>
  <c r="AH30" i="24"/>
  <c r="AH31" i="24" s="1"/>
  <c r="AH32" i="24" s="1"/>
  <c r="AH33" i="24" s="1"/>
  <c r="AH34" i="24" s="1"/>
  <c r="AH35" i="24" s="1"/>
  <c r="AH36" i="24" s="1"/>
  <c r="AH37" i="24" s="1"/>
  <c r="AH38" i="24" s="1"/>
  <c r="AH40" i="24" s="1"/>
  <c r="AZ28" i="24"/>
  <c r="AZ29" i="24" s="1"/>
  <c r="AZ30" i="24" s="1"/>
  <c r="AZ31" i="24" s="1"/>
  <c r="AZ32" i="24" s="1"/>
  <c r="AZ33" i="24" s="1"/>
  <c r="AZ34" i="24" s="1"/>
  <c r="AZ35" i="24" s="1"/>
  <c r="AZ36" i="24" s="1"/>
  <c r="AZ37" i="24" s="1"/>
  <c r="AZ38" i="24" s="1"/>
  <c r="AZ39" i="24" s="1"/>
  <c r="AZ40" i="24" s="1"/>
  <c r="AZ41" i="24" s="1"/>
  <c r="AZ42" i="24" s="1"/>
  <c r="AZ43" i="24" s="1"/>
  <c r="AZ44" i="24" s="1"/>
  <c r="AZ45" i="24" s="1"/>
  <c r="AZ46" i="24" s="1"/>
  <c r="AZ47" i="24" s="1"/>
  <c r="AZ48" i="24" s="1"/>
  <c r="AZ49" i="24" s="1"/>
  <c r="AZ50" i="24" s="1"/>
  <c r="AZ51" i="24" s="1"/>
  <c r="AZ52" i="24" s="1"/>
  <c r="AZ53" i="24" s="1"/>
  <c r="AZ54" i="24" s="1"/>
  <c r="AZ55" i="24" s="1"/>
  <c r="AZ56" i="24" s="1"/>
  <c r="AZ57" i="24" s="1"/>
  <c r="AZ58" i="24" s="1"/>
  <c r="AZ59" i="24" s="1"/>
  <c r="AZ60" i="24" s="1"/>
  <c r="AZ61" i="24" s="1"/>
  <c r="AZ62" i="24" s="1"/>
  <c r="AZ63" i="24" s="1"/>
  <c r="AZ64" i="24" s="1"/>
  <c r="AZ65" i="24" s="1"/>
  <c r="AZ66" i="24" s="1"/>
  <c r="AZ67" i="24" s="1"/>
  <c r="AZ68" i="24" s="1"/>
  <c r="AZ69" i="24" s="1"/>
  <c r="AF30" i="24"/>
  <c r="BF28" i="24"/>
  <c r="AJ30" i="24"/>
  <c r="AJ31" i="24" s="1"/>
  <c r="AJ32" i="24" s="1"/>
  <c r="AJ33" i="24" s="1"/>
  <c r="AJ34" i="24" s="1"/>
  <c r="AJ35" i="24" s="1"/>
  <c r="AJ36" i="24" s="1"/>
  <c r="AJ37" i="24" s="1"/>
  <c r="AJ38" i="24" s="1"/>
  <c r="AJ40" i="24" s="1"/>
  <c r="AR30" i="24"/>
  <c r="AR31" i="24" s="1"/>
  <c r="AR32" i="24" s="1"/>
  <c r="AR33" i="24" s="1"/>
  <c r="AR34" i="24" s="1"/>
  <c r="AR35" i="24" s="1"/>
  <c r="AR36" i="24" s="1"/>
  <c r="AR37" i="24" s="1"/>
  <c r="AR38" i="24" s="1"/>
  <c r="AD69" i="24"/>
  <c r="AD71" i="24" s="1"/>
  <c r="U52" i="23"/>
  <c r="AR70" i="61" l="1"/>
  <c r="AJ70" i="74"/>
  <c r="AJ70" i="63"/>
  <c r="S42" i="74"/>
  <c r="AJ68" i="70"/>
  <c r="BB43" i="74"/>
  <c r="BF42" i="74"/>
  <c r="AL39" i="63"/>
  <c r="AT39" i="63" s="1"/>
  <c r="AH40" i="63"/>
  <c r="AR40" i="74"/>
  <c r="AL39" i="62"/>
  <c r="AT39" i="62" s="1"/>
  <c r="AH40" i="62"/>
  <c r="AR40" i="63"/>
  <c r="AR41" i="63" s="1"/>
  <c r="AR42" i="63" s="1"/>
  <c r="AR43" i="63" s="1"/>
  <c r="AR44" i="63" s="1"/>
  <c r="AR45" i="63" s="1"/>
  <c r="AR46" i="63" s="1"/>
  <c r="AR47" i="63" s="1"/>
  <c r="AR48" i="63" s="1"/>
  <c r="AR49" i="63" s="1"/>
  <c r="AR50" i="63" s="1"/>
  <c r="AR51" i="63" s="1"/>
  <c r="AR52" i="63" s="1"/>
  <c r="AR53" i="63" s="1"/>
  <c r="AR54" i="63" s="1"/>
  <c r="AR55" i="63" s="1"/>
  <c r="AR56" i="63" s="1"/>
  <c r="AR57" i="63" s="1"/>
  <c r="AR58" i="63" s="1"/>
  <c r="AR59" i="63" s="1"/>
  <c r="AR60" i="63" s="1"/>
  <c r="AR61" i="63" s="1"/>
  <c r="AR62" i="63" s="1"/>
  <c r="AR63" i="63" s="1"/>
  <c r="AR64" i="63" s="1"/>
  <c r="AR65" i="63" s="1"/>
  <c r="AR66" i="63" s="1"/>
  <c r="AR67" i="63" s="1"/>
  <c r="AR68" i="63" s="1"/>
  <c r="AF42" i="74"/>
  <c r="AT38" i="74"/>
  <c r="AL39" i="61"/>
  <c r="AT39" i="61" s="1"/>
  <c r="AH40" i="61"/>
  <c r="AH40" i="59"/>
  <c r="AL39" i="59"/>
  <c r="AT39" i="59" s="1"/>
  <c r="AR68" i="70"/>
  <c r="AF32" i="70"/>
  <c r="AH40" i="74"/>
  <c r="AL39" i="74"/>
  <c r="AT39" i="74" s="1"/>
  <c r="AH30" i="70"/>
  <c r="AL29" i="70"/>
  <c r="AH40" i="60"/>
  <c r="AL39" i="60"/>
  <c r="AT39" i="60" s="1"/>
  <c r="BB42" i="60"/>
  <c r="BF41" i="60"/>
  <c r="AT29" i="48"/>
  <c r="BF41" i="63"/>
  <c r="BB42" i="63"/>
  <c r="M42" i="62"/>
  <c r="S41" i="62"/>
  <c r="BF41" i="59"/>
  <c r="BB42" i="59"/>
  <c r="AF42" i="62"/>
  <c r="M42" i="61"/>
  <c r="S41" i="61"/>
  <c r="AF42" i="60"/>
  <c r="BB51" i="70"/>
  <c r="M42" i="63"/>
  <c r="S41" i="63"/>
  <c r="BB31" i="69"/>
  <c r="AF42" i="63"/>
  <c r="BB31" i="68"/>
  <c r="BF30" i="68"/>
  <c r="AF31" i="68"/>
  <c r="AL30" i="68"/>
  <c r="AF42" i="59"/>
  <c r="BF41" i="61"/>
  <c r="BB42" i="61"/>
  <c r="AF42" i="61"/>
  <c r="S30" i="68"/>
  <c r="I31" i="68"/>
  <c r="AT29" i="68"/>
  <c r="S41" i="59"/>
  <c r="M42" i="59"/>
  <c r="BB42" i="62"/>
  <c r="BF41" i="62"/>
  <c r="AR71" i="57"/>
  <c r="AV41" i="30"/>
  <c r="AP73" i="30"/>
  <c r="BF73" i="30"/>
  <c r="AJ73" i="30"/>
  <c r="M42" i="58"/>
  <c r="BB43" i="57"/>
  <c r="BF42" i="57"/>
  <c r="BF41" i="58"/>
  <c r="BB42" i="58"/>
  <c r="AJ72" i="31"/>
  <c r="AF43" i="57"/>
  <c r="AH42" i="31"/>
  <c r="AF42" i="58"/>
  <c r="AH43" i="30"/>
  <c r="M44" i="57"/>
  <c r="AF45" i="31"/>
  <c r="AR44" i="31"/>
  <c r="M44" i="31"/>
  <c r="BF45" i="31"/>
  <c r="S30" i="49"/>
  <c r="I31" i="49"/>
  <c r="I31" i="48"/>
  <c r="S30" i="48"/>
  <c r="AT29" i="49"/>
  <c r="BB31" i="48"/>
  <c r="BF30" i="48"/>
  <c r="AT30" i="48" s="1"/>
  <c r="I31" i="50"/>
  <c r="S30" i="50"/>
  <c r="BB31" i="49"/>
  <c r="BF30" i="49"/>
  <c r="AT30" i="49" s="1"/>
  <c r="BB31" i="50"/>
  <c r="BF30" i="50"/>
  <c r="AT30" i="50" s="1"/>
  <c r="AJ32" i="50"/>
  <c r="AL31" i="50"/>
  <c r="AH47" i="50"/>
  <c r="AH46" i="49"/>
  <c r="AJ32" i="48"/>
  <c r="AL31" i="48"/>
  <c r="AJ32" i="49"/>
  <c r="AL31" i="49"/>
  <c r="AH46" i="48"/>
  <c r="BD33" i="48"/>
  <c r="BD33" i="50"/>
  <c r="BD33" i="49"/>
  <c r="AJ58" i="43"/>
  <c r="AT30" i="47"/>
  <c r="BF31" i="47"/>
  <c r="BB32" i="47"/>
  <c r="I32" i="47"/>
  <c r="S31" i="47"/>
  <c r="AL31" i="47"/>
  <c r="AF32" i="47"/>
  <c r="K32" i="24"/>
  <c r="K33" i="24" s="1"/>
  <c r="K34" i="24" s="1"/>
  <c r="K35" i="24" s="1"/>
  <c r="K36" i="24" s="1"/>
  <c r="K37" i="24" s="1"/>
  <c r="K38" i="24" s="1"/>
  <c r="K71" i="24"/>
  <c r="AR39" i="24"/>
  <c r="AR40" i="24" s="1"/>
  <c r="AR41" i="24" s="1"/>
  <c r="AR42" i="24" s="1"/>
  <c r="AR43" i="24" s="1"/>
  <c r="AR44" i="24" s="1"/>
  <c r="AR45" i="24" s="1"/>
  <c r="AR46" i="24" s="1"/>
  <c r="AR47" i="24" s="1"/>
  <c r="AR12" i="24"/>
  <c r="BK11" i="24"/>
  <c r="BF39" i="24" s="1"/>
  <c r="AT39" i="24" s="1"/>
  <c r="AF12" i="24"/>
  <c r="AL40" i="24"/>
  <c r="AH41" i="24"/>
  <c r="AH42" i="24" s="1"/>
  <c r="AH43" i="24" s="1"/>
  <c r="AH44" i="24" s="1"/>
  <c r="AH45" i="24" s="1"/>
  <c r="AH46" i="24" s="1"/>
  <c r="AH47" i="24" s="1"/>
  <c r="AH65" i="24" s="1"/>
  <c r="AJ41" i="24"/>
  <c r="AJ42" i="24" s="1"/>
  <c r="AJ43" i="24" s="1"/>
  <c r="AJ44" i="24" s="1"/>
  <c r="AJ45" i="24" s="1"/>
  <c r="AJ46" i="24" s="1"/>
  <c r="AJ47" i="24" s="1"/>
  <c r="AJ48" i="24" s="1"/>
  <c r="AJ49" i="24" s="1"/>
  <c r="AJ50" i="24" s="1"/>
  <c r="AJ51" i="24" s="1"/>
  <c r="AJ52" i="24" s="1"/>
  <c r="AJ53" i="24" s="1"/>
  <c r="AJ54" i="24" s="1"/>
  <c r="AJ55" i="24" s="1"/>
  <c r="AJ56" i="24" s="1"/>
  <c r="AJ57" i="24" s="1"/>
  <c r="AJ58" i="24" s="1"/>
  <c r="AJ59" i="24" s="1"/>
  <c r="AJ60" i="24" s="1"/>
  <c r="AJ61" i="24" s="1"/>
  <c r="AJ62" i="24" s="1"/>
  <c r="BD52" i="24"/>
  <c r="BD53" i="24" s="1"/>
  <c r="BD54" i="24" s="1"/>
  <c r="BD55" i="24" s="1"/>
  <c r="BD56" i="24" s="1"/>
  <c r="BD57" i="24" s="1"/>
  <c r="BD58" i="24" s="1"/>
  <c r="BD59" i="24" s="1"/>
  <c r="BD60" i="24" s="1"/>
  <c r="BD61" i="24" s="1"/>
  <c r="BD62" i="24" s="1"/>
  <c r="BD66" i="24" s="1"/>
  <c r="BD67" i="24" s="1"/>
  <c r="BD68" i="24" s="1"/>
  <c r="BD65" i="24"/>
  <c r="AF31" i="24"/>
  <c r="AL30" i="24"/>
  <c r="S30" i="24"/>
  <c r="I31" i="24"/>
  <c r="S31" i="24" s="1"/>
  <c r="AB29" i="24"/>
  <c r="BB31" i="24"/>
  <c r="BF30" i="24"/>
  <c r="AT28" i="24"/>
  <c r="BF29" i="24"/>
  <c r="AT29" i="24" s="1"/>
  <c r="M44" i="74" l="1"/>
  <c r="S43" i="74"/>
  <c r="BF43" i="74"/>
  <c r="BB44" i="74"/>
  <c r="AH31" i="70"/>
  <c r="AL30" i="70"/>
  <c r="AF43" i="74"/>
  <c r="AR70" i="63"/>
  <c r="AH41" i="63"/>
  <c r="AL40" i="63"/>
  <c r="AT40" i="63" s="1"/>
  <c r="AH41" i="60"/>
  <c r="AL40" i="60"/>
  <c r="AT40" i="60" s="1"/>
  <c r="AH41" i="74"/>
  <c r="AL40" i="74"/>
  <c r="AT40" i="74" s="1"/>
  <c r="AH41" i="61"/>
  <c r="AL40" i="61"/>
  <c r="AT40" i="61" s="1"/>
  <c r="AH41" i="62"/>
  <c r="AL40" i="62"/>
  <c r="AT40" i="62" s="1"/>
  <c r="AR41" i="74"/>
  <c r="AF33" i="70"/>
  <c r="AH41" i="59"/>
  <c r="AL40" i="59"/>
  <c r="AT40" i="59" s="1"/>
  <c r="S31" i="68"/>
  <c r="I32" i="68"/>
  <c r="AL31" i="68"/>
  <c r="AF32" i="68"/>
  <c r="BB52" i="70"/>
  <c r="BF42" i="60"/>
  <c r="BB43" i="60"/>
  <c r="BF42" i="61"/>
  <c r="BB43" i="61"/>
  <c r="M43" i="63"/>
  <c r="S42" i="63"/>
  <c r="BB43" i="59"/>
  <c r="BF42" i="59"/>
  <c r="M43" i="62"/>
  <c r="S42" i="62"/>
  <c r="BB43" i="63"/>
  <c r="BF42" i="63"/>
  <c r="BB43" i="62"/>
  <c r="BF42" i="62"/>
  <c r="AF43" i="59"/>
  <c r="AF43" i="63"/>
  <c r="BB32" i="69"/>
  <c r="AF43" i="62"/>
  <c r="M43" i="59"/>
  <c r="S42" i="59"/>
  <c r="AF43" i="61"/>
  <c r="AT30" i="68"/>
  <c r="BF31" i="68"/>
  <c r="BB32" i="68"/>
  <c r="AF43" i="60"/>
  <c r="M43" i="61"/>
  <c r="S42" i="61"/>
  <c r="BB43" i="58"/>
  <c r="BF42" i="58"/>
  <c r="AH44" i="30"/>
  <c r="AH43" i="31"/>
  <c r="AF43" i="58"/>
  <c r="AF44" i="57"/>
  <c r="M43" i="58"/>
  <c r="AV73" i="30"/>
  <c r="M45" i="57"/>
  <c r="BB44" i="57"/>
  <c r="BF43" i="57"/>
  <c r="AF46" i="31"/>
  <c r="BF46" i="31"/>
  <c r="M45" i="31"/>
  <c r="AR45" i="31"/>
  <c r="BB32" i="48"/>
  <c r="BF31" i="48"/>
  <c r="AT31" i="48" s="1"/>
  <c r="BB32" i="49"/>
  <c r="BF31" i="49"/>
  <c r="AT31" i="49" s="1"/>
  <c r="S31" i="49"/>
  <c r="I32" i="49"/>
  <c r="I32" i="50"/>
  <c r="S31" i="50"/>
  <c r="BB32" i="50"/>
  <c r="BF31" i="50"/>
  <c r="AT31" i="50" s="1"/>
  <c r="I32" i="48"/>
  <c r="S31" i="48"/>
  <c r="AT31" i="47"/>
  <c r="AH47" i="48"/>
  <c r="AJ33" i="50"/>
  <c r="AL32" i="50"/>
  <c r="AJ33" i="48"/>
  <c r="AL32" i="48"/>
  <c r="AH48" i="50"/>
  <c r="AJ33" i="49"/>
  <c r="AL32" i="49"/>
  <c r="AH47" i="49"/>
  <c r="BD34" i="49"/>
  <c r="BD34" i="48"/>
  <c r="BD34" i="50"/>
  <c r="I33" i="47"/>
  <c r="S32" i="47"/>
  <c r="BB33" i="47"/>
  <c r="BF32" i="47"/>
  <c r="AL32" i="47"/>
  <c r="AF33" i="47"/>
  <c r="AR48" i="24"/>
  <c r="AR49" i="24" s="1"/>
  <c r="AR50" i="24" s="1"/>
  <c r="AR51" i="24" s="1"/>
  <c r="AR69" i="24" s="1"/>
  <c r="AR65" i="24"/>
  <c r="AH48" i="24"/>
  <c r="AH49" i="24" s="1"/>
  <c r="AH50" i="24" s="1"/>
  <c r="AH51" i="24" s="1"/>
  <c r="AH52" i="24" s="1"/>
  <c r="AH53" i="24" s="1"/>
  <c r="AH54" i="24" s="1"/>
  <c r="AH55" i="24" s="1"/>
  <c r="AH56" i="24" s="1"/>
  <c r="AH57" i="24" s="1"/>
  <c r="AH58" i="24" s="1"/>
  <c r="AH59" i="24" s="1"/>
  <c r="AH60" i="24" s="1"/>
  <c r="AH61" i="24" s="1"/>
  <c r="AH62" i="24" s="1"/>
  <c r="AH66" i="24" s="1"/>
  <c r="AH67" i="24" s="1"/>
  <c r="AH68" i="24" s="1"/>
  <c r="BD63" i="24"/>
  <c r="BD64" i="24" s="1"/>
  <c r="AJ65" i="24"/>
  <c r="AJ69" i="24"/>
  <c r="AJ66" i="24"/>
  <c r="AJ67" i="24" s="1"/>
  <c r="AJ68" i="24" s="1"/>
  <c r="AJ63" i="24"/>
  <c r="AJ64" i="24" s="1"/>
  <c r="AT30" i="24"/>
  <c r="AF32" i="24"/>
  <c r="AF33" i="24" s="1"/>
  <c r="AL31" i="24"/>
  <c r="BF31" i="24"/>
  <c r="BB32" i="24"/>
  <c r="AB30" i="24"/>
  <c r="I32" i="24"/>
  <c r="BB45" i="74" l="1"/>
  <c r="BF44" i="74"/>
  <c r="M45" i="74"/>
  <c r="S44" i="74"/>
  <c r="AH42" i="60"/>
  <c r="AL41" i="60"/>
  <c r="AT41" i="60" s="1"/>
  <c r="AR42" i="74"/>
  <c r="AH42" i="59"/>
  <c r="AL41" i="59"/>
  <c r="AT41" i="59" s="1"/>
  <c r="AH42" i="61"/>
  <c r="AL41" i="61"/>
  <c r="AT41" i="61" s="1"/>
  <c r="AH42" i="74"/>
  <c r="AL41" i="74"/>
  <c r="AH42" i="63"/>
  <c r="AL41" i="63"/>
  <c r="AT41" i="63" s="1"/>
  <c r="AF44" i="74"/>
  <c r="AF34" i="70"/>
  <c r="AH42" i="62"/>
  <c r="AL41" i="62"/>
  <c r="AT41" i="62" s="1"/>
  <c r="AH32" i="70"/>
  <c r="AL31" i="70"/>
  <c r="BB33" i="68"/>
  <c r="BF32" i="68"/>
  <c r="BB33" i="69"/>
  <c r="AL32" i="68"/>
  <c r="AF33" i="68"/>
  <c r="S43" i="61"/>
  <c r="M44" i="61"/>
  <c r="AF44" i="61"/>
  <c r="BF43" i="63"/>
  <c r="BB44" i="63"/>
  <c r="BF43" i="59"/>
  <c r="BB44" i="59"/>
  <c r="BB44" i="61"/>
  <c r="BF43" i="61"/>
  <c r="BB53" i="70"/>
  <c r="AT31" i="68"/>
  <c r="AF44" i="60"/>
  <c r="M44" i="59"/>
  <c r="S43" i="59"/>
  <c r="AF44" i="62"/>
  <c r="AF44" i="63"/>
  <c r="AF44" i="59"/>
  <c r="BF43" i="62"/>
  <c r="BB44" i="62"/>
  <c r="S43" i="62"/>
  <c r="M44" i="62"/>
  <c r="M44" i="63"/>
  <c r="S43" i="63"/>
  <c r="BB44" i="60"/>
  <c r="BF43" i="60"/>
  <c r="S32" i="68"/>
  <c r="I33" i="68"/>
  <c r="AH45" i="30"/>
  <c r="AF45" i="57"/>
  <c r="BF43" i="58"/>
  <c r="BB44" i="58"/>
  <c r="AF44" i="58"/>
  <c r="AH44" i="31"/>
  <c r="BB45" i="57"/>
  <c r="BF44" i="57"/>
  <c r="M46" i="57"/>
  <c r="M44" i="58"/>
  <c r="AF47" i="31"/>
  <c r="M46" i="31"/>
  <c r="BF47" i="31"/>
  <c r="AR46" i="31"/>
  <c r="I33" i="48"/>
  <c r="S32" i="48"/>
  <c r="BB33" i="50"/>
  <c r="BF32" i="50"/>
  <c r="AT32" i="50" s="1"/>
  <c r="S32" i="50"/>
  <c r="I33" i="50"/>
  <c r="I33" i="49"/>
  <c r="S32" i="49"/>
  <c r="BB33" i="49"/>
  <c r="BF32" i="49"/>
  <c r="AT32" i="49" s="1"/>
  <c r="BB33" i="48"/>
  <c r="BF32" i="48"/>
  <c r="AT32" i="48" s="1"/>
  <c r="AJ34" i="49"/>
  <c r="AL33" i="49"/>
  <c r="AH58" i="48"/>
  <c r="AH58" i="50"/>
  <c r="AH58" i="49"/>
  <c r="AJ34" i="48"/>
  <c r="AL33" i="48"/>
  <c r="AJ34" i="50"/>
  <c r="AL33" i="50"/>
  <c r="BD35" i="50"/>
  <c r="BD35" i="49"/>
  <c r="BD35" i="48"/>
  <c r="AT32" i="47"/>
  <c r="BF33" i="47"/>
  <c r="BB34" i="47"/>
  <c r="AL33" i="47"/>
  <c r="AF34" i="47"/>
  <c r="S33" i="47"/>
  <c r="I34" i="47"/>
  <c r="AR52" i="24"/>
  <c r="AR53" i="24" s="1"/>
  <c r="AR54" i="24" s="1"/>
  <c r="AR55" i="24" s="1"/>
  <c r="AR56" i="24" s="1"/>
  <c r="AR57" i="24" s="1"/>
  <c r="AR58" i="24" s="1"/>
  <c r="AR59" i="24" s="1"/>
  <c r="AR60" i="24" s="1"/>
  <c r="AR61" i="24" s="1"/>
  <c r="AR62" i="24" s="1"/>
  <c r="BD71" i="24"/>
  <c r="AH69" i="24"/>
  <c r="AH63" i="24"/>
  <c r="AH64" i="24" s="1"/>
  <c r="AJ71" i="24"/>
  <c r="AT31" i="24"/>
  <c r="I33" i="24"/>
  <c r="S32" i="24"/>
  <c r="AL32" i="24"/>
  <c r="BF32" i="24"/>
  <c r="BB33" i="24"/>
  <c r="AB31" i="24"/>
  <c r="M46" i="74" l="1"/>
  <c r="S45" i="74"/>
  <c r="BF45" i="74"/>
  <c r="BB46" i="74"/>
  <c r="AH33" i="70"/>
  <c r="AL32" i="70"/>
  <c r="AH43" i="62"/>
  <c r="AL42" i="62"/>
  <c r="AT42" i="62" s="1"/>
  <c r="AF45" i="74"/>
  <c r="AT41" i="74"/>
  <c r="AH43" i="61"/>
  <c r="AL42" i="61"/>
  <c r="AT42" i="61" s="1"/>
  <c r="AR43" i="74"/>
  <c r="AF35" i="70"/>
  <c r="AH43" i="74"/>
  <c r="AL42" i="74"/>
  <c r="AT42" i="74" s="1"/>
  <c r="AH43" i="63"/>
  <c r="AL42" i="63"/>
  <c r="AT42" i="63" s="1"/>
  <c r="AH43" i="59"/>
  <c r="AL42" i="59"/>
  <c r="AT42" i="59" s="1"/>
  <c r="AH43" i="60"/>
  <c r="AL42" i="60"/>
  <c r="AT42" i="60" s="1"/>
  <c r="BF44" i="62"/>
  <c r="BB45" i="62"/>
  <c r="BF44" i="60"/>
  <c r="BB45" i="60"/>
  <c r="M45" i="63"/>
  <c r="S44" i="63"/>
  <c r="AF45" i="63"/>
  <c r="S44" i="59"/>
  <c r="M45" i="59"/>
  <c r="M45" i="61"/>
  <c r="S44" i="61"/>
  <c r="AT32" i="68"/>
  <c r="BB34" i="68"/>
  <c r="BF33" i="68"/>
  <c r="S44" i="62"/>
  <c r="M45" i="62"/>
  <c r="AF45" i="59"/>
  <c r="BB45" i="59"/>
  <c r="BF44" i="59"/>
  <c r="AF45" i="61"/>
  <c r="AF45" i="62"/>
  <c r="S33" i="68"/>
  <c r="I34" i="68"/>
  <c r="AF45" i="60"/>
  <c r="BB54" i="70"/>
  <c r="BB45" i="61"/>
  <c r="BF44" i="61"/>
  <c r="BF44" i="63"/>
  <c r="BB45" i="63"/>
  <c r="AF34" i="68"/>
  <c r="AL33" i="68"/>
  <c r="BB34" i="69"/>
  <c r="BB46" i="57"/>
  <c r="BF45" i="57"/>
  <c r="M45" i="58"/>
  <c r="M47" i="57"/>
  <c r="AF45" i="58"/>
  <c r="AF46" i="57"/>
  <c r="AH45" i="31"/>
  <c r="BF44" i="58"/>
  <c r="BB45" i="58"/>
  <c r="AH46" i="30"/>
  <c r="AF48" i="31"/>
  <c r="AR47" i="31"/>
  <c r="BF48" i="31"/>
  <c r="M47" i="31"/>
  <c r="BB34" i="48"/>
  <c r="BF33" i="48"/>
  <c r="AT33" i="48" s="1"/>
  <c r="S33" i="49"/>
  <c r="I34" i="49"/>
  <c r="BB34" i="50"/>
  <c r="BF33" i="50"/>
  <c r="AT33" i="50" s="1"/>
  <c r="I34" i="48"/>
  <c r="S33" i="48"/>
  <c r="I34" i="50"/>
  <c r="S33" i="50"/>
  <c r="BB34" i="49"/>
  <c r="BF33" i="49"/>
  <c r="AT33" i="49" s="1"/>
  <c r="AJ35" i="50"/>
  <c r="AL34" i="50"/>
  <c r="AJ35" i="49"/>
  <c r="AL34" i="49"/>
  <c r="AJ35" i="48"/>
  <c r="AL34" i="48"/>
  <c r="BD36" i="48"/>
  <c r="BD36" i="49"/>
  <c r="BD36" i="50"/>
  <c r="AT33" i="47"/>
  <c r="BB35" i="47"/>
  <c r="BF34" i="47"/>
  <c r="AF35" i="47"/>
  <c r="AL34" i="47"/>
  <c r="S34" i="47"/>
  <c r="I35" i="47"/>
  <c r="AH71" i="24"/>
  <c r="AR66" i="24"/>
  <c r="AR67" i="24" s="1"/>
  <c r="AR68" i="24" s="1"/>
  <c r="AR63" i="24"/>
  <c r="BF33" i="24"/>
  <c r="BB34" i="24"/>
  <c r="I34" i="24"/>
  <c r="S33" i="24"/>
  <c r="AL33" i="24"/>
  <c r="AF34" i="24"/>
  <c r="AB32" i="24"/>
  <c r="AT32" i="24"/>
  <c r="B62" i="4"/>
  <c r="AT33" i="68" l="1"/>
  <c r="BF46" i="74"/>
  <c r="BB47" i="74"/>
  <c r="M47" i="74"/>
  <c r="S46" i="74"/>
  <c r="AH44" i="59"/>
  <c r="AL43" i="59"/>
  <c r="AT43" i="59" s="1"/>
  <c r="AF36" i="70"/>
  <c r="AR44" i="74"/>
  <c r="AH44" i="61"/>
  <c r="AL43" i="61"/>
  <c r="AT43" i="61" s="1"/>
  <c r="AF46" i="74"/>
  <c r="AH44" i="60"/>
  <c r="AL43" i="60"/>
  <c r="AT43" i="60" s="1"/>
  <c r="AH44" i="74"/>
  <c r="AL43" i="74"/>
  <c r="AT43" i="74" s="1"/>
  <c r="AH34" i="70"/>
  <c r="AL33" i="70"/>
  <c r="AH44" i="63"/>
  <c r="AL43" i="63"/>
  <c r="AT43" i="63" s="1"/>
  <c r="AH44" i="62"/>
  <c r="AL43" i="62"/>
  <c r="AT43" i="62" s="1"/>
  <c r="S34" i="68"/>
  <c r="I35" i="68"/>
  <c r="AF46" i="61"/>
  <c r="AF46" i="59"/>
  <c r="BF34" i="68"/>
  <c r="BB35" i="68"/>
  <c r="BB35" i="69"/>
  <c r="AF46" i="60"/>
  <c r="AF46" i="63"/>
  <c r="M46" i="63"/>
  <c r="S45" i="63"/>
  <c r="AF35" i="68"/>
  <c r="AL34" i="68"/>
  <c r="BB46" i="60"/>
  <c r="BF45" i="60"/>
  <c r="BF45" i="62"/>
  <c r="BB46" i="62"/>
  <c r="BF45" i="61"/>
  <c r="BB46" i="61"/>
  <c r="BB46" i="59"/>
  <c r="BF45" i="59"/>
  <c r="BF45" i="63"/>
  <c r="BB46" i="63"/>
  <c r="BB55" i="70"/>
  <c r="AF46" i="62"/>
  <c r="S45" i="62"/>
  <c r="M46" i="62"/>
  <c r="S45" i="61"/>
  <c r="M46" i="61"/>
  <c r="S45" i="59"/>
  <c r="M46" i="59"/>
  <c r="M48" i="57"/>
  <c r="AH47" i="30"/>
  <c r="AF47" i="57"/>
  <c r="M46" i="58"/>
  <c r="AF46" i="58"/>
  <c r="BB46" i="58"/>
  <c r="BF45" i="58"/>
  <c r="AH46" i="31"/>
  <c r="BB47" i="57"/>
  <c r="BF46" i="57"/>
  <c r="AF49" i="31"/>
  <c r="M48" i="31"/>
  <c r="BF49" i="31"/>
  <c r="AR48" i="31"/>
  <c r="S34" i="50"/>
  <c r="I35" i="50"/>
  <c r="BB35" i="48"/>
  <c r="BF34" i="48"/>
  <c r="AT34" i="48" s="1"/>
  <c r="BB35" i="50"/>
  <c r="BF34" i="50"/>
  <c r="AT34" i="50" s="1"/>
  <c r="S34" i="49"/>
  <c r="I35" i="49"/>
  <c r="BB35" i="49"/>
  <c r="BF34" i="49"/>
  <c r="AT34" i="49" s="1"/>
  <c r="S34" i="48"/>
  <c r="I35" i="48"/>
  <c r="AJ36" i="49"/>
  <c r="AL35" i="49"/>
  <c r="AJ36" i="48"/>
  <c r="AL35" i="48"/>
  <c r="AJ36" i="50"/>
  <c r="AL35" i="50"/>
  <c r="BD37" i="50"/>
  <c r="BD37" i="49"/>
  <c r="BD37" i="48"/>
  <c r="AT34" i="47"/>
  <c r="AF36" i="47"/>
  <c r="AL35" i="47"/>
  <c r="I36" i="47"/>
  <c r="S35" i="47"/>
  <c r="BB36" i="47"/>
  <c r="BF35" i="47"/>
  <c r="AR64" i="24"/>
  <c r="AR71" i="24" s="1"/>
  <c r="AT33" i="24"/>
  <c r="AF35" i="24"/>
  <c r="AL34" i="24"/>
  <c r="BF34" i="24"/>
  <c r="BB35" i="24"/>
  <c r="AB33" i="24"/>
  <c r="S34" i="24"/>
  <c r="I35" i="24"/>
  <c r="O66" i="19"/>
  <c r="Q66" i="19"/>
  <c r="G53" i="19"/>
  <c r="AD53" i="19" s="1"/>
  <c r="G54" i="19"/>
  <c r="AD54" i="19"/>
  <c r="G55" i="19"/>
  <c r="AD55" i="19" s="1"/>
  <c r="G56" i="19"/>
  <c r="AD56" i="19"/>
  <c r="G57" i="19"/>
  <c r="AD57" i="19"/>
  <c r="G58" i="19"/>
  <c r="AD58" i="19" s="1"/>
  <c r="G59" i="19"/>
  <c r="AD59" i="19"/>
  <c r="G60" i="19"/>
  <c r="AD60" i="19" s="1"/>
  <c r="G61" i="19"/>
  <c r="AD61" i="19" s="1"/>
  <c r="G62" i="19"/>
  <c r="AD62" i="19" s="1"/>
  <c r="M48" i="74" l="1"/>
  <c r="S47" i="74"/>
  <c r="BB48" i="74"/>
  <c r="BF47" i="74"/>
  <c r="AH45" i="62"/>
  <c r="AL44" i="62"/>
  <c r="AT44" i="62" s="1"/>
  <c r="AH45" i="74"/>
  <c r="AL44" i="74"/>
  <c r="AH45" i="60"/>
  <c r="AL44" i="60"/>
  <c r="AT44" i="60" s="1"/>
  <c r="AR45" i="74"/>
  <c r="AH45" i="63"/>
  <c r="AL44" i="63"/>
  <c r="AT44" i="63" s="1"/>
  <c r="AH45" i="59"/>
  <c r="AL44" i="59"/>
  <c r="AT44" i="59" s="1"/>
  <c r="AH45" i="61"/>
  <c r="AL44" i="61"/>
  <c r="AT44" i="61" s="1"/>
  <c r="AF37" i="70"/>
  <c r="AH35" i="70"/>
  <c r="AL34" i="70"/>
  <c r="AF47" i="74"/>
  <c r="M47" i="59"/>
  <c r="S46" i="59"/>
  <c r="AF47" i="62"/>
  <c r="BB56" i="70"/>
  <c r="AT34" i="68"/>
  <c r="I36" i="68"/>
  <c r="S35" i="68"/>
  <c r="S46" i="62"/>
  <c r="M47" i="62"/>
  <c r="BF46" i="62"/>
  <c r="BB47" i="62"/>
  <c r="BB47" i="60"/>
  <c r="BF46" i="60"/>
  <c r="AF36" i="68"/>
  <c r="AL35" i="68"/>
  <c r="AF47" i="63"/>
  <c r="BB36" i="68"/>
  <c r="BF35" i="68"/>
  <c r="BB47" i="63"/>
  <c r="BF46" i="63"/>
  <c r="BB47" i="59"/>
  <c r="BF46" i="59"/>
  <c r="AF47" i="60"/>
  <c r="S46" i="61"/>
  <c r="M47" i="61"/>
  <c r="BB47" i="61"/>
  <c r="BF46" i="61"/>
  <c r="M47" i="63"/>
  <c r="S46" i="63"/>
  <c r="BB36" i="69"/>
  <c r="AF47" i="59"/>
  <c r="AF47" i="61"/>
  <c r="AH47" i="31"/>
  <c r="AF48" i="57"/>
  <c r="M49" i="57"/>
  <c r="BB48" i="57"/>
  <c r="BF47" i="57"/>
  <c r="M47" i="58"/>
  <c r="AH48" i="30"/>
  <c r="BF46" i="58"/>
  <c r="BB47" i="58"/>
  <c r="AF47" i="58"/>
  <c r="AF50" i="31"/>
  <c r="AR49" i="31"/>
  <c r="BF50" i="31"/>
  <c r="M49" i="31"/>
  <c r="I36" i="48"/>
  <c r="S35" i="48"/>
  <c r="BB36" i="48"/>
  <c r="BF35" i="48"/>
  <c r="AT35" i="48" s="1"/>
  <c r="BB36" i="49"/>
  <c r="BF35" i="49"/>
  <c r="AT35" i="49" s="1"/>
  <c r="S35" i="50"/>
  <c r="I36" i="50"/>
  <c r="BB36" i="50"/>
  <c r="BF35" i="50"/>
  <c r="AT35" i="50" s="1"/>
  <c r="S35" i="49"/>
  <c r="I36" i="49"/>
  <c r="AJ37" i="48"/>
  <c r="AL36" i="48"/>
  <c r="AJ37" i="49"/>
  <c r="AL36" i="49"/>
  <c r="AJ37" i="50"/>
  <c r="AL36" i="50"/>
  <c r="BD38" i="48"/>
  <c r="BD38" i="50"/>
  <c r="BD38" i="49"/>
  <c r="AT35" i="47"/>
  <c r="S36" i="47"/>
  <c r="I37" i="47"/>
  <c r="BB37" i="47"/>
  <c r="BF36" i="47"/>
  <c r="AF37" i="47"/>
  <c r="AL36" i="47"/>
  <c r="AT34" i="24"/>
  <c r="BF35" i="24"/>
  <c r="BB36" i="24"/>
  <c r="S35" i="24"/>
  <c r="I36" i="24"/>
  <c r="AB34" i="24"/>
  <c r="AL35" i="24"/>
  <c r="AF36" i="24"/>
  <c r="A5" i="23"/>
  <c r="A3" i="23"/>
  <c r="A2" i="23"/>
  <c r="A1" i="23"/>
  <c r="BF48" i="74" l="1"/>
  <c r="BB49" i="74"/>
  <c r="M49" i="74"/>
  <c r="S48" i="74"/>
  <c r="AF38" i="70"/>
  <c r="AT44" i="74"/>
  <c r="AR46" i="74"/>
  <c r="AH46" i="74"/>
  <c r="AL45" i="74"/>
  <c r="AT45" i="74" s="1"/>
  <c r="AH36" i="70"/>
  <c r="AL35" i="70"/>
  <c r="AH46" i="61"/>
  <c r="AL45" i="61"/>
  <c r="AT45" i="61" s="1"/>
  <c r="AH46" i="63"/>
  <c r="AL45" i="63"/>
  <c r="AT45" i="63" s="1"/>
  <c r="AF48" i="74"/>
  <c r="AH46" i="59"/>
  <c r="AL45" i="59"/>
  <c r="AT45" i="59" s="1"/>
  <c r="AH46" i="60"/>
  <c r="AL45" i="60"/>
  <c r="AT45" i="60" s="1"/>
  <c r="AH46" i="62"/>
  <c r="AL45" i="62"/>
  <c r="AT45" i="62" s="1"/>
  <c r="AF48" i="61"/>
  <c r="BB37" i="69"/>
  <c r="BF36" i="68"/>
  <c r="BB37" i="68"/>
  <c r="AF48" i="59"/>
  <c r="S47" i="61"/>
  <c r="M48" i="61"/>
  <c r="BB48" i="59"/>
  <c r="BF47" i="59"/>
  <c r="AF48" i="62"/>
  <c r="BF47" i="61"/>
  <c r="BB48" i="61"/>
  <c r="BF47" i="60"/>
  <c r="BB48" i="60"/>
  <c r="M48" i="63"/>
  <c r="S47" i="63"/>
  <c r="AF48" i="60"/>
  <c r="AF48" i="63"/>
  <c r="I37" i="68"/>
  <c r="S36" i="68"/>
  <c r="BB57" i="70"/>
  <c r="BF47" i="63"/>
  <c r="BB48" i="63"/>
  <c r="AT35" i="68"/>
  <c r="BB48" i="62"/>
  <c r="BF47" i="62"/>
  <c r="S47" i="62"/>
  <c r="M48" i="62"/>
  <c r="M48" i="59"/>
  <c r="S47" i="59"/>
  <c r="AF37" i="68"/>
  <c r="AL36" i="68"/>
  <c r="AH49" i="30"/>
  <c r="M50" i="57"/>
  <c r="BB48" i="58"/>
  <c r="BF47" i="58"/>
  <c r="AF49" i="57"/>
  <c r="AF48" i="58"/>
  <c r="M48" i="58"/>
  <c r="BB49" i="57"/>
  <c r="BF48" i="57"/>
  <c r="AH48" i="31"/>
  <c r="AF51" i="31"/>
  <c r="M50" i="31"/>
  <c r="AR50" i="31"/>
  <c r="BF51" i="31"/>
  <c r="S36" i="48"/>
  <c r="I37" i="48"/>
  <c r="BB37" i="49"/>
  <c r="BF36" i="49"/>
  <c r="AT36" i="49" s="1"/>
  <c r="BB37" i="48"/>
  <c r="BF36" i="48"/>
  <c r="AT36" i="48" s="1"/>
  <c r="I37" i="49"/>
  <c r="S36" i="49"/>
  <c r="BB37" i="50"/>
  <c r="BF36" i="50"/>
  <c r="AT36" i="50" s="1"/>
  <c r="I37" i="50"/>
  <c r="S36" i="50"/>
  <c r="AJ38" i="49"/>
  <c r="AL37" i="49"/>
  <c r="AJ38" i="50"/>
  <c r="AL37" i="50"/>
  <c r="AJ38" i="48"/>
  <c r="AL37" i="48"/>
  <c r="BD39" i="50"/>
  <c r="AT36" i="47"/>
  <c r="BD39" i="48"/>
  <c r="BD39" i="49"/>
  <c r="S37" i="47"/>
  <c r="I38" i="47"/>
  <c r="AL37" i="47"/>
  <c r="AF38" i="47"/>
  <c r="BF37" i="47"/>
  <c r="BB38" i="47"/>
  <c r="AT35" i="24"/>
  <c r="AB35" i="24"/>
  <c r="S36" i="24"/>
  <c r="I37" i="24"/>
  <c r="AF37" i="24"/>
  <c r="AL36" i="24"/>
  <c r="BF36" i="24"/>
  <c r="BB37" i="24"/>
  <c r="AT36" i="68" l="1"/>
  <c r="M50" i="74"/>
  <c r="S49" i="74"/>
  <c r="BB50" i="74"/>
  <c r="BF49" i="74"/>
  <c r="AH47" i="63"/>
  <c r="AL46" i="63"/>
  <c r="AT46" i="63" s="1"/>
  <c r="AH47" i="62"/>
  <c r="AL46" i="62"/>
  <c r="AT46" i="62" s="1"/>
  <c r="AH37" i="70"/>
  <c r="AL36" i="70"/>
  <c r="AF39" i="70"/>
  <c r="AF49" i="74"/>
  <c r="AR47" i="74"/>
  <c r="AH47" i="60"/>
  <c r="AL46" i="60"/>
  <c r="AT46" i="60" s="1"/>
  <c r="AH47" i="59"/>
  <c r="AL46" i="59"/>
  <c r="AT46" i="59" s="1"/>
  <c r="AH47" i="61"/>
  <c r="AL46" i="61"/>
  <c r="AT46" i="61" s="1"/>
  <c r="AH47" i="74"/>
  <c r="AL46" i="74"/>
  <c r="AT46" i="74" s="1"/>
  <c r="M49" i="62"/>
  <c r="S48" i="62"/>
  <c r="M49" i="63"/>
  <c r="S48" i="63"/>
  <c r="AF38" i="68"/>
  <c r="AL37" i="68"/>
  <c r="BF48" i="63"/>
  <c r="BB49" i="63"/>
  <c r="BB68" i="70"/>
  <c r="S37" i="68"/>
  <c r="I38" i="68"/>
  <c r="BB49" i="60"/>
  <c r="BF48" i="60"/>
  <c r="AF49" i="59"/>
  <c r="BB38" i="68"/>
  <c r="BF37" i="68"/>
  <c r="BB38" i="69"/>
  <c r="AF49" i="60"/>
  <c r="AF49" i="62"/>
  <c r="M49" i="61"/>
  <c r="S48" i="61"/>
  <c r="AF49" i="61"/>
  <c r="S48" i="59"/>
  <c r="M49" i="59"/>
  <c r="BF48" i="62"/>
  <c r="BB49" i="62"/>
  <c r="AF49" i="63"/>
  <c r="BB49" i="61"/>
  <c r="BF48" i="61"/>
  <c r="BB49" i="59"/>
  <c r="BF48" i="59"/>
  <c r="AF50" i="57"/>
  <c r="M51" i="57"/>
  <c r="M49" i="58"/>
  <c r="AF49" i="58"/>
  <c r="AH49" i="31"/>
  <c r="BB50" i="57"/>
  <c r="BF49" i="57"/>
  <c r="BF48" i="58"/>
  <c r="BB49" i="58"/>
  <c r="AH50" i="30"/>
  <c r="AF52" i="31"/>
  <c r="BF52" i="31"/>
  <c r="AR51" i="31"/>
  <c r="M51" i="31"/>
  <c r="BB38" i="50"/>
  <c r="BF37" i="50"/>
  <c r="AT37" i="50" s="1"/>
  <c r="I38" i="49"/>
  <c r="S37" i="49"/>
  <c r="BB38" i="48"/>
  <c r="BF37" i="48"/>
  <c r="AT37" i="48" s="1"/>
  <c r="S37" i="48"/>
  <c r="I38" i="48"/>
  <c r="S37" i="50"/>
  <c r="I38" i="50"/>
  <c r="BB38" i="49"/>
  <c r="BF37" i="49"/>
  <c r="AT37" i="49" s="1"/>
  <c r="AJ39" i="50"/>
  <c r="AL38" i="50"/>
  <c r="AJ39" i="48"/>
  <c r="AL38" i="48"/>
  <c r="AT37" i="47"/>
  <c r="AJ39" i="49"/>
  <c r="AL38" i="49"/>
  <c r="BD40" i="49"/>
  <c r="BD40" i="48"/>
  <c r="BD40" i="50"/>
  <c r="AL38" i="47"/>
  <c r="AF39" i="47"/>
  <c r="I39" i="47"/>
  <c r="S38" i="47"/>
  <c r="BB39" i="47"/>
  <c r="BF38" i="47"/>
  <c r="AT36" i="24"/>
  <c r="BF37" i="24"/>
  <c r="BB38" i="24"/>
  <c r="AL37" i="24"/>
  <c r="AF38" i="24"/>
  <c r="AB36" i="24"/>
  <c r="S37" i="24"/>
  <c r="I38" i="24"/>
  <c r="BF50" i="74" l="1"/>
  <c r="BB51" i="74"/>
  <c r="M51" i="74"/>
  <c r="S50" i="74"/>
  <c r="AH48" i="74"/>
  <c r="AL47" i="74"/>
  <c r="AT47" i="74" s="1"/>
  <c r="AH48" i="60"/>
  <c r="AL47" i="60"/>
  <c r="AT47" i="60" s="1"/>
  <c r="AH38" i="70"/>
  <c r="AL37" i="70"/>
  <c r="AH48" i="59"/>
  <c r="AL47" i="59"/>
  <c r="AT47" i="59" s="1"/>
  <c r="AH48" i="62"/>
  <c r="AL47" i="62"/>
  <c r="AT47" i="62" s="1"/>
  <c r="AH48" i="63"/>
  <c r="AL47" i="63"/>
  <c r="AT47" i="63" s="1"/>
  <c r="AH48" i="61"/>
  <c r="AL47" i="61"/>
  <c r="AT47" i="61" s="1"/>
  <c r="AF50" i="74"/>
  <c r="AR48" i="74"/>
  <c r="AF40" i="70"/>
  <c r="BB50" i="59"/>
  <c r="BF49" i="59"/>
  <c r="M50" i="59"/>
  <c r="S49" i="59"/>
  <c r="BF38" i="68"/>
  <c r="BB39" i="68"/>
  <c r="BB50" i="60"/>
  <c r="BF49" i="60"/>
  <c r="AF39" i="68"/>
  <c r="AL38" i="68"/>
  <c r="AF50" i="63"/>
  <c r="M50" i="61"/>
  <c r="S49" i="61"/>
  <c r="AF50" i="59"/>
  <c r="I39" i="68"/>
  <c r="S38" i="68"/>
  <c r="BB50" i="63"/>
  <c r="BF49" i="63"/>
  <c r="BF49" i="62"/>
  <c r="BB50" i="62"/>
  <c r="AF50" i="61"/>
  <c r="BB39" i="69"/>
  <c r="M50" i="63"/>
  <c r="S49" i="63"/>
  <c r="M50" i="62"/>
  <c r="S49" i="62"/>
  <c r="BB50" i="61"/>
  <c r="BF49" i="61"/>
  <c r="AF50" i="62"/>
  <c r="AF50" i="60"/>
  <c r="AT37" i="68"/>
  <c r="AH51" i="30"/>
  <c r="AH50" i="31"/>
  <c r="M52" i="57"/>
  <c r="BB50" i="58"/>
  <c r="BF49" i="58"/>
  <c r="BB51" i="57"/>
  <c r="BF50" i="57"/>
  <c r="AF51" i="57"/>
  <c r="AF50" i="58"/>
  <c r="M50" i="58"/>
  <c r="AF53" i="31"/>
  <c r="AR52" i="31"/>
  <c r="BF53" i="31"/>
  <c r="M52" i="31"/>
  <c r="BB39" i="48"/>
  <c r="BF38" i="48"/>
  <c r="AT38" i="48" s="1"/>
  <c r="BB39" i="50"/>
  <c r="BF38" i="50"/>
  <c r="AT38" i="50" s="1"/>
  <c r="S38" i="50"/>
  <c r="I39" i="50"/>
  <c r="S38" i="48"/>
  <c r="I39" i="48"/>
  <c r="BB39" i="49"/>
  <c r="BF38" i="49"/>
  <c r="AT38" i="49" s="1"/>
  <c r="S38" i="49"/>
  <c r="I39" i="49"/>
  <c r="AJ40" i="49"/>
  <c r="AL39" i="49"/>
  <c r="AJ40" i="48"/>
  <c r="AL39" i="48"/>
  <c r="AJ40" i="50"/>
  <c r="AL39" i="50"/>
  <c r="BD41" i="50"/>
  <c r="BD41" i="49"/>
  <c r="BD41" i="48"/>
  <c r="I40" i="47"/>
  <c r="S39" i="47"/>
  <c r="AL39" i="47"/>
  <c r="AF40" i="47"/>
  <c r="BF39" i="47"/>
  <c r="BB40" i="47"/>
  <c r="AT38" i="47"/>
  <c r="AT37" i="24"/>
  <c r="AB37" i="24"/>
  <c r="AL38" i="24"/>
  <c r="BF38" i="24"/>
  <c r="S38" i="24"/>
  <c r="A2" i="19"/>
  <c r="M52" i="74" l="1"/>
  <c r="S51" i="74"/>
  <c r="M70" i="74"/>
  <c r="BB52" i="74"/>
  <c r="BF51" i="74"/>
  <c r="AR49" i="74"/>
  <c r="AH39" i="70"/>
  <c r="AL38" i="70"/>
  <c r="AH49" i="74"/>
  <c r="AL48" i="74"/>
  <c r="AT48" i="74" s="1"/>
  <c r="AF51" i="74"/>
  <c r="AH49" i="61"/>
  <c r="AL48" i="61"/>
  <c r="AT48" i="61" s="1"/>
  <c r="AH49" i="63"/>
  <c r="AL48" i="63"/>
  <c r="AT48" i="63" s="1"/>
  <c r="AF41" i="70"/>
  <c r="AH49" i="59"/>
  <c r="AL48" i="59"/>
  <c r="AT48" i="59" s="1"/>
  <c r="AH49" i="60"/>
  <c r="AL48" i="60"/>
  <c r="AT48" i="60" s="1"/>
  <c r="AH49" i="62"/>
  <c r="AL48" i="62"/>
  <c r="AT48" i="62" s="1"/>
  <c r="AF51" i="60"/>
  <c r="M51" i="62"/>
  <c r="S50" i="62"/>
  <c r="AF51" i="61"/>
  <c r="I40" i="68"/>
  <c r="S39" i="68"/>
  <c r="AT38" i="68"/>
  <c r="AF51" i="62"/>
  <c r="BB51" i="61"/>
  <c r="BF50" i="61"/>
  <c r="S50" i="61"/>
  <c r="M51" i="61"/>
  <c r="AF40" i="68"/>
  <c r="AL39" i="68"/>
  <c r="S50" i="59"/>
  <c r="M51" i="59"/>
  <c r="M51" i="63"/>
  <c r="S50" i="63"/>
  <c r="BF50" i="62"/>
  <c r="BB51" i="62"/>
  <c r="BB51" i="63"/>
  <c r="BF50" i="63"/>
  <c r="AF51" i="59"/>
  <c r="BF39" i="68"/>
  <c r="BB40" i="68"/>
  <c r="BB40" i="69"/>
  <c r="AF51" i="63"/>
  <c r="BF50" i="60"/>
  <c r="BB51" i="60"/>
  <c r="BB51" i="59"/>
  <c r="BF50" i="59"/>
  <c r="BB52" i="57"/>
  <c r="BF51" i="57"/>
  <c r="AH51" i="31"/>
  <c r="AF52" i="57"/>
  <c r="M53" i="57"/>
  <c r="M71" i="57"/>
  <c r="AF51" i="58"/>
  <c r="M51" i="58"/>
  <c r="BF50" i="58"/>
  <c r="BB51" i="58"/>
  <c r="AH52" i="30"/>
  <c r="AF54" i="31"/>
  <c r="BF54" i="31"/>
  <c r="M53" i="31"/>
  <c r="M72" i="31"/>
  <c r="AR53" i="31"/>
  <c r="BB40" i="49"/>
  <c r="BF39" i="49"/>
  <c r="AT39" i="49" s="1"/>
  <c r="BB40" i="50"/>
  <c r="BF39" i="50"/>
  <c r="AT39" i="50" s="1"/>
  <c r="S39" i="49"/>
  <c r="I40" i="49"/>
  <c r="S39" i="50"/>
  <c r="I40" i="50"/>
  <c r="BB40" i="48"/>
  <c r="BF39" i="48"/>
  <c r="AT39" i="48" s="1"/>
  <c r="S39" i="48"/>
  <c r="I40" i="48"/>
  <c r="AT39" i="47"/>
  <c r="AJ41" i="48"/>
  <c r="AL40" i="48"/>
  <c r="AJ41" i="50"/>
  <c r="AL40" i="50"/>
  <c r="AJ41" i="49"/>
  <c r="AL40" i="49"/>
  <c r="BD42" i="49"/>
  <c r="BD42" i="48"/>
  <c r="BD42" i="50"/>
  <c r="AF41" i="47"/>
  <c r="AL40" i="47"/>
  <c r="BB41" i="47"/>
  <c r="BF40" i="47"/>
  <c r="I41" i="47"/>
  <c r="S40" i="47"/>
  <c r="AT38" i="24"/>
  <c r="BB40" i="24"/>
  <c r="BF40" i="24" s="1"/>
  <c r="AB38" i="24"/>
  <c r="AB39" i="24" s="1"/>
  <c r="AB40" i="24" s="1"/>
  <c r="AB41" i="24" s="1"/>
  <c r="AB42" i="24" s="1"/>
  <c r="AB43" i="24" s="1"/>
  <c r="AB44" i="24" s="1"/>
  <c r="AB45" i="24" s="1"/>
  <c r="AB46" i="24" s="1"/>
  <c r="AB47" i="24" s="1"/>
  <c r="AB48" i="24" s="1"/>
  <c r="AB49" i="24" s="1"/>
  <c r="AB50" i="24" s="1"/>
  <c r="AB51" i="24" s="1"/>
  <c r="AB52" i="24" s="1"/>
  <c r="M28" i="21"/>
  <c r="K28" i="21"/>
  <c r="W26" i="21"/>
  <c r="U26" i="21"/>
  <c r="S26" i="21"/>
  <c r="Q26" i="21"/>
  <c r="O26" i="21"/>
  <c r="M26" i="21"/>
  <c r="K26" i="21"/>
  <c r="AF16" i="21"/>
  <c r="BD15" i="21"/>
  <c r="BD14" i="21"/>
  <c r="A3" i="21"/>
  <c r="A2" i="21"/>
  <c r="A1" i="21"/>
  <c r="U18" i="5"/>
  <c r="O33" i="73" l="1"/>
  <c r="O29" i="72"/>
  <c r="BF52" i="74"/>
  <c r="BB53" i="74"/>
  <c r="M53" i="74"/>
  <c r="S52" i="74"/>
  <c r="AH50" i="59"/>
  <c r="AL49" i="59"/>
  <c r="AT49" i="59" s="1"/>
  <c r="AH50" i="63"/>
  <c r="AL49" i="63"/>
  <c r="AT49" i="63" s="1"/>
  <c r="AF52" i="74"/>
  <c r="AH40" i="70"/>
  <c r="AL39" i="70"/>
  <c r="AR50" i="74"/>
  <c r="AF42" i="70"/>
  <c r="AH50" i="62"/>
  <c r="AL49" i="62"/>
  <c r="AT49" i="62" s="1"/>
  <c r="AH50" i="60"/>
  <c r="AL49" i="60"/>
  <c r="AT49" i="60" s="1"/>
  <c r="AH50" i="61"/>
  <c r="AL49" i="61"/>
  <c r="AT49" i="61" s="1"/>
  <c r="AH50" i="74"/>
  <c r="AL49" i="74"/>
  <c r="AT49" i="74" s="1"/>
  <c r="BF51" i="60"/>
  <c r="BB52" i="60"/>
  <c r="AF52" i="59"/>
  <c r="BB52" i="62"/>
  <c r="BF51" i="62"/>
  <c r="M52" i="59"/>
  <c r="S51" i="59"/>
  <c r="M70" i="59"/>
  <c r="AF41" i="68"/>
  <c r="AL40" i="68"/>
  <c r="BF40" i="68"/>
  <c r="BB41" i="68"/>
  <c r="S51" i="61"/>
  <c r="M52" i="61"/>
  <c r="M70" i="61"/>
  <c r="BF51" i="61"/>
  <c r="BB52" i="61"/>
  <c r="I41" i="68"/>
  <c r="S40" i="68"/>
  <c r="AF52" i="63"/>
  <c r="BB41" i="69"/>
  <c r="AF52" i="60"/>
  <c r="BB52" i="59"/>
  <c r="BF51" i="59"/>
  <c r="BB52" i="63"/>
  <c r="BF51" i="63"/>
  <c r="M52" i="63"/>
  <c r="S51" i="63"/>
  <c r="M70" i="63"/>
  <c r="AT39" i="68"/>
  <c r="AF52" i="62"/>
  <c r="AF52" i="61"/>
  <c r="S51" i="62"/>
  <c r="M52" i="62"/>
  <c r="M70" i="62"/>
  <c r="AF52" i="58"/>
  <c r="M54" i="57"/>
  <c r="AH52" i="31"/>
  <c r="AF53" i="57"/>
  <c r="BB53" i="57"/>
  <c r="BF52" i="57"/>
  <c r="BF51" i="58"/>
  <c r="BB52" i="58"/>
  <c r="AH53" i="30"/>
  <c r="M52" i="58"/>
  <c r="M70" i="58"/>
  <c r="AF55" i="31"/>
  <c r="M54" i="31"/>
  <c r="AR54" i="31"/>
  <c r="BF55" i="31"/>
  <c r="I41" i="49"/>
  <c r="S40" i="49"/>
  <c r="BB41" i="49"/>
  <c r="BF40" i="49"/>
  <c r="AT40" i="49" s="1"/>
  <c r="S40" i="48"/>
  <c r="I41" i="48"/>
  <c r="BB41" i="48"/>
  <c r="BF40" i="48"/>
  <c r="AT40" i="48" s="1"/>
  <c r="S40" i="50"/>
  <c r="I41" i="50"/>
  <c r="BB41" i="50"/>
  <c r="BF40" i="50"/>
  <c r="AT40" i="50" s="1"/>
  <c r="AJ42" i="49"/>
  <c r="AL41" i="49"/>
  <c r="AJ42" i="50"/>
  <c r="AL41" i="50"/>
  <c r="AJ42" i="48"/>
  <c r="AL41" i="48"/>
  <c r="BD43" i="49"/>
  <c r="BD43" i="50"/>
  <c r="BD43" i="48"/>
  <c r="BB42" i="47"/>
  <c r="BF41" i="47"/>
  <c r="AT40" i="47"/>
  <c r="S41" i="47"/>
  <c r="I42" i="47"/>
  <c r="AL41" i="47"/>
  <c r="AF42" i="47"/>
  <c r="AB53" i="24"/>
  <c r="AF41" i="24"/>
  <c r="AL41" i="24" s="1"/>
  <c r="BB41" i="24"/>
  <c r="BF41" i="24" s="1"/>
  <c r="C28" i="21"/>
  <c r="C29" i="21" s="1"/>
  <c r="O28" i="72" l="1"/>
  <c r="S29" i="72"/>
  <c r="O32" i="73"/>
  <c r="S33" i="73"/>
  <c r="M54" i="74"/>
  <c r="S53" i="74"/>
  <c r="AT40" i="68"/>
  <c r="BB54" i="74"/>
  <c r="BF53" i="74"/>
  <c r="AH51" i="61"/>
  <c r="AL50" i="61"/>
  <c r="AT50" i="61" s="1"/>
  <c r="AH51" i="62"/>
  <c r="AL50" i="62"/>
  <c r="AT50" i="62" s="1"/>
  <c r="AR51" i="74"/>
  <c r="AF53" i="74"/>
  <c r="AH51" i="59"/>
  <c r="AL50" i="59"/>
  <c r="AT50" i="59" s="1"/>
  <c r="AH51" i="74"/>
  <c r="AL50" i="74"/>
  <c r="AT50" i="74" s="1"/>
  <c r="AH51" i="60"/>
  <c r="AL50" i="60"/>
  <c r="AT50" i="60" s="1"/>
  <c r="AH41" i="70"/>
  <c r="AL40" i="70"/>
  <c r="AH51" i="63"/>
  <c r="AL50" i="63"/>
  <c r="AT50" i="63" s="1"/>
  <c r="AF43" i="70"/>
  <c r="BB42" i="69"/>
  <c r="BB53" i="61"/>
  <c r="BF52" i="61"/>
  <c r="BB53" i="63"/>
  <c r="BF52" i="63"/>
  <c r="AF53" i="61"/>
  <c r="AF53" i="62"/>
  <c r="I42" i="68"/>
  <c r="S41" i="68"/>
  <c r="BB42" i="68"/>
  <c r="BF41" i="68"/>
  <c r="S52" i="59"/>
  <c r="M53" i="59"/>
  <c r="AF53" i="59"/>
  <c r="AF53" i="60"/>
  <c r="M53" i="63"/>
  <c r="S52" i="63"/>
  <c r="BB53" i="59"/>
  <c r="BF52" i="59"/>
  <c r="AF53" i="63"/>
  <c r="AF42" i="68"/>
  <c r="AL41" i="68"/>
  <c r="BF52" i="60"/>
  <c r="BB53" i="60"/>
  <c r="M53" i="62"/>
  <c r="S52" i="62"/>
  <c r="S52" i="61"/>
  <c r="M53" i="61"/>
  <c r="BB53" i="62"/>
  <c r="BF52" i="62"/>
  <c r="AH54" i="30"/>
  <c r="BB54" i="57"/>
  <c r="BF53" i="57"/>
  <c r="M55" i="57"/>
  <c r="BF52" i="58"/>
  <c r="BB53" i="58"/>
  <c r="AF53" i="58"/>
  <c r="M53" i="58"/>
  <c r="AF54" i="57"/>
  <c r="AH53" i="31"/>
  <c r="AF56" i="31"/>
  <c r="BF56" i="31"/>
  <c r="AR55" i="31"/>
  <c r="M55" i="31"/>
  <c r="BB42" i="50"/>
  <c r="BF41" i="50"/>
  <c r="AT41" i="50" s="1"/>
  <c r="BB42" i="48"/>
  <c r="BF41" i="48"/>
  <c r="AT41" i="48" s="1"/>
  <c r="S41" i="50"/>
  <c r="I42" i="50"/>
  <c r="BB42" i="49"/>
  <c r="BF41" i="49"/>
  <c r="AT41" i="49" s="1"/>
  <c r="I42" i="49"/>
  <c r="S41" i="49"/>
  <c r="S41" i="48"/>
  <c r="I42" i="48"/>
  <c r="AJ43" i="50"/>
  <c r="AL42" i="50"/>
  <c r="AJ43" i="49"/>
  <c r="AL42" i="49"/>
  <c r="AJ43" i="48"/>
  <c r="AL42" i="48"/>
  <c r="BD44" i="48"/>
  <c r="BD44" i="50"/>
  <c r="BD44" i="49"/>
  <c r="AT41" i="47"/>
  <c r="AF43" i="47"/>
  <c r="AL42" i="47"/>
  <c r="S42" i="47"/>
  <c r="I43" i="47"/>
  <c r="BB43" i="47"/>
  <c r="BF42" i="47"/>
  <c r="AB54" i="24"/>
  <c r="BB42" i="24"/>
  <c r="BF42" i="24" s="1"/>
  <c r="AF42" i="24"/>
  <c r="AL42" i="24" s="1"/>
  <c r="AT40" i="24"/>
  <c r="E28" i="21"/>
  <c r="BB28" i="21" s="1"/>
  <c r="AB28" i="21"/>
  <c r="AZ28" i="21"/>
  <c r="AZ29" i="21" s="1"/>
  <c r="AZ30" i="21" s="1"/>
  <c r="AZ31" i="21" s="1"/>
  <c r="AZ32" i="21" s="1"/>
  <c r="AZ33" i="21" s="1"/>
  <c r="AZ34" i="21" s="1"/>
  <c r="AZ35" i="21" s="1"/>
  <c r="AZ36" i="21" s="1"/>
  <c r="AZ37" i="21" s="1"/>
  <c r="AZ38" i="21" s="1"/>
  <c r="AZ39" i="21" s="1"/>
  <c r="AZ40" i="21" s="1"/>
  <c r="AZ41" i="21" s="1"/>
  <c r="AZ42" i="21" s="1"/>
  <c r="C30" i="21"/>
  <c r="E29" i="21"/>
  <c r="AB29" i="21"/>
  <c r="O31" i="73" l="1"/>
  <c r="S32" i="73"/>
  <c r="S28" i="72"/>
  <c r="AT41" i="68"/>
  <c r="M55" i="74"/>
  <c r="S54" i="74"/>
  <c r="BB55" i="74"/>
  <c r="BF54" i="74"/>
  <c r="AF54" i="74"/>
  <c r="AH42" i="70"/>
  <c r="AL41" i="70"/>
  <c r="AH52" i="74"/>
  <c r="AL51" i="74"/>
  <c r="AT51" i="74" s="1"/>
  <c r="AH52" i="62"/>
  <c r="AL51" i="62"/>
  <c r="AT51" i="62" s="1"/>
  <c r="AF44" i="70"/>
  <c r="AH52" i="63"/>
  <c r="AL51" i="63"/>
  <c r="AT51" i="63" s="1"/>
  <c r="AH52" i="60"/>
  <c r="AL51" i="60"/>
  <c r="AT51" i="60" s="1"/>
  <c r="AH52" i="59"/>
  <c r="AL51" i="59"/>
  <c r="AT51" i="59" s="1"/>
  <c r="AR52" i="74"/>
  <c r="AH52" i="61"/>
  <c r="AL51" i="61"/>
  <c r="AT51" i="61" s="1"/>
  <c r="M54" i="61"/>
  <c r="S53" i="61"/>
  <c r="M54" i="63"/>
  <c r="S53" i="63"/>
  <c r="I43" i="68"/>
  <c r="S42" i="68"/>
  <c r="AF54" i="60"/>
  <c r="S53" i="59"/>
  <c r="M54" i="59"/>
  <c r="BF42" i="68"/>
  <c r="BB43" i="68"/>
  <c r="AF54" i="61"/>
  <c r="BF53" i="61"/>
  <c r="BB54" i="61"/>
  <c r="S53" i="62"/>
  <c r="M54" i="62"/>
  <c r="BB54" i="59"/>
  <c r="BF53" i="59"/>
  <c r="AF54" i="62"/>
  <c r="BF53" i="62"/>
  <c r="BB54" i="62"/>
  <c r="BF53" i="60"/>
  <c r="BB54" i="60"/>
  <c r="AF43" i="68"/>
  <c r="AL42" i="68"/>
  <c r="AF54" i="63"/>
  <c r="AF54" i="59"/>
  <c r="BF53" i="63"/>
  <c r="BB54" i="63"/>
  <c r="BB43" i="69"/>
  <c r="AH54" i="31"/>
  <c r="AF54" i="58"/>
  <c r="BB54" i="58"/>
  <c r="BF53" i="58"/>
  <c r="BB55" i="57"/>
  <c r="BF54" i="57"/>
  <c r="AF55" i="57"/>
  <c r="M54" i="58"/>
  <c r="M56" i="57"/>
  <c r="AH55" i="30"/>
  <c r="AF57" i="31"/>
  <c r="M56" i="31"/>
  <c r="BF57" i="31"/>
  <c r="AR56" i="31"/>
  <c r="BB43" i="49"/>
  <c r="BF42" i="49"/>
  <c r="AT42" i="49" s="1"/>
  <c r="S42" i="50"/>
  <c r="I43" i="50"/>
  <c r="BB43" i="50"/>
  <c r="BF42" i="50"/>
  <c r="AT42" i="50" s="1"/>
  <c r="S42" i="49"/>
  <c r="I43" i="49"/>
  <c r="I43" i="48"/>
  <c r="S42" i="48"/>
  <c r="BB43" i="48"/>
  <c r="BF42" i="48"/>
  <c r="AT42" i="48" s="1"/>
  <c r="AJ44" i="48"/>
  <c r="AL43" i="48"/>
  <c r="AJ44" i="49"/>
  <c r="AL43" i="49"/>
  <c r="AJ44" i="50"/>
  <c r="AL43" i="50"/>
  <c r="BD45" i="50"/>
  <c r="BD45" i="49"/>
  <c r="BD45" i="48"/>
  <c r="I44" i="47"/>
  <c r="S43" i="47"/>
  <c r="AT42" i="47"/>
  <c r="BF43" i="47"/>
  <c r="BB44" i="47"/>
  <c r="AF44" i="47"/>
  <c r="AL43" i="47"/>
  <c r="AT41" i="24"/>
  <c r="AB55" i="24"/>
  <c r="AF43" i="24"/>
  <c r="AL43" i="24" s="1"/>
  <c r="BB43" i="24"/>
  <c r="BF43" i="24" s="1"/>
  <c r="C31" i="21"/>
  <c r="E30" i="21"/>
  <c r="AB30" i="21"/>
  <c r="M29" i="21"/>
  <c r="K29" i="21"/>
  <c r="BB29" i="21"/>
  <c r="O30" i="73" l="1"/>
  <c r="S31" i="73"/>
  <c r="S55" i="74"/>
  <c r="M56" i="74"/>
  <c r="AT42" i="68"/>
  <c r="BB56" i="74"/>
  <c r="BF55" i="74"/>
  <c r="AH53" i="61"/>
  <c r="AL52" i="61"/>
  <c r="AT52" i="61" s="1"/>
  <c r="AH53" i="59"/>
  <c r="AL52" i="59"/>
  <c r="AT52" i="59" s="1"/>
  <c r="AH53" i="62"/>
  <c r="AL52" i="62"/>
  <c r="AT52" i="62" s="1"/>
  <c r="AF55" i="74"/>
  <c r="AH53" i="63"/>
  <c r="AL52" i="63"/>
  <c r="AT52" i="63" s="1"/>
  <c r="AH43" i="70"/>
  <c r="AL42" i="70"/>
  <c r="AR53" i="74"/>
  <c r="AF45" i="70"/>
  <c r="AH53" i="60"/>
  <c r="AL52" i="60"/>
  <c r="AT52" i="60" s="1"/>
  <c r="AH53" i="74"/>
  <c r="AL52" i="74"/>
  <c r="AT52" i="74" s="1"/>
  <c r="M55" i="62"/>
  <c r="S54" i="62"/>
  <c r="BB55" i="63"/>
  <c r="BF54" i="63"/>
  <c r="AF55" i="63"/>
  <c r="BB55" i="60"/>
  <c r="BF54" i="60"/>
  <c r="AF55" i="61"/>
  <c r="M55" i="59"/>
  <c r="S54" i="59"/>
  <c r="I44" i="68"/>
  <c r="S43" i="68"/>
  <c r="BB55" i="59"/>
  <c r="BF54" i="59"/>
  <c r="BB55" i="61"/>
  <c r="BF54" i="61"/>
  <c r="BB44" i="69"/>
  <c r="AF55" i="59"/>
  <c r="BF54" i="62"/>
  <c r="BB55" i="62"/>
  <c r="AF55" i="62"/>
  <c r="BB44" i="68"/>
  <c r="BF43" i="68"/>
  <c r="AF55" i="60"/>
  <c r="M55" i="63"/>
  <c r="S54" i="63"/>
  <c r="AL43" i="68"/>
  <c r="AF44" i="68"/>
  <c r="M55" i="61"/>
  <c r="S54" i="61"/>
  <c r="M55" i="58"/>
  <c r="BB56" i="57"/>
  <c r="BF55" i="57"/>
  <c r="AF56" i="57"/>
  <c r="AF55" i="58"/>
  <c r="AH56" i="30"/>
  <c r="M57" i="57"/>
  <c r="BF54" i="58"/>
  <c r="BB55" i="58"/>
  <c r="AH55" i="31"/>
  <c r="AF58" i="31"/>
  <c r="BF58" i="31"/>
  <c r="AR57" i="31"/>
  <c r="M57" i="31"/>
  <c r="BB44" i="49"/>
  <c r="BF43" i="49"/>
  <c r="AT43" i="49" s="1"/>
  <c r="BB44" i="48"/>
  <c r="BF43" i="48"/>
  <c r="AT43" i="48" s="1"/>
  <c r="S43" i="49"/>
  <c r="I44" i="49"/>
  <c r="BB44" i="50"/>
  <c r="BF43" i="50"/>
  <c r="AT43" i="50" s="1"/>
  <c r="I44" i="48"/>
  <c r="S43" i="48"/>
  <c r="I44" i="50"/>
  <c r="S43" i="50"/>
  <c r="AJ45" i="48"/>
  <c r="AL44" i="48"/>
  <c r="AJ45" i="50"/>
  <c r="AL44" i="50"/>
  <c r="AJ45" i="49"/>
  <c r="AL44" i="49"/>
  <c r="BD46" i="49"/>
  <c r="BD46" i="50"/>
  <c r="BD46" i="48"/>
  <c r="AT43" i="47"/>
  <c r="AL44" i="47"/>
  <c r="AF45" i="47"/>
  <c r="BB45" i="47"/>
  <c r="BF44" i="47"/>
  <c r="I45" i="47"/>
  <c r="S44" i="47"/>
  <c r="AB56" i="24"/>
  <c r="AT42" i="24"/>
  <c r="BB44" i="24"/>
  <c r="BF44" i="24" s="1"/>
  <c r="AF44" i="24"/>
  <c r="AL44" i="24" s="1"/>
  <c r="K30" i="21"/>
  <c r="M30" i="21"/>
  <c r="BB30" i="21"/>
  <c r="AB31" i="21"/>
  <c r="E31" i="21"/>
  <c r="C32" i="21"/>
  <c r="O29" i="73" l="1"/>
  <c r="S30" i="73"/>
  <c r="BB57" i="74"/>
  <c r="BF56" i="74"/>
  <c r="M57" i="74"/>
  <c r="S56" i="74"/>
  <c r="AR54" i="74"/>
  <c r="AH54" i="60"/>
  <c r="AL53" i="60"/>
  <c r="AT53" i="60" s="1"/>
  <c r="AH54" i="63"/>
  <c r="AL53" i="63"/>
  <c r="AT53" i="63" s="1"/>
  <c r="AH54" i="59"/>
  <c r="AL53" i="59"/>
  <c r="AT53" i="59" s="1"/>
  <c r="AF46" i="70"/>
  <c r="AH44" i="70"/>
  <c r="AL43" i="70"/>
  <c r="AT43" i="68"/>
  <c r="AH54" i="74"/>
  <c r="AL53" i="74"/>
  <c r="AT53" i="74" s="1"/>
  <c r="AF56" i="74"/>
  <c r="AH54" i="62"/>
  <c r="AL53" i="62"/>
  <c r="AT53" i="62" s="1"/>
  <c r="AH54" i="61"/>
  <c r="AL53" i="61"/>
  <c r="AT53" i="61" s="1"/>
  <c r="M56" i="63"/>
  <c r="S55" i="63"/>
  <c r="AL44" i="68"/>
  <c r="AF45" i="68"/>
  <c r="BF44" i="68"/>
  <c r="BB45" i="68"/>
  <c r="BB56" i="62"/>
  <c r="BF55" i="62"/>
  <c r="AF56" i="59"/>
  <c r="BF55" i="61"/>
  <c r="BB56" i="61"/>
  <c r="I45" i="68"/>
  <c r="S44" i="68"/>
  <c r="AF56" i="61"/>
  <c r="BB56" i="60"/>
  <c r="BF55" i="60"/>
  <c r="BB56" i="63"/>
  <c r="BF55" i="63"/>
  <c r="BB45" i="69"/>
  <c r="AF56" i="63"/>
  <c r="S55" i="61"/>
  <c r="M56" i="61"/>
  <c r="AF56" i="60"/>
  <c r="AF56" i="62"/>
  <c r="BF55" i="59"/>
  <c r="BB56" i="59"/>
  <c r="M56" i="59"/>
  <c r="S55" i="59"/>
  <c r="S55" i="62"/>
  <c r="M56" i="62"/>
  <c r="M58" i="57"/>
  <c r="AH56" i="31"/>
  <c r="AF56" i="58"/>
  <c r="BB57" i="57"/>
  <c r="BF56" i="57"/>
  <c r="BF55" i="58"/>
  <c r="BB56" i="58"/>
  <c r="AF57" i="57"/>
  <c r="AH57" i="30"/>
  <c r="M56" i="58"/>
  <c r="AF59" i="31"/>
  <c r="AR58" i="31"/>
  <c r="M58" i="31"/>
  <c r="BF59" i="31"/>
  <c r="S44" i="48"/>
  <c r="I45" i="48"/>
  <c r="I45" i="50"/>
  <c r="S44" i="50"/>
  <c r="BB45" i="50"/>
  <c r="BF44" i="50"/>
  <c r="AT44" i="50" s="1"/>
  <c r="BB45" i="48"/>
  <c r="BF44" i="48"/>
  <c r="AT44" i="48" s="1"/>
  <c r="BB45" i="49"/>
  <c r="BF44" i="49"/>
  <c r="AT44" i="49" s="1"/>
  <c r="S44" i="49"/>
  <c r="I45" i="49"/>
  <c r="AJ46" i="48"/>
  <c r="AL45" i="48"/>
  <c r="AJ46" i="49"/>
  <c r="AL45" i="49"/>
  <c r="AJ46" i="50"/>
  <c r="AL45" i="50"/>
  <c r="BD47" i="48"/>
  <c r="BD47" i="50"/>
  <c r="BD47" i="49"/>
  <c r="BF45" i="47"/>
  <c r="BB46" i="47"/>
  <c r="AF46" i="47"/>
  <c r="AL45" i="47"/>
  <c r="I46" i="47"/>
  <c r="S45" i="47"/>
  <c r="AT44" i="47"/>
  <c r="AB57" i="24"/>
  <c r="AT43" i="24"/>
  <c r="AF45" i="24"/>
  <c r="AL45" i="24" s="1"/>
  <c r="BB45" i="24"/>
  <c r="BF45" i="24" s="1"/>
  <c r="M31" i="21"/>
  <c r="C33" i="21"/>
  <c r="E32" i="21"/>
  <c r="BB31" i="21"/>
  <c r="AB32" i="21"/>
  <c r="K31" i="21"/>
  <c r="O28" i="73" l="1"/>
  <c r="S29" i="73"/>
  <c r="S57" i="74"/>
  <c r="M58" i="74"/>
  <c r="BB58" i="74"/>
  <c r="BF57" i="74"/>
  <c r="AH55" i="74"/>
  <c r="AL54" i="74"/>
  <c r="AT54" i="74" s="1"/>
  <c r="AH55" i="62"/>
  <c r="AL54" i="62"/>
  <c r="AT54" i="62" s="1"/>
  <c r="AH45" i="70"/>
  <c r="AL44" i="70"/>
  <c r="AH55" i="59"/>
  <c r="AL54" i="59"/>
  <c r="AT54" i="59" s="1"/>
  <c r="AF57" i="74"/>
  <c r="AH55" i="60"/>
  <c r="AL54" i="60"/>
  <c r="AT54" i="60" s="1"/>
  <c r="AR55" i="74"/>
  <c r="AH55" i="61"/>
  <c r="AL54" i="61"/>
  <c r="AT54" i="61" s="1"/>
  <c r="AF47" i="70"/>
  <c r="AH55" i="63"/>
  <c r="AL54" i="63"/>
  <c r="AT54" i="63" s="1"/>
  <c r="S56" i="59"/>
  <c r="M57" i="59"/>
  <c r="BB46" i="69"/>
  <c r="BF56" i="61"/>
  <c r="BB57" i="61"/>
  <c r="AF46" i="68"/>
  <c r="AL45" i="68"/>
  <c r="BF56" i="63"/>
  <c r="BB57" i="63"/>
  <c r="AF57" i="61"/>
  <c r="BF56" i="62"/>
  <c r="BB57" i="62"/>
  <c r="AT44" i="68"/>
  <c r="S56" i="62"/>
  <c r="M57" i="62"/>
  <c r="M57" i="61"/>
  <c r="S56" i="61"/>
  <c r="AF57" i="62"/>
  <c r="BB46" i="68"/>
  <c r="BF45" i="68"/>
  <c r="BB57" i="59"/>
  <c r="BF56" i="59"/>
  <c r="AF57" i="60"/>
  <c r="AF57" i="63"/>
  <c r="BB57" i="60"/>
  <c r="BF56" i="60"/>
  <c r="S45" i="68"/>
  <c r="I46" i="68"/>
  <c r="AF57" i="59"/>
  <c r="M57" i="63"/>
  <c r="S56" i="63"/>
  <c r="M57" i="58"/>
  <c r="BB57" i="58"/>
  <c r="BF56" i="58"/>
  <c r="AF57" i="58"/>
  <c r="AH57" i="31"/>
  <c r="M59" i="57"/>
  <c r="AF58" i="57"/>
  <c r="AH58" i="30"/>
  <c r="BB58" i="57"/>
  <c r="BF57" i="57"/>
  <c r="AF60" i="31"/>
  <c r="BF60" i="31"/>
  <c r="M59" i="31"/>
  <c r="AR59" i="31"/>
  <c r="S45" i="49"/>
  <c r="I46" i="49"/>
  <c r="BB46" i="49"/>
  <c r="BF45" i="49"/>
  <c r="AT45" i="49" s="1"/>
  <c r="BB46" i="50"/>
  <c r="BF45" i="50"/>
  <c r="AT45" i="50" s="1"/>
  <c r="S45" i="50"/>
  <c r="I46" i="50"/>
  <c r="BB46" i="48"/>
  <c r="BF45" i="48"/>
  <c r="AT45" i="48" s="1"/>
  <c r="S45" i="48"/>
  <c r="I46" i="48"/>
  <c r="AJ47" i="50"/>
  <c r="AL46" i="50"/>
  <c r="AJ47" i="48"/>
  <c r="AL46" i="48"/>
  <c r="AJ47" i="49"/>
  <c r="AL46" i="49"/>
  <c r="BD48" i="50"/>
  <c r="AT45" i="47"/>
  <c r="BD58" i="49"/>
  <c r="BD58" i="48"/>
  <c r="AF47" i="47"/>
  <c r="AL46" i="47"/>
  <c r="BF46" i="47"/>
  <c r="BB47" i="47"/>
  <c r="S46" i="47"/>
  <c r="I47" i="47"/>
  <c r="AB58" i="24"/>
  <c r="AB59" i="24" s="1"/>
  <c r="AB60" i="24" s="1"/>
  <c r="AT44" i="24"/>
  <c r="BB46" i="24"/>
  <c r="BF46" i="24" s="1"/>
  <c r="AF46" i="24"/>
  <c r="AL46" i="24" s="1"/>
  <c r="M32" i="21"/>
  <c r="K32" i="21"/>
  <c r="BB32" i="21"/>
  <c r="AB33" i="21"/>
  <c r="E33" i="21"/>
  <c r="C34" i="21"/>
  <c r="S28" i="73" l="1"/>
  <c r="BB59" i="74"/>
  <c r="BF58" i="74"/>
  <c r="M59" i="74"/>
  <c r="S58" i="74"/>
  <c r="AF48" i="70"/>
  <c r="AR56" i="74"/>
  <c r="AF58" i="74"/>
  <c r="AH46" i="70"/>
  <c r="AL45" i="70"/>
  <c r="AH56" i="62"/>
  <c r="AL55" i="62"/>
  <c r="AT55" i="62" s="1"/>
  <c r="AH56" i="63"/>
  <c r="AL55" i="63"/>
  <c r="AT55" i="63" s="1"/>
  <c r="AH56" i="61"/>
  <c r="AL55" i="61"/>
  <c r="AT55" i="61" s="1"/>
  <c r="AH56" i="60"/>
  <c r="AL55" i="60"/>
  <c r="AT55" i="60" s="1"/>
  <c r="AH56" i="59"/>
  <c r="AL55" i="59"/>
  <c r="AT55" i="59" s="1"/>
  <c r="AH56" i="74"/>
  <c r="AL55" i="74"/>
  <c r="AT55" i="74" s="1"/>
  <c r="M58" i="61"/>
  <c r="S57" i="61"/>
  <c r="BB58" i="61"/>
  <c r="BF57" i="61"/>
  <c r="AF58" i="59"/>
  <c r="BF57" i="60"/>
  <c r="BB58" i="60"/>
  <c r="AF58" i="60"/>
  <c r="BB47" i="68"/>
  <c r="BF46" i="68"/>
  <c r="AF58" i="62"/>
  <c r="AT45" i="68"/>
  <c r="M58" i="63"/>
  <c r="S57" i="63"/>
  <c r="S46" i="68"/>
  <c r="I47" i="68"/>
  <c r="BB58" i="62"/>
  <c r="BF57" i="62"/>
  <c r="AF58" i="61"/>
  <c r="AF47" i="68"/>
  <c r="AL46" i="68"/>
  <c r="M58" i="59"/>
  <c r="S57" i="59"/>
  <c r="AF58" i="63"/>
  <c r="BB58" i="59"/>
  <c r="BF57" i="59"/>
  <c r="M58" i="62"/>
  <c r="S57" i="62"/>
  <c r="BF57" i="63"/>
  <c r="BB58" i="63"/>
  <c r="BB47" i="69"/>
  <c r="BB59" i="57"/>
  <c r="BF58" i="57"/>
  <c r="AH59" i="30"/>
  <c r="M60" i="57"/>
  <c r="BB58" i="58"/>
  <c r="BF57" i="58"/>
  <c r="AF59" i="57"/>
  <c r="AF58" i="58"/>
  <c r="AH58" i="31"/>
  <c r="M58" i="58"/>
  <c r="AF61" i="31"/>
  <c r="AR60" i="31"/>
  <c r="M60" i="31"/>
  <c r="BF61" i="31"/>
  <c r="BB47" i="49"/>
  <c r="BF46" i="49"/>
  <c r="AT46" i="49" s="1"/>
  <c r="BB47" i="48"/>
  <c r="BF46" i="48"/>
  <c r="AT46" i="48" s="1"/>
  <c r="S46" i="49"/>
  <c r="I47" i="49"/>
  <c r="S46" i="48"/>
  <c r="I47" i="48"/>
  <c r="BB47" i="50"/>
  <c r="BF46" i="50"/>
  <c r="AT46" i="50" s="1"/>
  <c r="S46" i="50"/>
  <c r="I47" i="50"/>
  <c r="AJ48" i="50"/>
  <c r="AL47" i="50"/>
  <c r="AJ58" i="49"/>
  <c r="AL47" i="49"/>
  <c r="AL58" i="49" s="1"/>
  <c r="AJ58" i="48"/>
  <c r="AL47" i="48"/>
  <c r="AL58" i="48" s="1"/>
  <c r="BD58" i="50"/>
  <c r="BF47" i="47"/>
  <c r="BF58" i="47" s="1"/>
  <c r="BB58" i="47"/>
  <c r="AT46" i="47"/>
  <c r="S47" i="47"/>
  <c r="I58" i="47"/>
  <c r="AL47" i="47"/>
  <c r="AF58" i="47"/>
  <c r="AB61" i="24"/>
  <c r="AT45" i="24"/>
  <c r="BB47" i="24"/>
  <c r="AF47" i="24"/>
  <c r="O47" i="21"/>
  <c r="C47" i="21"/>
  <c r="Q47" i="21"/>
  <c r="S47" i="21"/>
  <c r="AO47" i="21"/>
  <c r="M33" i="21"/>
  <c r="K33" i="21"/>
  <c r="AB34" i="21"/>
  <c r="BB33" i="21"/>
  <c r="C35" i="21"/>
  <c r="E34" i="21"/>
  <c r="AT46" i="68" l="1"/>
  <c r="M60" i="74"/>
  <c r="S59" i="74"/>
  <c r="BF59" i="74"/>
  <c r="BB60" i="74"/>
  <c r="AH57" i="74"/>
  <c r="AL56" i="74"/>
  <c r="AT56" i="74" s="1"/>
  <c r="AH57" i="62"/>
  <c r="AL56" i="62"/>
  <c r="AT56" i="62" s="1"/>
  <c r="AF59" i="74"/>
  <c r="AF49" i="70"/>
  <c r="AH57" i="60"/>
  <c r="AL56" i="60"/>
  <c r="AT56" i="60" s="1"/>
  <c r="AH57" i="63"/>
  <c r="AL56" i="63"/>
  <c r="AT56" i="63" s="1"/>
  <c r="AH47" i="70"/>
  <c r="AL46" i="70"/>
  <c r="AR57" i="74"/>
  <c r="AH57" i="59"/>
  <c r="AL56" i="59"/>
  <c r="AT56" i="59" s="1"/>
  <c r="AH57" i="61"/>
  <c r="AL56" i="61"/>
  <c r="AT56" i="61" s="1"/>
  <c r="AF48" i="68"/>
  <c r="AL47" i="68"/>
  <c r="BF58" i="62"/>
  <c r="BB59" i="62"/>
  <c r="AF59" i="62"/>
  <c r="BB48" i="69"/>
  <c r="BF58" i="59"/>
  <c r="BB59" i="59"/>
  <c r="M59" i="59"/>
  <c r="S58" i="59"/>
  <c r="AF59" i="61"/>
  <c r="AF59" i="60"/>
  <c r="AF59" i="59"/>
  <c r="M59" i="63"/>
  <c r="S58" i="63"/>
  <c r="BB59" i="60"/>
  <c r="BF58" i="60"/>
  <c r="S58" i="61"/>
  <c r="M59" i="61"/>
  <c r="BB59" i="63"/>
  <c r="BF58" i="63"/>
  <c r="M59" i="62"/>
  <c r="S58" i="62"/>
  <c r="AF59" i="63"/>
  <c r="S47" i="68"/>
  <c r="I48" i="68"/>
  <c r="BF47" i="68"/>
  <c r="BB48" i="68"/>
  <c r="BF58" i="61"/>
  <c r="BB59" i="61"/>
  <c r="M59" i="58"/>
  <c r="BF58" i="58"/>
  <c r="BB59" i="58"/>
  <c r="AH60" i="30"/>
  <c r="AH59" i="31"/>
  <c r="AF59" i="58"/>
  <c r="AF60" i="57"/>
  <c r="M61" i="57"/>
  <c r="BB60" i="57"/>
  <c r="BF59" i="57"/>
  <c r="AF62" i="31"/>
  <c r="M61" i="31"/>
  <c r="BF62" i="31"/>
  <c r="AR61" i="31"/>
  <c r="BB48" i="50"/>
  <c r="BF47" i="50"/>
  <c r="AT47" i="50" s="1"/>
  <c r="S47" i="49"/>
  <c r="S58" i="49" s="1"/>
  <c r="G46" i="32" s="1"/>
  <c r="I58" i="49"/>
  <c r="BB58" i="48"/>
  <c r="BF47" i="48"/>
  <c r="I48" i="50"/>
  <c r="S47" i="50"/>
  <c r="S47" i="48"/>
  <c r="S58" i="48" s="1"/>
  <c r="G45" i="32" s="1"/>
  <c r="I58" i="48"/>
  <c r="BB58" i="49"/>
  <c r="BF47" i="49"/>
  <c r="BF58" i="49" s="1"/>
  <c r="AL48" i="50"/>
  <c r="AL58" i="50" s="1"/>
  <c r="AJ58" i="50"/>
  <c r="S58" i="47"/>
  <c r="G44" i="32" s="1"/>
  <c r="AT47" i="47"/>
  <c r="AL58" i="47"/>
  <c r="AF65" i="24"/>
  <c r="AL65" i="24" s="1"/>
  <c r="AL47" i="24"/>
  <c r="BB65" i="24"/>
  <c r="BF65" i="24" s="1"/>
  <c r="BF47" i="24"/>
  <c r="AT46" i="24"/>
  <c r="AB62" i="24"/>
  <c r="BB48" i="24"/>
  <c r="BF48" i="24" s="1"/>
  <c r="AF48" i="24"/>
  <c r="AL48" i="24" s="1"/>
  <c r="M34" i="21"/>
  <c r="C36" i="21"/>
  <c r="E35" i="21"/>
  <c r="K34" i="21"/>
  <c r="BB34" i="21"/>
  <c r="AB35" i="21"/>
  <c r="M61" i="74" l="1"/>
  <c r="S60" i="74"/>
  <c r="BF60" i="74"/>
  <c r="BB61" i="74"/>
  <c r="AR58" i="74"/>
  <c r="AH58" i="61"/>
  <c r="AL57" i="61"/>
  <c r="AT57" i="61" s="1"/>
  <c r="AH58" i="63"/>
  <c r="AL57" i="63"/>
  <c r="AT57" i="63" s="1"/>
  <c r="AF50" i="70"/>
  <c r="AH58" i="62"/>
  <c r="AL57" i="62"/>
  <c r="AT57" i="62" s="1"/>
  <c r="AH48" i="70"/>
  <c r="AL47" i="70"/>
  <c r="AF60" i="74"/>
  <c r="AH58" i="59"/>
  <c r="AL57" i="59"/>
  <c r="AT57" i="59" s="1"/>
  <c r="AH58" i="60"/>
  <c r="AL57" i="60"/>
  <c r="AT57" i="60" s="1"/>
  <c r="AH58" i="74"/>
  <c r="AL57" i="74"/>
  <c r="AT57" i="74" s="1"/>
  <c r="BF59" i="61"/>
  <c r="BB60" i="61"/>
  <c r="S59" i="61"/>
  <c r="M60" i="61"/>
  <c r="BF59" i="60"/>
  <c r="BB60" i="60"/>
  <c r="M60" i="63"/>
  <c r="S59" i="63"/>
  <c r="AF60" i="62"/>
  <c r="AT47" i="68"/>
  <c r="S59" i="62"/>
  <c r="M60" i="62"/>
  <c r="AF60" i="60"/>
  <c r="M60" i="59"/>
  <c r="S59" i="59"/>
  <c r="BB49" i="69"/>
  <c r="AF49" i="68"/>
  <c r="AL48" i="68"/>
  <c r="AF60" i="61"/>
  <c r="BB60" i="59"/>
  <c r="BF59" i="59"/>
  <c r="BF59" i="62"/>
  <c r="BB60" i="62"/>
  <c r="BF48" i="68"/>
  <c r="BB49" i="68"/>
  <c r="I49" i="68"/>
  <c r="S48" i="68"/>
  <c r="AF60" i="63"/>
  <c r="BB60" i="63"/>
  <c r="BF59" i="63"/>
  <c r="AF60" i="59"/>
  <c r="AH60" i="31"/>
  <c r="AF61" i="57"/>
  <c r="AF60" i="58"/>
  <c r="M62" i="57"/>
  <c r="BB61" i="57"/>
  <c r="BF60" i="57"/>
  <c r="AH61" i="30"/>
  <c r="AT47" i="49"/>
  <c r="AT58" i="49" s="1"/>
  <c r="BB60" i="58"/>
  <c r="BF59" i="58"/>
  <c r="M60" i="58"/>
  <c r="AF63" i="31"/>
  <c r="M62" i="31"/>
  <c r="BF63" i="31"/>
  <c r="AR62" i="31"/>
  <c r="BB58" i="50"/>
  <c r="BF48" i="50"/>
  <c r="BF58" i="50" s="1"/>
  <c r="S48" i="50"/>
  <c r="S58" i="50" s="1"/>
  <c r="G49" i="32" s="1"/>
  <c r="I58" i="50"/>
  <c r="BF58" i="48"/>
  <c r="AT47" i="48"/>
  <c r="AT58" i="47"/>
  <c r="AT65" i="24"/>
  <c r="AT47" i="24"/>
  <c r="AB63" i="24"/>
  <c r="BB49" i="24"/>
  <c r="BF49" i="24" s="1"/>
  <c r="AF49" i="24"/>
  <c r="AL49" i="24" s="1"/>
  <c r="M35" i="21"/>
  <c r="K35" i="21"/>
  <c r="C37" i="21"/>
  <c r="E36" i="21"/>
  <c r="AB36" i="21"/>
  <c r="BB35" i="21"/>
  <c r="S61" i="74" l="1"/>
  <c r="M62" i="74"/>
  <c r="BF61" i="74"/>
  <c r="BB62" i="74"/>
  <c r="AF51" i="70"/>
  <c r="AH59" i="74"/>
  <c r="AL58" i="74"/>
  <c r="AT58" i="74" s="1"/>
  <c r="AH59" i="59"/>
  <c r="AL58" i="59"/>
  <c r="AT58" i="59" s="1"/>
  <c r="AH49" i="70"/>
  <c r="AL48" i="70"/>
  <c r="AF61" i="74"/>
  <c r="AH59" i="62"/>
  <c r="AL58" i="62"/>
  <c r="AT58" i="62" s="1"/>
  <c r="AH59" i="63"/>
  <c r="AL58" i="63"/>
  <c r="AT58" i="63" s="1"/>
  <c r="AH59" i="61"/>
  <c r="AL58" i="61"/>
  <c r="AT58" i="61" s="1"/>
  <c r="AH59" i="60"/>
  <c r="AL58" i="60"/>
  <c r="AT58" i="60" s="1"/>
  <c r="AR59" i="74"/>
  <c r="AF61" i="59"/>
  <c r="BB61" i="63"/>
  <c r="BF60" i="63"/>
  <c r="I50" i="68"/>
  <c r="S49" i="68"/>
  <c r="BB50" i="69"/>
  <c r="AF61" i="60"/>
  <c r="M61" i="61"/>
  <c r="S60" i="61"/>
  <c r="AF61" i="63"/>
  <c r="BB50" i="68"/>
  <c r="BF49" i="68"/>
  <c r="M61" i="63"/>
  <c r="S60" i="63"/>
  <c r="BF60" i="59"/>
  <c r="BB61" i="59"/>
  <c r="AT48" i="68"/>
  <c r="S60" i="62"/>
  <c r="M61" i="62"/>
  <c r="BB61" i="60"/>
  <c r="BF60" i="60"/>
  <c r="BF60" i="61"/>
  <c r="BB61" i="61"/>
  <c r="BB61" i="62"/>
  <c r="BF60" i="62"/>
  <c r="AF61" i="61"/>
  <c r="AF50" i="68"/>
  <c r="AL49" i="68"/>
  <c r="AT49" i="68" s="1"/>
  <c r="M61" i="59"/>
  <c r="S60" i="59"/>
  <c r="AF61" i="62"/>
  <c r="AH62" i="30"/>
  <c r="M63" i="57"/>
  <c r="M61" i="58"/>
  <c r="AF62" i="57"/>
  <c r="BF60" i="58"/>
  <c r="BB61" i="58"/>
  <c r="BB62" i="57"/>
  <c r="BF61" i="57"/>
  <c r="AF61" i="58"/>
  <c r="AH61" i="31"/>
  <c r="AF64" i="31"/>
  <c r="AR63" i="31"/>
  <c r="BF64" i="31"/>
  <c r="M63" i="31"/>
  <c r="AT48" i="50"/>
  <c r="AT58" i="50" s="1"/>
  <c r="AT58" i="48"/>
  <c r="AB64" i="24"/>
  <c r="AF50" i="24"/>
  <c r="AL50" i="24" s="1"/>
  <c r="AT48" i="24"/>
  <c r="BB50" i="24"/>
  <c r="BF50" i="24" s="1"/>
  <c r="K36" i="21"/>
  <c r="G41" i="21"/>
  <c r="AD41" i="21" s="1"/>
  <c r="G33" i="21"/>
  <c r="AD33" i="21" s="1"/>
  <c r="AD28" i="21"/>
  <c r="G38" i="21"/>
  <c r="AD38" i="21" s="1"/>
  <c r="G32" i="21"/>
  <c r="AD32" i="21" s="1"/>
  <c r="G36" i="21"/>
  <c r="AD36" i="21" s="1"/>
  <c r="G30" i="21"/>
  <c r="AD30" i="21" s="1"/>
  <c r="G29" i="21"/>
  <c r="AD29" i="21" s="1"/>
  <c r="G31" i="21"/>
  <c r="AD31" i="21" s="1"/>
  <c r="G42" i="21"/>
  <c r="AD42" i="21" s="1"/>
  <c r="G34" i="21"/>
  <c r="AD34" i="21" s="1"/>
  <c r="G39" i="21"/>
  <c r="AD39" i="21" s="1"/>
  <c r="G37" i="21"/>
  <c r="AD37" i="21" s="1"/>
  <c r="G35" i="21"/>
  <c r="AD35" i="21" s="1"/>
  <c r="G40" i="21"/>
  <c r="AD40" i="21" s="1"/>
  <c r="BB36" i="21"/>
  <c r="AB37" i="21"/>
  <c r="M36" i="21"/>
  <c r="E37" i="21"/>
  <c r="C38" i="21"/>
  <c r="M63" i="74" l="1"/>
  <c r="S62" i="74"/>
  <c r="BB63" i="74"/>
  <c r="BF62" i="74"/>
  <c r="AH60" i="59"/>
  <c r="AL59" i="59"/>
  <c r="AT59" i="59" s="1"/>
  <c r="AH60" i="61"/>
  <c r="AL59" i="61"/>
  <c r="AT59" i="61" s="1"/>
  <c r="AH60" i="62"/>
  <c r="AL59" i="62"/>
  <c r="AT59" i="62" s="1"/>
  <c r="AH50" i="70"/>
  <c r="AL49" i="70"/>
  <c r="AH60" i="74"/>
  <c r="AL59" i="74"/>
  <c r="AT59" i="74" s="1"/>
  <c r="AF52" i="70"/>
  <c r="AR60" i="74"/>
  <c r="AH60" i="60"/>
  <c r="AL59" i="60"/>
  <c r="AT59" i="60" s="1"/>
  <c r="AH60" i="63"/>
  <c r="AL59" i="63"/>
  <c r="AT59" i="63" s="1"/>
  <c r="AF62" i="74"/>
  <c r="S61" i="59"/>
  <c r="M62" i="59"/>
  <c r="BB62" i="61"/>
  <c r="BF61" i="61"/>
  <c r="S61" i="62"/>
  <c r="M62" i="62"/>
  <c r="M62" i="63"/>
  <c r="S61" i="63"/>
  <c r="BF50" i="68"/>
  <c r="BB51" i="68"/>
  <c r="M62" i="61"/>
  <c r="S61" i="61"/>
  <c r="BB62" i="59"/>
  <c r="BF61" i="59"/>
  <c r="AF62" i="60"/>
  <c r="BB62" i="63"/>
  <c r="BF61" i="63"/>
  <c r="AF62" i="62"/>
  <c r="AL50" i="68"/>
  <c r="AF51" i="68"/>
  <c r="BB62" i="62"/>
  <c r="BF61" i="62"/>
  <c r="AF62" i="63"/>
  <c r="AF62" i="59"/>
  <c r="AF62" i="61"/>
  <c r="BF61" i="60"/>
  <c r="BB62" i="60"/>
  <c r="BB51" i="69"/>
  <c r="I51" i="68"/>
  <c r="S50" i="68"/>
  <c r="M64" i="57"/>
  <c r="AF63" i="57"/>
  <c r="AH62" i="31"/>
  <c r="BB63" i="57"/>
  <c r="BF62" i="57"/>
  <c r="AF62" i="58"/>
  <c r="BF61" i="58"/>
  <c r="BB62" i="58"/>
  <c r="M62" i="58"/>
  <c r="AH63" i="30"/>
  <c r="AF65" i="31"/>
  <c r="BF65" i="31"/>
  <c r="M64" i="31"/>
  <c r="AR64" i="31"/>
  <c r="AB65" i="24"/>
  <c r="AF51" i="24"/>
  <c r="BB51" i="24"/>
  <c r="AT49" i="24"/>
  <c r="I28" i="21"/>
  <c r="I29" i="21" s="1"/>
  <c r="I30" i="21" s="1"/>
  <c r="I31" i="21" s="1"/>
  <c r="I32" i="21" s="1"/>
  <c r="I33" i="21" s="1"/>
  <c r="I34" i="21" s="1"/>
  <c r="I35" i="21" s="1"/>
  <c r="I36" i="21" s="1"/>
  <c r="I37" i="21" s="1"/>
  <c r="AD47" i="21"/>
  <c r="G47" i="21"/>
  <c r="BB37" i="21"/>
  <c r="M37" i="21"/>
  <c r="AB38" i="21"/>
  <c r="K37" i="21"/>
  <c r="C39" i="21"/>
  <c r="E38" i="21"/>
  <c r="BB64" i="74" l="1"/>
  <c r="BF63" i="74"/>
  <c r="M64" i="74"/>
  <c r="S63" i="74"/>
  <c r="AH61" i="63"/>
  <c r="AL60" i="63"/>
  <c r="AT60" i="63" s="1"/>
  <c r="AR61" i="74"/>
  <c r="AF53" i="70"/>
  <c r="AH51" i="70"/>
  <c r="AL50" i="70"/>
  <c r="AH61" i="62"/>
  <c r="AL60" i="62"/>
  <c r="AT60" i="62" s="1"/>
  <c r="AT50" i="68"/>
  <c r="AF63" i="74"/>
  <c r="AH61" i="60"/>
  <c r="AL60" i="60"/>
  <c r="AT60" i="60" s="1"/>
  <c r="AH61" i="74"/>
  <c r="AL60" i="74"/>
  <c r="AT60" i="74" s="1"/>
  <c r="AH61" i="61"/>
  <c r="AL60" i="61"/>
  <c r="AT60" i="61" s="1"/>
  <c r="AH61" i="59"/>
  <c r="AL60" i="59"/>
  <c r="AT60" i="59" s="1"/>
  <c r="BB52" i="69"/>
  <c r="AF63" i="59"/>
  <c r="BF62" i="62"/>
  <c r="BB63" i="62"/>
  <c r="M63" i="61"/>
  <c r="S62" i="61"/>
  <c r="M63" i="63"/>
  <c r="S62" i="63"/>
  <c r="BB63" i="61"/>
  <c r="BF62" i="61"/>
  <c r="AL51" i="68"/>
  <c r="AF52" i="68"/>
  <c r="BB52" i="68"/>
  <c r="BF51" i="68"/>
  <c r="M63" i="62"/>
  <c r="S62" i="62"/>
  <c r="S62" i="59"/>
  <c r="M63" i="59"/>
  <c r="S51" i="68"/>
  <c r="I52" i="68"/>
  <c r="AF63" i="61"/>
  <c r="BB63" i="63"/>
  <c r="BF62" i="63"/>
  <c r="BF62" i="59"/>
  <c r="BB63" i="59"/>
  <c r="BF62" i="60"/>
  <c r="BB63" i="60"/>
  <c r="AF63" i="63"/>
  <c r="AF63" i="62"/>
  <c r="AF63" i="60"/>
  <c r="AH64" i="30"/>
  <c r="AH63" i="31"/>
  <c r="BF62" i="58"/>
  <c r="BB63" i="58"/>
  <c r="AF64" i="57"/>
  <c r="M65" i="57"/>
  <c r="AF63" i="58"/>
  <c r="M63" i="58"/>
  <c r="BB64" i="57"/>
  <c r="BF63" i="57"/>
  <c r="AF66" i="31"/>
  <c r="M65" i="31"/>
  <c r="AR65" i="31"/>
  <c r="BF66" i="31"/>
  <c r="BB52" i="24"/>
  <c r="BF52" i="24" s="1"/>
  <c r="BF51" i="24"/>
  <c r="AF52" i="24"/>
  <c r="AL52" i="24" s="1"/>
  <c r="AL51" i="24"/>
  <c r="AB66" i="24"/>
  <c r="AT50" i="24"/>
  <c r="BB69" i="24"/>
  <c r="BF69" i="24" s="1"/>
  <c r="AF69" i="24"/>
  <c r="AL69" i="24" s="1"/>
  <c r="M38" i="21"/>
  <c r="C40" i="21"/>
  <c r="E39" i="21"/>
  <c r="K38" i="21"/>
  <c r="AB39" i="21"/>
  <c r="BB38" i="21"/>
  <c r="I38" i="21"/>
  <c r="M65" i="74" l="1"/>
  <c r="S64" i="74"/>
  <c r="BF64" i="74"/>
  <c r="BB65" i="74"/>
  <c r="AF64" i="74"/>
  <c r="AH52" i="70"/>
  <c r="AL51" i="70"/>
  <c r="AR62" i="74"/>
  <c r="AH62" i="59"/>
  <c r="AL61" i="59"/>
  <c r="AT61" i="59" s="1"/>
  <c r="AH62" i="74"/>
  <c r="AL61" i="74"/>
  <c r="AT61" i="74" s="1"/>
  <c r="AF54" i="70"/>
  <c r="AH62" i="62"/>
  <c r="AL61" i="62"/>
  <c r="AT61" i="62" s="1"/>
  <c r="AH62" i="63"/>
  <c r="AL61" i="63"/>
  <c r="AT61" i="63" s="1"/>
  <c r="AH62" i="61"/>
  <c r="AL61" i="61"/>
  <c r="AT61" i="61" s="1"/>
  <c r="AH62" i="60"/>
  <c r="AL61" i="60"/>
  <c r="AT61" i="60" s="1"/>
  <c r="BB64" i="60"/>
  <c r="BF63" i="60"/>
  <c r="I53" i="68"/>
  <c r="S52" i="68"/>
  <c r="AT51" i="68"/>
  <c r="BB64" i="61"/>
  <c r="BF63" i="61"/>
  <c r="M64" i="61"/>
  <c r="S63" i="61"/>
  <c r="AF64" i="59"/>
  <c r="AF53" i="68"/>
  <c r="AL52" i="68"/>
  <c r="AF64" i="62"/>
  <c r="BF63" i="63"/>
  <c r="BB64" i="63"/>
  <c r="M64" i="62"/>
  <c r="S63" i="62"/>
  <c r="BF63" i="62"/>
  <c r="BB64" i="62"/>
  <c r="AF64" i="60"/>
  <c r="AF64" i="63"/>
  <c r="BB64" i="59"/>
  <c r="BF63" i="59"/>
  <c r="S63" i="59"/>
  <c r="M64" i="59"/>
  <c r="M64" i="63"/>
  <c r="S63" i="63"/>
  <c r="AF64" i="61"/>
  <c r="BF52" i="68"/>
  <c r="BB53" i="68"/>
  <c r="BB53" i="69"/>
  <c r="M64" i="58"/>
  <c r="BB64" i="58"/>
  <c r="BF63" i="58"/>
  <c r="M66" i="57"/>
  <c r="BB65" i="57"/>
  <c r="BF64" i="57"/>
  <c r="AF64" i="58"/>
  <c r="AF65" i="57"/>
  <c r="AH64" i="31"/>
  <c r="AH65" i="30"/>
  <c r="AF67" i="31"/>
  <c r="AR66" i="31"/>
  <c r="M66" i="31"/>
  <c r="BF67" i="31"/>
  <c r="BB53" i="24"/>
  <c r="BF53" i="24" s="1"/>
  <c r="AF53" i="24"/>
  <c r="AL53" i="24" s="1"/>
  <c r="AB67" i="24"/>
  <c r="AT51" i="24"/>
  <c r="AT52" i="24"/>
  <c r="K39" i="21"/>
  <c r="BB39" i="21"/>
  <c r="I39" i="21"/>
  <c r="C41" i="21"/>
  <c r="E40" i="21"/>
  <c r="AB40" i="21"/>
  <c r="M39" i="21"/>
  <c r="BF65" i="74" l="1"/>
  <c r="BB66" i="74"/>
  <c r="M66" i="74"/>
  <c r="S65" i="74"/>
  <c r="AH63" i="60"/>
  <c r="AL62" i="60"/>
  <c r="AT62" i="60" s="1"/>
  <c r="AH63" i="62"/>
  <c r="AL62" i="62"/>
  <c r="AT62" i="62" s="1"/>
  <c r="AH63" i="74"/>
  <c r="AL62" i="74"/>
  <c r="AT62" i="74" s="1"/>
  <c r="AR63" i="74"/>
  <c r="AH63" i="61"/>
  <c r="AL62" i="61"/>
  <c r="AT62" i="61" s="1"/>
  <c r="AF55" i="70"/>
  <c r="AF65" i="74"/>
  <c r="AH63" i="63"/>
  <c r="AL62" i="63"/>
  <c r="AT62" i="63" s="1"/>
  <c r="AH63" i="59"/>
  <c r="AL62" i="59"/>
  <c r="AT62" i="59" s="1"/>
  <c r="AH53" i="70"/>
  <c r="AL52" i="70"/>
  <c r="BF64" i="59"/>
  <c r="BB65" i="59"/>
  <c r="AF65" i="60"/>
  <c r="AF65" i="59"/>
  <c r="S53" i="68"/>
  <c r="I54" i="68"/>
  <c r="AF65" i="61"/>
  <c r="M65" i="63"/>
  <c r="S64" i="63"/>
  <c r="M65" i="59"/>
  <c r="S64" i="59"/>
  <c r="BB65" i="62"/>
  <c r="BF64" i="62"/>
  <c r="BF64" i="61"/>
  <c r="BB65" i="61"/>
  <c r="BB64" i="69"/>
  <c r="AF65" i="63"/>
  <c r="M65" i="62"/>
  <c r="S64" i="62"/>
  <c r="AF65" i="62"/>
  <c r="AT52" i="68"/>
  <c r="BF53" i="68"/>
  <c r="BB54" i="68"/>
  <c r="BF64" i="63"/>
  <c r="BB65" i="63"/>
  <c r="AF54" i="68"/>
  <c r="AL53" i="68"/>
  <c r="M65" i="61"/>
  <c r="S64" i="61"/>
  <c r="BB65" i="60"/>
  <c r="BF64" i="60"/>
  <c r="AH65" i="31"/>
  <c r="AF66" i="57"/>
  <c r="AH66" i="30"/>
  <c r="BB66" i="57"/>
  <c r="BF65" i="57"/>
  <c r="AF65" i="58"/>
  <c r="M67" i="57"/>
  <c r="BF64" i="58"/>
  <c r="BB65" i="58"/>
  <c r="M65" i="58"/>
  <c r="AF68" i="31"/>
  <c r="M67" i="31"/>
  <c r="AR67" i="31"/>
  <c r="BF68" i="31"/>
  <c r="AF54" i="24"/>
  <c r="AL54" i="24" s="1"/>
  <c r="BB54" i="24"/>
  <c r="BF54" i="24" s="1"/>
  <c r="AB68" i="24"/>
  <c r="AT53" i="24"/>
  <c r="AT69" i="24"/>
  <c r="K40" i="21"/>
  <c r="C42" i="21"/>
  <c r="E42" i="21" s="1"/>
  <c r="E41" i="21"/>
  <c r="BB40" i="21"/>
  <c r="M40" i="21"/>
  <c r="AB41" i="21"/>
  <c r="I40" i="21"/>
  <c r="AT53" i="68" l="1"/>
  <c r="M67" i="74"/>
  <c r="S66" i="74"/>
  <c r="BB67" i="74"/>
  <c r="BF66" i="74"/>
  <c r="AF66" i="74"/>
  <c r="AF56" i="70"/>
  <c r="AH64" i="74"/>
  <c r="AL63" i="74"/>
  <c r="AT63" i="74" s="1"/>
  <c r="AH54" i="70"/>
  <c r="AL53" i="70"/>
  <c r="AH64" i="63"/>
  <c r="AL63" i="63"/>
  <c r="AT63" i="63" s="1"/>
  <c r="AH64" i="61"/>
  <c r="AL63" i="61"/>
  <c r="AT63" i="61" s="1"/>
  <c r="AR64" i="74"/>
  <c r="AH64" i="62"/>
  <c r="AL63" i="62"/>
  <c r="AT63" i="62" s="1"/>
  <c r="AH64" i="60"/>
  <c r="AL63" i="60"/>
  <c r="AT63" i="60" s="1"/>
  <c r="AH64" i="59"/>
  <c r="AL63" i="59"/>
  <c r="AT63" i="59" s="1"/>
  <c r="S65" i="62"/>
  <c r="M66" i="62"/>
  <c r="M66" i="61"/>
  <c r="S65" i="61"/>
  <c r="BF54" i="68"/>
  <c r="BB55" i="68"/>
  <c r="AF66" i="62"/>
  <c r="AF66" i="61"/>
  <c r="AF66" i="63"/>
  <c r="S65" i="59"/>
  <c r="M66" i="59"/>
  <c r="AF66" i="59"/>
  <c r="AF66" i="60"/>
  <c r="BF65" i="63"/>
  <c r="BB66" i="63"/>
  <c r="BF65" i="60"/>
  <c r="BB66" i="60"/>
  <c r="AF55" i="68"/>
  <c r="AL54" i="68"/>
  <c r="BF65" i="61"/>
  <c r="BB66" i="61"/>
  <c r="I55" i="68"/>
  <c r="S54" i="68"/>
  <c r="BB66" i="59"/>
  <c r="BF65" i="59"/>
  <c r="BB66" i="62"/>
  <c r="BF65" i="62"/>
  <c r="M66" i="63"/>
  <c r="S65" i="63"/>
  <c r="AH67" i="30"/>
  <c r="AF67" i="57"/>
  <c r="M68" i="57"/>
  <c r="BF65" i="58"/>
  <c r="BB66" i="58"/>
  <c r="AF66" i="58"/>
  <c r="M66" i="58"/>
  <c r="BB67" i="57"/>
  <c r="BF66" i="57"/>
  <c r="AH66" i="31"/>
  <c r="AF55" i="24"/>
  <c r="AL55" i="24" s="1"/>
  <c r="AF69" i="31"/>
  <c r="AR68" i="31"/>
  <c r="BF69" i="31"/>
  <c r="M68" i="31"/>
  <c r="BB55" i="24"/>
  <c r="BF55" i="24" s="1"/>
  <c r="AB69" i="24"/>
  <c r="AT54" i="24"/>
  <c r="K41" i="21"/>
  <c r="K42" i="21" s="1"/>
  <c r="K47" i="21" s="1"/>
  <c r="AB42" i="21"/>
  <c r="BB41" i="21"/>
  <c r="I41" i="21"/>
  <c r="I42" i="21" s="1"/>
  <c r="I47" i="21" s="1"/>
  <c r="M41" i="21"/>
  <c r="M42" i="21" s="1"/>
  <c r="M47" i="21" s="1"/>
  <c r="BB68" i="74" l="1"/>
  <c r="BF67" i="74"/>
  <c r="AT54" i="68"/>
  <c r="M68" i="74"/>
  <c r="S68" i="74" s="1"/>
  <c r="S67" i="74"/>
  <c r="AH65" i="60"/>
  <c r="AL64" i="60"/>
  <c r="AT64" i="60" s="1"/>
  <c r="AR65" i="74"/>
  <c r="AH55" i="70"/>
  <c r="AL54" i="70"/>
  <c r="AH65" i="74"/>
  <c r="AL64" i="74"/>
  <c r="AT64" i="74" s="1"/>
  <c r="AF57" i="70"/>
  <c r="AH65" i="59"/>
  <c r="AL64" i="59"/>
  <c r="AT64" i="59" s="1"/>
  <c r="AH65" i="62"/>
  <c r="AL64" i="62"/>
  <c r="AT64" i="62" s="1"/>
  <c r="AH65" i="61"/>
  <c r="AL64" i="61"/>
  <c r="AT64" i="61" s="1"/>
  <c r="AH65" i="63"/>
  <c r="AL64" i="63"/>
  <c r="AT64" i="63" s="1"/>
  <c r="AF67" i="74"/>
  <c r="BB67" i="62"/>
  <c r="BF66" i="62"/>
  <c r="AL55" i="68"/>
  <c r="AF56" i="68"/>
  <c r="BF66" i="63"/>
  <c r="BB67" i="63"/>
  <c r="AF67" i="63"/>
  <c r="AF67" i="61"/>
  <c r="S66" i="62"/>
  <c r="M67" i="62"/>
  <c r="S55" i="68"/>
  <c r="I56" i="68"/>
  <c r="BF66" i="60"/>
  <c r="BB67" i="60"/>
  <c r="AF67" i="59"/>
  <c r="AF67" i="62"/>
  <c r="M67" i="59"/>
  <c r="S66" i="59"/>
  <c r="M67" i="63"/>
  <c r="S66" i="63"/>
  <c r="BB67" i="59"/>
  <c r="BF66" i="59"/>
  <c r="BB67" i="61"/>
  <c r="BF66" i="61"/>
  <c r="AF67" i="60"/>
  <c r="BF55" i="68"/>
  <c r="BB56" i="68"/>
  <c r="S66" i="61"/>
  <c r="M67" i="61"/>
  <c r="AF56" i="24"/>
  <c r="AL56" i="24" s="1"/>
  <c r="AF67" i="58"/>
  <c r="BB67" i="58"/>
  <c r="BF66" i="58"/>
  <c r="BB68" i="57"/>
  <c r="BF67" i="57"/>
  <c r="AH67" i="31"/>
  <c r="M67" i="58"/>
  <c r="M69" i="57"/>
  <c r="AH68" i="30"/>
  <c r="AF68" i="57"/>
  <c r="AF70" i="31"/>
  <c r="BF70" i="31"/>
  <c r="BF72" i="31" s="1"/>
  <c r="BB72" i="31"/>
  <c r="AR69" i="31"/>
  <c r="BB56" i="24"/>
  <c r="BF56" i="24" s="1"/>
  <c r="AT55" i="24"/>
  <c r="BB42" i="21"/>
  <c r="S70" i="74" l="1"/>
  <c r="G43" i="32" s="1"/>
  <c r="AF57" i="24"/>
  <c r="AL57" i="24" s="1"/>
  <c r="BF68" i="74"/>
  <c r="BF70" i="74" s="1"/>
  <c r="BB70" i="74"/>
  <c r="AH66" i="61"/>
  <c r="AL65" i="61"/>
  <c r="AT65" i="61" s="1"/>
  <c r="AH66" i="59"/>
  <c r="AL65" i="59"/>
  <c r="AT65" i="59" s="1"/>
  <c r="AH66" i="74"/>
  <c r="AL65" i="74"/>
  <c r="AT65" i="74" s="1"/>
  <c r="AH66" i="60"/>
  <c r="AL65" i="60"/>
  <c r="AT65" i="60" s="1"/>
  <c r="AF68" i="74"/>
  <c r="AH66" i="63"/>
  <c r="AL65" i="63"/>
  <c r="AT65" i="63" s="1"/>
  <c r="AH66" i="62"/>
  <c r="AL65" i="62"/>
  <c r="AT65" i="62" s="1"/>
  <c r="AF68" i="70"/>
  <c r="AH56" i="70"/>
  <c r="AL55" i="70"/>
  <c r="AR66" i="74"/>
  <c r="BF56" i="68"/>
  <c r="BB57" i="68"/>
  <c r="AF68" i="59"/>
  <c r="AF68" i="63"/>
  <c r="AT55" i="68"/>
  <c r="BB68" i="61"/>
  <c r="BF67" i="61"/>
  <c r="M68" i="63"/>
  <c r="S68" i="63" s="1"/>
  <c r="S67" i="63"/>
  <c r="I57" i="68"/>
  <c r="S56" i="68"/>
  <c r="AF68" i="61"/>
  <c r="BF67" i="63"/>
  <c r="BB68" i="63"/>
  <c r="S67" i="61"/>
  <c r="M68" i="61"/>
  <c r="S68" i="61" s="1"/>
  <c r="AF68" i="62"/>
  <c r="AF68" i="60"/>
  <c r="BF67" i="59"/>
  <c r="BB68" i="59"/>
  <c r="S67" i="59"/>
  <c r="M68" i="59"/>
  <c r="BB68" i="60"/>
  <c r="BF67" i="60"/>
  <c r="M68" i="62"/>
  <c r="S68" i="62" s="1"/>
  <c r="S67" i="62"/>
  <c r="AF57" i="68"/>
  <c r="AL56" i="68"/>
  <c r="BB68" i="62"/>
  <c r="BF67" i="62"/>
  <c r="AF69" i="57"/>
  <c r="AF71" i="57" s="1"/>
  <c r="AH69" i="30"/>
  <c r="M68" i="58"/>
  <c r="BB69" i="57"/>
  <c r="BF68" i="57"/>
  <c r="AF72" i="31"/>
  <c r="AH68" i="31"/>
  <c r="BF67" i="58"/>
  <c r="BB68" i="58"/>
  <c r="AF68" i="58"/>
  <c r="AF70" i="58" s="1"/>
  <c r="AR70" i="31"/>
  <c r="BB57" i="24"/>
  <c r="BF57" i="24" s="1"/>
  <c r="AT56" i="24"/>
  <c r="AF58" i="24"/>
  <c r="AL58" i="24" s="1"/>
  <c r="BB47" i="21"/>
  <c r="AH57" i="70" l="1"/>
  <c r="AL56" i="70"/>
  <c r="AH67" i="62"/>
  <c r="AL66" i="62"/>
  <c r="AT66" i="62" s="1"/>
  <c r="AF70" i="74"/>
  <c r="AH67" i="60"/>
  <c r="AL66" i="60"/>
  <c r="AT66" i="60" s="1"/>
  <c r="AH67" i="74"/>
  <c r="AL66" i="74"/>
  <c r="AT66" i="74" s="1"/>
  <c r="AH67" i="61"/>
  <c r="AL66" i="61"/>
  <c r="AT66" i="61" s="1"/>
  <c r="AR67" i="74"/>
  <c r="AH67" i="63"/>
  <c r="AL66" i="63"/>
  <c r="AT66" i="63" s="1"/>
  <c r="AH67" i="59"/>
  <c r="AL66" i="59"/>
  <c r="AT66" i="59" s="1"/>
  <c r="BF68" i="62"/>
  <c r="BF70" i="62" s="1"/>
  <c r="BB70" i="62"/>
  <c r="AT56" i="68"/>
  <c r="BF68" i="59"/>
  <c r="BF70" i="59" s="1"/>
  <c r="BB70" i="59"/>
  <c r="S57" i="68"/>
  <c r="S59" i="68" s="1"/>
  <c r="G52" i="32" s="1"/>
  <c r="I59" i="68"/>
  <c r="BF68" i="61"/>
  <c r="BF70" i="61" s="1"/>
  <c r="BB70" i="61"/>
  <c r="AF70" i="63"/>
  <c r="AF70" i="59"/>
  <c r="AF70" i="62"/>
  <c r="AF70" i="61"/>
  <c r="AL57" i="68"/>
  <c r="AF59" i="68"/>
  <c r="BF68" i="60"/>
  <c r="BF70" i="60" s="1"/>
  <c r="BB70" i="60"/>
  <c r="BF57" i="68"/>
  <c r="BF59" i="68" s="1"/>
  <c r="BB59" i="68"/>
  <c r="AF70" i="60"/>
  <c r="BF68" i="63"/>
  <c r="BF70" i="63" s="1"/>
  <c r="BB70" i="63"/>
  <c r="BF69" i="57"/>
  <c r="BF71" i="57" s="1"/>
  <c r="BB71" i="57"/>
  <c r="AH70" i="30"/>
  <c r="BF68" i="58"/>
  <c r="BF70" i="58" s="1"/>
  <c r="BB70" i="58"/>
  <c r="AH69" i="31"/>
  <c r="AR72" i="31"/>
  <c r="BB58" i="24"/>
  <c r="BF58" i="24" s="1"/>
  <c r="AT57" i="24"/>
  <c r="AF59" i="24"/>
  <c r="AL59" i="24" s="1"/>
  <c r="G15" i="20"/>
  <c r="M28" i="20"/>
  <c r="K28" i="20"/>
  <c r="G29" i="20"/>
  <c r="AD29" i="20" s="1"/>
  <c r="E28" i="20"/>
  <c r="E29" i="20" s="1"/>
  <c r="W26" i="20"/>
  <c r="U26" i="20"/>
  <c r="S26" i="20"/>
  <c r="Q26" i="20"/>
  <c r="O26" i="20"/>
  <c r="M26" i="20"/>
  <c r="K26" i="20"/>
  <c r="AF16" i="20"/>
  <c r="BD15" i="20"/>
  <c r="BD14" i="20"/>
  <c r="C28" i="20"/>
  <c r="AZ28" i="20" s="1"/>
  <c r="A3" i="20"/>
  <c r="A2" i="20"/>
  <c r="A1" i="20"/>
  <c r="BD15" i="14"/>
  <c r="BD14" i="14"/>
  <c r="N71" i="4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I187" i="5"/>
  <c r="BI188" i="5"/>
  <c r="BI189" i="5"/>
  <c r="BI190" i="5"/>
  <c r="BI191" i="5"/>
  <c r="BI192" i="5"/>
  <c r="BI193" i="5"/>
  <c r="BI194" i="5"/>
  <c r="BI195" i="5"/>
  <c r="BI196" i="5"/>
  <c r="BI197" i="5"/>
  <c r="BI198" i="5"/>
  <c r="BI199" i="5"/>
  <c r="BI200" i="5"/>
  <c r="BI201" i="5"/>
  <c r="BI202" i="5"/>
  <c r="BI203" i="5"/>
  <c r="BI204" i="5"/>
  <c r="BI205" i="5"/>
  <c r="BI206" i="5"/>
  <c r="BI207" i="5"/>
  <c r="BI208" i="5"/>
  <c r="BI209" i="5"/>
  <c r="BI210" i="5"/>
  <c r="BI211" i="5"/>
  <c r="BI212" i="5"/>
  <c r="BI213" i="5"/>
  <c r="BI214" i="5"/>
  <c r="BI215" i="5"/>
  <c r="BI216" i="5"/>
  <c r="BI217" i="5"/>
  <c r="BI218" i="5"/>
  <c r="BI219" i="5"/>
  <c r="BI220" i="5"/>
  <c r="BI221" i="5"/>
  <c r="BI222" i="5"/>
  <c r="BI223" i="5"/>
  <c r="BI224" i="5"/>
  <c r="BI225" i="5"/>
  <c r="BI226" i="5"/>
  <c r="BI227" i="5"/>
  <c r="BI228" i="5"/>
  <c r="BI229" i="5"/>
  <c r="BI230" i="5"/>
  <c r="BI231" i="5"/>
  <c r="BI232" i="5"/>
  <c r="BI233" i="5"/>
  <c r="BI234" i="5"/>
  <c r="BI235" i="5"/>
  <c r="BI236" i="5"/>
  <c r="BI237" i="5"/>
  <c r="BI238" i="5"/>
  <c r="BI239" i="5"/>
  <c r="BI240" i="5"/>
  <c r="BI241" i="5"/>
  <c r="BI242" i="5"/>
  <c r="BI243" i="5"/>
  <c r="BI244" i="5"/>
  <c r="BI245" i="5"/>
  <c r="BI246" i="5"/>
  <c r="BI247" i="5"/>
  <c r="BI248" i="5"/>
  <c r="BI249" i="5"/>
  <c r="BI250" i="5"/>
  <c r="BI251" i="5"/>
  <c r="BI252" i="5"/>
  <c r="BI253" i="5"/>
  <c r="BI254" i="5"/>
  <c r="BI255" i="5"/>
  <c r="BI256" i="5"/>
  <c r="BI257" i="5"/>
  <c r="BI258" i="5"/>
  <c r="BI259" i="5"/>
  <c r="BI260" i="5"/>
  <c r="BI261" i="5"/>
  <c r="BI262" i="5"/>
  <c r="BI263" i="5"/>
  <c r="BI264" i="5"/>
  <c r="BI265" i="5"/>
  <c r="BI266" i="5"/>
  <c r="BI267" i="5"/>
  <c r="BI268" i="5"/>
  <c r="BI269" i="5"/>
  <c r="BI270" i="5"/>
  <c r="BI271" i="5"/>
  <c r="BI272" i="5"/>
  <c r="BI273" i="5"/>
  <c r="BI274" i="5"/>
  <c r="BI275" i="5"/>
  <c r="BI276" i="5"/>
  <c r="BI277" i="5"/>
  <c r="BI278" i="5"/>
  <c r="BI279" i="5"/>
  <c r="BI280" i="5"/>
  <c r="BI281" i="5"/>
  <c r="BI282" i="5"/>
  <c r="BI283" i="5"/>
  <c r="BI284" i="5"/>
  <c r="BI285" i="5"/>
  <c r="BI286" i="5"/>
  <c r="BI287" i="5"/>
  <c r="BI288" i="5"/>
  <c r="BI289" i="5"/>
  <c r="BI290" i="5"/>
  <c r="BI291" i="5"/>
  <c r="BI292" i="5"/>
  <c r="BI293" i="5"/>
  <c r="BI294" i="5"/>
  <c r="BI295" i="5"/>
  <c r="BI296" i="5"/>
  <c r="BI297" i="5"/>
  <c r="BI298" i="5"/>
  <c r="BI299" i="5"/>
  <c r="BI300" i="5"/>
  <c r="BI301" i="5"/>
  <c r="BI302" i="5"/>
  <c r="BI303" i="5"/>
  <c r="BI304" i="5"/>
  <c r="BI305" i="5"/>
  <c r="BI306" i="5"/>
  <c r="BI307" i="5"/>
  <c r="BI308" i="5"/>
  <c r="BI309" i="5"/>
  <c r="BI310" i="5"/>
  <c r="BI311" i="5"/>
  <c r="BI312" i="5"/>
  <c r="BI313" i="5"/>
  <c r="BI314" i="5"/>
  <c r="BI315" i="5"/>
  <c r="BI316" i="5"/>
  <c r="BI317" i="5"/>
  <c r="BI318" i="5"/>
  <c r="BI319" i="5"/>
  <c r="BI320" i="5"/>
  <c r="BI321" i="5"/>
  <c r="BI322" i="5"/>
  <c r="BI323" i="5"/>
  <c r="BI324" i="5"/>
  <c r="BI325" i="5"/>
  <c r="BI326" i="5"/>
  <c r="BI327" i="5"/>
  <c r="BI328" i="5"/>
  <c r="BI329" i="5"/>
  <c r="BI330" i="5"/>
  <c r="BI331" i="5"/>
  <c r="BI332" i="5"/>
  <c r="BI333" i="5"/>
  <c r="BI334" i="5"/>
  <c r="BI335" i="5"/>
  <c r="BI336" i="5"/>
  <c r="BI337" i="5"/>
  <c r="BI338" i="5"/>
  <c r="BI339" i="5"/>
  <c r="BI340" i="5"/>
  <c r="BI341" i="5"/>
  <c r="BI342" i="5"/>
  <c r="BI343" i="5"/>
  <c r="BI344" i="5"/>
  <c r="BI345" i="5"/>
  <c r="BI346" i="5"/>
  <c r="BI347" i="5"/>
  <c r="BI348" i="5"/>
  <c r="BI349" i="5"/>
  <c r="BI350" i="5"/>
  <c r="BI351" i="5"/>
  <c r="BI352" i="5"/>
  <c r="BI353" i="5"/>
  <c r="BI354" i="5"/>
  <c r="BI355" i="5"/>
  <c r="BI356" i="5"/>
  <c r="BI357" i="5"/>
  <c r="BI358" i="5"/>
  <c r="BI359" i="5"/>
  <c r="BI360" i="5"/>
  <c r="BI361" i="5"/>
  <c r="BI362" i="5"/>
  <c r="BI363" i="5"/>
  <c r="BI364" i="5"/>
  <c r="BI365" i="5"/>
  <c r="BI366" i="5"/>
  <c r="BI367" i="5"/>
  <c r="BI368" i="5"/>
  <c r="BI369" i="5"/>
  <c r="BI370" i="5"/>
  <c r="BI371" i="5"/>
  <c r="BI372" i="5"/>
  <c r="BI373" i="5"/>
  <c r="BI374" i="5"/>
  <c r="BI375" i="5"/>
  <c r="BI376" i="5"/>
  <c r="BI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2" i="5"/>
  <c r="BG213" i="5"/>
  <c r="BG214" i="5"/>
  <c r="BG215" i="5"/>
  <c r="BG216" i="5"/>
  <c r="BG217" i="5"/>
  <c r="BG218" i="5"/>
  <c r="BG219" i="5"/>
  <c r="BG220" i="5"/>
  <c r="BG221" i="5"/>
  <c r="BG222" i="5"/>
  <c r="BG223" i="5"/>
  <c r="BG224" i="5"/>
  <c r="BG225" i="5"/>
  <c r="BG226" i="5"/>
  <c r="BG227" i="5"/>
  <c r="BG228" i="5"/>
  <c r="BG229" i="5"/>
  <c r="BG230" i="5"/>
  <c r="BG231" i="5"/>
  <c r="BG232" i="5"/>
  <c r="BG233" i="5"/>
  <c r="BG234" i="5"/>
  <c r="BG235" i="5"/>
  <c r="BG236" i="5"/>
  <c r="BG237" i="5"/>
  <c r="BG238" i="5"/>
  <c r="BG239" i="5"/>
  <c r="BG240" i="5"/>
  <c r="BG241" i="5"/>
  <c r="BG242" i="5"/>
  <c r="BG243" i="5"/>
  <c r="BG244" i="5"/>
  <c r="BG245" i="5"/>
  <c r="BG246" i="5"/>
  <c r="BG247" i="5"/>
  <c r="BG248" i="5"/>
  <c r="BG249" i="5"/>
  <c r="BG250" i="5"/>
  <c r="BG251" i="5"/>
  <c r="BG252" i="5"/>
  <c r="BG253" i="5"/>
  <c r="BG254" i="5"/>
  <c r="BG255" i="5"/>
  <c r="BG256" i="5"/>
  <c r="BG257" i="5"/>
  <c r="BG258" i="5"/>
  <c r="BG259" i="5"/>
  <c r="BG260" i="5"/>
  <c r="BG261" i="5"/>
  <c r="BG262" i="5"/>
  <c r="BG263" i="5"/>
  <c r="BG264" i="5"/>
  <c r="BG265" i="5"/>
  <c r="BG266" i="5"/>
  <c r="BG267" i="5"/>
  <c r="BG268" i="5"/>
  <c r="BG269" i="5"/>
  <c r="BG270" i="5"/>
  <c r="BG271" i="5"/>
  <c r="BG272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15" i="5"/>
  <c r="AF16" i="14"/>
  <c r="AH68" i="59" l="1"/>
  <c r="AL67" i="59"/>
  <c r="AT67" i="59" s="1"/>
  <c r="AR68" i="74"/>
  <c r="AH68" i="61"/>
  <c r="AL67" i="61"/>
  <c r="AT67" i="61" s="1"/>
  <c r="AH68" i="60"/>
  <c r="AL67" i="60"/>
  <c r="AT67" i="60" s="1"/>
  <c r="AH68" i="62"/>
  <c r="AL67" i="62"/>
  <c r="AT67" i="62" s="1"/>
  <c r="BB16" i="70"/>
  <c r="BD28" i="70" s="1"/>
  <c r="BB16" i="69"/>
  <c r="BD28" i="69" s="1"/>
  <c r="BB16" i="65"/>
  <c r="AH68" i="63"/>
  <c r="AL67" i="63"/>
  <c r="AT67" i="63" s="1"/>
  <c r="AH68" i="74"/>
  <c r="AL67" i="74"/>
  <c r="AT67" i="74" s="1"/>
  <c r="AH68" i="70"/>
  <c r="AL57" i="70"/>
  <c r="BB31" i="20"/>
  <c r="AT57" i="68"/>
  <c r="AT59" i="68" s="1"/>
  <c r="AL59" i="68"/>
  <c r="BB59" i="24"/>
  <c r="BF59" i="24" s="1"/>
  <c r="AH71" i="30"/>
  <c r="AH70" i="31"/>
  <c r="BB16" i="14"/>
  <c r="BB16" i="51"/>
  <c r="BB16" i="43"/>
  <c r="BD28" i="43" s="1"/>
  <c r="BB16" i="42"/>
  <c r="BD28" i="42" s="1"/>
  <c r="BB16" i="40"/>
  <c r="AF60" i="24"/>
  <c r="AL60" i="24" s="1"/>
  <c r="AT58" i="24"/>
  <c r="K29" i="20"/>
  <c r="AZ29" i="20"/>
  <c r="AZ30" i="20" s="1"/>
  <c r="AZ31" i="20" s="1"/>
  <c r="AZ32" i="20" s="1"/>
  <c r="AZ33" i="20" s="1"/>
  <c r="AZ34" i="20" s="1"/>
  <c r="AZ35" i="20" s="1"/>
  <c r="AZ36" i="20" s="1"/>
  <c r="AZ37" i="20" s="1"/>
  <c r="AZ38" i="20" s="1"/>
  <c r="AZ39" i="20" s="1"/>
  <c r="AZ40" i="20" s="1"/>
  <c r="AZ41" i="20" s="1"/>
  <c r="AZ42" i="20" s="1"/>
  <c r="AZ43" i="20" s="1"/>
  <c r="AZ44" i="20" s="1"/>
  <c r="AZ45" i="20" s="1"/>
  <c r="AZ46" i="20" s="1"/>
  <c r="AZ47" i="20" s="1"/>
  <c r="AZ48" i="20" s="1"/>
  <c r="AZ49" i="20" s="1"/>
  <c r="AZ50" i="20" s="1"/>
  <c r="AZ51" i="20" s="1"/>
  <c r="AZ52" i="20" s="1"/>
  <c r="AZ53" i="20" s="1"/>
  <c r="AZ54" i="20" s="1"/>
  <c r="AZ55" i="20" s="1"/>
  <c r="AZ56" i="20" s="1"/>
  <c r="AZ57" i="20" s="1"/>
  <c r="AZ58" i="20" s="1"/>
  <c r="AZ59" i="20" s="1"/>
  <c r="AZ60" i="20" s="1"/>
  <c r="AZ61" i="20" s="1"/>
  <c r="AZ62" i="20" s="1"/>
  <c r="AD28" i="20"/>
  <c r="S66" i="20"/>
  <c r="O66" i="20"/>
  <c r="Q66" i="20"/>
  <c r="C29" i="20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AB28" i="20"/>
  <c r="G60" i="20"/>
  <c r="AD60" i="20" s="1"/>
  <c r="G56" i="20"/>
  <c r="AD56" i="20" s="1"/>
  <c r="G52" i="20"/>
  <c r="AD52" i="20" s="1"/>
  <c r="G61" i="20"/>
  <c r="AD61" i="20" s="1"/>
  <c r="G58" i="20"/>
  <c r="AD58" i="20" s="1"/>
  <c r="G55" i="20"/>
  <c r="AD55" i="20" s="1"/>
  <c r="G50" i="20"/>
  <c r="AD50" i="20" s="1"/>
  <c r="G62" i="20"/>
  <c r="AD62" i="20" s="1"/>
  <c r="G48" i="20"/>
  <c r="AD48" i="20" s="1"/>
  <c r="G45" i="20"/>
  <c r="AD45" i="20" s="1"/>
  <c r="G41" i="20"/>
  <c r="AD41" i="20" s="1"/>
  <c r="G37" i="20"/>
  <c r="AD37" i="20" s="1"/>
  <c r="G33" i="20"/>
  <c r="AD33" i="20" s="1"/>
  <c r="G57" i="20"/>
  <c r="AD57" i="20" s="1"/>
  <c r="G49" i="20"/>
  <c r="AD49" i="20" s="1"/>
  <c r="G44" i="20"/>
  <c r="AD44" i="20" s="1"/>
  <c r="G59" i="20"/>
  <c r="AD59" i="20" s="1"/>
  <c r="G53" i="20"/>
  <c r="AD53" i="20" s="1"/>
  <c r="G42" i="20"/>
  <c r="AD42" i="20" s="1"/>
  <c r="G39" i="20"/>
  <c r="AD39" i="20" s="1"/>
  <c r="G36" i="20"/>
  <c r="AD36" i="20" s="1"/>
  <c r="G47" i="20"/>
  <c r="AD47" i="20" s="1"/>
  <c r="G38" i="20"/>
  <c r="AD38" i="20" s="1"/>
  <c r="G34" i="20"/>
  <c r="AD34" i="20" s="1"/>
  <c r="G32" i="20"/>
  <c r="AD32" i="20" s="1"/>
  <c r="G30" i="20"/>
  <c r="AD30" i="20" s="1"/>
  <c r="G54" i="20"/>
  <c r="AD54" i="20" s="1"/>
  <c r="G51" i="20"/>
  <c r="AD51" i="20" s="1"/>
  <c r="G46" i="20"/>
  <c r="AD46" i="20" s="1"/>
  <c r="G43" i="20"/>
  <c r="AD43" i="20" s="1"/>
  <c r="G40" i="20"/>
  <c r="AD40" i="20" s="1"/>
  <c r="G35" i="20"/>
  <c r="AD35" i="20" s="1"/>
  <c r="G31" i="20"/>
  <c r="AD31" i="20" s="1"/>
  <c r="E30" i="20"/>
  <c r="E31" i="20" s="1"/>
  <c r="E32" i="20" s="1"/>
  <c r="E33" i="20" s="1"/>
  <c r="E34" i="20" s="1"/>
  <c r="E35" i="20" s="1"/>
  <c r="E36" i="20" s="1"/>
  <c r="E37" i="20" s="1"/>
  <c r="E38" i="20" s="1"/>
  <c r="E39" i="20" s="1"/>
  <c r="E40" i="20" s="1"/>
  <c r="E41" i="20" s="1"/>
  <c r="E42" i="20" s="1"/>
  <c r="E43" i="20" s="1"/>
  <c r="E44" i="20" s="1"/>
  <c r="E45" i="20" s="1"/>
  <c r="E46" i="20" s="1"/>
  <c r="E47" i="20" s="1"/>
  <c r="E48" i="20" s="1"/>
  <c r="E49" i="20" s="1"/>
  <c r="E50" i="20" s="1"/>
  <c r="E51" i="20" s="1"/>
  <c r="E52" i="20" s="1"/>
  <c r="E53" i="20" s="1"/>
  <c r="E54" i="20" s="1"/>
  <c r="E55" i="20" s="1"/>
  <c r="E56" i="20" s="1"/>
  <c r="E57" i="20" s="1"/>
  <c r="E58" i="20" s="1"/>
  <c r="E59" i="20" s="1"/>
  <c r="E60" i="20" s="1"/>
  <c r="E61" i="20" s="1"/>
  <c r="E62" i="20" s="1"/>
  <c r="M29" i="20"/>
  <c r="C66" i="20"/>
  <c r="BB60" i="24" l="1"/>
  <c r="BF60" i="24" s="1"/>
  <c r="AL68" i="70"/>
  <c r="AH70" i="63"/>
  <c r="AL68" i="63"/>
  <c r="BF28" i="69"/>
  <c r="BD29" i="69"/>
  <c r="AH70" i="60"/>
  <c r="AL68" i="60"/>
  <c r="AR70" i="74"/>
  <c r="BD29" i="70"/>
  <c r="BF28" i="70"/>
  <c r="AT28" i="70" s="1"/>
  <c r="AH70" i="74"/>
  <c r="AL68" i="74"/>
  <c r="AH70" i="62"/>
  <c r="AL68" i="62"/>
  <c r="AH70" i="61"/>
  <c r="AL68" i="61"/>
  <c r="AH70" i="59"/>
  <c r="AL68" i="59"/>
  <c r="AH72" i="31"/>
  <c r="AH73" i="30"/>
  <c r="BD29" i="42"/>
  <c r="BF28" i="42"/>
  <c r="BD29" i="43"/>
  <c r="BF28" i="43"/>
  <c r="BB30" i="20"/>
  <c r="BB29" i="20" s="1"/>
  <c r="BB28" i="20" s="1"/>
  <c r="AF61" i="24"/>
  <c r="AL61" i="24" s="1"/>
  <c r="BB61" i="24"/>
  <c r="BF61" i="24" s="1"/>
  <c r="AT59" i="24"/>
  <c r="AD66" i="20"/>
  <c r="G66" i="20"/>
  <c r="M30" i="20"/>
  <c r="M31" i="20" s="1"/>
  <c r="M32" i="20" s="1"/>
  <c r="M33" i="20" s="1"/>
  <c r="M34" i="20" s="1"/>
  <c r="M35" i="20" s="1"/>
  <c r="M36" i="20" s="1"/>
  <c r="M37" i="20" s="1"/>
  <c r="M38" i="20" s="1"/>
  <c r="M39" i="20" s="1"/>
  <c r="M40" i="20" s="1"/>
  <c r="M41" i="20" s="1"/>
  <c r="M42" i="20" s="1"/>
  <c r="M43" i="20" s="1"/>
  <c r="M44" i="20" s="1"/>
  <c r="M45" i="20" s="1"/>
  <c r="M46" i="20" s="1"/>
  <c r="M47" i="20" s="1"/>
  <c r="M48" i="20" s="1"/>
  <c r="M49" i="20" s="1"/>
  <c r="M50" i="20" s="1"/>
  <c r="M51" i="20" s="1"/>
  <c r="M52" i="20" s="1"/>
  <c r="M53" i="20" s="1"/>
  <c r="M54" i="20" s="1"/>
  <c r="M55" i="20" s="1"/>
  <c r="M56" i="20" s="1"/>
  <c r="M57" i="20" s="1"/>
  <c r="M58" i="20" s="1"/>
  <c r="M59" i="20" s="1"/>
  <c r="M60" i="20" s="1"/>
  <c r="M61" i="20" s="1"/>
  <c r="M62" i="20" s="1"/>
  <c r="AB29" i="20"/>
  <c r="K30" i="20"/>
  <c r="AL70" i="60" l="1"/>
  <c r="AT68" i="60"/>
  <c r="AT70" i="60" s="1"/>
  <c r="AT68" i="74"/>
  <c r="AL70" i="74"/>
  <c r="AL70" i="59"/>
  <c r="AT68" i="59"/>
  <c r="AT70" i="59" s="1"/>
  <c r="AL70" i="62"/>
  <c r="AT68" i="62"/>
  <c r="AT70" i="62" s="1"/>
  <c r="AT68" i="63"/>
  <c r="AT70" i="63" s="1"/>
  <c r="AL70" i="63"/>
  <c r="AT68" i="61"/>
  <c r="AT70" i="61" s="1"/>
  <c r="AL70" i="61"/>
  <c r="BD30" i="70"/>
  <c r="BF29" i="70"/>
  <c r="AT29" i="70" s="1"/>
  <c r="BD30" i="69"/>
  <c r="BF29" i="69"/>
  <c r="BD30" i="43"/>
  <c r="BF29" i="43"/>
  <c r="BD30" i="42"/>
  <c r="BF29" i="42"/>
  <c r="AF62" i="24"/>
  <c r="AT60" i="24"/>
  <c r="BB62" i="24"/>
  <c r="K31" i="20"/>
  <c r="K32" i="20" s="1"/>
  <c r="K33" i="20" s="1"/>
  <c r="K34" i="20" s="1"/>
  <c r="K35" i="20" s="1"/>
  <c r="K36" i="20" s="1"/>
  <c r="K37" i="20" s="1"/>
  <c r="K38" i="20" s="1"/>
  <c r="K39" i="20" s="1"/>
  <c r="K40" i="20" s="1"/>
  <c r="K41" i="20" s="1"/>
  <c r="K42" i="20" s="1"/>
  <c r="K43" i="20" s="1"/>
  <c r="K44" i="20" s="1"/>
  <c r="K45" i="20" s="1"/>
  <c r="K46" i="20" s="1"/>
  <c r="K47" i="20" s="1"/>
  <c r="K48" i="20" s="1"/>
  <c r="K49" i="20" s="1"/>
  <c r="K50" i="20" s="1"/>
  <c r="K51" i="20" s="1"/>
  <c r="K52" i="20" s="1"/>
  <c r="K53" i="20" s="1"/>
  <c r="K54" i="20" s="1"/>
  <c r="K55" i="20" s="1"/>
  <c r="K56" i="20" s="1"/>
  <c r="K57" i="20" s="1"/>
  <c r="K58" i="20" s="1"/>
  <c r="K59" i="20" s="1"/>
  <c r="K60" i="20" s="1"/>
  <c r="K61" i="20" s="1"/>
  <c r="K62" i="20" s="1"/>
  <c r="AB30" i="20"/>
  <c r="M66" i="20"/>
  <c r="BD31" i="70" l="1"/>
  <c r="BF30" i="70"/>
  <c r="AT30" i="70" s="1"/>
  <c r="BD31" i="69"/>
  <c r="BF30" i="69"/>
  <c r="AT70" i="74"/>
  <c r="BD31" i="42"/>
  <c r="BF30" i="42"/>
  <c r="BD31" i="43"/>
  <c r="BF30" i="43"/>
  <c r="BB63" i="24"/>
  <c r="BF63" i="24" s="1"/>
  <c r="BF62" i="24"/>
  <c r="AF63" i="24"/>
  <c r="AL63" i="24" s="1"/>
  <c r="AL62" i="24"/>
  <c r="AT61" i="24"/>
  <c r="AF66" i="24"/>
  <c r="AL66" i="24" s="1"/>
  <c r="BB66" i="24"/>
  <c r="BF66" i="24" s="1"/>
  <c r="K66" i="20"/>
  <c r="AB31" i="20"/>
  <c r="BB32" i="20"/>
  <c r="BD32" i="69" l="1"/>
  <c r="BF31" i="69"/>
  <c r="BD32" i="70"/>
  <c r="BF31" i="70"/>
  <c r="AT31" i="70" s="1"/>
  <c r="BD32" i="42"/>
  <c r="BF31" i="42"/>
  <c r="BD32" i="43"/>
  <c r="BF31" i="43"/>
  <c r="BB64" i="24"/>
  <c r="BF64" i="24" s="1"/>
  <c r="AF64" i="24"/>
  <c r="AL64" i="24" s="1"/>
  <c r="AT63" i="24"/>
  <c r="AT62" i="24"/>
  <c r="BB67" i="24"/>
  <c r="BF67" i="24" s="1"/>
  <c r="AF67" i="24"/>
  <c r="AL67" i="24" s="1"/>
  <c r="BB33" i="20"/>
  <c r="AB32" i="20"/>
  <c r="BD33" i="70" l="1"/>
  <c r="BF32" i="70"/>
  <c r="AT32" i="70" s="1"/>
  <c r="BD33" i="69"/>
  <c r="BF32" i="69"/>
  <c r="BD33" i="43"/>
  <c r="BF32" i="43"/>
  <c r="BD33" i="42"/>
  <c r="BF32" i="42"/>
  <c r="AT64" i="24"/>
  <c r="BB68" i="24"/>
  <c r="AF68" i="24"/>
  <c r="AT66" i="24"/>
  <c r="AB33" i="20"/>
  <c r="BB34" i="20"/>
  <c r="BD34" i="69" l="1"/>
  <c r="BF33" i="69"/>
  <c r="BD34" i="70"/>
  <c r="BF33" i="70"/>
  <c r="AT33" i="70" s="1"/>
  <c r="BD34" i="42"/>
  <c r="BF33" i="42"/>
  <c r="BD34" i="43"/>
  <c r="BF33" i="43"/>
  <c r="AF71" i="24"/>
  <c r="AL68" i="24"/>
  <c r="AL71" i="24" s="1"/>
  <c r="BB71" i="24"/>
  <c r="BF68" i="24"/>
  <c r="BF71" i="24" s="1"/>
  <c r="AT67" i="24"/>
  <c r="BB35" i="20"/>
  <c r="AB34" i="20"/>
  <c r="BD35" i="69" l="1"/>
  <c r="BF34" i="69"/>
  <c r="BD35" i="70"/>
  <c r="BF34" i="70"/>
  <c r="AT34" i="70" s="1"/>
  <c r="BD35" i="43"/>
  <c r="BF34" i="43"/>
  <c r="BD35" i="42"/>
  <c r="BF34" i="42"/>
  <c r="AT68" i="24"/>
  <c r="AT71" i="24" s="1"/>
  <c r="AB35" i="20"/>
  <c r="BB36" i="20"/>
  <c r="BD36" i="69" l="1"/>
  <c r="BF35" i="69"/>
  <c r="BD36" i="70"/>
  <c r="BF35" i="70"/>
  <c r="AT35" i="70" s="1"/>
  <c r="BD36" i="42"/>
  <c r="BF35" i="42"/>
  <c r="BD36" i="43"/>
  <c r="BF35" i="43"/>
  <c r="BB37" i="20"/>
  <c r="AB36" i="20"/>
  <c r="BD37" i="70" l="1"/>
  <c r="BF36" i="70"/>
  <c r="AT36" i="70" s="1"/>
  <c r="BD37" i="69"/>
  <c r="BF36" i="69"/>
  <c r="BD37" i="43"/>
  <c r="BF36" i="43"/>
  <c r="BD37" i="42"/>
  <c r="BF36" i="42"/>
  <c r="AB37" i="20"/>
  <c r="BB38" i="20"/>
  <c r="BD38" i="69" l="1"/>
  <c r="BF37" i="69"/>
  <c r="BD38" i="70"/>
  <c r="BF37" i="70"/>
  <c r="AT37" i="70" s="1"/>
  <c r="BD38" i="43"/>
  <c r="BF37" i="43"/>
  <c r="BD38" i="42"/>
  <c r="BF37" i="42"/>
  <c r="BB39" i="20"/>
  <c r="AB38" i="20"/>
  <c r="BD39" i="70" l="1"/>
  <c r="BF38" i="70"/>
  <c r="AT38" i="70" s="1"/>
  <c r="BD39" i="69"/>
  <c r="BF38" i="69"/>
  <c r="BD39" i="42"/>
  <c r="BF38" i="42"/>
  <c r="BD39" i="43"/>
  <c r="BF38" i="43"/>
  <c r="BB40" i="20"/>
  <c r="AB39" i="20"/>
  <c r="BD40" i="69" l="1"/>
  <c r="BF39" i="69"/>
  <c r="BD40" i="70"/>
  <c r="BF39" i="70"/>
  <c r="AT39" i="70" s="1"/>
  <c r="BD40" i="43"/>
  <c r="BF39" i="43"/>
  <c r="BD40" i="42"/>
  <c r="BF39" i="42"/>
  <c r="AB40" i="20"/>
  <c r="BB41" i="20"/>
  <c r="BD41" i="70" l="1"/>
  <c r="BF40" i="70"/>
  <c r="AT40" i="70" s="1"/>
  <c r="BD41" i="69"/>
  <c r="BF40" i="69"/>
  <c r="BD41" i="43"/>
  <c r="BF40" i="43"/>
  <c r="BD41" i="42"/>
  <c r="BF40" i="42"/>
  <c r="BB42" i="20"/>
  <c r="AB41" i="20"/>
  <c r="BD42" i="70" l="1"/>
  <c r="BF41" i="70"/>
  <c r="AT41" i="70" s="1"/>
  <c r="BD42" i="69"/>
  <c r="BF41" i="69"/>
  <c r="BD42" i="42"/>
  <c r="BF41" i="42"/>
  <c r="BD42" i="43"/>
  <c r="BF41" i="43"/>
  <c r="BB43" i="20"/>
  <c r="AB42" i="20"/>
  <c r="BD43" i="69" l="1"/>
  <c r="BF42" i="69"/>
  <c r="BD43" i="70"/>
  <c r="BF42" i="70"/>
  <c r="AT42" i="70" s="1"/>
  <c r="BD43" i="43"/>
  <c r="BF42" i="43"/>
  <c r="BD43" i="42"/>
  <c r="BF42" i="42"/>
  <c r="AB43" i="20"/>
  <c r="BB44" i="20"/>
  <c r="BD44" i="69" l="1"/>
  <c r="BF43" i="69"/>
  <c r="BD44" i="70"/>
  <c r="BF43" i="70"/>
  <c r="AT43" i="70" s="1"/>
  <c r="BD44" i="43"/>
  <c r="BF43" i="43"/>
  <c r="BD44" i="42"/>
  <c r="BF43" i="42"/>
  <c r="AB44" i="20"/>
  <c r="BB45" i="20"/>
  <c r="BD45" i="70" l="1"/>
  <c r="BF44" i="70"/>
  <c r="AT44" i="70" s="1"/>
  <c r="BD45" i="69"/>
  <c r="BF44" i="69"/>
  <c r="BD45" i="42"/>
  <c r="BF44" i="42"/>
  <c r="BD45" i="43"/>
  <c r="BF44" i="43"/>
  <c r="AB45" i="20"/>
  <c r="BB46" i="20"/>
  <c r="BD46" i="70" l="1"/>
  <c r="BF45" i="70"/>
  <c r="AT45" i="70" s="1"/>
  <c r="BD46" i="69"/>
  <c r="BF45" i="69"/>
  <c r="BD46" i="43"/>
  <c r="BF45" i="43"/>
  <c r="BD46" i="42"/>
  <c r="BF45" i="42"/>
  <c r="AB46" i="20"/>
  <c r="BB47" i="20"/>
  <c r="BD47" i="69" l="1"/>
  <c r="BF46" i="69"/>
  <c r="BD47" i="70"/>
  <c r="BF46" i="70"/>
  <c r="AT46" i="70" s="1"/>
  <c r="BD47" i="43"/>
  <c r="BF46" i="43"/>
  <c r="BD47" i="42"/>
  <c r="BF46" i="42"/>
  <c r="AB47" i="20"/>
  <c r="BB48" i="20"/>
  <c r="BD48" i="70" l="1"/>
  <c r="BF47" i="70"/>
  <c r="AT47" i="70" s="1"/>
  <c r="BD48" i="69"/>
  <c r="BF47" i="69"/>
  <c r="BD58" i="42"/>
  <c r="BF47" i="42"/>
  <c r="BF47" i="43"/>
  <c r="BD58" i="43"/>
  <c r="AB48" i="20"/>
  <c r="BB49" i="20"/>
  <c r="BD49" i="70" l="1"/>
  <c r="BF48" i="70"/>
  <c r="AT48" i="70" s="1"/>
  <c r="BD49" i="69"/>
  <c r="BF48" i="69"/>
  <c r="BF58" i="42"/>
  <c r="BF58" i="43"/>
  <c r="BB50" i="20"/>
  <c r="AB49" i="20"/>
  <c r="BD50" i="69" l="1"/>
  <c r="BF49" i="69"/>
  <c r="BD50" i="70"/>
  <c r="BF49" i="70"/>
  <c r="AT49" i="70" s="1"/>
  <c r="BB51" i="20"/>
  <c r="AB50" i="20"/>
  <c r="BD51" i="70" l="1"/>
  <c r="BF50" i="70"/>
  <c r="AT50" i="70" s="1"/>
  <c r="BD51" i="69"/>
  <c r="BF50" i="69"/>
  <c r="AB51" i="20"/>
  <c r="BB52" i="20"/>
  <c r="BD52" i="70" l="1"/>
  <c r="BF51" i="70"/>
  <c r="AT51" i="70" s="1"/>
  <c r="BD52" i="69"/>
  <c r="BF51" i="69"/>
  <c r="BB53" i="20"/>
  <c r="AB52" i="20"/>
  <c r="BD53" i="69" l="1"/>
  <c r="BF52" i="69"/>
  <c r="BD53" i="70"/>
  <c r="BF52" i="70"/>
  <c r="AT52" i="70" s="1"/>
  <c r="AB53" i="20"/>
  <c r="BB54" i="20"/>
  <c r="BD54" i="70" l="1"/>
  <c r="BF53" i="70"/>
  <c r="AT53" i="70" s="1"/>
  <c r="BF53" i="69"/>
  <c r="BF64" i="69" s="1"/>
  <c r="BD64" i="69"/>
  <c r="BB55" i="20"/>
  <c r="AB54" i="20"/>
  <c r="BD55" i="70" l="1"/>
  <c r="BF54" i="70"/>
  <c r="AT54" i="70" s="1"/>
  <c r="AB55" i="20"/>
  <c r="BB56" i="20"/>
  <c r="BD56" i="70" l="1"/>
  <c r="BF55" i="70"/>
  <c r="AT55" i="70" s="1"/>
  <c r="AB56" i="20"/>
  <c r="BB57" i="20"/>
  <c r="BD57" i="70" l="1"/>
  <c r="BF56" i="70"/>
  <c r="AT56" i="70" s="1"/>
  <c r="BB58" i="20"/>
  <c r="AB57" i="20"/>
  <c r="BF57" i="70" l="1"/>
  <c r="BD68" i="70"/>
  <c r="AB58" i="20"/>
  <c r="BB59" i="20"/>
  <c r="BF68" i="70" l="1"/>
  <c r="AT57" i="70"/>
  <c r="AT68" i="70" s="1"/>
  <c r="AB59" i="20"/>
  <c r="BB60" i="20"/>
  <c r="BB61" i="20" l="1"/>
  <c r="AB60" i="20"/>
  <c r="AB61" i="20" l="1"/>
  <c r="BB62" i="20"/>
  <c r="BB66" i="20" l="1"/>
  <c r="AB62" i="20"/>
  <c r="I28" i="20" l="1"/>
  <c r="I29" i="20" l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I47" i="20" s="1"/>
  <c r="I48" i="20" s="1"/>
  <c r="I49" i="20" s="1"/>
  <c r="I50" i="20" s="1"/>
  <c r="I51" i="20" s="1"/>
  <c r="I52" i="20" s="1"/>
  <c r="I53" i="20" s="1"/>
  <c r="I54" i="20" s="1"/>
  <c r="I55" i="20" s="1"/>
  <c r="I56" i="20" s="1"/>
  <c r="I57" i="20" s="1"/>
  <c r="I58" i="20" s="1"/>
  <c r="I59" i="20" s="1"/>
  <c r="I60" i="20" s="1"/>
  <c r="I61" i="20" s="1"/>
  <c r="I62" i="20" s="1"/>
  <c r="I66" i="20" l="1"/>
  <c r="E28" i="19" l="1"/>
  <c r="BD15" i="19"/>
  <c r="BD14" i="19"/>
  <c r="CI50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C187" i="5"/>
  <c r="BC188" i="5"/>
  <c r="BC189" i="5"/>
  <c r="BC190" i="5"/>
  <c r="BC191" i="5"/>
  <c r="BC192" i="5"/>
  <c r="BC193" i="5"/>
  <c r="BC194" i="5"/>
  <c r="BC195" i="5"/>
  <c r="BC196" i="5"/>
  <c r="BC197" i="5"/>
  <c r="BC198" i="5"/>
  <c r="BC199" i="5"/>
  <c r="BC200" i="5"/>
  <c r="BC201" i="5"/>
  <c r="BC202" i="5"/>
  <c r="BC203" i="5"/>
  <c r="BC204" i="5"/>
  <c r="BC205" i="5"/>
  <c r="BC206" i="5"/>
  <c r="BC207" i="5"/>
  <c r="BC208" i="5"/>
  <c r="BC209" i="5"/>
  <c r="BC210" i="5"/>
  <c r="BC211" i="5"/>
  <c r="BC212" i="5"/>
  <c r="BC213" i="5"/>
  <c r="BC214" i="5"/>
  <c r="BC215" i="5"/>
  <c r="BC216" i="5"/>
  <c r="BC217" i="5"/>
  <c r="BC218" i="5"/>
  <c r="BC219" i="5"/>
  <c r="BC220" i="5"/>
  <c r="BC221" i="5"/>
  <c r="BC222" i="5"/>
  <c r="BC223" i="5"/>
  <c r="BC224" i="5"/>
  <c r="BC225" i="5"/>
  <c r="BC226" i="5"/>
  <c r="BC227" i="5"/>
  <c r="BC228" i="5"/>
  <c r="BC229" i="5"/>
  <c r="BC230" i="5"/>
  <c r="BC231" i="5"/>
  <c r="BC232" i="5"/>
  <c r="BC233" i="5"/>
  <c r="BC234" i="5"/>
  <c r="BC235" i="5"/>
  <c r="BC236" i="5"/>
  <c r="BC237" i="5"/>
  <c r="BC238" i="5"/>
  <c r="BC239" i="5"/>
  <c r="BC240" i="5"/>
  <c r="BC241" i="5"/>
  <c r="BC242" i="5"/>
  <c r="BC243" i="5"/>
  <c r="BC244" i="5"/>
  <c r="BC245" i="5"/>
  <c r="BC246" i="5"/>
  <c r="BC247" i="5"/>
  <c r="BC248" i="5"/>
  <c r="BC249" i="5"/>
  <c r="BC250" i="5"/>
  <c r="BC251" i="5"/>
  <c r="BC252" i="5"/>
  <c r="BC253" i="5"/>
  <c r="BC254" i="5"/>
  <c r="BC255" i="5"/>
  <c r="BC256" i="5"/>
  <c r="BC257" i="5"/>
  <c r="BC258" i="5"/>
  <c r="BC259" i="5"/>
  <c r="BC260" i="5"/>
  <c r="BC261" i="5"/>
  <c r="BC262" i="5"/>
  <c r="BC263" i="5"/>
  <c r="BC264" i="5"/>
  <c r="BC265" i="5"/>
  <c r="BC266" i="5"/>
  <c r="BC267" i="5"/>
  <c r="BC268" i="5"/>
  <c r="BC269" i="5"/>
  <c r="BC270" i="5"/>
  <c r="BC271" i="5"/>
  <c r="BC272" i="5"/>
  <c r="BC273" i="5"/>
  <c r="BC274" i="5"/>
  <c r="BC275" i="5"/>
  <c r="BC276" i="5"/>
  <c r="BC277" i="5"/>
  <c r="BC278" i="5"/>
  <c r="BC279" i="5"/>
  <c r="BC280" i="5"/>
  <c r="BC281" i="5"/>
  <c r="BC282" i="5"/>
  <c r="BC283" i="5"/>
  <c r="BC284" i="5"/>
  <c r="BC285" i="5"/>
  <c r="BC286" i="5"/>
  <c r="BC287" i="5"/>
  <c r="BC288" i="5"/>
  <c r="BC289" i="5"/>
  <c r="BC290" i="5"/>
  <c r="BC291" i="5"/>
  <c r="BC292" i="5"/>
  <c r="BC293" i="5"/>
  <c r="BC294" i="5"/>
  <c r="BC295" i="5"/>
  <c r="BC296" i="5"/>
  <c r="BC297" i="5"/>
  <c r="BC298" i="5"/>
  <c r="BC299" i="5"/>
  <c r="BC300" i="5"/>
  <c r="BC301" i="5"/>
  <c r="BC302" i="5"/>
  <c r="BC303" i="5"/>
  <c r="BC304" i="5"/>
  <c r="BC305" i="5"/>
  <c r="BC306" i="5"/>
  <c r="BC307" i="5"/>
  <c r="BC308" i="5"/>
  <c r="BC309" i="5"/>
  <c r="BC310" i="5"/>
  <c r="BC311" i="5"/>
  <c r="BC312" i="5"/>
  <c r="BC313" i="5"/>
  <c r="BC314" i="5"/>
  <c r="BC315" i="5"/>
  <c r="BC316" i="5"/>
  <c r="BC317" i="5"/>
  <c r="BC318" i="5"/>
  <c r="BC319" i="5"/>
  <c r="BC320" i="5"/>
  <c r="BC321" i="5"/>
  <c r="BC322" i="5"/>
  <c r="BC323" i="5"/>
  <c r="BC324" i="5"/>
  <c r="BC325" i="5"/>
  <c r="BC326" i="5"/>
  <c r="BC327" i="5"/>
  <c r="BC328" i="5"/>
  <c r="BC329" i="5"/>
  <c r="BC330" i="5"/>
  <c r="BC331" i="5"/>
  <c r="BC332" i="5"/>
  <c r="BC333" i="5"/>
  <c r="BC334" i="5"/>
  <c r="BC335" i="5"/>
  <c r="BC336" i="5"/>
  <c r="BC337" i="5"/>
  <c r="BC338" i="5"/>
  <c r="BC339" i="5"/>
  <c r="BC340" i="5"/>
  <c r="BC341" i="5"/>
  <c r="BC342" i="5"/>
  <c r="BC343" i="5"/>
  <c r="BC344" i="5"/>
  <c r="BC345" i="5"/>
  <c r="BC346" i="5"/>
  <c r="BC347" i="5"/>
  <c r="BC348" i="5"/>
  <c r="BC349" i="5"/>
  <c r="BC350" i="5"/>
  <c r="BC351" i="5"/>
  <c r="BC352" i="5"/>
  <c r="BC353" i="5"/>
  <c r="BC354" i="5"/>
  <c r="BC355" i="5"/>
  <c r="BC356" i="5"/>
  <c r="BC357" i="5"/>
  <c r="BC358" i="5"/>
  <c r="BC359" i="5"/>
  <c r="BC360" i="5"/>
  <c r="BC361" i="5"/>
  <c r="BC362" i="5"/>
  <c r="BC363" i="5"/>
  <c r="BC364" i="5"/>
  <c r="BC365" i="5"/>
  <c r="BC366" i="5"/>
  <c r="BC367" i="5"/>
  <c r="BC368" i="5"/>
  <c r="BC369" i="5"/>
  <c r="BC370" i="5"/>
  <c r="BC371" i="5"/>
  <c r="BC372" i="5"/>
  <c r="BC373" i="5"/>
  <c r="BC374" i="5"/>
  <c r="BC375" i="5"/>
  <c r="BC15" i="5"/>
  <c r="E29" i="19" l="1"/>
  <c r="E30" i="19" s="1"/>
  <c r="E31" i="19" s="1"/>
  <c r="E32" i="19" s="1"/>
  <c r="E33" i="19" s="1"/>
  <c r="E34" i="19" s="1"/>
  <c r="E35" i="19" s="1"/>
  <c r="E36" i="19" s="1"/>
  <c r="E37" i="19" s="1"/>
  <c r="E38" i="19" s="1"/>
  <c r="E39" i="19" s="1"/>
  <c r="E40" i="19" s="1"/>
  <c r="E41" i="19" s="1"/>
  <c r="E42" i="19" s="1"/>
  <c r="E43" i="19" s="1"/>
  <c r="E44" i="19" s="1"/>
  <c r="E45" i="19" s="1"/>
  <c r="E46" i="19" s="1"/>
  <c r="E47" i="19" s="1"/>
  <c r="E48" i="19" s="1"/>
  <c r="E49" i="19" s="1"/>
  <c r="E50" i="19" s="1"/>
  <c r="E51" i="19" s="1"/>
  <c r="E52" i="19" s="1"/>
  <c r="E53" i="19" s="1"/>
  <c r="E54" i="19" s="1"/>
  <c r="E55" i="19" s="1"/>
  <c r="E56" i="19" s="1"/>
  <c r="E57" i="19" s="1"/>
  <c r="E58" i="19" s="1"/>
  <c r="E59" i="19" s="1"/>
  <c r="E60" i="19" s="1"/>
  <c r="E61" i="19" s="1"/>
  <c r="E62" i="19" s="1"/>
  <c r="BB28" i="19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6" i="5"/>
  <c r="BA137" i="5"/>
  <c r="BA138" i="5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BA154" i="5"/>
  <c r="BA155" i="5"/>
  <c r="BA156" i="5"/>
  <c r="BA157" i="5"/>
  <c r="BA158" i="5"/>
  <c r="BA159" i="5"/>
  <c r="BA160" i="5"/>
  <c r="BA161" i="5"/>
  <c r="BA162" i="5"/>
  <c r="BA163" i="5"/>
  <c r="BA164" i="5"/>
  <c r="BA165" i="5"/>
  <c r="BA166" i="5"/>
  <c r="BA167" i="5"/>
  <c r="BA168" i="5"/>
  <c r="BA169" i="5"/>
  <c r="BA170" i="5"/>
  <c r="BA171" i="5"/>
  <c r="BA172" i="5"/>
  <c r="BA173" i="5"/>
  <c r="BA174" i="5"/>
  <c r="BA175" i="5"/>
  <c r="BA176" i="5"/>
  <c r="BA177" i="5"/>
  <c r="BA178" i="5"/>
  <c r="BA179" i="5"/>
  <c r="BA180" i="5"/>
  <c r="BA181" i="5"/>
  <c r="BA182" i="5"/>
  <c r="BA183" i="5"/>
  <c r="BA184" i="5"/>
  <c r="BA185" i="5"/>
  <c r="BA186" i="5"/>
  <c r="BA187" i="5"/>
  <c r="BA188" i="5"/>
  <c r="BA189" i="5"/>
  <c r="BA190" i="5"/>
  <c r="BA191" i="5"/>
  <c r="BA192" i="5"/>
  <c r="BA193" i="5"/>
  <c r="BA194" i="5"/>
  <c r="BA195" i="5"/>
  <c r="BA196" i="5"/>
  <c r="BA197" i="5"/>
  <c r="BA198" i="5"/>
  <c r="BA199" i="5"/>
  <c r="BA200" i="5"/>
  <c r="BA201" i="5"/>
  <c r="BA202" i="5"/>
  <c r="BA203" i="5"/>
  <c r="BA204" i="5"/>
  <c r="BA205" i="5"/>
  <c r="BA206" i="5"/>
  <c r="BA207" i="5"/>
  <c r="BA208" i="5"/>
  <c r="BA209" i="5"/>
  <c r="BA210" i="5"/>
  <c r="BA211" i="5"/>
  <c r="BA212" i="5"/>
  <c r="BA213" i="5"/>
  <c r="BA214" i="5"/>
  <c r="BA215" i="5"/>
  <c r="BA216" i="5"/>
  <c r="BA217" i="5"/>
  <c r="BA218" i="5"/>
  <c r="BA219" i="5"/>
  <c r="BA220" i="5"/>
  <c r="BA221" i="5"/>
  <c r="BA222" i="5"/>
  <c r="BA223" i="5"/>
  <c r="BA224" i="5"/>
  <c r="BA225" i="5"/>
  <c r="BA226" i="5"/>
  <c r="BA227" i="5"/>
  <c r="BA228" i="5"/>
  <c r="BA229" i="5"/>
  <c r="BA230" i="5"/>
  <c r="BA231" i="5"/>
  <c r="BA232" i="5"/>
  <c r="BA233" i="5"/>
  <c r="BA234" i="5"/>
  <c r="BA235" i="5"/>
  <c r="BA236" i="5"/>
  <c r="BA237" i="5"/>
  <c r="BA238" i="5"/>
  <c r="BA239" i="5"/>
  <c r="BA240" i="5"/>
  <c r="BA241" i="5"/>
  <c r="BA242" i="5"/>
  <c r="BA243" i="5"/>
  <c r="BA244" i="5"/>
  <c r="BA245" i="5"/>
  <c r="BA246" i="5"/>
  <c r="BA247" i="5"/>
  <c r="BA248" i="5"/>
  <c r="BA249" i="5"/>
  <c r="BA250" i="5"/>
  <c r="BA251" i="5"/>
  <c r="BA252" i="5"/>
  <c r="BA253" i="5"/>
  <c r="BA254" i="5"/>
  <c r="BA255" i="5"/>
  <c r="BA256" i="5"/>
  <c r="BA257" i="5"/>
  <c r="BA258" i="5"/>
  <c r="BA259" i="5"/>
  <c r="BA260" i="5"/>
  <c r="BA261" i="5"/>
  <c r="BA262" i="5"/>
  <c r="BA263" i="5"/>
  <c r="BA264" i="5"/>
  <c r="BA265" i="5"/>
  <c r="BA266" i="5"/>
  <c r="BA267" i="5"/>
  <c r="BA268" i="5"/>
  <c r="BA269" i="5"/>
  <c r="BA270" i="5"/>
  <c r="BA271" i="5"/>
  <c r="BA272" i="5"/>
  <c r="BA273" i="5"/>
  <c r="BA274" i="5"/>
  <c r="BA275" i="5"/>
  <c r="BA276" i="5"/>
  <c r="BA277" i="5"/>
  <c r="BA278" i="5"/>
  <c r="BA279" i="5"/>
  <c r="BA280" i="5"/>
  <c r="BA281" i="5"/>
  <c r="BA282" i="5"/>
  <c r="BA283" i="5"/>
  <c r="BA284" i="5"/>
  <c r="BA285" i="5"/>
  <c r="BA286" i="5"/>
  <c r="BA287" i="5"/>
  <c r="BA288" i="5"/>
  <c r="BA289" i="5"/>
  <c r="BA290" i="5"/>
  <c r="BA291" i="5"/>
  <c r="BA292" i="5"/>
  <c r="BA293" i="5"/>
  <c r="BA294" i="5"/>
  <c r="BA295" i="5"/>
  <c r="BA296" i="5"/>
  <c r="BA297" i="5"/>
  <c r="BA298" i="5"/>
  <c r="BA299" i="5"/>
  <c r="BA300" i="5"/>
  <c r="BA301" i="5"/>
  <c r="BA302" i="5"/>
  <c r="BA303" i="5"/>
  <c r="BA304" i="5"/>
  <c r="BA305" i="5"/>
  <c r="BA306" i="5"/>
  <c r="BA307" i="5"/>
  <c r="BA308" i="5"/>
  <c r="BA309" i="5"/>
  <c r="BA310" i="5"/>
  <c r="BA311" i="5"/>
  <c r="BA312" i="5"/>
  <c r="BA313" i="5"/>
  <c r="BA314" i="5"/>
  <c r="BA315" i="5"/>
  <c r="BA316" i="5"/>
  <c r="BA317" i="5"/>
  <c r="BA318" i="5"/>
  <c r="BA319" i="5"/>
  <c r="BA320" i="5"/>
  <c r="BA321" i="5"/>
  <c r="BA322" i="5"/>
  <c r="BA323" i="5"/>
  <c r="BA324" i="5"/>
  <c r="BA325" i="5"/>
  <c r="BA326" i="5"/>
  <c r="BA327" i="5"/>
  <c r="BA328" i="5"/>
  <c r="BA329" i="5"/>
  <c r="BA330" i="5"/>
  <c r="BA331" i="5"/>
  <c r="BA332" i="5"/>
  <c r="BA333" i="5"/>
  <c r="BA334" i="5"/>
  <c r="BA335" i="5"/>
  <c r="BA336" i="5"/>
  <c r="BA337" i="5"/>
  <c r="BA338" i="5"/>
  <c r="BA339" i="5"/>
  <c r="BA340" i="5"/>
  <c r="BA341" i="5"/>
  <c r="BA342" i="5"/>
  <c r="BA343" i="5"/>
  <c r="BA344" i="5"/>
  <c r="BA345" i="5"/>
  <c r="BA346" i="5"/>
  <c r="BA347" i="5"/>
  <c r="BA348" i="5"/>
  <c r="BA349" i="5"/>
  <c r="BA350" i="5"/>
  <c r="BA351" i="5"/>
  <c r="BA352" i="5"/>
  <c r="BA353" i="5"/>
  <c r="BA354" i="5"/>
  <c r="BA355" i="5"/>
  <c r="BA356" i="5"/>
  <c r="BA357" i="5"/>
  <c r="BA358" i="5"/>
  <c r="BA359" i="5"/>
  <c r="BA360" i="5"/>
  <c r="BA361" i="5"/>
  <c r="BA362" i="5"/>
  <c r="BA363" i="5"/>
  <c r="BA364" i="5"/>
  <c r="BA365" i="5"/>
  <c r="BA366" i="5"/>
  <c r="BA367" i="5"/>
  <c r="BA368" i="5"/>
  <c r="BA369" i="5"/>
  <c r="BA370" i="5"/>
  <c r="BA371" i="5"/>
  <c r="BA372" i="5"/>
  <c r="BA373" i="5"/>
  <c r="BA374" i="5"/>
  <c r="BA375" i="5"/>
  <c r="BA15" i="5"/>
  <c r="I22" i="5"/>
  <c r="I21" i="5"/>
  <c r="I20" i="5"/>
  <c r="I19" i="5" l="1"/>
  <c r="I18" i="5" s="1"/>
  <c r="I17" i="5" s="1"/>
  <c r="I16" i="5" s="1"/>
  <c r="AN31" i="75"/>
  <c r="AP31" i="75" s="1"/>
  <c r="AV31" i="75" s="1"/>
  <c r="AN34" i="20"/>
  <c r="AN32" i="75"/>
  <c r="AP32" i="75" s="1"/>
  <c r="AV32" i="75" s="1"/>
  <c r="AN32" i="73"/>
  <c r="AN31" i="73" s="1"/>
  <c r="AN30" i="73" s="1"/>
  <c r="AN29" i="73" s="1"/>
  <c r="AN28" i="73" s="1"/>
  <c r="AN35" i="20"/>
  <c r="AN33" i="75"/>
  <c r="AP33" i="75" s="1"/>
  <c r="AV33" i="75" s="1"/>
  <c r="AN33" i="73"/>
  <c r="J21" i="5"/>
  <c r="J22" i="5"/>
  <c r="J20" i="5"/>
  <c r="AN32" i="20"/>
  <c r="AN31" i="20" s="1"/>
  <c r="AN30" i="20" s="1"/>
  <c r="AN29" i="20" s="1"/>
  <c r="AN28" i="20" s="1"/>
  <c r="AN33" i="20"/>
  <c r="Z83" i="4"/>
  <c r="N97" i="4"/>
  <c r="BB16" i="72" s="1"/>
  <c r="BD28" i="72" s="1"/>
  <c r="M96" i="4"/>
  <c r="L96" i="4"/>
  <c r="D96" i="4"/>
  <c r="AJ16" i="72" s="1"/>
  <c r="AF11" i="72" s="1"/>
  <c r="N95" i="4"/>
  <c r="I95" i="4"/>
  <c r="N94" i="4"/>
  <c r="J96" i="4"/>
  <c r="AF15" i="72" s="1"/>
  <c r="AF28" i="72" s="1"/>
  <c r="I94" i="4"/>
  <c r="AN29" i="21" l="1"/>
  <c r="AN29" i="72"/>
  <c r="AN28" i="21"/>
  <c r="AN28" i="72"/>
  <c r="AN30" i="75"/>
  <c r="AP30" i="75" s="1"/>
  <c r="AV30" i="75" s="1"/>
  <c r="BD11" i="72"/>
  <c r="BF28" i="72" s="1"/>
  <c r="AF12" i="72"/>
  <c r="AF29" i="72"/>
  <c r="BD29" i="72"/>
  <c r="BB16" i="21"/>
  <c r="BD28" i="21" s="1"/>
  <c r="AF15" i="21"/>
  <c r="AF28" i="21" s="1"/>
  <c r="AJ16" i="21"/>
  <c r="AF11" i="21" s="1"/>
  <c r="N96" i="4"/>
  <c r="AJ11" i="72" s="1"/>
  <c r="AH28" i="72" s="1"/>
  <c r="AH29" i="72" s="1"/>
  <c r="AH30" i="72" s="1"/>
  <c r="AH31" i="72" s="1"/>
  <c r="AH32" i="72" s="1"/>
  <c r="AH33" i="72" s="1"/>
  <c r="AH34" i="72" s="1"/>
  <c r="AH35" i="72" s="1"/>
  <c r="AH36" i="72" s="1"/>
  <c r="AH37" i="72" s="1"/>
  <c r="AH38" i="72" s="1"/>
  <c r="AH39" i="72" s="1"/>
  <c r="AH40" i="72" s="1"/>
  <c r="AH41" i="72" s="1"/>
  <c r="AH42" i="72" s="1"/>
  <c r="AH43" i="72" s="1"/>
  <c r="AH44" i="72" s="1"/>
  <c r="AH45" i="72" s="1"/>
  <c r="AH46" i="72" s="1"/>
  <c r="AH47" i="72" s="1"/>
  <c r="AH48" i="72" s="1"/>
  <c r="AH50" i="72" s="1"/>
  <c r="H96" i="4"/>
  <c r="AF14" i="72" s="1"/>
  <c r="O96" i="4"/>
  <c r="AJ13" i="72" s="1"/>
  <c r="AJ28" i="72" s="1"/>
  <c r="AJ29" i="72" s="1"/>
  <c r="AJ30" i="72" s="1"/>
  <c r="AJ31" i="72" s="1"/>
  <c r="AJ32" i="72" s="1"/>
  <c r="AJ33" i="72" s="1"/>
  <c r="AJ34" i="72" s="1"/>
  <c r="AJ35" i="72" s="1"/>
  <c r="AJ36" i="72" s="1"/>
  <c r="AJ37" i="72" s="1"/>
  <c r="AJ38" i="72" s="1"/>
  <c r="AJ39" i="72" s="1"/>
  <c r="AJ40" i="72" s="1"/>
  <c r="AJ41" i="72" s="1"/>
  <c r="AJ42" i="72" s="1"/>
  <c r="AJ43" i="72" s="1"/>
  <c r="AJ44" i="72" s="1"/>
  <c r="AJ45" i="72" s="1"/>
  <c r="AJ46" i="72" s="1"/>
  <c r="AJ47" i="72" s="1"/>
  <c r="AJ48" i="72" s="1"/>
  <c r="AJ50" i="72" s="1"/>
  <c r="AL28" i="72" l="1"/>
  <c r="AT28" i="72" s="1"/>
  <c r="AL29" i="72"/>
  <c r="AF30" i="72"/>
  <c r="AP28" i="72"/>
  <c r="AP29" i="72"/>
  <c r="BD30" i="72"/>
  <c r="BF29" i="72"/>
  <c r="AJ13" i="21"/>
  <c r="AJ28" i="21" s="1"/>
  <c r="AJ29" i="21" s="1"/>
  <c r="AJ30" i="21" s="1"/>
  <c r="AJ31" i="21" s="1"/>
  <c r="AJ32" i="21" s="1"/>
  <c r="AJ33" i="21" s="1"/>
  <c r="AJ34" i="21" s="1"/>
  <c r="AJ35" i="21" s="1"/>
  <c r="AJ36" i="21" s="1"/>
  <c r="AJ37" i="21" s="1"/>
  <c r="AJ38" i="21" s="1"/>
  <c r="AJ39" i="21" s="1"/>
  <c r="AJ40" i="21" s="1"/>
  <c r="AJ41" i="21" s="1"/>
  <c r="AJ42" i="21" s="1"/>
  <c r="AJ47" i="21" s="1"/>
  <c r="AF14" i="21"/>
  <c r="AF29" i="21"/>
  <c r="BD11" i="21"/>
  <c r="BF28" i="21" s="1"/>
  <c r="AF12" i="21"/>
  <c r="AJ11" i="21"/>
  <c r="AH28" i="21" s="1"/>
  <c r="AH29" i="21" s="1"/>
  <c r="AH30" i="21" s="1"/>
  <c r="AH31" i="21" s="1"/>
  <c r="AH32" i="21" s="1"/>
  <c r="AH33" i="21" s="1"/>
  <c r="AH34" i="21" s="1"/>
  <c r="AH35" i="21" s="1"/>
  <c r="AH36" i="21" s="1"/>
  <c r="AH37" i="21" s="1"/>
  <c r="AH38" i="21" s="1"/>
  <c r="AH39" i="21" s="1"/>
  <c r="AH40" i="21" s="1"/>
  <c r="AH41" i="21" s="1"/>
  <c r="AH42" i="21" s="1"/>
  <c r="AH47" i="21" s="1"/>
  <c r="BD29" i="21"/>
  <c r="P96" i="4"/>
  <c r="AJ15" i="72" s="1"/>
  <c r="AR28" i="72" s="1"/>
  <c r="AR29" i="72" s="1"/>
  <c r="AR30" i="72" s="1"/>
  <c r="AR31" i="72" s="1"/>
  <c r="AR32" i="72" s="1"/>
  <c r="AR33" i="72" s="1"/>
  <c r="AR34" i="72" s="1"/>
  <c r="AR35" i="72" s="1"/>
  <c r="AR36" i="72" s="1"/>
  <c r="AR37" i="72" s="1"/>
  <c r="AR38" i="72" s="1"/>
  <c r="AR39" i="72" s="1"/>
  <c r="AR40" i="72" s="1"/>
  <c r="AR41" i="72" s="1"/>
  <c r="AR42" i="72" s="1"/>
  <c r="AR43" i="72" s="1"/>
  <c r="AR44" i="72" s="1"/>
  <c r="AR45" i="72" s="1"/>
  <c r="AR46" i="72" s="1"/>
  <c r="AR47" i="72" s="1"/>
  <c r="AR48" i="72" s="1"/>
  <c r="AR50" i="72" s="1"/>
  <c r="AY25" i="5"/>
  <c r="AF16" i="19"/>
  <c r="M28" i="19"/>
  <c r="K28" i="19"/>
  <c r="G43" i="19"/>
  <c r="AD43" i="19" s="1"/>
  <c r="W26" i="19"/>
  <c r="U26" i="19"/>
  <c r="S26" i="19"/>
  <c r="Q26" i="19"/>
  <c r="O26" i="19"/>
  <c r="M26" i="19"/>
  <c r="K26" i="19"/>
  <c r="A3" i="19"/>
  <c r="A1" i="19"/>
  <c r="V81" i="4"/>
  <c r="U81" i="4"/>
  <c r="U80" i="4"/>
  <c r="T81" i="4"/>
  <c r="T80" i="4"/>
  <c r="S81" i="4"/>
  <c r="AT29" i="72" l="1"/>
  <c r="BF30" i="72"/>
  <c r="BD31" i="72"/>
  <c r="AV29" i="72"/>
  <c r="AV28" i="72"/>
  <c r="AX28" i="72" s="1"/>
  <c r="AF31" i="72"/>
  <c r="AL30" i="72"/>
  <c r="P81" i="4"/>
  <c r="P80" i="4"/>
  <c r="AL28" i="21"/>
  <c r="AT28" i="21" s="1"/>
  <c r="AP28" i="21"/>
  <c r="AP29" i="21"/>
  <c r="BD30" i="21"/>
  <c r="BF29" i="21"/>
  <c r="AF30" i="21"/>
  <c r="AL29" i="21"/>
  <c r="AJ15" i="21"/>
  <c r="AR28" i="21" s="1"/>
  <c r="AR29" i="21" s="1"/>
  <c r="AR30" i="21" s="1"/>
  <c r="AR31" i="21" s="1"/>
  <c r="AR32" i="21" s="1"/>
  <c r="AR33" i="21" s="1"/>
  <c r="AR34" i="21" s="1"/>
  <c r="AR35" i="21" s="1"/>
  <c r="AR36" i="21" s="1"/>
  <c r="AR37" i="21" s="1"/>
  <c r="AR38" i="21" s="1"/>
  <c r="AR39" i="21" s="1"/>
  <c r="AR40" i="21" s="1"/>
  <c r="AR41" i="21" s="1"/>
  <c r="AR42" i="21" s="1"/>
  <c r="AR47" i="21" s="1"/>
  <c r="C28" i="19"/>
  <c r="AB28" i="19" s="1"/>
  <c r="AN28" i="19" s="1"/>
  <c r="G47" i="19"/>
  <c r="AD47" i="19" s="1"/>
  <c r="G15" i="19"/>
  <c r="G32" i="19"/>
  <c r="AD32" i="19" s="1"/>
  <c r="G34" i="19"/>
  <c r="AD34" i="19" s="1"/>
  <c r="G30" i="19"/>
  <c r="AD30" i="19" s="1"/>
  <c r="G38" i="19"/>
  <c r="AD38" i="19" s="1"/>
  <c r="G40" i="19"/>
  <c r="AD40" i="19" s="1"/>
  <c r="G52" i="19"/>
  <c r="AD52" i="19" s="1"/>
  <c r="G50" i="19"/>
  <c r="AD50" i="19" s="1"/>
  <c r="G48" i="19"/>
  <c r="AD48" i="19" s="1"/>
  <c r="G45" i="19"/>
  <c r="AD45" i="19" s="1"/>
  <c r="G41" i="19"/>
  <c r="AD41" i="19" s="1"/>
  <c r="G37" i="19"/>
  <c r="AD37" i="19" s="1"/>
  <c r="G33" i="19"/>
  <c r="AD33" i="19" s="1"/>
  <c r="G49" i="19"/>
  <c r="AD49" i="19" s="1"/>
  <c r="G44" i="19"/>
  <c r="AD44" i="19" s="1"/>
  <c r="G42" i="19"/>
  <c r="AD42" i="19" s="1"/>
  <c r="G39" i="19"/>
  <c r="AD39" i="19" s="1"/>
  <c r="G36" i="19"/>
  <c r="AD36" i="19" s="1"/>
  <c r="G51" i="19"/>
  <c r="AD51" i="19" s="1"/>
  <c r="G46" i="19"/>
  <c r="AD46" i="19" s="1"/>
  <c r="AD28" i="19"/>
  <c r="G29" i="19"/>
  <c r="G31" i="19"/>
  <c r="AD31" i="19" s="1"/>
  <c r="G35" i="19"/>
  <c r="AD35" i="19" s="1"/>
  <c r="C66" i="19"/>
  <c r="AT30" i="72" l="1"/>
  <c r="AX29" i="72"/>
  <c r="U29" i="72" s="1"/>
  <c r="W29" i="72" s="1"/>
  <c r="Y29" i="72" s="1"/>
  <c r="AF32" i="72"/>
  <c r="AL31" i="72"/>
  <c r="BF31" i="72"/>
  <c r="BD32" i="72"/>
  <c r="U28" i="72"/>
  <c r="AD29" i="19"/>
  <c r="G66" i="19"/>
  <c r="AD66" i="19"/>
  <c r="AZ28" i="19"/>
  <c r="AZ29" i="19" s="1"/>
  <c r="AZ30" i="19" s="1"/>
  <c r="AZ31" i="19" s="1"/>
  <c r="AZ32" i="19" s="1"/>
  <c r="AZ33" i="19" s="1"/>
  <c r="AZ34" i="19" s="1"/>
  <c r="AZ35" i="19" s="1"/>
  <c r="AZ36" i="19" s="1"/>
  <c r="AZ37" i="19" s="1"/>
  <c r="AZ38" i="19" s="1"/>
  <c r="AZ39" i="19" s="1"/>
  <c r="AZ40" i="19" s="1"/>
  <c r="AZ41" i="19" s="1"/>
  <c r="AZ42" i="19" s="1"/>
  <c r="AZ43" i="19" s="1"/>
  <c r="AZ44" i="19" s="1"/>
  <c r="AZ45" i="19" s="1"/>
  <c r="AZ46" i="19" s="1"/>
  <c r="AZ47" i="19" s="1"/>
  <c r="AZ48" i="19" s="1"/>
  <c r="AZ49" i="19" s="1"/>
  <c r="AZ50" i="19" s="1"/>
  <c r="AZ51" i="19" s="1"/>
  <c r="AZ52" i="19" s="1"/>
  <c r="AZ53" i="19" s="1"/>
  <c r="AZ54" i="19" s="1"/>
  <c r="AZ55" i="19" s="1"/>
  <c r="AZ56" i="19" s="1"/>
  <c r="AZ57" i="19" s="1"/>
  <c r="AZ58" i="19" s="1"/>
  <c r="AZ59" i="19" s="1"/>
  <c r="AZ60" i="19" s="1"/>
  <c r="AZ61" i="19" s="1"/>
  <c r="AZ62" i="19" s="1"/>
  <c r="C29" i="19"/>
  <c r="C30" i="19" s="1"/>
  <c r="C31" i="19" s="1"/>
  <c r="C32" i="19" s="1"/>
  <c r="AT29" i="21"/>
  <c r="AF31" i="21"/>
  <c r="AL30" i="21"/>
  <c r="AV29" i="21"/>
  <c r="AV28" i="21"/>
  <c r="AX28" i="21" s="1"/>
  <c r="BD31" i="21"/>
  <c r="BF30" i="21"/>
  <c r="I28" i="19"/>
  <c r="AB29" i="19"/>
  <c r="AN29" i="19" s="1"/>
  <c r="BF32" i="72" l="1"/>
  <c r="BD33" i="72"/>
  <c r="AT31" i="72"/>
  <c r="W28" i="72"/>
  <c r="AL32" i="72"/>
  <c r="AT32" i="72" s="1"/>
  <c r="AF33" i="72"/>
  <c r="AX29" i="21"/>
  <c r="U29" i="21" s="1"/>
  <c r="W29" i="21" s="1"/>
  <c r="Y29" i="21" s="1"/>
  <c r="U28" i="21"/>
  <c r="AF32" i="21"/>
  <c r="AL31" i="21"/>
  <c r="BD32" i="21"/>
  <c r="BF31" i="21"/>
  <c r="AT30" i="21"/>
  <c r="M29" i="19"/>
  <c r="K29" i="19"/>
  <c r="I29" i="19"/>
  <c r="AB30" i="19"/>
  <c r="AN30" i="19" s="1"/>
  <c r="C33" i="19"/>
  <c r="Y28" i="72" l="1"/>
  <c r="AL33" i="72"/>
  <c r="AF34" i="72"/>
  <c r="BF33" i="72"/>
  <c r="BD34" i="72"/>
  <c r="AT31" i="21"/>
  <c r="AF33" i="21"/>
  <c r="AL32" i="21"/>
  <c r="BD33" i="21"/>
  <c r="BF32" i="21"/>
  <c r="W28" i="21"/>
  <c r="C34" i="19"/>
  <c r="I31" i="19"/>
  <c r="M30" i="19"/>
  <c r="M31" i="19" s="1"/>
  <c r="AB31" i="19"/>
  <c r="AN31" i="19" s="1"/>
  <c r="K30" i="19"/>
  <c r="K31" i="19" s="1"/>
  <c r="BF34" i="72" l="1"/>
  <c r="BD35" i="72"/>
  <c r="AF35" i="72"/>
  <c r="AL34" i="72"/>
  <c r="AT34" i="72" s="1"/>
  <c r="AT33" i="72"/>
  <c r="Y28" i="21"/>
  <c r="BD34" i="21"/>
  <c r="BF33" i="21"/>
  <c r="AT32" i="21"/>
  <c r="AF34" i="21"/>
  <c r="AL33" i="21"/>
  <c r="AB32" i="19"/>
  <c r="C35" i="19"/>
  <c r="AF36" i="72" l="1"/>
  <c r="AL35" i="72"/>
  <c r="BF35" i="72"/>
  <c r="BD36" i="72"/>
  <c r="AT33" i="21"/>
  <c r="BD35" i="21"/>
  <c r="BF34" i="21"/>
  <c r="AF35" i="21"/>
  <c r="AL34" i="21"/>
  <c r="C36" i="19"/>
  <c r="AB33" i="19"/>
  <c r="AT35" i="72" l="1"/>
  <c r="BD37" i="72"/>
  <c r="BF36" i="72"/>
  <c r="AL36" i="72"/>
  <c r="AF37" i="72"/>
  <c r="AF36" i="21"/>
  <c r="AL35" i="21"/>
  <c r="AT34" i="21"/>
  <c r="BD36" i="21"/>
  <c r="BF35" i="21"/>
  <c r="C37" i="19"/>
  <c r="AB34" i="19"/>
  <c r="AT36" i="72" l="1"/>
  <c r="AL37" i="72"/>
  <c r="AF38" i="72"/>
  <c r="BD38" i="72"/>
  <c r="BF37" i="72"/>
  <c r="BD37" i="21"/>
  <c r="BF36" i="21"/>
  <c r="AT35" i="21"/>
  <c r="AF37" i="21"/>
  <c r="AL36" i="21"/>
  <c r="AB35" i="19"/>
  <c r="C38" i="19"/>
  <c r="BD39" i="72" l="1"/>
  <c r="BF38" i="72"/>
  <c r="AL38" i="72"/>
  <c r="AF39" i="72"/>
  <c r="AT37" i="72"/>
  <c r="AF38" i="21"/>
  <c r="AL37" i="21"/>
  <c r="AT36" i="21"/>
  <c r="BF37" i="21"/>
  <c r="BD38" i="21"/>
  <c r="C39" i="19"/>
  <c r="AB36" i="19"/>
  <c r="AF40" i="72" l="1"/>
  <c r="AL39" i="72"/>
  <c r="AT38" i="72"/>
  <c r="BF39" i="72"/>
  <c r="BD40" i="72"/>
  <c r="AT37" i="21"/>
  <c r="BD39" i="21"/>
  <c r="BF38" i="21"/>
  <c r="AF39" i="21"/>
  <c r="AL38" i="21"/>
  <c r="C40" i="19"/>
  <c r="AB37" i="19"/>
  <c r="AT39" i="72" l="1"/>
  <c r="BF40" i="72"/>
  <c r="BD41" i="72"/>
  <c r="AL40" i="72"/>
  <c r="AF41" i="72"/>
  <c r="AT38" i="21"/>
  <c r="BD40" i="21"/>
  <c r="BF39" i="21"/>
  <c r="AL39" i="21"/>
  <c r="AF40" i="21"/>
  <c r="C41" i="19"/>
  <c r="AB38" i="19"/>
  <c r="AT40" i="72" l="1"/>
  <c r="AF42" i="72"/>
  <c r="AL41" i="72"/>
  <c r="BF41" i="72"/>
  <c r="BD42" i="72"/>
  <c r="AT39" i="21"/>
  <c r="AL40" i="21"/>
  <c r="AF41" i="21"/>
  <c r="BD41" i="21"/>
  <c r="BF40" i="21"/>
  <c r="AB39" i="19"/>
  <c r="C42" i="19"/>
  <c r="AT41" i="72" l="1"/>
  <c r="AF43" i="72"/>
  <c r="AL42" i="72"/>
  <c r="BD43" i="72"/>
  <c r="BF42" i="72"/>
  <c r="BD42" i="21"/>
  <c r="BF41" i="21"/>
  <c r="AF42" i="21"/>
  <c r="AL41" i="21"/>
  <c r="AT40" i="21"/>
  <c r="C43" i="19"/>
  <c r="AB40" i="19"/>
  <c r="BD44" i="72" l="1"/>
  <c r="BF43" i="72"/>
  <c r="AT42" i="72"/>
  <c r="AL43" i="72"/>
  <c r="AF44" i="72"/>
  <c r="AT41" i="21"/>
  <c r="AL42" i="21"/>
  <c r="AF47" i="21"/>
  <c r="BD47" i="21"/>
  <c r="BF42" i="21"/>
  <c r="BF47" i="21" s="1"/>
  <c r="C44" i="19"/>
  <c r="AB41" i="19"/>
  <c r="AT43" i="72" l="1"/>
  <c r="AL44" i="72"/>
  <c r="AF45" i="72"/>
  <c r="BF44" i="72"/>
  <c r="BD45" i="72"/>
  <c r="AT42" i="21"/>
  <c r="AL47" i="21"/>
  <c r="AB42" i="19"/>
  <c r="C45" i="19"/>
  <c r="AT44" i="72" l="1"/>
  <c r="BD46" i="72"/>
  <c r="BF45" i="72"/>
  <c r="AF46" i="72"/>
  <c r="AL45" i="72"/>
  <c r="AT47" i="21"/>
  <c r="AB43" i="19"/>
  <c r="C46" i="19"/>
  <c r="AT45" i="72" l="1"/>
  <c r="AF47" i="72"/>
  <c r="AL46" i="72"/>
  <c r="BF46" i="72"/>
  <c r="BD47" i="72"/>
  <c r="C47" i="19"/>
  <c r="AB44" i="19"/>
  <c r="BD48" i="72" l="1"/>
  <c r="BF47" i="72"/>
  <c r="AT46" i="72"/>
  <c r="AF48" i="72"/>
  <c r="AL47" i="72"/>
  <c r="AB45" i="19"/>
  <c r="C48" i="19"/>
  <c r="AL48" i="72" l="1"/>
  <c r="AF50" i="72"/>
  <c r="AT47" i="72"/>
  <c r="BD50" i="72"/>
  <c r="BF48" i="72"/>
  <c r="BF50" i="72" s="1"/>
  <c r="AB46" i="19"/>
  <c r="C49" i="19"/>
  <c r="AL50" i="72" l="1"/>
  <c r="AT48" i="72"/>
  <c r="C50" i="19"/>
  <c r="AB47" i="19"/>
  <c r="AT50" i="72" l="1"/>
  <c r="C51" i="19"/>
  <c r="AB48" i="19"/>
  <c r="C52" i="19" l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AB49" i="19"/>
  <c r="AB50" i="19" l="1"/>
  <c r="AB51" i="19" l="1"/>
  <c r="AB52" i="19" l="1"/>
  <c r="AB53" i="19" l="1"/>
  <c r="N81" i="4"/>
  <c r="N80" i="4"/>
  <c r="N68" i="4"/>
  <c r="J80" i="4"/>
  <c r="J82" i="4" s="1"/>
  <c r="AF15" i="73" s="1"/>
  <c r="AF31" i="73" s="1"/>
  <c r="N83" i="4"/>
  <c r="BB16" i="73" s="1"/>
  <c r="BD31" i="73" s="1"/>
  <c r="I81" i="4"/>
  <c r="I80" i="4"/>
  <c r="M82" i="4"/>
  <c r="L82" i="4"/>
  <c r="D82" i="4"/>
  <c r="AJ16" i="73" s="1"/>
  <c r="AF11" i="73" s="1"/>
  <c r="J57" i="4"/>
  <c r="L57" i="4"/>
  <c r="M57" i="4"/>
  <c r="BD11" i="73" l="1"/>
  <c r="AF12" i="73"/>
  <c r="BF31" i="73"/>
  <c r="BD30" i="73"/>
  <c r="BD32" i="73"/>
  <c r="AF30" i="73"/>
  <c r="AF32" i="73"/>
  <c r="AB54" i="19"/>
  <c r="AF15" i="19"/>
  <c r="AF28" i="19" s="1"/>
  <c r="AF29" i="19" s="1"/>
  <c r="AF15" i="20"/>
  <c r="AF31" i="20" s="1"/>
  <c r="AJ16" i="19"/>
  <c r="AF11" i="19" s="1"/>
  <c r="AF12" i="19" s="1"/>
  <c r="AJ16" i="20"/>
  <c r="AF11" i="20" s="1"/>
  <c r="BB16" i="20"/>
  <c r="BD31" i="20" s="1"/>
  <c r="BB16" i="19"/>
  <c r="BD28" i="19" s="1"/>
  <c r="N82" i="4"/>
  <c r="AJ11" i="73" s="1"/>
  <c r="AH31" i="73" s="1"/>
  <c r="P82" i="4"/>
  <c r="AJ15" i="73" s="1"/>
  <c r="AR31" i="73" s="1"/>
  <c r="H82" i="4"/>
  <c r="AF14" i="73" s="1"/>
  <c r="O82" i="4"/>
  <c r="AJ13" i="73" s="1"/>
  <c r="AJ31" i="73" s="1"/>
  <c r="AH30" i="73" l="1"/>
  <c r="AH29" i="73" s="1"/>
  <c r="AH28" i="73" s="1"/>
  <c r="AH32" i="73"/>
  <c r="AH33" i="73" s="1"/>
  <c r="AH34" i="73" s="1"/>
  <c r="AH35" i="73" s="1"/>
  <c r="AH36" i="73" s="1"/>
  <c r="AH37" i="73" s="1"/>
  <c r="AH38" i="73" s="1"/>
  <c r="AH39" i="73" s="1"/>
  <c r="AH40" i="73" s="1"/>
  <c r="AH41" i="73" s="1"/>
  <c r="AH42" i="73" s="1"/>
  <c r="AH43" i="73" s="1"/>
  <c r="AH44" i="73" s="1"/>
  <c r="AH45" i="73" s="1"/>
  <c r="AH46" i="73" s="1"/>
  <c r="AH47" i="73" s="1"/>
  <c r="AH48" i="73" s="1"/>
  <c r="AF33" i="73"/>
  <c r="BD29" i="73"/>
  <c r="BF30" i="73"/>
  <c r="AJ30" i="73"/>
  <c r="AJ29" i="73" s="1"/>
  <c r="AJ28" i="73" s="1"/>
  <c r="AJ32" i="73"/>
  <c r="AJ33" i="73" s="1"/>
  <c r="AJ34" i="73" s="1"/>
  <c r="AJ35" i="73" s="1"/>
  <c r="AJ36" i="73" s="1"/>
  <c r="AJ37" i="73" s="1"/>
  <c r="AJ38" i="73" s="1"/>
  <c r="AJ39" i="73" s="1"/>
  <c r="AJ40" i="73" s="1"/>
  <c r="AJ41" i="73" s="1"/>
  <c r="AJ42" i="73" s="1"/>
  <c r="AJ43" i="73" s="1"/>
  <c r="AJ44" i="73" s="1"/>
  <c r="AJ45" i="73" s="1"/>
  <c r="AJ46" i="73" s="1"/>
  <c r="AJ47" i="73" s="1"/>
  <c r="AJ48" i="73" s="1"/>
  <c r="AF29" i="73"/>
  <c r="AP32" i="73"/>
  <c r="AP33" i="73"/>
  <c r="AP31" i="73"/>
  <c r="AV31" i="73" s="1"/>
  <c r="AP30" i="73"/>
  <c r="AP29" i="73"/>
  <c r="AP28" i="73"/>
  <c r="AL31" i="73"/>
  <c r="AT31" i="73" s="1"/>
  <c r="AR32" i="73"/>
  <c r="AR33" i="73" s="1"/>
  <c r="AR34" i="73" s="1"/>
  <c r="AR35" i="73" s="1"/>
  <c r="AR36" i="73" s="1"/>
  <c r="AR37" i="73" s="1"/>
  <c r="AR38" i="73" s="1"/>
  <c r="AR39" i="73" s="1"/>
  <c r="AR40" i="73" s="1"/>
  <c r="AR41" i="73" s="1"/>
  <c r="AR42" i="73" s="1"/>
  <c r="AR43" i="73" s="1"/>
  <c r="AR44" i="73" s="1"/>
  <c r="AR45" i="73" s="1"/>
  <c r="AR46" i="73" s="1"/>
  <c r="AR47" i="73" s="1"/>
  <c r="AR48" i="73" s="1"/>
  <c r="AR30" i="73"/>
  <c r="AR29" i="73" s="1"/>
  <c r="AR28" i="73" s="1"/>
  <c r="BF32" i="73"/>
  <c r="BD33" i="73"/>
  <c r="AB55" i="19"/>
  <c r="BD11" i="19"/>
  <c r="AF14" i="19"/>
  <c r="AF14" i="20"/>
  <c r="BD11" i="20"/>
  <c r="BF31" i="20" s="1"/>
  <c r="AF12" i="20"/>
  <c r="AJ15" i="19"/>
  <c r="AR28" i="19" s="1"/>
  <c r="AJ15" i="20"/>
  <c r="AR31" i="20" s="1"/>
  <c r="AF30" i="20"/>
  <c r="AF32" i="20"/>
  <c r="AJ13" i="19"/>
  <c r="AJ28" i="19" s="1"/>
  <c r="AJ13" i="20"/>
  <c r="AJ31" i="20" s="1"/>
  <c r="AJ11" i="19"/>
  <c r="AH28" i="19" s="1"/>
  <c r="AJ11" i="20"/>
  <c r="AH31" i="20" s="1"/>
  <c r="BD30" i="20"/>
  <c r="BD32" i="20"/>
  <c r="AF30" i="19"/>
  <c r="AR52" i="73" l="1"/>
  <c r="AV33" i="73"/>
  <c r="AV32" i="73"/>
  <c r="BD34" i="73"/>
  <c r="BF33" i="73"/>
  <c r="AL32" i="73"/>
  <c r="AT32" i="73" s="1"/>
  <c r="AV28" i="73"/>
  <c r="AV30" i="73"/>
  <c r="AJ52" i="73"/>
  <c r="AF34" i="73"/>
  <c r="AL33" i="73"/>
  <c r="AL29" i="73"/>
  <c r="AF28" i="73"/>
  <c r="AV29" i="73"/>
  <c r="AX31" i="73"/>
  <c r="U31" i="73" s="1"/>
  <c r="W31" i="73" s="1"/>
  <c r="Y31" i="73" s="1"/>
  <c r="AL30" i="73"/>
  <c r="AT30" i="73" s="1"/>
  <c r="BD28" i="73"/>
  <c r="BF29" i="73"/>
  <c r="AH52" i="73"/>
  <c r="AB56" i="19"/>
  <c r="AR29" i="19"/>
  <c r="AR30" i="19" s="1"/>
  <c r="AR31" i="19" s="1"/>
  <c r="AJ29" i="19"/>
  <c r="AJ30" i="19" s="1"/>
  <c r="AJ31" i="19" s="1"/>
  <c r="AH29" i="19"/>
  <c r="AL28" i="19"/>
  <c r="BD33" i="20"/>
  <c r="BF32" i="20"/>
  <c r="AF29" i="20"/>
  <c r="BD29" i="20"/>
  <c r="BF30" i="20"/>
  <c r="AF33" i="20"/>
  <c r="AJ30" i="20"/>
  <c r="AJ29" i="20" s="1"/>
  <c r="AJ28" i="20" s="1"/>
  <c r="AJ32" i="20"/>
  <c r="AJ33" i="20" s="1"/>
  <c r="AJ34" i="20" s="1"/>
  <c r="AJ35" i="20" s="1"/>
  <c r="AJ36" i="20" s="1"/>
  <c r="AJ37" i="20" s="1"/>
  <c r="AJ38" i="20" s="1"/>
  <c r="AJ39" i="20" s="1"/>
  <c r="AJ40" i="20" s="1"/>
  <c r="AJ41" i="20" s="1"/>
  <c r="AJ42" i="20" s="1"/>
  <c r="AJ43" i="20" s="1"/>
  <c r="AJ44" i="20" s="1"/>
  <c r="AJ45" i="20" s="1"/>
  <c r="AJ46" i="20" s="1"/>
  <c r="AJ47" i="20" s="1"/>
  <c r="AJ48" i="20" s="1"/>
  <c r="AJ49" i="20" s="1"/>
  <c r="AJ50" i="20" s="1"/>
  <c r="AJ51" i="20" s="1"/>
  <c r="AJ52" i="20" s="1"/>
  <c r="AJ53" i="20" s="1"/>
  <c r="AJ54" i="20" s="1"/>
  <c r="AJ55" i="20" s="1"/>
  <c r="AJ56" i="20" s="1"/>
  <c r="AJ57" i="20" s="1"/>
  <c r="AJ58" i="20" s="1"/>
  <c r="AJ59" i="20" s="1"/>
  <c r="AJ60" i="20" s="1"/>
  <c r="AJ61" i="20" s="1"/>
  <c r="AJ62" i="20" s="1"/>
  <c r="AR30" i="20"/>
  <c r="AR29" i="20" s="1"/>
  <c r="AR28" i="20" s="1"/>
  <c r="AR32" i="20"/>
  <c r="AR33" i="20" s="1"/>
  <c r="AR34" i="20" s="1"/>
  <c r="AR35" i="20" s="1"/>
  <c r="AR36" i="20" s="1"/>
  <c r="AR37" i="20" s="1"/>
  <c r="AR38" i="20" s="1"/>
  <c r="AR39" i="20" s="1"/>
  <c r="AR40" i="20" s="1"/>
  <c r="AR41" i="20" s="1"/>
  <c r="AR42" i="20" s="1"/>
  <c r="AR43" i="20" s="1"/>
  <c r="AR44" i="20" s="1"/>
  <c r="AR45" i="20" s="1"/>
  <c r="AR46" i="20" s="1"/>
  <c r="AR47" i="20" s="1"/>
  <c r="AR48" i="20" s="1"/>
  <c r="AR49" i="20" s="1"/>
  <c r="AR50" i="20" s="1"/>
  <c r="AR51" i="20" s="1"/>
  <c r="AR52" i="20" s="1"/>
  <c r="AR53" i="20" s="1"/>
  <c r="AR54" i="20" s="1"/>
  <c r="AR55" i="20" s="1"/>
  <c r="AR56" i="20" s="1"/>
  <c r="AR57" i="20" s="1"/>
  <c r="AR58" i="20" s="1"/>
  <c r="AR59" i="20" s="1"/>
  <c r="AR60" i="20" s="1"/>
  <c r="AR61" i="20" s="1"/>
  <c r="AR62" i="20" s="1"/>
  <c r="AP32" i="20"/>
  <c r="AP33" i="20"/>
  <c r="AP31" i="20"/>
  <c r="AV31" i="20" s="1"/>
  <c r="AP34" i="20"/>
  <c r="AP30" i="20"/>
  <c r="AP35" i="20"/>
  <c r="AP29" i="20"/>
  <c r="AP28" i="20"/>
  <c r="AH30" i="20"/>
  <c r="AH29" i="20" s="1"/>
  <c r="AH28" i="20" s="1"/>
  <c r="AH32" i="20"/>
  <c r="AH33" i="20" s="1"/>
  <c r="AH34" i="20" s="1"/>
  <c r="AH35" i="20" s="1"/>
  <c r="AH36" i="20" s="1"/>
  <c r="AH37" i="20" s="1"/>
  <c r="AH38" i="20" s="1"/>
  <c r="AH39" i="20" s="1"/>
  <c r="AH40" i="20" s="1"/>
  <c r="AH41" i="20" s="1"/>
  <c r="AH42" i="20" s="1"/>
  <c r="AH43" i="20" s="1"/>
  <c r="AH44" i="20" s="1"/>
  <c r="AH45" i="20" s="1"/>
  <c r="AH46" i="20" s="1"/>
  <c r="AH47" i="20" s="1"/>
  <c r="AH48" i="20" s="1"/>
  <c r="AH49" i="20" s="1"/>
  <c r="AH50" i="20" s="1"/>
  <c r="AH51" i="20" s="1"/>
  <c r="AH52" i="20" s="1"/>
  <c r="AH53" i="20" s="1"/>
  <c r="AH54" i="20" s="1"/>
  <c r="AH55" i="20" s="1"/>
  <c r="AH56" i="20" s="1"/>
  <c r="AH57" i="20" s="1"/>
  <c r="AH58" i="20" s="1"/>
  <c r="AH59" i="20" s="1"/>
  <c r="AH60" i="20" s="1"/>
  <c r="AH61" i="20" s="1"/>
  <c r="AH62" i="20" s="1"/>
  <c r="AL31" i="20"/>
  <c r="AT31" i="20" s="1"/>
  <c r="AF31" i="19"/>
  <c r="B67" i="4"/>
  <c r="M70" i="4"/>
  <c r="L70" i="4"/>
  <c r="J70" i="4"/>
  <c r="D70" i="4"/>
  <c r="N69" i="4"/>
  <c r="I69" i="4"/>
  <c r="Q70" i="4"/>
  <c r="AX32" i="73" l="1"/>
  <c r="U32" i="73" s="1"/>
  <c r="W32" i="73" s="1"/>
  <c r="Y32" i="73" s="1"/>
  <c r="AT33" i="73"/>
  <c r="AX33" i="73" s="1"/>
  <c r="U33" i="73" s="1"/>
  <c r="W33" i="73" s="1"/>
  <c r="Y33" i="73" s="1"/>
  <c r="AF35" i="73"/>
  <c r="AL34" i="73"/>
  <c r="AL28" i="73"/>
  <c r="AF15" i="69"/>
  <c r="AF28" i="69" s="1"/>
  <c r="AF15" i="65"/>
  <c r="BF28" i="73"/>
  <c r="AT29" i="73"/>
  <c r="AX29" i="73" s="1"/>
  <c r="U29" i="73" s="1"/>
  <c r="W29" i="73" s="1"/>
  <c r="Y29" i="73" s="1"/>
  <c r="AX30" i="73"/>
  <c r="U30" i="73" s="1"/>
  <c r="W30" i="73" s="1"/>
  <c r="Y30" i="73" s="1"/>
  <c r="BD35" i="73"/>
  <c r="BF34" i="73"/>
  <c r="AV29" i="20"/>
  <c r="AF15" i="14"/>
  <c r="AF15" i="51"/>
  <c r="AF15" i="40"/>
  <c r="AV34" i="20"/>
  <c r="AV30" i="20"/>
  <c r="AH30" i="19"/>
  <c r="AL29" i="19"/>
  <c r="AB57" i="19"/>
  <c r="AV35" i="20"/>
  <c r="AV33" i="20"/>
  <c r="AV32" i="20"/>
  <c r="AX31" i="20"/>
  <c r="U31" i="20" s="1"/>
  <c r="W31" i="20" s="1"/>
  <c r="Y31" i="20" s="1"/>
  <c r="AV28" i="20"/>
  <c r="BD34" i="20"/>
  <c r="BF33" i="20"/>
  <c r="AR66" i="20"/>
  <c r="AF34" i="20"/>
  <c r="AL33" i="20"/>
  <c r="AF28" i="20"/>
  <c r="AL29" i="20"/>
  <c r="AJ66" i="20"/>
  <c r="BD28" i="20"/>
  <c r="BF29" i="20"/>
  <c r="AH66" i="20"/>
  <c r="AL32" i="20"/>
  <c r="AT32" i="20" s="1"/>
  <c r="AL30" i="20"/>
  <c r="AT30" i="20" s="1"/>
  <c r="AA70" i="4"/>
  <c r="N70" i="4"/>
  <c r="X70" i="4"/>
  <c r="H70" i="4"/>
  <c r="Y70" i="4"/>
  <c r="O70" i="4"/>
  <c r="Z70" i="4"/>
  <c r="P70" i="4"/>
  <c r="AJ14" i="14" s="1"/>
  <c r="AJ13" i="69" l="1"/>
  <c r="AJ28" i="69" s="1"/>
  <c r="AJ13" i="65"/>
  <c r="AF29" i="69"/>
  <c r="AT34" i="73"/>
  <c r="AJ11" i="69"/>
  <c r="AH28" i="69" s="1"/>
  <c r="AJ11" i="65"/>
  <c r="AF14" i="69"/>
  <c r="BD36" i="73"/>
  <c r="BF35" i="73"/>
  <c r="AT28" i="73"/>
  <c r="AL35" i="73"/>
  <c r="AF36" i="73"/>
  <c r="AJ11" i="14"/>
  <c r="AJ11" i="51"/>
  <c r="AJ11" i="40"/>
  <c r="AJ13" i="14"/>
  <c r="AJ13" i="51"/>
  <c r="AJ13" i="40"/>
  <c r="AX30" i="20"/>
  <c r="U30" i="20" s="1"/>
  <c r="W30" i="20" s="1"/>
  <c r="Y30" i="20" s="1"/>
  <c r="AX32" i="20"/>
  <c r="U32" i="20" s="1"/>
  <c r="W32" i="20" s="1"/>
  <c r="Y32" i="20" s="1"/>
  <c r="AT29" i="20"/>
  <c r="AX29" i="20" s="1"/>
  <c r="U29" i="20" s="1"/>
  <c r="W29" i="20" s="1"/>
  <c r="Y29" i="20" s="1"/>
  <c r="AB58" i="19"/>
  <c r="AH31" i="19"/>
  <c r="AL31" i="19" s="1"/>
  <c r="AL30" i="19"/>
  <c r="AF35" i="20"/>
  <c r="AL34" i="20"/>
  <c r="BF28" i="20"/>
  <c r="AL28" i="20"/>
  <c r="BD35" i="20"/>
  <c r="BF34" i="20"/>
  <c r="AT33" i="20"/>
  <c r="AX33" i="20" s="1"/>
  <c r="U33" i="20" s="1"/>
  <c r="W33" i="20" s="1"/>
  <c r="Y33" i="20" s="1"/>
  <c r="A3" i="14"/>
  <c r="A2" i="14"/>
  <c r="A1" i="14"/>
  <c r="M28" i="14"/>
  <c r="K28" i="14"/>
  <c r="W26" i="14"/>
  <c r="U26" i="14"/>
  <c r="S26" i="14"/>
  <c r="Q26" i="14"/>
  <c r="O26" i="14"/>
  <c r="M26" i="14"/>
  <c r="K26" i="14"/>
  <c r="AT35" i="73" l="1"/>
  <c r="BD37" i="73"/>
  <c r="BF36" i="73"/>
  <c r="AJ29" i="69"/>
  <c r="AJ30" i="69" s="1"/>
  <c r="AJ31" i="69" s="1"/>
  <c r="AJ32" i="69" s="1"/>
  <c r="AJ33" i="69" s="1"/>
  <c r="AJ34" i="69" s="1"/>
  <c r="AJ35" i="69" s="1"/>
  <c r="AJ36" i="69" s="1"/>
  <c r="AJ37" i="69" s="1"/>
  <c r="AJ38" i="69" s="1"/>
  <c r="AJ39" i="69" s="1"/>
  <c r="AJ40" i="69" s="1"/>
  <c r="AJ41" i="69" s="1"/>
  <c r="AJ42" i="69" s="1"/>
  <c r="AJ43" i="69" s="1"/>
  <c r="AJ44" i="69" s="1"/>
  <c r="AJ45" i="69" s="1"/>
  <c r="AJ46" i="69" s="1"/>
  <c r="AJ47" i="69" s="1"/>
  <c r="AJ48" i="69" s="1"/>
  <c r="AJ49" i="69" s="1"/>
  <c r="AJ50" i="69" s="1"/>
  <c r="AJ51" i="69" s="1"/>
  <c r="AJ52" i="69" s="1"/>
  <c r="AJ53" i="69" s="1"/>
  <c r="AX28" i="73"/>
  <c r="AH29" i="69"/>
  <c r="AH30" i="69" s="1"/>
  <c r="AH31" i="69" s="1"/>
  <c r="AH32" i="69" s="1"/>
  <c r="AH33" i="69" s="1"/>
  <c r="AH34" i="69" s="1"/>
  <c r="AH35" i="69" s="1"/>
  <c r="AH36" i="69" s="1"/>
  <c r="AH37" i="69" s="1"/>
  <c r="AH38" i="69" s="1"/>
  <c r="AH39" i="69" s="1"/>
  <c r="AH40" i="69" s="1"/>
  <c r="AH41" i="69" s="1"/>
  <c r="AH42" i="69" s="1"/>
  <c r="AH43" i="69" s="1"/>
  <c r="AH44" i="69" s="1"/>
  <c r="AH45" i="69" s="1"/>
  <c r="AH46" i="69" s="1"/>
  <c r="AH47" i="69" s="1"/>
  <c r="AH48" i="69" s="1"/>
  <c r="AH49" i="69" s="1"/>
  <c r="AH50" i="69" s="1"/>
  <c r="AH51" i="69" s="1"/>
  <c r="AH52" i="69" s="1"/>
  <c r="AH53" i="69" s="1"/>
  <c r="AL28" i="69"/>
  <c r="AL36" i="73"/>
  <c r="AF37" i="73"/>
  <c r="AF30" i="69"/>
  <c r="AB59" i="19"/>
  <c r="AT34" i="20"/>
  <c r="AX34" i="20" s="1"/>
  <c r="U34" i="20" s="1"/>
  <c r="W34" i="20" s="1"/>
  <c r="Y34" i="20" s="1"/>
  <c r="AT28" i="20"/>
  <c r="BD36" i="20"/>
  <c r="BF35" i="20"/>
  <c r="AF36" i="20"/>
  <c r="AL35" i="20"/>
  <c r="C28" i="14"/>
  <c r="AR387" i="5"/>
  <c r="AQ387" i="5"/>
  <c r="AR386" i="5"/>
  <c r="AQ386" i="5"/>
  <c r="AR385" i="5"/>
  <c r="AQ385" i="5"/>
  <c r="AR384" i="5"/>
  <c r="AQ384" i="5"/>
  <c r="AR383" i="5"/>
  <c r="AQ383" i="5"/>
  <c r="AR382" i="5"/>
  <c r="AQ382" i="5"/>
  <c r="AR381" i="5"/>
  <c r="AQ381" i="5"/>
  <c r="AR380" i="5"/>
  <c r="AQ380" i="5"/>
  <c r="AR379" i="5"/>
  <c r="AQ379" i="5"/>
  <c r="AR378" i="5"/>
  <c r="AQ378" i="5"/>
  <c r="AR377" i="5"/>
  <c r="AQ377" i="5"/>
  <c r="AR376" i="5"/>
  <c r="AQ376" i="5"/>
  <c r="AR375" i="5"/>
  <c r="AQ375" i="5"/>
  <c r="AR374" i="5"/>
  <c r="AQ374" i="5"/>
  <c r="AR373" i="5"/>
  <c r="AQ373" i="5"/>
  <c r="AR372" i="5"/>
  <c r="AQ372" i="5"/>
  <c r="AR371" i="5"/>
  <c r="AQ371" i="5"/>
  <c r="AR370" i="5"/>
  <c r="AQ370" i="5"/>
  <c r="AR369" i="5"/>
  <c r="AQ369" i="5"/>
  <c r="AR368" i="5"/>
  <c r="AQ368" i="5"/>
  <c r="AR367" i="5"/>
  <c r="AQ367" i="5"/>
  <c r="AR366" i="5"/>
  <c r="AQ366" i="5"/>
  <c r="AR365" i="5"/>
  <c r="AQ365" i="5"/>
  <c r="AR364" i="5"/>
  <c r="AQ364" i="5"/>
  <c r="AR363" i="5"/>
  <c r="AQ363" i="5"/>
  <c r="AR362" i="5"/>
  <c r="AQ362" i="5"/>
  <c r="AR361" i="5"/>
  <c r="AQ361" i="5"/>
  <c r="AR360" i="5"/>
  <c r="AQ360" i="5"/>
  <c r="AR359" i="5"/>
  <c r="AQ359" i="5"/>
  <c r="AR358" i="5"/>
  <c r="AQ358" i="5"/>
  <c r="AR357" i="5"/>
  <c r="AQ357" i="5"/>
  <c r="AR356" i="5"/>
  <c r="AQ356" i="5"/>
  <c r="AR355" i="5"/>
  <c r="AQ355" i="5"/>
  <c r="AR354" i="5"/>
  <c r="AQ354" i="5"/>
  <c r="AR353" i="5"/>
  <c r="AQ353" i="5"/>
  <c r="AR352" i="5"/>
  <c r="AQ352" i="5"/>
  <c r="AR351" i="5"/>
  <c r="AQ351" i="5"/>
  <c r="AR350" i="5"/>
  <c r="AQ350" i="5"/>
  <c r="AR349" i="5"/>
  <c r="AQ349" i="5"/>
  <c r="AR348" i="5"/>
  <c r="AQ348" i="5"/>
  <c r="AR347" i="5"/>
  <c r="AQ347" i="5"/>
  <c r="AR346" i="5"/>
  <c r="AQ346" i="5"/>
  <c r="AR345" i="5"/>
  <c r="AQ345" i="5"/>
  <c r="AR344" i="5"/>
  <c r="AQ344" i="5"/>
  <c r="AR343" i="5"/>
  <c r="AQ343" i="5"/>
  <c r="AR342" i="5"/>
  <c r="AQ342" i="5"/>
  <c r="AR341" i="5"/>
  <c r="AQ341" i="5"/>
  <c r="AR340" i="5"/>
  <c r="AQ340" i="5"/>
  <c r="AR339" i="5"/>
  <c r="AQ339" i="5"/>
  <c r="AR338" i="5"/>
  <c r="AQ338" i="5"/>
  <c r="AR337" i="5"/>
  <c r="AQ337" i="5"/>
  <c r="AR336" i="5"/>
  <c r="AQ336" i="5"/>
  <c r="AR335" i="5"/>
  <c r="AQ335" i="5"/>
  <c r="AR334" i="5"/>
  <c r="AQ334" i="5"/>
  <c r="AR333" i="5"/>
  <c r="AQ333" i="5"/>
  <c r="AR332" i="5"/>
  <c r="AQ332" i="5"/>
  <c r="AR331" i="5"/>
  <c r="AQ331" i="5"/>
  <c r="AR330" i="5"/>
  <c r="AQ330" i="5"/>
  <c r="AR329" i="5"/>
  <c r="AQ329" i="5"/>
  <c r="AR328" i="5"/>
  <c r="AQ328" i="5"/>
  <c r="AR327" i="5"/>
  <c r="AQ327" i="5"/>
  <c r="AR326" i="5"/>
  <c r="AQ326" i="5"/>
  <c r="AR325" i="5"/>
  <c r="AQ325" i="5"/>
  <c r="AR324" i="5"/>
  <c r="AQ324" i="5"/>
  <c r="AR323" i="5"/>
  <c r="AQ323" i="5"/>
  <c r="AR322" i="5"/>
  <c r="AQ322" i="5"/>
  <c r="AR321" i="5"/>
  <c r="AQ321" i="5"/>
  <c r="AR320" i="5"/>
  <c r="AQ320" i="5"/>
  <c r="AR319" i="5"/>
  <c r="AQ319" i="5"/>
  <c r="AR318" i="5"/>
  <c r="AQ318" i="5"/>
  <c r="AR317" i="5"/>
  <c r="AQ317" i="5"/>
  <c r="AR316" i="5"/>
  <c r="AQ316" i="5"/>
  <c r="AR315" i="5"/>
  <c r="AQ315" i="5"/>
  <c r="AR314" i="5"/>
  <c r="AQ314" i="5"/>
  <c r="AR313" i="5"/>
  <c r="AQ313" i="5"/>
  <c r="AR312" i="5"/>
  <c r="AQ312" i="5"/>
  <c r="AR311" i="5"/>
  <c r="AQ311" i="5"/>
  <c r="AR310" i="5"/>
  <c r="AQ310" i="5"/>
  <c r="AR309" i="5"/>
  <c r="AQ309" i="5"/>
  <c r="AR308" i="5"/>
  <c r="AQ308" i="5"/>
  <c r="AR307" i="5"/>
  <c r="AQ307" i="5"/>
  <c r="AR306" i="5"/>
  <c r="AQ306" i="5"/>
  <c r="AR305" i="5"/>
  <c r="AQ305" i="5"/>
  <c r="AR304" i="5"/>
  <c r="AQ304" i="5"/>
  <c r="AR303" i="5"/>
  <c r="AQ303" i="5"/>
  <c r="AR302" i="5"/>
  <c r="AQ302" i="5"/>
  <c r="AR301" i="5"/>
  <c r="AQ301" i="5"/>
  <c r="AR300" i="5"/>
  <c r="AQ300" i="5"/>
  <c r="AR299" i="5"/>
  <c r="AQ299" i="5"/>
  <c r="AR298" i="5"/>
  <c r="AQ298" i="5"/>
  <c r="AR297" i="5"/>
  <c r="AQ297" i="5"/>
  <c r="AR296" i="5"/>
  <c r="AQ296" i="5"/>
  <c r="AR295" i="5"/>
  <c r="AQ295" i="5"/>
  <c r="AR294" i="5"/>
  <c r="AQ294" i="5"/>
  <c r="AR293" i="5"/>
  <c r="AQ293" i="5"/>
  <c r="AR292" i="5"/>
  <c r="AQ292" i="5"/>
  <c r="AR291" i="5"/>
  <c r="AQ291" i="5"/>
  <c r="AR290" i="5"/>
  <c r="AQ290" i="5"/>
  <c r="AR289" i="5"/>
  <c r="AQ289" i="5"/>
  <c r="AR288" i="5"/>
  <c r="AQ288" i="5"/>
  <c r="AR287" i="5"/>
  <c r="AQ287" i="5"/>
  <c r="AR286" i="5"/>
  <c r="AQ286" i="5"/>
  <c r="AR285" i="5"/>
  <c r="AQ285" i="5"/>
  <c r="AR284" i="5"/>
  <c r="AQ284" i="5"/>
  <c r="AR283" i="5"/>
  <c r="AQ283" i="5"/>
  <c r="AR282" i="5"/>
  <c r="AQ282" i="5"/>
  <c r="AR281" i="5"/>
  <c r="AQ281" i="5"/>
  <c r="AR280" i="5"/>
  <c r="AQ280" i="5"/>
  <c r="AR279" i="5"/>
  <c r="AQ279" i="5"/>
  <c r="AR278" i="5"/>
  <c r="AQ278" i="5"/>
  <c r="AR277" i="5"/>
  <c r="AQ277" i="5"/>
  <c r="AR276" i="5"/>
  <c r="AQ276" i="5"/>
  <c r="AR275" i="5"/>
  <c r="AQ275" i="5"/>
  <c r="AR274" i="5"/>
  <c r="AQ274" i="5"/>
  <c r="AR273" i="5"/>
  <c r="AQ273" i="5"/>
  <c r="AR272" i="5"/>
  <c r="AQ272" i="5"/>
  <c r="AR271" i="5"/>
  <c r="AQ271" i="5"/>
  <c r="AR270" i="5"/>
  <c r="AQ270" i="5"/>
  <c r="AR269" i="5"/>
  <c r="AQ269" i="5"/>
  <c r="AR268" i="5"/>
  <c r="AQ268" i="5"/>
  <c r="AR267" i="5"/>
  <c r="AQ267" i="5"/>
  <c r="AR266" i="5"/>
  <c r="AQ266" i="5"/>
  <c r="AR265" i="5"/>
  <c r="AQ265" i="5"/>
  <c r="AR264" i="5"/>
  <c r="AQ264" i="5"/>
  <c r="AR263" i="5"/>
  <c r="AQ263" i="5"/>
  <c r="AR262" i="5"/>
  <c r="AQ262" i="5"/>
  <c r="AR261" i="5"/>
  <c r="AQ261" i="5"/>
  <c r="AR260" i="5"/>
  <c r="AQ260" i="5"/>
  <c r="AR259" i="5"/>
  <c r="AQ259" i="5"/>
  <c r="AR258" i="5"/>
  <c r="AQ258" i="5"/>
  <c r="AR257" i="5"/>
  <c r="AQ257" i="5"/>
  <c r="AR256" i="5"/>
  <c r="AQ256" i="5"/>
  <c r="AR255" i="5"/>
  <c r="AQ255" i="5"/>
  <c r="AR254" i="5"/>
  <c r="AQ254" i="5"/>
  <c r="AR253" i="5"/>
  <c r="AQ253" i="5"/>
  <c r="AR252" i="5"/>
  <c r="AQ252" i="5"/>
  <c r="AR251" i="5"/>
  <c r="AQ251" i="5"/>
  <c r="AR250" i="5"/>
  <c r="AQ250" i="5"/>
  <c r="AR249" i="5"/>
  <c r="AQ249" i="5"/>
  <c r="AR248" i="5"/>
  <c r="AQ248" i="5"/>
  <c r="AR247" i="5"/>
  <c r="AQ247" i="5"/>
  <c r="AR246" i="5"/>
  <c r="AQ246" i="5"/>
  <c r="AR245" i="5"/>
  <c r="AQ245" i="5"/>
  <c r="AR244" i="5"/>
  <c r="AQ244" i="5"/>
  <c r="AR243" i="5"/>
  <c r="AQ243" i="5"/>
  <c r="AR242" i="5"/>
  <c r="AQ242" i="5"/>
  <c r="AR241" i="5"/>
  <c r="AQ241" i="5"/>
  <c r="AR240" i="5"/>
  <c r="AQ240" i="5"/>
  <c r="AR239" i="5"/>
  <c r="AQ239" i="5"/>
  <c r="AR238" i="5"/>
  <c r="AQ238" i="5"/>
  <c r="AR237" i="5"/>
  <c r="AQ237" i="5"/>
  <c r="AR236" i="5"/>
  <c r="AQ236" i="5"/>
  <c r="AR235" i="5"/>
  <c r="AQ235" i="5"/>
  <c r="AR234" i="5"/>
  <c r="AQ234" i="5"/>
  <c r="AR233" i="5"/>
  <c r="AQ233" i="5"/>
  <c r="AR232" i="5"/>
  <c r="AQ232" i="5"/>
  <c r="AR231" i="5"/>
  <c r="AQ231" i="5"/>
  <c r="AR230" i="5"/>
  <c r="AQ230" i="5"/>
  <c r="AR229" i="5"/>
  <c r="AQ229" i="5"/>
  <c r="AR228" i="5"/>
  <c r="AQ228" i="5"/>
  <c r="AR227" i="5"/>
  <c r="AQ227" i="5"/>
  <c r="AR226" i="5"/>
  <c r="AQ226" i="5"/>
  <c r="AR225" i="5"/>
  <c r="AQ225" i="5"/>
  <c r="AR224" i="5"/>
  <c r="AQ224" i="5"/>
  <c r="AR223" i="5"/>
  <c r="AQ223" i="5"/>
  <c r="AR222" i="5"/>
  <c r="AQ222" i="5"/>
  <c r="AR221" i="5"/>
  <c r="AQ221" i="5"/>
  <c r="AR220" i="5"/>
  <c r="AQ220" i="5"/>
  <c r="AR219" i="5"/>
  <c r="AQ219" i="5"/>
  <c r="AR218" i="5"/>
  <c r="AQ218" i="5"/>
  <c r="AR217" i="5"/>
  <c r="AQ217" i="5"/>
  <c r="AR216" i="5"/>
  <c r="AQ216" i="5"/>
  <c r="AR215" i="5"/>
  <c r="AQ215" i="5"/>
  <c r="AR214" i="5"/>
  <c r="AQ214" i="5"/>
  <c r="AR213" i="5"/>
  <c r="AQ213" i="5"/>
  <c r="AR212" i="5"/>
  <c r="AQ212" i="5"/>
  <c r="AR211" i="5"/>
  <c r="AQ211" i="5"/>
  <c r="AR210" i="5"/>
  <c r="AQ210" i="5"/>
  <c r="AR209" i="5"/>
  <c r="AQ209" i="5"/>
  <c r="AR208" i="5"/>
  <c r="AQ208" i="5"/>
  <c r="AR207" i="5"/>
  <c r="AQ207" i="5"/>
  <c r="AR206" i="5"/>
  <c r="AQ206" i="5"/>
  <c r="AR205" i="5"/>
  <c r="AQ205" i="5"/>
  <c r="AR204" i="5"/>
  <c r="AQ204" i="5"/>
  <c r="AR203" i="5"/>
  <c r="AQ203" i="5"/>
  <c r="AR202" i="5"/>
  <c r="AQ202" i="5"/>
  <c r="AQ201" i="5"/>
  <c r="AR200" i="5"/>
  <c r="AQ200" i="5"/>
  <c r="AR199" i="5"/>
  <c r="AQ199" i="5"/>
  <c r="AR198" i="5"/>
  <c r="AQ198" i="5"/>
  <c r="AR197" i="5"/>
  <c r="AQ197" i="5"/>
  <c r="AR196" i="5"/>
  <c r="AQ196" i="5"/>
  <c r="AR195" i="5"/>
  <c r="AQ195" i="5"/>
  <c r="AR194" i="5"/>
  <c r="AQ194" i="5"/>
  <c r="AR193" i="5"/>
  <c r="AQ193" i="5"/>
  <c r="AR192" i="5"/>
  <c r="AQ192" i="5"/>
  <c r="AR191" i="5"/>
  <c r="AQ191" i="5"/>
  <c r="AR190" i="5"/>
  <c r="AQ190" i="5"/>
  <c r="AR189" i="5"/>
  <c r="AQ189" i="5"/>
  <c r="AR188" i="5"/>
  <c r="AQ188" i="5"/>
  <c r="AR187" i="5"/>
  <c r="AQ187" i="5"/>
  <c r="AR186" i="5"/>
  <c r="AQ186" i="5"/>
  <c r="AR185" i="5"/>
  <c r="AQ185" i="5"/>
  <c r="AR184" i="5"/>
  <c r="AQ184" i="5"/>
  <c r="AR183" i="5"/>
  <c r="AQ183" i="5"/>
  <c r="AR182" i="5"/>
  <c r="AQ182" i="5"/>
  <c r="AR181" i="5"/>
  <c r="AQ181" i="5"/>
  <c r="AR180" i="5"/>
  <c r="AQ180" i="5"/>
  <c r="AR179" i="5"/>
  <c r="AQ179" i="5"/>
  <c r="AR178" i="5"/>
  <c r="AQ178" i="5"/>
  <c r="AR177" i="5"/>
  <c r="AQ177" i="5"/>
  <c r="AR176" i="5"/>
  <c r="AQ176" i="5"/>
  <c r="AR175" i="5"/>
  <c r="AQ175" i="5"/>
  <c r="AR174" i="5"/>
  <c r="AQ174" i="5"/>
  <c r="AR173" i="5"/>
  <c r="AQ173" i="5"/>
  <c r="AR172" i="5"/>
  <c r="AQ172" i="5"/>
  <c r="AR171" i="5"/>
  <c r="AQ171" i="5"/>
  <c r="AR170" i="5"/>
  <c r="AQ170" i="5"/>
  <c r="AR169" i="5"/>
  <c r="AQ169" i="5"/>
  <c r="AR168" i="5"/>
  <c r="AQ168" i="5"/>
  <c r="AR167" i="5"/>
  <c r="AQ167" i="5"/>
  <c r="AR166" i="5"/>
  <c r="AQ166" i="5"/>
  <c r="AR165" i="5"/>
  <c r="AQ165" i="5"/>
  <c r="AR164" i="5"/>
  <c r="AQ164" i="5"/>
  <c r="AR163" i="5"/>
  <c r="AQ163" i="5"/>
  <c r="AR162" i="5"/>
  <c r="AQ162" i="5"/>
  <c r="AR161" i="5"/>
  <c r="AQ161" i="5"/>
  <c r="AR160" i="5"/>
  <c r="AQ160" i="5"/>
  <c r="AR159" i="5"/>
  <c r="AQ159" i="5"/>
  <c r="AR158" i="5"/>
  <c r="AQ158" i="5"/>
  <c r="AR157" i="5"/>
  <c r="AQ157" i="5"/>
  <c r="AR156" i="5"/>
  <c r="AQ156" i="5"/>
  <c r="AR155" i="5"/>
  <c r="AQ155" i="5"/>
  <c r="AR154" i="5"/>
  <c r="AQ154" i="5"/>
  <c r="AR153" i="5"/>
  <c r="AQ153" i="5"/>
  <c r="AR152" i="5"/>
  <c r="AQ152" i="5"/>
  <c r="AR151" i="5"/>
  <c r="AQ151" i="5"/>
  <c r="AR150" i="5"/>
  <c r="AQ150" i="5"/>
  <c r="AR149" i="5"/>
  <c r="AQ149" i="5"/>
  <c r="AR148" i="5"/>
  <c r="AQ148" i="5"/>
  <c r="AR147" i="5"/>
  <c r="AQ147" i="5"/>
  <c r="AR146" i="5"/>
  <c r="AQ146" i="5"/>
  <c r="AR145" i="5"/>
  <c r="AQ145" i="5"/>
  <c r="AR144" i="5"/>
  <c r="AQ144" i="5"/>
  <c r="AR143" i="5"/>
  <c r="AQ143" i="5"/>
  <c r="AR142" i="5"/>
  <c r="AQ142" i="5"/>
  <c r="AR141" i="5"/>
  <c r="AQ141" i="5"/>
  <c r="AR140" i="5"/>
  <c r="AQ140" i="5"/>
  <c r="AR139" i="5"/>
  <c r="AQ139" i="5"/>
  <c r="AR138" i="5"/>
  <c r="AQ138" i="5"/>
  <c r="AR137" i="5"/>
  <c r="AQ137" i="5"/>
  <c r="AR136" i="5"/>
  <c r="AQ136" i="5"/>
  <c r="AR135" i="5"/>
  <c r="AQ135" i="5"/>
  <c r="AR134" i="5"/>
  <c r="AQ134" i="5"/>
  <c r="AR133" i="5"/>
  <c r="AQ133" i="5"/>
  <c r="AR132" i="5"/>
  <c r="AQ132" i="5"/>
  <c r="AR131" i="5"/>
  <c r="AQ131" i="5"/>
  <c r="AR130" i="5"/>
  <c r="AQ130" i="5"/>
  <c r="AR129" i="5"/>
  <c r="AQ129" i="5"/>
  <c r="AR128" i="5"/>
  <c r="AQ128" i="5"/>
  <c r="AR127" i="5"/>
  <c r="AQ127" i="5"/>
  <c r="AR126" i="5"/>
  <c r="AQ126" i="5"/>
  <c r="AR125" i="5"/>
  <c r="AQ125" i="5"/>
  <c r="AR124" i="5"/>
  <c r="AQ124" i="5"/>
  <c r="AR123" i="5"/>
  <c r="AQ123" i="5"/>
  <c r="AR122" i="5"/>
  <c r="AQ122" i="5"/>
  <c r="AR121" i="5"/>
  <c r="AQ121" i="5"/>
  <c r="AR120" i="5"/>
  <c r="AQ120" i="5"/>
  <c r="AR119" i="5"/>
  <c r="AQ119" i="5"/>
  <c r="AR118" i="5"/>
  <c r="AQ118" i="5"/>
  <c r="AR117" i="5"/>
  <c r="AQ117" i="5"/>
  <c r="AR116" i="5"/>
  <c r="AQ116" i="5"/>
  <c r="AR115" i="5"/>
  <c r="AQ115" i="5"/>
  <c r="AR114" i="5"/>
  <c r="AQ114" i="5"/>
  <c r="AR113" i="5"/>
  <c r="AQ113" i="5"/>
  <c r="AR112" i="5"/>
  <c r="AQ112" i="5"/>
  <c r="AR111" i="5"/>
  <c r="AQ111" i="5"/>
  <c r="AR110" i="5"/>
  <c r="AQ110" i="5"/>
  <c r="AR109" i="5"/>
  <c r="AQ109" i="5"/>
  <c r="AR108" i="5"/>
  <c r="AQ108" i="5"/>
  <c r="AR107" i="5"/>
  <c r="AQ107" i="5"/>
  <c r="AR106" i="5"/>
  <c r="AQ106" i="5"/>
  <c r="AR105" i="5"/>
  <c r="AQ105" i="5"/>
  <c r="AR104" i="5"/>
  <c r="AQ104" i="5"/>
  <c r="AR103" i="5"/>
  <c r="AQ103" i="5"/>
  <c r="AR102" i="5"/>
  <c r="AQ102" i="5"/>
  <c r="AR101" i="5"/>
  <c r="AQ101" i="5"/>
  <c r="AR100" i="5"/>
  <c r="AQ100" i="5"/>
  <c r="AR99" i="5"/>
  <c r="AQ99" i="5"/>
  <c r="AR98" i="5"/>
  <c r="AQ98" i="5"/>
  <c r="AR97" i="5"/>
  <c r="AQ97" i="5"/>
  <c r="AR96" i="5"/>
  <c r="AQ96" i="5"/>
  <c r="AR95" i="5"/>
  <c r="AQ95" i="5"/>
  <c r="AR94" i="5"/>
  <c r="AQ94" i="5"/>
  <c r="AR93" i="5"/>
  <c r="AQ93" i="5"/>
  <c r="AR92" i="5"/>
  <c r="AQ92" i="5"/>
  <c r="AR91" i="5"/>
  <c r="AQ91" i="5"/>
  <c r="AR90" i="5"/>
  <c r="AQ90" i="5"/>
  <c r="AR89" i="5"/>
  <c r="AQ89" i="5"/>
  <c r="AR88" i="5"/>
  <c r="AQ88" i="5"/>
  <c r="AR87" i="5"/>
  <c r="AQ87" i="5"/>
  <c r="AR86" i="5"/>
  <c r="AQ86" i="5"/>
  <c r="AR85" i="5"/>
  <c r="AQ85" i="5"/>
  <c r="AR84" i="5"/>
  <c r="AQ84" i="5"/>
  <c r="AR83" i="5"/>
  <c r="AQ83" i="5"/>
  <c r="AR82" i="5"/>
  <c r="AQ82" i="5"/>
  <c r="AR81" i="5"/>
  <c r="AQ81" i="5"/>
  <c r="AR80" i="5"/>
  <c r="AQ80" i="5"/>
  <c r="AR79" i="5"/>
  <c r="AQ79" i="5"/>
  <c r="AR78" i="5"/>
  <c r="AQ78" i="5"/>
  <c r="AR77" i="5"/>
  <c r="AQ77" i="5"/>
  <c r="AR76" i="5"/>
  <c r="AQ76" i="5"/>
  <c r="AR75" i="5"/>
  <c r="AQ75" i="5"/>
  <c r="AR74" i="5"/>
  <c r="AQ74" i="5"/>
  <c r="AR73" i="5"/>
  <c r="AQ73" i="5"/>
  <c r="AR72" i="5"/>
  <c r="AQ72" i="5"/>
  <c r="AR71" i="5"/>
  <c r="AQ71" i="5"/>
  <c r="AR70" i="5"/>
  <c r="AQ70" i="5"/>
  <c r="AR68" i="5"/>
  <c r="AQ68" i="5"/>
  <c r="AR67" i="5"/>
  <c r="AQ67" i="5"/>
  <c r="AR66" i="5"/>
  <c r="AQ66" i="5"/>
  <c r="AR65" i="5"/>
  <c r="AQ65" i="5"/>
  <c r="AR64" i="5"/>
  <c r="AQ64" i="5"/>
  <c r="AR63" i="5"/>
  <c r="AQ63" i="5"/>
  <c r="AR62" i="5"/>
  <c r="AQ62" i="5"/>
  <c r="AR61" i="5"/>
  <c r="AQ61" i="5"/>
  <c r="AR60" i="5"/>
  <c r="AQ60" i="5"/>
  <c r="AR59" i="5"/>
  <c r="AQ59" i="5"/>
  <c r="AR58" i="5"/>
  <c r="AQ58" i="5"/>
  <c r="AR57" i="5"/>
  <c r="AQ57" i="5"/>
  <c r="AR56" i="5"/>
  <c r="AQ56" i="5"/>
  <c r="AR55" i="5"/>
  <c r="AQ55" i="5"/>
  <c r="AR54" i="5"/>
  <c r="AQ54" i="5"/>
  <c r="AR53" i="5"/>
  <c r="AQ53" i="5"/>
  <c r="AR52" i="5"/>
  <c r="AQ52" i="5"/>
  <c r="AR51" i="5"/>
  <c r="AQ51" i="5"/>
  <c r="AR50" i="5"/>
  <c r="AQ50" i="5"/>
  <c r="AR49" i="5"/>
  <c r="AQ49" i="5"/>
  <c r="AR48" i="5"/>
  <c r="AQ48" i="5"/>
  <c r="AR47" i="5"/>
  <c r="AQ47" i="5"/>
  <c r="AR46" i="5"/>
  <c r="AQ46" i="5"/>
  <c r="AR45" i="5"/>
  <c r="AQ45" i="5"/>
  <c r="AR44" i="5"/>
  <c r="AQ44" i="5"/>
  <c r="AR43" i="5"/>
  <c r="AQ43" i="5"/>
  <c r="AR42" i="5"/>
  <c r="AQ42" i="5"/>
  <c r="AR41" i="5"/>
  <c r="AQ41" i="5"/>
  <c r="AR40" i="5"/>
  <c r="AQ40" i="5"/>
  <c r="AR39" i="5"/>
  <c r="AQ39" i="5"/>
  <c r="AR38" i="5"/>
  <c r="AQ38" i="5"/>
  <c r="AR37" i="5"/>
  <c r="AQ37" i="5"/>
  <c r="AR36" i="5"/>
  <c r="AQ36" i="5"/>
  <c r="AR35" i="5"/>
  <c r="AQ35" i="5"/>
  <c r="AR34" i="5"/>
  <c r="AQ34" i="5"/>
  <c r="AR33" i="5"/>
  <c r="AQ33" i="5"/>
  <c r="AR32" i="5"/>
  <c r="AQ32" i="5"/>
  <c r="AN32" i="5"/>
  <c r="AX31" i="5"/>
  <c r="AW31" i="5"/>
  <c r="AW32" i="5" s="1"/>
  <c r="AW33" i="5" s="1"/>
  <c r="AR31" i="5"/>
  <c r="AQ31" i="5"/>
  <c r="AM19" i="5"/>
  <c r="AX30" i="5"/>
  <c r="AV30" i="5"/>
  <c r="AR30" i="5"/>
  <c r="AQ30" i="5"/>
  <c r="AN30" i="5"/>
  <c r="AX29" i="5"/>
  <c r="AV29" i="5"/>
  <c r="AR29" i="5"/>
  <c r="AQ29" i="5"/>
  <c r="AN29" i="5"/>
  <c r="AX28" i="5"/>
  <c r="AV28" i="5"/>
  <c r="AR28" i="5"/>
  <c r="AQ28" i="5"/>
  <c r="AN28" i="5"/>
  <c r="AX27" i="5"/>
  <c r="AV27" i="5"/>
  <c r="AR27" i="5"/>
  <c r="AQ27" i="5"/>
  <c r="AN27" i="5"/>
  <c r="AX26" i="5"/>
  <c r="AV26" i="5"/>
  <c r="AR26" i="5"/>
  <c r="AQ26" i="5"/>
  <c r="AN26" i="5"/>
  <c r="AV25" i="5"/>
  <c r="AR25" i="5"/>
  <c r="AQ25" i="5"/>
  <c r="AV24" i="5"/>
  <c r="AR24" i="5"/>
  <c r="AQ24" i="5"/>
  <c r="AV23" i="5"/>
  <c r="AR23" i="5"/>
  <c r="AQ23" i="5"/>
  <c r="AV22" i="5"/>
  <c r="AR22" i="5"/>
  <c r="AQ22" i="5"/>
  <c r="AV21" i="5"/>
  <c r="AR21" i="5"/>
  <c r="AQ21" i="5"/>
  <c r="AV20" i="5"/>
  <c r="AR20" i="5"/>
  <c r="AQ20" i="5"/>
  <c r="AM20" i="5"/>
  <c r="AY19" i="5"/>
  <c r="AX19" i="5" s="1"/>
  <c r="AV19" i="5"/>
  <c r="AR19" i="5"/>
  <c r="AQ19" i="5"/>
  <c r="AK19" i="5"/>
  <c r="AK20" i="5" s="1"/>
  <c r="C23" i="5"/>
  <c r="AY18" i="5"/>
  <c r="AX18" i="5" s="1"/>
  <c r="AV18" i="5"/>
  <c r="AR18" i="5"/>
  <c r="AQ18" i="5"/>
  <c r="AJ18" i="5"/>
  <c r="AM18" i="5"/>
  <c r="N58" i="4"/>
  <c r="BD29" i="19" s="1"/>
  <c r="J58" i="4"/>
  <c r="N56" i="4"/>
  <c r="I56" i="4"/>
  <c r="N55" i="4"/>
  <c r="N57" i="4" s="1"/>
  <c r="I55" i="4"/>
  <c r="P57" i="4" s="1"/>
  <c r="B54" i="4"/>
  <c r="AN28" i="69" l="1"/>
  <c r="AL29" i="69"/>
  <c r="AT29" i="69" s="1"/>
  <c r="AL37" i="73"/>
  <c r="AF38" i="73"/>
  <c r="U28" i="73"/>
  <c r="AT36" i="73"/>
  <c r="AJ64" i="69"/>
  <c r="AJ15" i="69"/>
  <c r="AR28" i="69" s="1"/>
  <c r="AJ15" i="65"/>
  <c r="AT28" i="69"/>
  <c r="BD38" i="73"/>
  <c r="BF37" i="73"/>
  <c r="AL30" i="69"/>
  <c r="AT30" i="69" s="1"/>
  <c r="AF31" i="69"/>
  <c r="AH64" i="69"/>
  <c r="AV31" i="5"/>
  <c r="AB60" i="19"/>
  <c r="BD30" i="19"/>
  <c r="BD31" i="19" s="1"/>
  <c r="J23" i="5"/>
  <c r="I23" i="5"/>
  <c r="AZ28" i="14"/>
  <c r="AZ29" i="14" s="1"/>
  <c r="AZ30" i="14" s="1"/>
  <c r="AZ31" i="14" s="1"/>
  <c r="AZ32" i="14" s="1"/>
  <c r="AZ33" i="14" s="1"/>
  <c r="AZ34" i="14" s="1"/>
  <c r="AZ35" i="14" s="1"/>
  <c r="AZ36" i="14" s="1"/>
  <c r="AZ37" i="14" s="1"/>
  <c r="AZ38" i="14" s="1"/>
  <c r="AZ39" i="14" s="1"/>
  <c r="AZ40" i="14" s="1"/>
  <c r="AZ41" i="14" s="1"/>
  <c r="AZ42" i="14" s="1"/>
  <c r="AZ43" i="14" s="1"/>
  <c r="AZ44" i="14" s="1"/>
  <c r="AZ45" i="14" s="1"/>
  <c r="AZ46" i="14" s="1"/>
  <c r="AZ47" i="14" s="1"/>
  <c r="AZ48" i="14" s="1"/>
  <c r="AZ49" i="14" s="1"/>
  <c r="AZ50" i="14" s="1"/>
  <c r="AZ51" i="14" s="1"/>
  <c r="AZ52" i="14" s="1"/>
  <c r="AZ53" i="14" s="1"/>
  <c r="AZ54" i="14" s="1"/>
  <c r="AZ55" i="14" s="1"/>
  <c r="AZ56" i="14" s="1"/>
  <c r="C29" i="14"/>
  <c r="C30" i="14" s="1"/>
  <c r="AT35" i="20"/>
  <c r="AX35" i="20" s="1"/>
  <c r="U35" i="20" s="1"/>
  <c r="W35" i="20" s="1"/>
  <c r="Y35" i="20" s="1"/>
  <c r="BD37" i="20"/>
  <c r="BF36" i="20"/>
  <c r="AF37" i="20"/>
  <c r="AL36" i="20"/>
  <c r="AX28" i="20"/>
  <c r="AB28" i="14"/>
  <c r="BF28" i="19"/>
  <c r="BB29" i="19"/>
  <c r="AJ19" i="5"/>
  <c r="AV32" i="5"/>
  <c r="H57" i="4"/>
  <c r="O57" i="4"/>
  <c r="AJ16" i="14"/>
  <c r="AK21" i="5"/>
  <c r="AJ20" i="5"/>
  <c r="AN31" i="5"/>
  <c r="AW34" i="5"/>
  <c r="AM21" i="5"/>
  <c r="AV33" i="5"/>
  <c r="AL18" i="5"/>
  <c r="AL19" i="5"/>
  <c r="AN19" i="5" s="1"/>
  <c r="C24" i="5"/>
  <c r="AL20" i="5"/>
  <c r="AN20" i="5" s="1"/>
  <c r="L24" i="5" l="1"/>
  <c r="AN29" i="69" s="1"/>
  <c r="AP29" i="69" s="1"/>
  <c r="AN36" i="20"/>
  <c r="AP36" i="20" s="1"/>
  <c r="AN34" i="73"/>
  <c r="AN34" i="75"/>
  <c r="AP34" i="75" s="1"/>
  <c r="AV34" i="75" s="1"/>
  <c r="AN30" i="21"/>
  <c r="AP30" i="21" s="1"/>
  <c r="AN30" i="72"/>
  <c r="AP28" i="69"/>
  <c r="AF32" i="69"/>
  <c r="AL31" i="69"/>
  <c r="AR29" i="69"/>
  <c r="AF39" i="73"/>
  <c r="AL38" i="73"/>
  <c r="W28" i="73"/>
  <c r="AT37" i="73"/>
  <c r="BD39" i="73"/>
  <c r="BF38" i="73"/>
  <c r="AJ15" i="51"/>
  <c r="AJ15" i="40"/>
  <c r="AB61" i="19"/>
  <c r="J24" i="5"/>
  <c r="I24" i="5"/>
  <c r="AN32" i="19"/>
  <c r="AT28" i="19"/>
  <c r="AB29" i="14"/>
  <c r="U28" i="20"/>
  <c r="AT36" i="20"/>
  <c r="AF38" i="20"/>
  <c r="AL37" i="20"/>
  <c r="BD38" i="20"/>
  <c r="BF37" i="20"/>
  <c r="BF29" i="19"/>
  <c r="AT29" i="19" s="1"/>
  <c r="BB30" i="19"/>
  <c r="K32" i="19"/>
  <c r="AH32" i="19"/>
  <c r="AR32" i="19"/>
  <c r="M32" i="19"/>
  <c r="BD32" i="19"/>
  <c r="AJ32" i="19"/>
  <c r="I32" i="19"/>
  <c r="AF32" i="19"/>
  <c r="AJ15" i="14"/>
  <c r="C31" i="14"/>
  <c r="C25" i="5"/>
  <c r="U20" i="5"/>
  <c r="AN33" i="5"/>
  <c r="AL21" i="5"/>
  <c r="AY20" i="5"/>
  <c r="AX20" i="5" s="1"/>
  <c r="AX32" i="5"/>
  <c r="AN18" i="5"/>
  <c r="AX33" i="5"/>
  <c r="AY21" i="5"/>
  <c r="AX21" i="5" s="1"/>
  <c r="AW35" i="5"/>
  <c r="AM22" i="5"/>
  <c r="AV34" i="5"/>
  <c r="AJ21" i="5"/>
  <c r="AK22" i="5"/>
  <c r="AN31" i="21" l="1"/>
  <c r="AP31" i="21" s="1"/>
  <c r="AV31" i="21" s="1"/>
  <c r="AX31" i="21" s="1"/>
  <c r="U31" i="21" s="1"/>
  <c r="W31" i="21" s="1"/>
  <c r="Y31" i="21" s="1"/>
  <c r="AN31" i="72"/>
  <c r="AP31" i="72" s="1"/>
  <c r="AV31" i="72" s="1"/>
  <c r="AX31" i="72" s="1"/>
  <c r="U31" i="72" s="1"/>
  <c r="O28" i="45"/>
  <c r="O28" i="44"/>
  <c r="O31" i="72"/>
  <c r="AV28" i="69"/>
  <c r="AX28" i="69" s="1"/>
  <c r="U28" i="69" s="1"/>
  <c r="AN35" i="73"/>
  <c r="AP35" i="73" s="1"/>
  <c r="AV35" i="73" s="1"/>
  <c r="AX35" i="73" s="1"/>
  <c r="U35" i="73" s="1"/>
  <c r="AN35" i="75"/>
  <c r="AP35" i="75" s="1"/>
  <c r="AV35" i="75" s="1"/>
  <c r="AP30" i="72"/>
  <c r="AP34" i="73"/>
  <c r="AT38" i="73"/>
  <c r="AT31" i="69"/>
  <c r="AF40" i="73"/>
  <c r="AL39" i="73"/>
  <c r="AL32" i="69"/>
  <c r="AT32" i="69" s="1"/>
  <c r="AF33" i="69"/>
  <c r="Y28" i="73"/>
  <c r="AR30" i="69"/>
  <c r="AV29" i="69"/>
  <c r="BD40" i="73"/>
  <c r="BF39" i="73"/>
  <c r="E28" i="40"/>
  <c r="AJ28" i="40" s="1"/>
  <c r="L25" i="5"/>
  <c r="AN30" i="69" s="1"/>
  <c r="J25" i="5"/>
  <c r="I25" i="5"/>
  <c r="AV36" i="20"/>
  <c r="AB30" i="14"/>
  <c r="E28" i="14"/>
  <c r="AR28" i="14" s="1"/>
  <c r="AN37" i="20"/>
  <c r="AN33" i="19"/>
  <c r="AP33" i="19" s="1"/>
  <c r="AB62" i="19"/>
  <c r="AV30" i="21"/>
  <c r="AT37" i="20"/>
  <c r="AF39" i="20"/>
  <c r="AL38" i="20"/>
  <c r="BD39" i="20"/>
  <c r="BF38" i="20"/>
  <c r="AJ33" i="19"/>
  <c r="AJ34" i="19" s="1"/>
  <c r="AH33" i="19"/>
  <c r="AH34" i="19" s="1"/>
  <c r="I33" i="19"/>
  <c r="AR33" i="19"/>
  <c r="AR34" i="19" s="1"/>
  <c r="BF30" i="19"/>
  <c r="BB31" i="19"/>
  <c r="AF33" i="19"/>
  <c r="AL32" i="19"/>
  <c r="BD33" i="19"/>
  <c r="BD34" i="19" s="1"/>
  <c r="K33" i="19"/>
  <c r="K34" i="19" s="1"/>
  <c r="I34" i="19"/>
  <c r="M33" i="19"/>
  <c r="M34" i="19" s="1"/>
  <c r="AB31" i="14"/>
  <c r="C32" i="14"/>
  <c r="AN21" i="5"/>
  <c r="C26" i="5"/>
  <c r="U21" i="5"/>
  <c r="AX34" i="5"/>
  <c r="AX22" i="5"/>
  <c r="K22" i="5" s="1"/>
  <c r="AW36" i="5"/>
  <c r="AM23" i="5"/>
  <c r="AV35" i="5"/>
  <c r="AJ22" i="5"/>
  <c r="AK23" i="5"/>
  <c r="AN34" i="5"/>
  <c r="AL22" i="5"/>
  <c r="AN22" i="5" s="1"/>
  <c r="E28" i="51" l="1"/>
  <c r="AN34" i="19"/>
  <c r="AN36" i="75"/>
  <c r="AP36" i="75" s="1"/>
  <c r="AV36" i="75" s="1"/>
  <c r="AN36" i="73"/>
  <c r="AV30" i="72"/>
  <c r="E28" i="65"/>
  <c r="AN32" i="21"/>
  <c r="AP32" i="21" s="1"/>
  <c r="AV32" i="21" s="1"/>
  <c r="AX32" i="21" s="1"/>
  <c r="U32" i="21" s="1"/>
  <c r="W32" i="21" s="1"/>
  <c r="Y32" i="21" s="1"/>
  <c r="AN32" i="72"/>
  <c r="AN28" i="40"/>
  <c r="S28" i="44"/>
  <c r="AP30" i="69"/>
  <c r="AV30" i="69" s="1"/>
  <c r="AX30" i="69" s="1"/>
  <c r="U30" i="69" s="1"/>
  <c r="AV34" i="73"/>
  <c r="O28" i="40"/>
  <c r="O29" i="45"/>
  <c r="S29" i="45" s="1"/>
  <c r="O32" i="72"/>
  <c r="S32" i="72" s="1"/>
  <c r="O28" i="65"/>
  <c r="O29" i="44"/>
  <c r="S29" i="44" s="1"/>
  <c r="O28" i="51"/>
  <c r="S28" i="45"/>
  <c r="S31" i="72"/>
  <c r="AF34" i="69"/>
  <c r="AL33" i="69"/>
  <c r="AT33" i="69" s="1"/>
  <c r="AX29" i="69"/>
  <c r="AT39" i="73"/>
  <c r="AR31" i="69"/>
  <c r="AL40" i="73"/>
  <c r="AF41" i="73"/>
  <c r="BD41" i="73"/>
  <c r="BF40" i="73"/>
  <c r="AR28" i="40"/>
  <c r="AN28" i="14"/>
  <c r="E29" i="40"/>
  <c r="I28" i="40"/>
  <c r="AF14" i="40"/>
  <c r="AH28" i="40"/>
  <c r="BB28" i="40"/>
  <c r="BD28" i="40"/>
  <c r="AF28" i="40"/>
  <c r="E29" i="14"/>
  <c r="AX30" i="21"/>
  <c r="AN38" i="20"/>
  <c r="AP38" i="20" s="1"/>
  <c r="AV38" i="20" s="1"/>
  <c r="AP37" i="20"/>
  <c r="AX36" i="20"/>
  <c r="U36" i="20" s="1"/>
  <c r="AH28" i="14"/>
  <c r="BD28" i="14"/>
  <c r="AJ28" i="14"/>
  <c r="AF28" i="14"/>
  <c r="BB28" i="14"/>
  <c r="AV33" i="19"/>
  <c r="L26" i="5"/>
  <c r="J26" i="5"/>
  <c r="I26" i="5"/>
  <c r="AF14" i="14"/>
  <c r="AT30" i="19"/>
  <c r="AT38" i="20"/>
  <c r="BD40" i="20"/>
  <c r="BF39" i="20"/>
  <c r="AF40" i="20"/>
  <c r="AL39" i="20"/>
  <c r="BF31" i="19"/>
  <c r="AT31" i="19" s="1"/>
  <c r="BB32" i="19"/>
  <c r="AF34" i="19"/>
  <c r="AL33" i="19"/>
  <c r="K35" i="19"/>
  <c r="C33" i="14"/>
  <c r="AB32" i="14"/>
  <c r="C27" i="5"/>
  <c r="U22" i="5"/>
  <c r="AN35" i="5"/>
  <c r="AL23" i="5"/>
  <c r="AN23" i="5" s="1"/>
  <c r="AW37" i="5"/>
  <c r="AM24" i="5"/>
  <c r="AV36" i="5"/>
  <c r="AJ23" i="5"/>
  <c r="AK24" i="5"/>
  <c r="AX35" i="5"/>
  <c r="AY23" i="5"/>
  <c r="AX23" i="5" s="1"/>
  <c r="AN29" i="14" l="1"/>
  <c r="AP29" i="14" s="1"/>
  <c r="AN28" i="65"/>
  <c r="AN28" i="51"/>
  <c r="AN31" i="69"/>
  <c r="E29" i="65"/>
  <c r="E29" i="51"/>
  <c r="M29" i="51" s="1"/>
  <c r="W31" i="72"/>
  <c r="Y31" i="72" s="1"/>
  <c r="AN39" i="20"/>
  <c r="AP39" i="20" s="1"/>
  <c r="AV39" i="20" s="1"/>
  <c r="AN37" i="75"/>
  <c r="AP37" i="75" s="1"/>
  <c r="AV37" i="75" s="1"/>
  <c r="AN37" i="73"/>
  <c r="AP37" i="73" s="1"/>
  <c r="AV37" i="73" s="1"/>
  <c r="AX37" i="73" s="1"/>
  <c r="U37" i="73" s="1"/>
  <c r="AN33" i="21"/>
  <c r="AP33" i="21" s="1"/>
  <c r="AV33" i="21" s="1"/>
  <c r="AX33" i="21" s="1"/>
  <c r="U33" i="21" s="1"/>
  <c r="W33" i="21" s="1"/>
  <c r="Y33" i="21" s="1"/>
  <c r="AN33" i="72"/>
  <c r="AP33" i="72" s="1"/>
  <c r="AV33" i="72" s="1"/>
  <c r="AX33" i="72" s="1"/>
  <c r="U33" i="72" s="1"/>
  <c r="AN35" i="19"/>
  <c r="O29" i="40"/>
  <c r="O30" i="45"/>
  <c r="O33" i="72"/>
  <c r="O29" i="65"/>
  <c r="O30" i="44"/>
  <c r="S30" i="44" s="1"/>
  <c r="O29" i="51"/>
  <c r="AP36" i="73"/>
  <c r="AP32" i="72"/>
  <c r="BB28" i="65"/>
  <c r="BD28" i="65"/>
  <c r="AF28" i="65"/>
  <c r="AF14" i="65"/>
  <c r="AJ28" i="65"/>
  <c r="AH28" i="65"/>
  <c r="AR28" i="65"/>
  <c r="AR29" i="65" s="1"/>
  <c r="I28" i="51"/>
  <c r="BB28" i="51"/>
  <c r="BD28" i="51"/>
  <c r="AF28" i="51"/>
  <c r="AF14" i="51"/>
  <c r="AJ28" i="51"/>
  <c r="AH28" i="51"/>
  <c r="AR28" i="51"/>
  <c r="AX34" i="73"/>
  <c r="U34" i="73" s="1"/>
  <c r="AX30" i="72"/>
  <c r="AF35" i="69"/>
  <c r="AL34" i="69"/>
  <c r="AL41" i="73"/>
  <c r="AF42" i="73"/>
  <c r="AR32" i="69"/>
  <c r="BD42" i="73"/>
  <c r="BF41" i="73"/>
  <c r="AT40" i="73"/>
  <c r="U29" i="69"/>
  <c r="AP28" i="14"/>
  <c r="AP28" i="40"/>
  <c r="AJ29" i="40"/>
  <c r="M29" i="40"/>
  <c r="AF29" i="40"/>
  <c r="AR29" i="40"/>
  <c r="E30" i="40"/>
  <c r="AH29" i="40"/>
  <c r="BD29" i="40"/>
  <c r="AN29" i="40"/>
  <c r="AP29" i="40" s="1"/>
  <c r="BF28" i="40"/>
  <c r="BB29" i="40"/>
  <c r="I29" i="40"/>
  <c r="AX38" i="20"/>
  <c r="U38" i="20" s="1"/>
  <c r="W38" i="20" s="1"/>
  <c r="Y38" i="20" s="1"/>
  <c r="J27" i="5"/>
  <c r="AN34" i="21" s="1"/>
  <c r="AP34" i="21" s="1"/>
  <c r="AV34" i="21" s="1"/>
  <c r="AX34" i="21" s="1"/>
  <c r="U34" i="21" s="1"/>
  <c r="W34" i="21" s="1"/>
  <c r="Y34" i="21" s="1"/>
  <c r="L27" i="5"/>
  <c r="AN30" i="14" s="1"/>
  <c r="I27" i="5"/>
  <c r="E30" i="14"/>
  <c r="AV37" i="20"/>
  <c r="U30" i="21"/>
  <c r="W36" i="20"/>
  <c r="AT39" i="20"/>
  <c r="AF41" i="20"/>
  <c r="AL40" i="20"/>
  <c r="BD41" i="20"/>
  <c r="BF40" i="20"/>
  <c r="I35" i="19"/>
  <c r="M35" i="19"/>
  <c r="BB33" i="19"/>
  <c r="BF32" i="19"/>
  <c r="AT32" i="19" s="1"/>
  <c r="K36" i="19"/>
  <c r="AJ35" i="19"/>
  <c r="AF35" i="19"/>
  <c r="AL34" i="19"/>
  <c r="AH35" i="19"/>
  <c r="BD35" i="19"/>
  <c r="AR35" i="19"/>
  <c r="M29" i="14"/>
  <c r="BB29" i="14"/>
  <c r="AF29" i="14"/>
  <c r="BD29" i="14"/>
  <c r="K29" i="14"/>
  <c r="AJ29" i="14"/>
  <c r="AR29" i="14"/>
  <c r="AH29" i="14"/>
  <c r="C34" i="14"/>
  <c r="AB33" i="14"/>
  <c r="AW38" i="5"/>
  <c r="AM25" i="5"/>
  <c r="AV37" i="5"/>
  <c r="C28" i="5"/>
  <c r="U23" i="5"/>
  <c r="AX36" i="5"/>
  <c r="AY24" i="5"/>
  <c r="AX24" i="5" s="1"/>
  <c r="AK25" i="5"/>
  <c r="AJ24" i="5"/>
  <c r="AN36" i="5"/>
  <c r="AL24" i="5"/>
  <c r="AJ29" i="51" l="1"/>
  <c r="AR29" i="51"/>
  <c r="AH29" i="51"/>
  <c r="O30" i="40"/>
  <c r="O31" i="45"/>
  <c r="S31" i="45" s="1"/>
  <c r="O34" i="73"/>
  <c r="O34" i="72"/>
  <c r="S34" i="72" s="1"/>
  <c r="O30" i="65"/>
  <c r="O31" i="44"/>
  <c r="S31" i="44" s="1"/>
  <c r="O30" i="51"/>
  <c r="AP28" i="65"/>
  <c r="AV28" i="65" s="1"/>
  <c r="AF29" i="51"/>
  <c r="AL28" i="51"/>
  <c r="AF29" i="65"/>
  <c r="AL28" i="65"/>
  <c r="AV32" i="72"/>
  <c r="S30" i="45"/>
  <c r="U30" i="72"/>
  <c r="BD29" i="51"/>
  <c r="AH29" i="65"/>
  <c r="BD29" i="65"/>
  <c r="AN40" i="20"/>
  <c r="AP40" i="20" s="1"/>
  <c r="AV40" i="20" s="1"/>
  <c r="BB29" i="51"/>
  <c r="BF28" i="51"/>
  <c r="AJ29" i="65"/>
  <c r="BB29" i="65"/>
  <c r="BF28" i="65"/>
  <c r="AV36" i="73"/>
  <c r="M29" i="65"/>
  <c r="K29" i="65"/>
  <c r="AP31" i="69"/>
  <c r="S28" i="51"/>
  <c r="I29" i="51"/>
  <c r="S33" i="72"/>
  <c r="AP28" i="51"/>
  <c r="AT41" i="73"/>
  <c r="AL35" i="69"/>
  <c r="AT35" i="69" s="1"/>
  <c r="AF36" i="69"/>
  <c r="AR33" i="69"/>
  <c r="BD43" i="73"/>
  <c r="BF42" i="73"/>
  <c r="AF43" i="73"/>
  <c r="AL42" i="73"/>
  <c r="AT34" i="69"/>
  <c r="AH30" i="14"/>
  <c r="BD30" i="14"/>
  <c r="M30" i="40"/>
  <c r="I30" i="40"/>
  <c r="AJ30" i="40"/>
  <c r="BB30" i="40"/>
  <c r="BF29" i="40"/>
  <c r="E31" i="40"/>
  <c r="AF30" i="40"/>
  <c r="BD30" i="40"/>
  <c r="AH30" i="40"/>
  <c r="AR30" i="40"/>
  <c r="AP30" i="14"/>
  <c r="L28" i="5"/>
  <c r="AN31" i="14" s="1"/>
  <c r="J28" i="5"/>
  <c r="AN35" i="21" s="1"/>
  <c r="AP35" i="21" s="1"/>
  <c r="I28" i="5"/>
  <c r="AN41" i="20" s="1"/>
  <c r="AP41" i="20" s="1"/>
  <c r="AV41" i="20" s="1"/>
  <c r="AX37" i="20"/>
  <c r="U37" i="20" s="1"/>
  <c r="W37" i="20" s="1"/>
  <c r="Y37" i="20" s="1"/>
  <c r="E31" i="14"/>
  <c r="W30" i="21"/>
  <c r="BD42" i="20"/>
  <c r="BF41" i="20"/>
  <c r="AF42" i="20"/>
  <c r="AL41" i="20"/>
  <c r="Y36" i="20"/>
  <c r="AX39" i="20"/>
  <c r="AT40" i="20"/>
  <c r="K30" i="14"/>
  <c r="M30" i="14"/>
  <c r="AJ30" i="14"/>
  <c r="BB30" i="14"/>
  <c r="BD36" i="19"/>
  <c r="M36" i="19"/>
  <c r="AJ36" i="19"/>
  <c r="I36" i="19"/>
  <c r="AH36" i="19"/>
  <c r="AR36" i="19"/>
  <c r="BF33" i="19"/>
  <c r="BB34" i="19"/>
  <c r="AR30" i="14"/>
  <c r="AF30" i="14"/>
  <c r="AL35" i="19"/>
  <c r="AF36" i="19"/>
  <c r="K37" i="19"/>
  <c r="AB34" i="14"/>
  <c r="C35" i="14"/>
  <c r="U24" i="5"/>
  <c r="AX37" i="5"/>
  <c r="AX25" i="5"/>
  <c r="C29" i="5"/>
  <c r="AN24" i="5"/>
  <c r="AK26" i="5"/>
  <c r="AJ25" i="5"/>
  <c r="AW39" i="5"/>
  <c r="AX38" i="5"/>
  <c r="AN38" i="5"/>
  <c r="AV38" i="5"/>
  <c r="AN37" i="5"/>
  <c r="AL25" i="5"/>
  <c r="AN25" i="5" s="1"/>
  <c r="AX40" i="20" l="1"/>
  <c r="U40" i="20" s="1"/>
  <c r="W40" i="20" s="1"/>
  <c r="Y40" i="20" s="1"/>
  <c r="AT42" i="73"/>
  <c r="W30" i="72"/>
  <c r="AX32" i="72"/>
  <c r="AT28" i="51"/>
  <c r="AV28" i="51"/>
  <c r="W33" i="72"/>
  <c r="Y33" i="72" s="1"/>
  <c r="AT28" i="65"/>
  <c r="AX28" i="65" s="1"/>
  <c r="U28" i="65" s="1"/>
  <c r="AL29" i="51"/>
  <c r="AV31" i="69"/>
  <c r="AX31" i="69" s="1"/>
  <c r="U31" i="69" s="1"/>
  <c r="BF29" i="65"/>
  <c r="AL29" i="65"/>
  <c r="O31" i="40"/>
  <c r="O32" i="45"/>
  <c r="O35" i="73"/>
  <c r="S35" i="73" s="1"/>
  <c r="W35" i="73" s="1"/>
  <c r="Y35" i="73" s="1"/>
  <c r="O35" i="72"/>
  <c r="O31" i="65"/>
  <c r="O32" i="44"/>
  <c r="O31" i="51"/>
  <c r="S29" i="51"/>
  <c r="AX36" i="73"/>
  <c r="U36" i="73" s="1"/>
  <c r="BF29" i="51"/>
  <c r="S34" i="73"/>
  <c r="W34" i="73" s="1"/>
  <c r="Y34" i="73" s="1"/>
  <c r="AF44" i="73"/>
  <c r="AL43" i="73"/>
  <c r="AR34" i="69"/>
  <c r="AF37" i="69"/>
  <c r="AL36" i="69"/>
  <c r="BD44" i="73"/>
  <c r="BF43" i="73"/>
  <c r="AH31" i="14"/>
  <c r="M31" i="40"/>
  <c r="I31" i="40"/>
  <c r="AR31" i="40"/>
  <c r="AJ31" i="40"/>
  <c r="AF31" i="40"/>
  <c r="BF30" i="40"/>
  <c r="BB31" i="40"/>
  <c r="BD31" i="40"/>
  <c r="AH31" i="40"/>
  <c r="BB31" i="14"/>
  <c r="AN37" i="19"/>
  <c r="K31" i="14"/>
  <c r="AJ31" i="14"/>
  <c r="AF31" i="14"/>
  <c r="M31" i="14"/>
  <c r="BD31" i="14"/>
  <c r="AR31" i="14"/>
  <c r="AP31" i="14"/>
  <c r="AV35" i="21"/>
  <c r="Y30" i="21"/>
  <c r="AT33" i="19"/>
  <c r="AX33" i="19" s="1"/>
  <c r="U33" i="19" s="1"/>
  <c r="W33" i="19" s="1"/>
  <c r="Y33" i="19" s="1"/>
  <c r="E32" i="14"/>
  <c r="J29" i="5"/>
  <c r="L29" i="5"/>
  <c r="AN32" i="14" s="1"/>
  <c r="I29" i="5"/>
  <c r="AN42" i="20" s="1"/>
  <c r="AP42" i="20" s="1"/>
  <c r="AV42" i="20" s="1"/>
  <c r="AT41" i="20"/>
  <c r="AX41" i="20" s="1"/>
  <c r="U41" i="20" s="1"/>
  <c r="W41" i="20" s="1"/>
  <c r="Y41" i="20" s="1"/>
  <c r="U39" i="20"/>
  <c r="AF43" i="20"/>
  <c r="AL42" i="20"/>
  <c r="BD43" i="20"/>
  <c r="BF42" i="20"/>
  <c r="AJ37" i="19"/>
  <c r="I37" i="19"/>
  <c r="BD37" i="19"/>
  <c r="AH37" i="19"/>
  <c r="AR37" i="19"/>
  <c r="M37" i="19"/>
  <c r="BF34" i="19"/>
  <c r="AT34" i="19" s="1"/>
  <c r="BB35" i="19"/>
  <c r="K38" i="19"/>
  <c r="AF37" i="19"/>
  <c r="AL36" i="19"/>
  <c r="C36" i="14"/>
  <c r="AB35" i="14"/>
  <c r="C30" i="5"/>
  <c r="AJ26" i="5"/>
  <c r="AK27" i="5"/>
  <c r="AW40" i="5"/>
  <c r="AX39" i="5"/>
  <c r="AN39" i="5"/>
  <c r="AV39" i="5"/>
  <c r="U25" i="5"/>
  <c r="AX28" i="51" l="1"/>
  <c r="U28" i="51" s="1"/>
  <c r="W28" i="51" s="1"/>
  <c r="Y28" i="51" s="1"/>
  <c r="S35" i="72"/>
  <c r="AT29" i="51"/>
  <c r="U32" i="72"/>
  <c r="O32" i="40"/>
  <c r="O33" i="45"/>
  <c r="S33" i="45" s="1"/>
  <c r="O36" i="73"/>
  <c r="O36" i="72"/>
  <c r="S36" i="72" s="1"/>
  <c r="O32" i="65"/>
  <c r="O33" i="44"/>
  <c r="S33" i="44" s="1"/>
  <c r="O32" i="51"/>
  <c r="S32" i="44"/>
  <c r="S32" i="45"/>
  <c r="AT29" i="65"/>
  <c r="Y30" i="72"/>
  <c r="AR35" i="69"/>
  <c r="AT36" i="69"/>
  <c r="AT43" i="73"/>
  <c r="BD45" i="73"/>
  <c r="BF44" i="73"/>
  <c r="AF38" i="69"/>
  <c r="AL37" i="69"/>
  <c r="AT37" i="69" s="1"/>
  <c r="AL44" i="73"/>
  <c r="AF45" i="73"/>
  <c r="AF32" i="14"/>
  <c r="BF31" i="40"/>
  <c r="AP32" i="14"/>
  <c r="E33" i="14"/>
  <c r="AX35" i="21"/>
  <c r="L30" i="5"/>
  <c r="AN33" i="14" s="1"/>
  <c r="J30" i="5"/>
  <c r="I30" i="5"/>
  <c r="BD44" i="20"/>
  <c r="BF43" i="20"/>
  <c r="AT42" i="20"/>
  <c r="AX42" i="20" s="1"/>
  <c r="AF44" i="20"/>
  <c r="AL43" i="20"/>
  <c r="W39" i="20"/>
  <c r="K39" i="19"/>
  <c r="AH38" i="19"/>
  <c r="AH39" i="19" s="1"/>
  <c r="BF35" i="19"/>
  <c r="AT35" i="19" s="1"/>
  <c r="BB36" i="19"/>
  <c r="AF38" i="19"/>
  <c r="AL37" i="19"/>
  <c r="AR38" i="19"/>
  <c r="AR39" i="19" s="1"/>
  <c r="AJ32" i="14"/>
  <c r="AH32" i="14"/>
  <c r="BB32" i="14"/>
  <c r="BD32" i="14"/>
  <c r="K32" i="14"/>
  <c r="I38" i="19"/>
  <c r="I39" i="19" s="1"/>
  <c r="M32" i="14"/>
  <c r="AJ38" i="19"/>
  <c r="AJ39" i="19" s="1"/>
  <c r="AR32" i="14"/>
  <c r="BD38" i="19"/>
  <c r="BD39" i="19" s="1"/>
  <c r="M38" i="19"/>
  <c r="M39" i="19" s="1"/>
  <c r="AB36" i="14"/>
  <c r="C37" i="14"/>
  <c r="AW41" i="5"/>
  <c r="AX40" i="5"/>
  <c r="AN40" i="5"/>
  <c r="AV40" i="5"/>
  <c r="AJ27" i="5"/>
  <c r="AK28" i="5"/>
  <c r="U26" i="5"/>
  <c r="C31" i="5"/>
  <c r="AT44" i="73" l="1"/>
  <c r="O33" i="40"/>
  <c r="O34" i="45"/>
  <c r="S34" i="45" s="1"/>
  <c r="O37" i="73"/>
  <c r="S37" i="73" s="1"/>
  <c r="W37" i="73" s="1"/>
  <c r="Y37" i="73" s="1"/>
  <c r="O37" i="72"/>
  <c r="S37" i="72" s="1"/>
  <c r="O33" i="65"/>
  <c r="O34" i="44"/>
  <c r="S34" i="44" s="1"/>
  <c r="O33" i="51"/>
  <c r="S36" i="73"/>
  <c r="W36" i="73" s="1"/>
  <c r="Y36" i="73" s="1"/>
  <c r="W32" i="72"/>
  <c r="BD46" i="73"/>
  <c r="BF45" i="73"/>
  <c r="AL45" i="73"/>
  <c r="AF46" i="73"/>
  <c r="AL38" i="69"/>
  <c r="AT38" i="69" s="1"/>
  <c r="AF39" i="69"/>
  <c r="AR36" i="69"/>
  <c r="AF33" i="14"/>
  <c r="G31" i="5"/>
  <c r="AP33" i="14"/>
  <c r="AT43" i="20"/>
  <c r="J31" i="5"/>
  <c r="L31" i="5"/>
  <c r="AN34" i="14" s="1"/>
  <c r="I31" i="5"/>
  <c r="E34" i="14"/>
  <c r="U35" i="21"/>
  <c r="AF45" i="20"/>
  <c r="AL44" i="20"/>
  <c r="U42" i="20"/>
  <c r="Y39" i="20"/>
  <c r="BD45" i="20"/>
  <c r="BF44" i="20"/>
  <c r="K33" i="14"/>
  <c r="AJ33" i="14"/>
  <c r="M33" i="14"/>
  <c r="BB33" i="14"/>
  <c r="AR33" i="14"/>
  <c r="BF36" i="19"/>
  <c r="AT36" i="19" s="1"/>
  <c r="BB37" i="19"/>
  <c r="AL38" i="19"/>
  <c r="AF39" i="19"/>
  <c r="BD33" i="14"/>
  <c r="AH33" i="14"/>
  <c r="AB37" i="14"/>
  <c r="C38" i="14"/>
  <c r="AK29" i="5"/>
  <c r="AJ28" i="5"/>
  <c r="AW42" i="5"/>
  <c r="AX41" i="5"/>
  <c r="AN41" i="5"/>
  <c r="AV41" i="5"/>
  <c r="C32" i="5"/>
  <c r="G32" i="5" s="1"/>
  <c r="U27" i="5"/>
  <c r="AT45" i="73" l="1"/>
  <c r="Y32" i="72"/>
  <c r="O34" i="40"/>
  <c r="O35" i="45"/>
  <c r="O38" i="73"/>
  <c r="O38" i="72"/>
  <c r="S38" i="72" s="1"/>
  <c r="O34" i="65"/>
  <c r="O35" i="44"/>
  <c r="S35" i="44" s="1"/>
  <c r="O34" i="51"/>
  <c r="AL46" i="73"/>
  <c r="AF47" i="73"/>
  <c r="AR37" i="69"/>
  <c r="AF34" i="14"/>
  <c r="AL39" i="69"/>
  <c r="AT39" i="69" s="1"/>
  <c r="AF40" i="69"/>
  <c r="BD47" i="73"/>
  <c r="BF46" i="73"/>
  <c r="AT44" i="20"/>
  <c r="L32" i="5"/>
  <c r="AN35" i="14" s="1"/>
  <c r="J32" i="5"/>
  <c r="I32" i="5"/>
  <c r="W35" i="21"/>
  <c r="E35" i="14"/>
  <c r="AF35" i="14" s="1"/>
  <c r="AP34" i="14"/>
  <c r="W42" i="20"/>
  <c r="BD46" i="20"/>
  <c r="BF45" i="20"/>
  <c r="AF46" i="20"/>
  <c r="AL45" i="20"/>
  <c r="BB34" i="14"/>
  <c r="AH34" i="14"/>
  <c r="AJ34" i="14"/>
  <c r="BF37" i="19"/>
  <c r="AT37" i="19" s="1"/>
  <c r="BB38" i="19"/>
  <c r="AL39" i="19"/>
  <c r="K34" i="14"/>
  <c r="M34" i="14"/>
  <c r="BD34" i="14"/>
  <c r="AR34" i="14"/>
  <c r="AB38" i="14"/>
  <c r="C39" i="14"/>
  <c r="C33" i="5"/>
  <c r="G33" i="5" s="1"/>
  <c r="U28" i="5"/>
  <c r="AW43" i="5"/>
  <c r="AX42" i="5"/>
  <c r="AV42" i="5"/>
  <c r="AJ29" i="5"/>
  <c r="AK30" i="5"/>
  <c r="O35" i="40" l="1"/>
  <c r="O36" i="45"/>
  <c r="S36" i="45" s="1"/>
  <c r="O39" i="73"/>
  <c r="S39" i="73" s="1"/>
  <c r="O39" i="72"/>
  <c r="S39" i="72" s="1"/>
  <c r="O35" i="65"/>
  <c r="O36" i="44"/>
  <c r="S36" i="44" s="1"/>
  <c r="O35" i="51"/>
  <c r="S35" i="45"/>
  <c r="S38" i="73"/>
  <c r="BD48" i="73"/>
  <c r="BF47" i="73"/>
  <c r="AF41" i="69"/>
  <c r="AL40" i="69"/>
  <c r="AT40" i="69" s="1"/>
  <c r="AR38" i="69"/>
  <c r="AF48" i="73"/>
  <c r="AL47" i="73"/>
  <c r="AT46" i="73"/>
  <c r="AT45" i="20"/>
  <c r="E36" i="14"/>
  <c r="AF36" i="14" s="1"/>
  <c r="L33" i="5"/>
  <c r="AN36" i="14" s="1"/>
  <c r="J33" i="5"/>
  <c r="I33" i="5"/>
  <c r="Y35" i="21"/>
  <c r="AP35" i="14"/>
  <c r="BD47" i="20"/>
  <c r="BF46" i="20"/>
  <c r="AF47" i="20"/>
  <c r="AL46" i="20"/>
  <c r="Y42" i="20"/>
  <c r="AJ35" i="14"/>
  <c r="AR35" i="14"/>
  <c r="M35" i="14"/>
  <c r="BF38" i="19"/>
  <c r="AT38" i="19" s="1"/>
  <c r="BB39" i="19"/>
  <c r="BF39" i="19" s="1"/>
  <c r="AT39" i="19" s="1"/>
  <c r="BB35" i="14"/>
  <c r="AH35" i="14"/>
  <c r="K35" i="14"/>
  <c r="BD35" i="14"/>
  <c r="AB39" i="14"/>
  <c r="C40" i="14"/>
  <c r="AW44" i="5"/>
  <c r="AX43" i="5"/>
  <c r="AN43" i="5"/>
  <c r="AV43" i="5"/>
  <c r="AN42" i="5"/>
  <c r="C34" i="5"/>
  <c r="U29" i="5"/>
  <c r="AK31" i="5"/>
  <c r="AJ30" i="5"/>
  <c r="O36" i="40" l="1"/>
  <c r="O37" i="45"/>
  <c r="O40" i="73"/>
  <c r="O40" i="72"/>
  <c r="S40" i="72" s="1"/>
  <c r="O36" i="65"/>
  <c r="O37" i="44"/>
  <c r="S37" i="44" s="1"/>
  <c r="O36" i="51"/>
  <c r="AT47" i="73"/>
  <c r="AF42" i="69"/>
  <c r="AL41" i="69"/>
  <c r="AT41" i="69" s="1"/>
  <c r="AL48" i="73"/>
  <c r="AF52" i="73"/>
  <c r="AR39" i="69"/>
  <c r="BF48" i="73"/>
  <c r="BF52" i="73" s="1"/>
  <c r="BD52" i="73"/>
  <c r="H34" i="5"/>
  <c r="G34" i="5"/>
  <c r="AP36" i="14"/>
  <c r="L34" i="5"/>
  <c r="AN37" i="14" s="1"/>
  <c r="J34" i="5"/>
  <c r="I34" i="5"/>
  <c r="E37" i="14"/>
  <c r="AF37" i="14" s="1"/>
  <c r="AT46" i="20"/>
  <c r="AF48" i="20"/>
  <c r="AL47" i="20"/>
  <c r="BD48" i="20"/>
  <c r="BF47" i="20"/>
  <c r="AH36" i="14"/>
  <c r="AR36" i="14"/>
  <c r="AJ36" i="14"/>
  <c r="BD36" i="14"/>
  <c r="K36" i="14"/>
  <c r="M36" i="14"/>
  <c r="BB36" i="14"/>
  <c r="C41" i="14"/>
  <c r="AB40" i="14"/>
  <c r="AK32" i="5"/>
  <c r="AJ31" i="5"/>
  <c r="C35" i="5"/>
  <c r="U30" i="5"/>
  <c r="AW45" i="5"/>
  <c r="AX44" i="5"/>
  <c r="AN44" i="5"/>
  <c r="AV44" i="5"/>
  <c r="S37" i="45" l="1"/>
  <c r="O37" i="40"/>
  <c r="O38" i="45"/>
  <c r="S38" i="45" s="1"/>
  <c r="O41" i="73"/>
  <c r="S41" i="73" s="1"/>
  <c r="O41" i="72"/>
  <c r="S41" i="72" s="1"/>
  <c r="O37" i="65"/>
  <c r="O75" i="65" s="1"/>
  <c r="O38" i="44"/>
  <c r="S38" i="44" s="1"/>
  <c r="O37" i="51"/>
  <c r="S40" i="73"/>
  <c r="AR40" i="69"/>
  <c r="AT48" i="73"/>
  <c r="AL52" i="73"/>
  <c r="AF43" i="69"/>
  <c r="AL42" i="69"/>
  <c r="AT42" i="69" s="1"/>
  <c r="AN28" i="50"/>
  <c r="E38" i="14"/>
  <c r="AF38" i="14" s="1"/>
  <c r="H35" i="5"/>
  <c r="G35" i="5"/>
  <c r="AP37" i="14"/>
  <c r="J35" i="5"/>
  <c r="L35" i="5"/>
  <c r="AN38" i="14" s="1"/>
  <c r="I35" i="5"/>
  <c r="BD49" i="20"/>
  <c r="BF48" i="20"/>
  <c r="AF49" i="20"/>
  <c r="AL48" i="20"/>
  <c r="AT47" i="20"/>
  <c r="AJ37" i="14"/>
  <c r="K37" i="14"/>
  <c r="BD37" i="14"/>
  <c r="BB37" i="14"/>
  <c r="M37" i="14"/>
  <c r="AR37" i="14"/>
  <c r="AH37" i="14"/>
  <c r="AB41" i="14"/>
  <c r="C42" i="14"/>
  <c r="AW46" i="5"/>
  <c r="AX45" i="5"/>
  <c r="AN45" i="5"/>
  <c r="AV45" i="5"/>
  <c r="AJ32" i="5"/>
  <c r="AK33" i="5"/>
  <c r="C36" i="5"/>
  <c r="U31" i="5"/>
  <c r="O38" i="40" l="1"/>
  <c r="O39" i="45"/>
  <c r="S39" i="45" s="1"/>
  <c r="O42" i="73"/>
  <c r="S42" i="73" s="1"/>
  <c r="O42" i="72"/>
  <c r="S42" i="72" s="1"/>
  <c r="O39" i="44"/>
  <c r="S39" i="44" s="1"/>
  <c r="O38" i="51"/>
  <c r="AT52" i="73"/>
  <c r="AF44" i="69"/>
  <c r="AL43" i="69"/>
  <c r="AT43" i="69" s="1"/>
  <c r="AR41" i="69"/>
  <c r="AN40" i="31"/>
  <c r="AP40" i="31" s="1"/>
  <c r="AN39" i="57"/>
  <c r="AP39" i="57" s="1"/>
  <c r="AN39" i="24"/>
  <c r="AP39" i="24" s="1"/>
  <c r="AV39" i="24" s="1"/>
  <c r="AX39" i="24" s="1"/>
  <c r="AN28" i="47"/>
  <c r="AP28" i="47" s="1"/>
  <c r="AN28" i="48"/>
  <c r="AN28" i="49"/>
  <c r="AN29" i="50"/>
  <c r="AP29" i="50" s="1"/>
  <c r="AV29" i="50" s="1"/>
  <c r="AX29" i="50" s="1"/>
  <c r="U29" i="50" s="1"/>
  <c r="W29" i="50" s="1"/>
  <c r="Y29" i="50" s="1"/>
  <c r="AP28" i="50"/>
  <c r="AJ38" i="14"/>
  <c r="M38" i="14"/>
  <c r="AP38" i="14"/>
  <c r="BB38" i="14"/>
  <c r="AH38" i="14"/>
  <c r="BD38" i="14"/>
  <c r="AR38" i="14"/>
  <c r="K38" i="14"/>
  <c r="E39" i="14"/>
  <c r="H36" i="5"/>
  <c r="AN28" i="66" s="1"/>
  <c r="AP28" i="66" s="1"/>
  <c r="AV28" i="66" s="1"/>
  <c r="G36" i="5"/>
  <c r="AN39" i="74" s="1"/>
  <c r="S39" i="24"/>
  <c r="L36" i="5"/>
  <c r="AN39" i="14" s="1"/>
  <c r="J36" i="5"/>
  <c r="I36" i="5"/>
  <c r="AT48" i="20"/>
  <c r="BD50" i="20"/>
  <c r="BF49" i="20"/>
  <c r="AF50" i="20"/>
  <c r="AL49" i="20"/>
  <c r="C43" i="14"/>
  <c r="AB42" i="14"/>
  <c r="S40" i="24"/>
  <c r="U32" i="5"/>
  <c r="AW47" i="5"/>
  <c r="AX46" i="5"/>
  <c r="AV46" i="5"/>
  <c r="AJ33" i="5"/>
  <c r="AK34" i="5"/>
  <c r="C37" i="5"/>
  <c r="O39" i="40" l="1"/>
  <c r="O40" i="45"/>
  <c r="S40" i="45" s="1"/>
  <c r="O43" i="73"/>
  <c r="S43" i="73" s="1"/>
  <c r="O43" i="72"/>
  <c r="S43" i="72" s="1"/>
  <c r="O40" i="44"/>
  <c r="S40" i="44" s="1"/>
  <c r="O39" i="51"/>
  <c r="AP39" i="74"/>
  <c r="AL44" i="69"/>
  <c r="AT44" i="69" s="1"/>
  <c r="AF45" i="69"/>
  <c r="AR42" i="69"/>
  <c r="AN28" i="70"/>
  <c r="AN39" i="63"/>
  <c r="AN39" i="61"/>
  <c r="AN38" i="65"/>
  <c r="AN39" i="62"/>
  <c r="AN39" i="60"/>
  <c r="AN39" i="59"/>
  <c r="AN41" i="31"/>
  <c r="AP41" i="31" s="1"/>
  <c r="AN39" i="58"/>
  <c r="AN40" i="57"/>
  <c r="AP40" i="57" s="1"/>
  <c r="AV28" i="50"/>
  <c r="AP28" i="48"/>
  <c r="AN40" i="24"/>
  <c r="AP40" i="24" s="1"/>
  <c r="AN29" i="48"/>
  <c r="AP29" i="48" s="1"/>
  <c r="AV29" i="48" s="1"/>
  <c r="AX29" i="48" s="1"/>
  <c r="U29" i="48" s="1"/>
  <c r="W29" i="48" s="1"/>
  <c r="Y29" i="48" s="1"/>
  <c r="AN29" i="49"/>
  <c r="AP29" i="49" s="1"/>
  <c r="AV29" i="49" s="1"/>
  <c r="AX29" i="49" s="1"/>
  <c r="U29" i="49" s="1"/>
  <c r="W29" i="49" s="1"/>
  <c r="Y29" i="49" s="1"/>
  <c r="AN29" i="47"/>
  <c r="AP29" i="47" s="1"/>
  <c r="AV29" i="47" s="1"/>
  <c r="AX29" i="47" s="1"/>
  <c r="U29" i="47" s="1"/>
  <c r="W29" i="47" s="1"/>
  <c r="Y29" i="47" s="1"/>
  <c r="AN30" i="50"/>
  <c r="AP30" i="50" s="1"/>
  <c r="AV30" i="50" s="1"/>
  <c r="AX30" i="50" s="1"/>
  <c r="U30" i="50" s="1"/>
  <c r="W30" i="50" s="1"/>
  <c r="Y30" i="50" s="1"/>
  <c r="AP28" i="49"/>
  <c r="AV28" i="47"/>
  <c r="AX28" i="47" s="1"/>
  <c r="AR39" i="14"/>
  <c r="AP39" i="14"/>
  <c r="H37" i="5"/>
  <c r="G37" i="5"/>
  <c r="AN40" i="74" s="1"/>
  <c r="AP40" i="74" s="1"/>
  <c r="AV40" i="74" s="1"/>
  <c r="AX40" i="74" s="1"/>
  <c r="U40" i="74" s="1"/>
  <c r="W40" i="74" s="1"/>
  <c r="Y40" i="74" s="1"/>
  <c r="J37" i="5"/>
  <c r="L37" i="5"/>
  <c r="AN40" i="14" s="1"/>
  <c r="I37" i="5"/>
  <c r="E40" i="14"/>
  <c r="AT49" i="20"/>
  <c r="AF51" i="20"/>
  <c r="AL50" i="20"/>
  <c r="BD51" i="20"/>
  <c r="BF50" i="20"/>
  <c r="K39" i="14"/>
  <c r="M39" i="14"/>
  <c r="BB39" i="14"/>
  <c r="BD39" i="14"/>
  <c r="AF39" i="14"/>
  <c r="AJ39" i="14"/>
  <c r="AH39" i="14"/>
  <c r="C44" i="14"/>
  <c r="AB43" i="14"/>
  <c r="S41" i="24"/>
  <c r="AX47" i="5"/>
  <c r="AN47" i="5"/>
  <c r="AV47" i="5"/>
  <c r="AW48" i="5"/>
  <c r="C38" i="5"/>
  <c r="U33" i="5"/>
  <c r="AJ34" i="5"/>
  <c r="AK35" i="5"/>
  <c r="AN46" i="5"/>
  <c r="O40" i="40" l="1"/>
  <c r="O41" i="45"/>
  <c r="S41" i="45" s="1"/>
  <c r="O44" i="73"/>
  <c r="S44" i="73" s="1"/>
  <c r="O44" i="72"/>
  <c r="S44" i="72" s="1"/>
  <c r="O41" i="44"/>
  <c r="S41" i="44" s="1"/>
  <c r="O40" i="51"/>
  <c r="AV39" i="74"/>
  <c r="AX39" i="74" s="1"/>
  <c r="AR43" i="69"/>
  <c r="AL45" i="69"/>
  <c r="AT45" i="69" s="1"/>
  <c r="AF46" i="69"/>
  <c r="AP38" i="65"/>
  <c r="AP39" i="60"/>
  <c r="AP39" i="63"/>
  <c r="AN28" i="68"/>
  <c r="AP28" i="68" s="1"/>
  <c r="AV28" i="68" s="1"/>
  <c r="AX28" i="68" s="1"/>
  <c r="U28" i="68" s="1"/>
  <c r="W28" i="68" s="1"/>
  <c r="Y28" i="68" s="1"/>
  <c r="AN28" i="67"/>
  <c r="AP28" i="67" s="1"/>
  <c r="AV28" i="67" s="1"/>
  <c r="AN29" i="66"/>
  <c r="AP29" i="66" s="1"/>
  <c r="AV29" i="66" s="1"/>
  <c r="AP39" i="59"/>
  <c r="AP39" i="61"/>
  <c r="AN29" i="70"/>
  <c r="AP29" i="70" s="1"/>
  <c r="AV29" i="70" s="1"/>
  <c r="AX29" i="70" s="1"/>
  <c r="U29" i="70" s="1"/>
  <c r="W29" i="70" s="1"/>
  <c r="Y29" i="70" s="1"/>
  <c r="AN40" i="63"/>
  <c r="AP40" i="63" s="1"/>
  <c r="AV40" i="63" s="1"/>
  <c r="AX40" i="63" s="1"/>
  <c r="U40" i="63" s="1"/>
  <c r="W40" i="63" s="1"/>
  <c r="Y40" i="63" s="1"/>
  <c r="AN40" i="61"/>
  <c r="AP40" i="61" s="1"/>
  <c r="AV40" i="61" s="1"/>
  <c r="AX40" i="61" s="1"/>
  <c r="U40" i="61" s="1"/>
  <c r="W40" i="61" s="1"/>
  <c r="Y40" i="61" s="1"/>
  <c r="AN40" i="60"/>
  <c r="AP40" i="60" s="1"/>
  <c r="AV40" i="60" s="1"/>
  <c r="AX40" i="60" s="1"/>
  <c r="U40" i="60" s="1"/>
  <c r="AN40" i="62"/>
  <c r="AP40" i="62" s="1"/>
  <c r="AV40" i="62" s="1"/>
  <c r="AX40" i="62" s="1"/>
  <c r="U40" i="62" s="1"/>
  <c r="W40" i="62" s="1"/>
  <c r="Y40" i="62" s="1"/>
  <c r="AN39" i="65"/>
  <c r="AP39" i="65" s="1"/>
  <c r="AN40" i="59"/>
  <c r="AP40" i="59" s="1"/>
  <c r="AV40" i="59" s="1"/>
  <c r="AX40" i="59" s="1"/>
  <c r="U40" i="59" s="1"/>
  <c r="W40" i="59" s="1"/>
  <c r="Y40" i="59" s="1"/>
  <c r="AP39" i="62"/>
  <c r="AP28" i="70"/>
  <c r="AN42" i="31"/>
  <c r="AP42" i="31" s="1"/>
  <c r="AN40" i="58"/>
  <c r="AP40" i="58" s="1"/>
  <c r="AN41" i="57"/>
  <c r="AP41" i="57" s="1"/>
  <c r="AP39" i="58"/>
  <c r="AN41" i="24"/>
  <c r="AP41" i="24" s="1"/>
  <c r="AN30" i="48"/>
  <c r="AP30" i="48" s="1"/>
  <c r="AV30" i="48" s="1"/>
  <c r="AX30" i="48" s="1"/>
  <c r="U30" i="48" s="1"/>
  <c r="W30" i="48" s="1"/>
  <c r="Y30" i="48" s="1"/>
  <c r="AN30" i="49"/>
  <c r="AN30" i="47"/>
  <c r="AN31" i="50"/>
  <c r="AX28" i="50"/>
  <c r="AV28" i="49"/>
  <c r="AV28" i="48"/>
  <c r="AR40" i="14"/>
  <c r="AN28" i="42"/>
  <c r="AN28" i="43"/>
  <c r="U28" i="47"/>
  <c r="H38" i="5"/>
  <c r="G38" i="5"/>
  <c r="AN41" i="74" s="1"/>
  <c r="AP41" i="74" s="1"/>
  <c r="AV41" i="74" s="1"/>
  <c r="AX41" i="74" s="1"/>
  <c r="U41" i="74" s="1"/>
  <c r="W41" i="74" s="1"/>
  <c r="Y41" i="74" s="1"/>
  <c r="K40" i="14"/>
  <c r="AP40" i="14"/>
  <c r="BD40" i="14"/>
  <c r="AH40" i="14"/>
  <c r="L38" i="5"/>
  <c r="AN41" i="14" s="1"/>
  <c r="J38" i="5"/>
  <c r="I38" i="5"/>
  <c r="AJ40" i="14"/>
  <c r="BB40" i="14"/>
  <c r="AF40" i="14"/>
  <c r="M40" i="14"/>
  <c r="E41" i="14"/>
  <c r="AH41" i="14" s="1"/>
  <c r="AF52" i="20"/>
  <c r="AL51" i="20"/>
  <c r="BD52" i="20"/>
  <c r="BF51" i="20"/>
  <c r="AT50" i="20"/>
  <c r="C45" i="14"/>
  <c r="AB44" i="14"/>
  <c r="S42" i="24"/>
  <c r="AW49" i="5"/>
  <c r="AV48" i="5"/>
  <c r="AX48" i="5"/>
  <c r="AJ35" i="5"/>
  <c r="AK36" i="5"/>
  <c r="U34" i="5"/>
  <c r="C39" i="5"/>
  <c r="O41" i="40" l="1"/>
  <c r="O42" i="45"/>
  <c r="S42" i="45" s="1"/>
  <c r="O45" i="73"/>
  <c r="S45" i="73" s="1"/>
  <c r="O45" i="72"/>
  <c r="S45" i="72" s="1"/>
  <c r="O42" i="44"/>
  <c r="S42" i="44" s="1"/>
  <c r="O41" i="51"/>
  <c r="U39" i="74"/>
  <c r="AL46" i="69"/>
  <c r="AT46" i="69" s="1"/>
  <c r="AF47" i="69"/>
  <c r="AR44" i="69"/>
  <c r="AN30" i="70"/>
  <c r="AN41" i="63"/>
  <c r="AP41" i="63" s="1"/>
  <c r="AV41" i="63" s="1"/>
  <c r="AX41" i="63" s="1"/>
  <c r="U41" i="63" s="1"/>
  <c r="W41" i="63" s="1"/>
  <c r="Y41" i="63" s="1"/>
  <c r="AN41" i="61"/>
  <c r="AP41" i="61" s="1"/>
  <c r="AV41" i="61" s="1"/>
  <c r="AX41" i="61" s="1"/>
  <c r="U41" i="61" s="1"/>
  <c r="W41" i="61" s="1"/>
  <c r="Y41" i="61" s="1"/>
  <c r="AN40" i="65"/>
  <c r="AP40" i="65" s="1"/>
  <c r="AN41" i="62"/>
  <c r="AN41" i="60"/>
  <c r="AN41" i="59"/>
  <c r="AP41" i="59" s="1"/>
  <c r="AV41" i="59" s="1"/>
  <c r="AX41" i="59" s="1"/>
  <c r="U41" i="59" s="1"/>
  <c r="W41" i="59" s="1"/>
  <c r="Y41" i="59" s="1"/>
  <c r="AN29" i="68"/>
  <c r="AP29" i="68" s="1"/>
  <c r="AV29" i="68" s="1"/>
  <c r="AX29" i="68" s="1"/>
  <c r="U29" i="68" s="1"/>
  <c r="W29" i="68" s="1"/>
  <c r="Y29" i="68" s="1"/>
  <c r="AN29" i="67"/>
  <c r="AP29" i="67" s="1"/>
  <c r="AV29" i="67" s="1"/>
  <c r="AN30" i="66"/>
  <c r="AP30" i="66" s="1"/>
  <c r="AV30" i="66" s="1"/>
  <c r="AV39" i="60"/>
  <c r="AX39" i="60" s="1"/>
  <c r="AV28" i="70"/>
  <c r="AV39" i="61"/>
  <c r="AX39" i="61" s="1"/>
  <c r="AV39" i="59"/>
  <c r="AX39" i="59" s="1"/>
  <c r="AV39" i="62"/>
  <c r="AX39" i="62" s="1"/>
  <c r="AV39" i="63"/>
  <c r="AX39" i="63" s="1"/>
  <c r="AV38" i="65"/>
  <c r="AN43" i="31"/>
  <c r="AP43" i="31" s="1"/>
  <c r="AN41" i="58"/>
  <c r="AN42" i="57"/>
  <c r="AP42" i="57" s="1"/>
  <c r="AX28" i="49"/>
  <c r="AP30" i="49"/>
  <c r="AN42" i="24"/>
  <c r="AP42" i="24" s="1"/>
  <c r="AN31" i="48"/>
  <c r="AN31" i="49"/>
  <c r="AP31" i="49" s="1"/>
  <c r="AV31" i="49" s="1"/>
  <c r="AX31" i="49" s="1"/>
  <c r="U31" i="49" s="1"/>
  <c r="W31" i="49" s="1"/>
  <c r="Y31" i="49" s="1"/>
  <c r="AN31" i="47"/>
  <c r="AP31" i="47" s="1"/>
  <c r="AV31" i="47" s="1"/>
  <c r="AX31" i="47" s="1"/>
  <c r="U31" i="47" s="1"/>
  <c r="W31" i="47" s="1"/>
  <c r="Y31" i="47" s="1"/>
  <c r="AN32" i="50"/>
  <c r="AP32" i="50" s="1"/>
  <c r="AV32" i="50" s="1"/>
  <c r="AX32" i="50" s="1"/>
  <c r="U32" i="50" s="1"/>
  <c r="W32" i="50" s="1"/>
  <c r="Y32" i="50" s="1"/>
  <c r="AX28" i="48"/>
  <c r="U28" i="50"/>
  <c r="AP31" i="50"/>
  <c r="W28" i="47"/>
  <c r="AN29" i="43"/>
  <c r="AP29" i="43" s="1"/>
  <c r="AV29" i="43" s="1"/>
  <c r="AN29" i="42"/>
  <c r="AP29" i="42" s="1"/>
  <c r="AV29" i="42" s="1"/>
  <c r="AP28" i="43"/>
  <c r="AP28" i="42"/>
  <c r="AP30" i="47"/>
  <c r="H39" i="5"/>
  <c r="G39" i="5"/>
  <c r="AN42" i="74" s="1"/>
  <c r="AP42" i="74" s="1"/>
  <c r="AV42" i="74" s="1"/>
  <c r="AX42" i="74" s="1"/>
  <c r="U42" i="74" s="1"/>
  <c r="W42" i="74" s="1"/>
  <c r="Y42" i="74" s="1"/>
  <c r="AP41" i="14"/>
  <c r="J39" i="5"/>
  <c r="L39" i="5"/>
  <c r="AN42" i="14" s="1"/>
  <c r="I39" i="5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E42" i="14"/>
  <c r="AH42" i="14" s="1"/>
  <c r="AT51" i="20"/>
  <c r="BD53" i="20"/>
  <c r="BF52" i="20"/>
  <c r="AF53" i="20"/>
  <c r="AL52" i="20"/>
  <c r="M41" i="14"/>
  <c r="AJ41" i="14"/>
  <c r="BD41" i="14"/>
  <c r="BB41" i="14"/>
  <c r="AR41" i="14"/>
  <c r="K41" i="14"/>
  <c r="AF41" i="14"/>
  <c r="C46" i="14"/>
  <c r="AB45" i="14"/>
  <c r="S43" i="24"/>
  <c r="AJ36" i="5"/>
  <c r="AK37" i="5"/>
  <c r="AN48" i="5"/>
  <c r="AX49" i="5"/>
  <c r="AN49" i="5"/>
  <c r="AV49" i="5"/>
  <c r="AW50" i="5"/>
  <c r="U35" i="5"/>
  <c r="C40" i="5"/>
  <c r="O42" i="40" l="1"/>
  <c r="O43" i="45"/>
  <c r="S43" i="45" s="1"/>
  <c r="O46" i="73"/>
  <c r="S46" i="73" s="1"/>
  <c r="O46" i="72"/>
  <c r="S46" i="72" s="1"/>
  <c r="O43" i="44"/>
  <c r="S43" i="44" s="1"/>
  <c r="O42" i="51"/>
  <c r="W39" i="74"/>
  <c r="AF48" i="69"/>
  <c r="AL47" i="69"/>
  <c r="AT47" i="69" s="1"/>
  <c r="AR45" i="69"/>
  <c r="U39" i="63"/>
  <c r="U39" i="61"/>
  <c r="U39" i="60"/>
  <c r="AN30" i="68"/>
  <c r="AP30" i="68" s="1"/>
  <c r="AV30" i="68" s="1"/>
  <c r="AX30" i="68" s="1"/>
  <c r="U30" i="68" s="1"/>
  <c r="W30" i="68" s="1"/>
  <c r="Y30" i="68" s="1"/>
  <c r="AN30" i="67"/>
  <c r="AP30" i="67" s="1"/>
  <c r="AV30" i="67" s="1"/>
  <c r="AN31" i="66"/>
  <c r="AP31" i="66" s="1"/>
  <c r="AV31" i="66" s="1"/>
  <c r="AN31" i="70"/>
  <c r="AP31" i="70" s="1"/>
  <c r="AV31" i="70" s="1"/>
  <c r="AX31" i="70" s="1"/>
  <c r="U31" i="70" s="1"/>
  <c r="W31" i="70" s="1"/>
  <c r="Y31" i="70" s="1"/>
  <c r="AN42" i="63"/>
  <c r="AN42" i="61"/>
  <c r="AN41" i="65"/>
  <c r="AN42" i="62"/>
  <c r="AP42" i="62" s="1"/>
  <c r="AV42" i="62" s="1"/>
  <c r="AX42" i="62" s="1"/>
  <c r="U42" i="62" s="1"/>
  <c r="W42" i="62" s="1"/>
  <c r="Y42" i="62" s="1"/>
  <c r="AN42" i="60"/>
  <c r="AP42" i="60" s="1"/>
  <c r="AV42" i="60" s="1"/>
  <c r="AX42" i="60" s="1"/>
  <c r="U42" i="60" s="1"/>
  <c r="AN42" i="59"/>
  <c r="U39" i="62"/>
  <c r="U39" i="59"/>
  <c r="AX28" i="70"/>
  <c r="AP41" i="60"/>
  <c r="AP41" i="62"/>
  <c r="AP30" i="70"/>
  <c r="AN44" i="31"/>
  <c r="AP44" i="31" s="1"/>
  <c r="AN42" i="58"/>
  <c r="AP42" i="58" s="1"/>
  <c r="AN43" i="57"/>
  <c r="AP43" i="57" s="1"/>
  <c r="AP41" i="58"/>
  <c r="W28" i="50"/>
  <c r="AV30" i="49"/>
  <c r="AN43" i="24"/>
  <c r="AP43" i="24" s="1"/>
  <c r="AN32" i="48"/>
  <c r="AP32" i="48" s="1"/>
  <c r="AV32" i="48" s="1"/>
  <c r="AX32" i="48" s="1"/>
  <c r="U32" i="48" s="1"/>
  <c r="W32" i="48" s="1"/>
  <c r="Y32" i="48" s="1"/>
  <c r="AN32" i="49"/>
  <c r="AN32" i="47"/>
  <c r="AN33" i="50"/>
  <c r="AP33" i="50" s="1"/>
  <c r="AV33" i="50" s="1"/>
  <c r="AX33" i="50" s="1"/>
  <c r="U33" i="50" s="1"/>
  <c r="W33" i="50" s="1"/>
  <c r="Y33" i="50" s="1"/>
  <c r="AV31" i="50"/>
  <c r="U28" i="48"/>
  <c r="AP31" i="48"/>
  <c r="U28" i="49"/>
  <c r="AV28" i="42"/>
  <c r="AV28" i="43"/>
  <c r="AV30" i="47"/>
  <c r="AX30" i="47" s="1"/>
  <c r="Y28" i="47"/>
  <c r="AN30" i="43"/>
  <c r="AP30" i="43" s="1"/>
  <c r="AV30" i="43" s="1"/>
  <c r="AN30" i="42"/>
  <c r="E43" i="14"/>
  <c r="H40" i="5"/>
  <c r="G40" i="5"/>
  <c r="AN43" i="74" s="1"/>
  <c r="AP43" i="74" s="1"/>
  <c r="AV43" i="74" s="1"/>
  <c r="AX43" i="74" s="1"/>
  <c r="U43" i="74" s="1"/>
  <c r="W43" i="74" s="1"/>
  <c r="Y43" i="74" s="1"/>
  <c r="AN36" i="19"/>
  <c r="I56" i="5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AP42" i="14"/>
  <c r="AR42" i="14"/>
  <c r="AJ42" i="14"/>
  <c r="L40" i="5"/>
  <c r="AN43" i="14" s="1"/>
  <c r="J40" i="5"/>
  <c r="BB42" i="14"/>
  <c r="M42" i="14"/>
  <c r="K42" i="14"/>
  <c r="AF42" i="14"/>
  <c r="BD42" i="14"/>
  <c r="AT52" i="20"/>
  <c r="AF54" i="20"/>
  <c r="AL53" i="20"/>
  <c r="BD54" i="20"/>
  <c r="BF53" i="20"/>
  <c r="C47" i="14"/>
  <c r="AB46" i="14"/>
  <c r="S44" i="24"/>
  <c r="AJ37" i="5"/>
  <c r="AK38" i="5"/>
  <c r="U36" i="5"/>
  <c r="C41" i="5"/>
  <c r="AW51" i="5"/>
  <c r="AV50" i="5"/>
  <c r="AX50" i="5"/>
  <c r="O43" i="40" l="1"/>
  <c r="O44" i="45"/>
  <c r="S44" i="45" s="1"/>
  <c r="O47" i="73"/>
  <c r="S47" i="73" s="1"/>
  <c r="O47" i="72"/>
  <c r="S47" i="72" s="1"/>
  <c r="O44" i="44"/>
  <c r="S44" i="44" s="1"/>
  <c r="O43" i="51"/>
  <c r="AN38" i="73"/>
  <c r="Y39" i="74"/>
  <c r="AR46" i="69"/>
  <c r="AL48" i="69"/>
  <c r="AT48" i="69" s="1"/>
  <c r="AF49" i="69"/>
  <c r="AN32" i="70"/>
  <c r="AN43" i="63"/>
  <c r="AP43" i="63" s="1"/>
  <c r="AV43" i="63" s="1"/>
  <c r="AX43" i="63" s="1"/>
  <c r="U43" i="63" s="1"/>
  <c r="W43" i="63" s="1"/>
  <c r="Y43" i="63" s="1"/>
  <c r="AN43" i="61"/>
  <c r="AP43" i="61" s="1"/>
  <c r="AV43" i="61" s="1"/>
  <c r="AX43" i="61" s="1"/>
  <c r="U43" i="61" s="1"/>
  <c r="W43" i="61" s="1"/>
  <c r="Y43" i="61" s="1"/>
  <c r="AN42" i="65"/>
  <c r="AP42" i="65" s="1"/>
  <c r="AN43" i="60"/>
  <c r="AN43" i="62"/>
  <c r="AN43" i="59"/>
  <c r="AP43" i="59" s="1"/>
  <c r="AV43" i="59" s="1"/>
  <c r="AX43" i="59" s="1"/>
  <c r="U43" i="59" s="1"/>
  <c r="W43" i="59" s="1"/>
  <c r="Y43" i="59" s="1"/>
  <c r="U28" i="70"/>
  <c r="AN31" i="68"/>
  <c r="AP31" i="68" s="1"/>
  <c r="AV31" i="68" s="1"/>
  <c r="AX31" i="68" s="1"/>
  <c r="U31" i="68" s="1"/>
  <c r="W31" i="68" s="1"/>
  <c r="Y31" i="68" s="1"/>
  <c r="AN31" i="67"/>
  <c r="AP31" i="67" s="1"/>
  <c r="AV31" i="67" s="1"/>
  <c r="AN32" i="66"/>
  <c r="AP32" i="66" s="1"/>
  <c r="AV32" i="66" s="1"/>
  <c r="AV41" i="62"/>
  <c r="AX41" i="62" s="1"/>
  <c r="W39" i="62"/>
  <c r="Y39" i="62" s="1"/>
  <c r="AP41" i="65"/>
  <c r="W39" i="61"/>
  <c r="Y39" i="61" s="1"/>
  <c r="AP42" i="59"/>
  <c r="AP42" i="61"/>
  <c r="AV30" i="70"/>
  <c r="AV41" i="60"/>
  <c r="AX41" i="60" s="1"/>
  <c r="W39" i="59"/>
  <c r="Y39" i="59" s="1"/>
  <c r="AP42" i="63"/>
  <c r="W39" i="63"/>
  <c r="Y39" i="63" s="1"/>
  <c r="AP43" i="14"/>
  <c r="AN45" i="31"/>
  <c r="AP45" i="31" s="1"/>
  <c r="AN43" i="58"/>
  <c r="AN44" i="57"/>
  <c r="AP44" i="57" s="1"/>
  <c r="W28" i="49"/>
  <c r="W28" i="48"/>
  <c r="AN44" i="24"/>
  <c r="AP44" i="24" s="1"/>
  <c r="AN33" i="48"/>
  <c r="AN33" i="49"/>
  <c r="AP33" i="49" s="1"/>
  <c r="AV33" i="49" s="1"/>
  <c r="AX33" i="49" s="1"/>
  <c r="U33" i="49" s="1"/>
  <c r="W33" i="49" s="1"/>
  <c r="Y33" i="49" s="1"/>
  <c r="AN33" i="47"/>
  <c r="AP33" i="47" s="1"/>
  <c r="AV33" i="47" s="1"/>
  <c r="AX33" i="47" s="1"/>
  <c r="U33" i="47" s="1"/>
  <c r="W33" i="47" s="1"/>
  <c r="Y33" i="47" s="1"/>
  <c r="AN34" i="50"/>
  <c r="AP34" i="50" s="1"/>
  <c r="AP32" i="49"/>
  <c r="AV31" i="48"/>
  <c r="AX31" i="50"/>
  <c r="AX30" i="49"/>
  <c r="Y28" i="50"/>
  <c r="AN31" i="43"/>
  <c r="AP31" i="43" s="1"/>
  <c r="AN31" i="42"/>
  <c r="AP31" i="42" s="1"/>
  <c r="AV31" i="42" s="1"/>
  <c r="AP32" i="47"/>
  <c r="AP30" i="42"/>
  <c r="U30" i="47"/>
  <c r="BB43" i="14"/>
  <c r="H41" i="5"/>
  <c r="G41" i="5"/>
  <c r="AN44" i="74" s="1"/>
  <c r="AP44" i="74" s="1"/>
  <c r="AV44" i="74" s="1"/>
  <c r="AX44" i="74" s="1"/>
  <c r="U44" i="74" s="1"/>
  <c r="W44" i="74" s="1"/>
  <c r="Y44" i="74" s="1"/>
  <c r="L41" i="5"/>
  <c r="AN44" i="14" s="1"/>
  <c r="J41" i="5"/>
  <c r="E44" i="14"/>
  <c r="AF55" i="20"/>
  <c r="AL54" i="20"/>
  <c r="BD55" i="20"/>
  <c r="BF54" i="20"/>
  <c r="AT53" i="20"/>
  <c r="K43" i="14"/>
  <c r="AF43" i="14"/>
  <c r="AJ43" i="14"/>
  <c r="AH43" i="14"/>
  <c r="BD43" i="14"/>
  <c r="M43" i="14"/>
  <c r="AR43" i="14"/>
  <c r="AB47" i="14"/>
  <c r="C48" i="14"/>
  <c r="S45" i="24"/>
  <c r="U37" i="5"/>
  <c r="AN50" i="5"/>
  <c r="AX51" i="5"/>
  <c r="AW52" i="5"/>
  <c r="AV51" i="5"/>
  <c r="AJ38" i="5"/>
  <c r="AK39" i="5"/>
  <c r="C42" i="5"/>
  <c r="AP38" i="73" l="1"/>
  <c r="O44" i="40"/>
  <c r="O45" i="45"/>
  <c r="S45" i="45" s="1"/>
  <c r="O48" i="73"/>
  <c r="O48" i="72"/>
  <c r="O45" i="44"/>
  <c r="S45" i="44" s="1"/>
  <c r="O44" i="51"/>
  <c r="AL49" i="69"/>
  <c r="AT49" i="69" s="1"/>
  <c r="AF50" i="69"/>
  <c r="AR47" i="69"/>
  <c r="W28" i="70"/>
  <c r="AN33" i="70"/>
  <c r="AP33" i="70" s="1"/>
  <c r="AV33" i="70" s="1"/>
  <c r="AX33" i="70" s="1"/>
  <c r="U33" i="70" s="1"/>
  <c r="W33" i="70" s="1"/>
  <c r="Y33" i="70" s="1"/>
  <c r="AN44" i="61"/>
  <c r="AN44" i="63"/>
  <c r="AN43" i="65"/>
  <c r="AN44" i="62"/>
  <c r="AP44" i="62" s="1"/>
  <c r="AV44" i="62" s="1"/>
  <c r="AX44" i="62" s="1"/>
  <c r="U44" i="62" s="1"/>
  <c r="W44" i="62" s="1"/>
  <c r="Y44" i="62" s="1"/>
  <c r="AN44" i="60"/>
  <c r="AP44" i="60" s="1"/>
  <c r="AV44" i="60" s="1"/>
  <c r="AX44" i="60" s="1"/>
  <c r="U44" i="60" s="1"/>
  <c r="AN44" i="59"/>
  <c r="AP44" i="59" s="1"/>
  <c r="AV44" i="59" s="1"/>
  <c r="AX44" i="59" s="1"/>
  <c r="U44" i="59" s="1"/>
  <c r="W44" i="59" s="1"/>
  <c r="Y44" i="59" s="1"/>
  <c r="AX30" i="70"/>
  <c r="AV42" i="61"/>
  <c r="AX42" i="61" s="1"/>
  <c r="AN32" i="68"/>
  <c r="AP32" i="68" s="1"/>
  <c r="AV32" i="68" s="1"/>
  <c r="AX32" i="68" s="1"/>
  <c r="U32" i="68" s="1"/>
  <c r="W32" i="68" s="1"/>
  <c r="Y32" i="68" s="1"/>
  <c r="AN32" i="67"/>
  <c r="AP32" i="67" s="1"/>
  <c r="AV32" i="67" s="1"/>
  <c r="AN33" i="66"/>
  <c r="AP33" i="66" s="1"/>
  <c r="AV33" i="66" s="1"/>
  <c r="AP43" i="62"/>
  <c r="AV42" i="63"/>
  <c r="AX42" i="63" s="1"/>
  <c r="U41" i="60"/>
  <c r="AV42" i="59"/>
  <c r="AX42" i="59" s="1"/>
  <c r="U41" i="62"/>
  <c r="AP43" i="60"/>
  <c r="AP32" i="70"/>
  <c r="AN46" i="31"/>
  <c r="AP46" i="31" s="1"/>
  <c r="AN44" i="58"/>
  <c r="AP44" i="58" s="1"/>
  <c r="AN45" i="57"/>
  <c r="AP45" i="57" s="1"/>
  <c r="AP43" i="58"/>
  <c r="BB44" i="14"/>
  <c r="AN45" i="24"/>
  <c r="AP45" i="24" s="1"/>
  <c r="AN34" i="48"/>
  <c r="AP34" i="48" s="1"/>
  <c r="AV34" i="48" s="1"/>
  <c r="AX34" i="48" s="1"/>
  <c r="U34" i="48" s="1"/>
  <c r="W34" i="48" s="1"/>
  <c r="Y34" i="48" s="1"/>
  <c r="AN34" i="49"/>
  <c r="AN34" i="47"/>
  <c r="AP34" i="47" s="1"/>
  <c r="AV34" i="47" s="1"/>
  <c r="AX34" i="47" s="1"/>
  <c r="U34" i="47" s="1"/>
  <c r="W34" i="47" s="1"/>
  <c r="Y34" i="47" s="1"/>
  <c r="AN35" i="50"/>
  <c r="AP35" i="50" s="1"/>
  <c r="AV35" i="50" s="1"/>
  <c r="AX35" i="50" s="1"/>
  <c r="U35" i="50" s="1"/>
  <c r="W35" i="50" s="1"/>
  <c r="Y35" i="50" s="1"/>
  <c r="AV34" i="50"/>
  <c r="Y28" i="49"/>
  <c r="U30" i="49"/>
  <c r="AX31" i="48"/>
  <c r="Y28" i="48"/>
  <c r="U31" i="50"/>
  <c r="AV32" i="49"/>
  <c r="AP33" i="48"/>
  <c r="W30" i="47"/>
  <c r="AV32" i="47"/>
  <c r="AX32" i="47" s="1"/>
  <c r="AV31" i="43"/>
  <c r="AN32" i="43"/>
  <c r="AP32" i="43" s="1"/>
  <c r="AV32" i="43" s="1"/>
  <c r="AN32" i="42"/>
  <c r="AV30" i="42"/>
  <c r="H42" i="5"/>
  <c r="G42" i="5"/>
  <c r="AN45" i="74" s="1"/>
  <c r="AP45" i="74" s="1"/>
  <c r="AV45" i="74" s="1"/>
  <c r="AX45" i="74" s="1"/>
  <c r="U45" i="74" s="1"/>
  <c r="W45" i="74" s="1"/>
  <c r="Y45" i="74" s="1"/>
  <c r="AP44" i="14"/>
  <c r="E45" i="14"/>
  <c r="L42" i="5"/>
  <c r="AN45" i="14" s="1"/>
  <c r="J42" i="5"/>
  <c r="AT54" i="20"/>
  <c r="BD56" i="20"/>
  <c r="BF55" i="20"/>
  <c r="AF56" i="20"/>
  <c r="AL55" i="20"/>
  <c r="AR44" i="14"/>
  <c r="AJ44" i="14"/>
  <c r="M44" i="14"/>
  <c r="AF44" i="14"/>
  <c r="BD44" i="14"/>
  <c r="K44" i="14"/>
  <c r="AH44" i="14"/>
  <c r="C49" i="14"/>
  <c r="AB48" i="14"/>
  <c r="S46" i="24"/>
  <c r="AJ39" i="5"/>
  <c r="AK40" i="5"/>
  <c r="AW53" i="5"/>
  <c r="AV52" i="5"/>
  <c r="AX52" i="5"/>
  <c r="AN51" i="5"/>
  <c r="U38" i="5"/>
  <c r="C43" i="5"/>
  <c r="O45" i="40" l="1"/>
  <c r="O46" i="45"/>
  <c r="S46" i="45" s="1"/>
  <c r="O46" i="44"/>
  <c r="S46" i="44" s="1"/>
  <c r="O45" i="51"/>
  <c r="S48" i="72"/>
  <c r="O50" i="72"/>
  <c r="S48" i="73"/>
  <c r="O52" i="73"/>
  <c r="AV38" i="73"/>
  <c r="AR48" i="69"/>
  <c r="AL50" i="69"/>
  <c r="AT50" i="69" s="1"/>
  <c r="AF51" i="69"/>
  <c r="AN33" i="68"/>
  <c r="AP33" i="68" s="1"/>
  <c r="AV33" i="68" s="1"/>
  <c r="AX33" i="68" s="1"/>
  <c r="U33" i="68" s="1"/>
  <c r="W33" i="68" s="1"/>
  <c r="Y33" i="68" s="1"/>
  <c r="AN33" i="67"/>
  <c r="AP33" i="67" s="1"/>
  <c r="AV33" i="67" s="1"/>
  <c r="AN34" i="66"/>
  <c r="AP34" i="66" s="1"/>
  <c r="AV34" i="66" s="1"/>
  <c r="AV32" i="70"/>
  <c r="W41" i="62"/>
  <c r="Y41" i="62" s="1"/>
  <c r="U42" i="59"/>
  <c r="U42" i="63"/>
  <c r="U42" i="61"/>
  <c r="AP44" i="61"/>
  <c r="AV43" i="60"/>
  <c r="AX43" i="60" s="1"/>
  <c r="AV43" i="62"/>
  <c r="AX43" i="62" s="1"/>
  <c r="U30" i="70"/>
  <c r="AP43" i="65"/>
  <c r="AN34" i="70"/>
  <c r="AN45" i="63"/>
  <c r="AP45" i="63" s="1"/>
  <c r="AV45" i="63" s="1"/>
  <c r="AX45" i="63" s="1"/>
  <c r="U45" i="63" s="1"/>
  <c r="W45" i="63" s="1"/>
  <c r="Y45" i="63" s="1"/>
  <c r="AN45" i="61"/>
  <c r="AP45" i="61" s="1"/>
  <c r="AV45" i="61" s="1"/>
  <c r="AX45" i="61" s="1"/>
  <c r="U45" i="61" s="1"/>
  <c r="W45" i="61" s="1"/>
  <c r="Y45" i="61" s="1"/>
  <c r="AN44" i="65"/>
  <c r="AP44" i="65" s="1"/>
  <c r="AN45" i="62"/>
  <c r="AN45" i="60"/>
  <c r="AN45" i="59"/>
  <c r="AP45" i="59" s="1"/>
  <c r="AP44" i="63"/>
  <c r="Y28" i="70"/>
  <c r="AN47" i="31"/>
  <c r="AP47" i="31" s="1"/>
  <c r="AN45" i="58"/>
  <c r="AN46" i="57"/>
  <c r="AP46" i="57" s="1"/>
  <c r="BB45" i="14"/>
  <c r="AX32" i="49"/>
  <c r="AP34" i="49"/>
  <c r="W30" i="49"/>
  <c r="AX34" i="50"/>
  <c r="AV33" i="48"/>
  <c r="W31" i="50"/>
  <c r="AN46" i="24"/>
  <c r="AP46" i="24" s="1"/>
  <c r="AN35" i="48"/>
  <c r="AN35" i="49"/>
  <c r="AP35" i="49" s="1"/>
  <c r="AV35" i="49" s="1"/>
  <c r="AX35" i="49" s="1"/>
  <c r="U35" i="49" s="1"/>
  <c r="W35" i="49" s="1"/>
  <c r="Y35" i="49" s="1"/>
  <c r="AN35" i="47"/>
  <c r="AP35" i="47" s="1"/>
  <c r="AV35" i="47" s="1"/>
  <c r="AX35" i="47" s="1"/>
  <c r="U35" i="47" s="1"/>
  <c r="W35" i="47" s="1"/>
  <c r="Y35" i="47" s="1"/>
  <c r="AN36" i="50"/>
  <c r="AP36" i="50" s="1"/>
  <c r="AV36" i="50" s="1"/>
  <c r="AX36" i="50" s="1"/>
  <c r="U36" i="50" s="1"/>
  <c r="W36" i="50" s="1"/>
  <c r="Y36" i="50" s="1"/>
  <c r="U31" i="48"/>
  <c r="U32" i="47"/>
  <c r="AN33" i="43"/>
  <c r="AP33" i="43" s="1"/>
  <c r="AV33" i="43" s="1"/>
  <c r="AN33" i="42"/>
  <c r="AP33" i="42" s="1"/>
  <c r="AV33" i="42" s="1"/>
  <c r="AP32" i="42"/>
  <c r="Y30" i="47"/>
  <c r="H43" i="5"/>
  <c r="G43" i="5"/>
  <c r="AN46" i="74" s="1"/>
  <c r="AP46" i="74" s="1"/>
  <c r="AV46" i="74" s="1"/>
  <c r="AX46" i="74" s="1"/>
  <c r="U46" i="74" s="1"/>
  <c r="W46" i="74" s="1"/>
  <c r="Y46" i="74" s="1"/>
  <c r="AP45" i="14"/>
  <c r="J43" i="5"/>
  <c r="L43" i="5"/>
  <c r="AN46" i="14" s="1"/>
  <c r="E46" i="14"/>
  <c r="AF57" i="20"/>
  <c r="AL56" i="20"/>
  <c r="AT55" i="20"/>
  <c r="BD57" i="20"/>
  <c r="BF56" i="20"/>
  <c r="AJ45" i="14"/>
  <c r="K45" i="14"/>
  <c r="AF45" i="14"/>
  <c r="AH45" i="14"/>
  <c r="M45" i="14"/>
  <c r="BD45" i="14"/>
  <c r="AR45" i="14"/>
  <c r="AB49" i="14"/>
  <c r="C50" i="14"/>
  <c r="S47" i="24"/>
  <c r="U39" i="5"/>
  <c r="C44" i="5"/>
  <c r="AX53" i="5"/>
  <c r="AW54" i="5"/>
  <c r="AV53" i="5"/>
  <c r="AN52" i="5"/>
  <c r="AJ40" i="5"/>
  <c r="AK41" i="5"/>
  <c r="S52" i="73" l="1"/>
  <c r="G42" i="32" s="1"/>
  <c r="O46" i="40"/>
  <c r="O47" i="45"/>
  <c r="S47" i="45" s="1"/>
  <c r="O47" i="44"/>
  <c r="S47" i="44" s="1"/>
  <c r="O46" i="51"/>
  <c r="AX38" i="73"/>
  <c r="S50" i="72"/>
  <c r="G53" i="32" s="1"/>
  <c r="AF52" i="69"/>
  <c r="AL51" i="69"/>
  <c r="AT51" i="69" s="1"/>
  <c r="AR49" i="69"/>
  <c r="AN35" i="70"/>
  <c r="AP35" i="70" s="1"/>
  <c r="AV35" i="70" s="1"/>
  <c r="AX35" i="70" s="1"/>
  <c r="U35" i="70" s="1"/>
  <c r="W35" i="70" s="1"/>
  <c r="Y35" i="70" s="1"/>
  <c r="AN46" i="63"/>
  <c r="AP46" i="63" s="1"/>
  <c r="AV46" i="63" s="1"/>
  <c r="AX46" i="63" s="1"/>
  <c r="U46" i="63" s="1"/>
  <c r="W46" i="63" s="1"/>
  <c r="Y46" i="63" s="1"/>
  <c r="AN46" i="61"/>
  <c r="AP46" i="61" s="1"/>
  <c r="AV46" i="61" s="1"/>
  <c r="AX46" i="61" s="1"/>
  <c r="U46" i="61" s="1"/>
  <c r="W46" i="61" s="1"/>
  <c r="Y46" i="61" s="1"/>
  <c r="AN45" i="65"/>
  <c r="AP45" i="65" s="1"/>
  <c r="AN46" i="60"/>
  <c r="AP46" i="60" s="1"/>
  <c r="AV46" i="60" s="1"/>
  <c r="AX46" i="60" s="1"/>
  <c r="U46" i="60" s="1"/>
  <c r="AN46" i="62"/>
  <c r="AP46" i="62" s="1"/>
  <c r="AV46" i="62" s="1"/>
  <c r="AX46" i="62" s="1"/>
  <c r="U46" i="62" s="1"/>
  <c r="W46" i="62" s="1"/>
  <c r="Y46" i="62" s="1"/>
  <c r="AN46" i="59"/>
  <c r="AP46" i="59" s="1"/>
  <c r="AV46" i="59" s="1"/>
  <c r="AX46" i="59" s="1"/>
  <c r="U46" i="59" s="1"/>
  <c r="W46" i="59" s="1"/>
  <c r="Y46" i="59" s="1"/>
  <c r="AP45" i="60"/>
  <c r="U43" i="60"/>
  <c r="W42" i="61"/>
  <c r="Y42" i="61" s="1"/>
  <c r="W42" i="59"/>
  <c r="Y42" i="59" s="1"/>
  <c r="AX32" i="70"/>
  <c r="AP45" i="62"/>
  <c r="AP34" i="70"/>
  <c r="W30" i="70"/>
  <c r="AN34" i="68"/>
  <c r="AP34" i="68" s="1"/>
  <c r="AV34" i="68" s="1"/>
  <c r="AX34" i="68" s="1"/>
  <c r="U34" i="68" s="1"/>
  <c r="W34" i="68" s="1"/>
  <c r="Y34" i="68" s="1"/>
  <c r="AN34" i="67"/>
  <c r="AP34" i="67" s="1"/>
  <c r="AV34" i="67" s="1"/>
  <c r="AN35" i="66"/>
  <c r="AP35" i="66" s="1"/>
  <c r="AV35" i="66" s="1"/>
  <c r="AV44" i="63"/>
  <c r="AX44" i="63" s="1"/>
  <c r="AV44" i="61"/>
  <c r="AX44" i="61" s="1"/>
  <c r="W42" i="63"/>
  <c r="Y42" i="63" s="1"/>
  <c r="AV45" i="59"/>
  <c r="AX45" i="59" s="1"/>
  <c r="U43" i="62"/>
  <c r="BB46" i="14"/>
  <c r="AP45" i="58"/>
  <c r="AN48" i="31"/>
  <c r="AP48" i="31" s="1"/>
  <c r="AN46" i="58"/>
  <c r="AP46" i="58" s="1"/>
  <c r="AN47" i="57"/>
  <c r="AP47" i="57" s="1"/>
  <c r="AN47" i="24"/>
  <c r="AP47" i="24" s="1"/>
  <c r="AN36" i="48"/>
  <c r="AP36" i="48" s="1"/>
  <c r="AV36" i="48" s="1"/>
  <c r="AX36" i="48" s="1"/>
  <c r="U36" i="48" s="1"/>
  <c r="W36" i="48" s="1"/>
  <c r="Y36" i="48" s="1"/>
  <c r="AN36" i="49"/>
  <c r="AP36" i="49" s="1"/>
  <c r="AV36" i="49" s="1"/>
  <c r="AX36" i="49" s="1"/>
  <c r="U36" i="49" s="1"/>
  <c r="W36" i="49" s="1"/>
  <c r="Y36" i="49" s="1"/>
  <c r="AN36" i="47"/>
  <c r="AP36" i="47" s="1"/>
  <c r="AV36" i="47" s="1"/>
  <c r="AX36" i="47" s="1"/>
  <c r="U36" i="47" s="1"/>
  <c r="W36" i="47" s="1"/>
  <c r="Y36" i="47" s="1"/>
  <c r="AN37" i="50"/>
  <c r="AP37" i="50" s="1"/>
  <c r="AV37" i="50" s="1"/>
  <c r="AX37" i="50" s="1"/>
  <c r="U37" i="50" s="1"/>
  <c r="W37" i="50" s="1"/>
  <c r="Y37" i="50" s="1"/>
  <c r="W31" i="48"/>
  <c r="AX33" i="48"/>
  <c r="Y30" i="49"/>
  <c r="U32" i="49"/>
  <c r="AP35" i="48"/>
  <c r="Y31" i="50"/>
  <c r="U34" i="50"/>
  <c r="AV34" i="49"/>
  <c r="AV32" i="42"/>
  <c r="AN34" i="43"/>
  <c r="AP34" i="43" s="1"/>
  <c r="AV34" i="43" s="1"/>
  <c r="AN34" i="42"/>
  <c r="W32" i="47"/>
  <c r="E47" i="14"/>
  <c r="H44" i="5"/>
  <c r="G44" i="5"/>
  <c r="AN47" i="74" s="1"/>
  <c r="AP47" i="74" s="1"/>
  <c r="AV47" i="74" s="1"/>
  <c r="AX47" i="74" s="1"/>
  <c r="U47" i="74" s="1"/>
  <c r="W47" i="74" s="1"/>
  <c r="Y47" i="74" s="1"/>
  <c r="AF46" i="14"/>
  <c r="BD46" i="14"/>
  <c r="AR46" i="14"/>
  <c r="AH46" i="14"/>
  <c r="AP46" i="14"/>
  <c r="M46" i="14"/>
  <c r="AJ46" i="14"/>
  <c r="L44" i="5"/>
  <c r="AN47" i="14" s="1"/>
  <c r="J44" i="5"/>
  <c r="K46" i="14"/>
  <c r="BD58" i="20"/>
  <c r="BF57" i="20"/>
  <c r="AT56" i="20"/>
  <c r="AF58" i="20"/>
  <c r="AL57" i="20"/>
  <c r="AB50" i="14"/>
  <c r="C51" i="14"/>
  <c r="S48" i="24"/>
  <c r="AN53" i="5"/>
  <c r="AJ41" i="5"/>
  <c r="AK42" i="5"/>
  <c r="AW55" i="5"/>
  <c r="AV54" i="5"/>
  <c r="AX54" i="5"/>
  <c r="AN54" i="5"/>
  <c r="U40" i="5"/>
  <c r="C45" i="5"/>
  <c r="U38" i="73" l="1"/>
  <c r="O47" i="40"/>
  <c r="O58" i="40" s="1"/>
  <c r="O48" i="45"/>
  <c r="S48" i="45" s="1"/>
  <c r="O48" i="44"/>
  <c r="S48" i="44" s="1"/>
  <c r="O47" i="51"/>
  <c r="O58" i="51" s="1"/>
  <c r="AR50" i="69"/>
  <c r="AF53" i="69"/>
  <c r="AL52" i="69"/>
  <c r="AT52" i="69" s="1"/>
  <c r="BB47" i="14"/>
  <c r="AV34" i="70"/>
  <c r="U32" i="70"/>
  <c r="AV45" i="60"/>
  <c r="AX45" i="60" s="1"/>
  <c r="W43" i="62"/>
  <c r="Y43" i="62" s="1"/>
  <c r="U45" i="59"/>
  <c r="U44" i="61"/>
  <c r="U44" i="63"/>
  <c r="AN36" i="70"/>
  <c r="AP36" i="70" s="1"/>
  <c r="AV36" i="70" s="1"/>
  <c r="AX36" i="70" s="1"/>
  <c r="U36" i="70" s="1"/>
  <c r="W36" i="70" s="1"/>
  <c r="Y36" i="70" s="1"/>
  <c r="AN47" i="63"/>
  <c r="AP47" i="63" s="1"/>
  <c r="AV47" i="63" s="1"/>
  <c r="AX47" i="63" s="1"/>
  <c r="U47" i="63" s="1"/>
  <c r="W47" i="63" s="1"/>
  <c r="Y47" i="63" s="1"/>
  <c r="AN47" i="61"/>
  <c r="AP47" i="61" s="1"/>
  <c r="AN46" i="65"/>
  <c r="AP46" i="65" s="1"/>
  <c r="AN47" i="62"/>
  <c r="AP47" i="62" s="1"/>
  <c r="AV47" i="62" s="1"/>
  <c r="AX47" i="62" s="1"/>
  <c r="U47" i="62" s="1"/>
  <c r="W47" i="62" s="1"/>
  <c r="Y47" i="62" s="1"/>
  <c r="AN47" i="60"/>
  <c r="AP47" i="60" s="1"/>
  <c r="AV47" i="60" s="1"/>
  <c r="AX47" i="60" s="1"/>
  <c r="U47" i="60" s="1"/>
  <c r="AN47" i="59"/>
  <c r="AP47" i="59" s="1"/>
  <c r="Y30" i="70"/>
  <c r="AV45" i="62"/>
  <c r="AX45" i="62" s="1"/>
  <c r="AN35" i="68"/>
  <c r="AP35" i="68" s="1"/>
  <c r="AV35" i="68" s="1"/>
  <c r="AX35" i="68" s="1"/>
  <c r="U35" i="68" s="1"/>
  <c r="W35" i="68" s="1"/>
  <c r="Y35" i="68" s="1"/>
  <c r="AN35" i="67"/>
  <c r="AP35" i="67" s="1"/>
  <c r="AV35" i="67" s="1"/>
  <c r="AN36" i="66"/>
  <c r="AP36" i="66" s="1"/>
  <c r="AV36" i="66" s="1"/>
  <c r="AN49" i="31"/>
  <c r="AP49" i="31" s="1"/>
  <c r="AN47" i="58"/>
  <c r="AP47" i="58" s="1"/>
  <c r="AN48" i="57"/>
  <c r="AP48" i="57" s="1"/>
  <c r="W34" i="50"/>
  <c r="AV35" i="48"/>
  <c r="W32" i="49"/>
  <c r="Y31" i="48"/>
  <c r="AN48" i="24"/>
  <c r="AP48" i="24" s="1"/>
  <c r="AN37" i="48"/>
  <c r="AP37" i="48" s="1"/>
  <c r="AV37" i="48" s="1"/>
  <c r="AX37" i="48" s="1"/>
  <c r="U37" i="48" s="1"/>
  <c r="W37" i="48" s="1"/>
  <c r="Y37" i="48" s="1"/>
  <c r="AN37" i="49"/>
  <c r="AP37" i="49" s="1"/>
  <c r="AN37" i="47"/>
  <c r="AP37" i="47" s="1"/>
  <c r="AV37" i="47" s="1"/>
  <c r="AX37" i="47" s="1"/>
  <c r="U37" i="47" s="1"/>
  <c r="AN38" i="50"/>
  <c r="AP38" i="50" s="1"/>
  <c r="AV38" i="50" s="1"/>
  <c r="AX38" i="50" s="1"/>
  <c r="AX34" i="49"/>
  <c r="U33" i="48"/>
  <c r="AP34" i="42"/>
  <c r="AN35" i="43"/>
  <c r="AP35" i="43" s="1"/>
  <c r="AV35" i="43" s="1"/>
  <c r="AN35" i="42"/>
  <c r="AP35" i="42" s="1"/>
  <c r="AV35" i="42" s="1"/>
  <c r="Y32" i="47"/>
  <c r="AJ47" i="14"/>
  <c r="K47" i="14"/>
  <c r="M47" i="14"/>
  <c r="BD47" i="14"/>
  <c r="AP47" i="14"/>
  <c r="AF47" i="14"/>
  <c r="AR47" i="14"/>
  <c r="AH47" i="14"/>
  <c r="H45" i="5"/>
  <c r="G45" i="5"/>
  <c r="AN48" i="74" s="1"/>
  <c r="AP48" i="74" s="1"/>
  <c r="AV48" i="74" s="1"/>
  <c r="AX48" i="74" s="1"/>
  <c r="U48" i="74" s="1"/>
  <c r="W48" i="74" s="1"/>
  <c r="Y48" i="74" s="1"/>
  <c r="J45" i="5"/>
  <c r="L45" i="5"/>
  <c r="AN48" i="14" s="1"/>
  <c r="E48" i="14"/>
  <c r="BB48" i="14" s="1"/>
  <c r="AT57" i="20"/>
  <c r="AF59" i="20"/>
  <c r="AL58" i="20"/>
  <c r="BD59" i="20"/>
  <c r="BF58" i="20"/>
  <c r="AB51" i="14"/>
  <c r="C52" i="14"/>
  <c r="S49" i="24"/>
  <c r="U41" i="5"/>
  <c r="C46" i="5"/>
  <c r="AJ42" i="5"/>
  <c r="AK43" i="5"/>
  <c r="AX55" i="5"/>
  <c r="AN55" i="5"/>
  <c r="AV55" i="5"/>
  <c r="AW56" i="5"/>
  <c r="O49" i="45" l="1"/>
  <c r="S49" i="45" s="1"/>
  <c r="O49" i="44"/>
  <c r="S49" i="44" s="1"/>
  <c r="W38" i="73"/>
  <c r="AL53" i="69"/>
  <c r="AF64" i="69"/>
  <c r="AR51" i="69"/>
  <c r="AV47" i="59"/>
  <c r="AX47" i="59" s="1"/>
  <c r="AV47" i="61"/>
  <c r="AX47" i="61" s="1"/>
  <c r="W44" i="63"/>
  <c r="Y44" i="63" s="1"/>
  <c r="W45" i="59"/>
  <c r="Y45" i="59" s="1"/>
  <c r="U45" i="60"/>
  <c r="AX34" i="70"/>
  <c r="AN36" i="68"/>
  <c r="AP36" i="68" s="1"/>
  <c r="AV36" i="68" s="1"/>
  <c r="AX36" i="68" s="1"/>
  <c r="U36" i="68" s="1"/>
  <c r="W36" i="68" s="1"/>
  <c r="Y36" i="68" s="1"/>
  <c r="AN36" i="67"/>
  <c r="AP36" i="67" s="1"/>
  <c r="AV36" i="67" s="1"/>
  <c r="AN37" i="66"/>
  <c r="AP37" i="66" s="1"/>
  <c r="AV37" i="66" s="1"/>
  <c r="U45" i="62"/>
  <c r="AN37" i="70"/>
  <c r="AP37" i="70" s="1"/>
  <c r="AV37" i="70" s="1"/>
  <c r="AX37" i="70" s="1"/>
  <c r="U37" i="70" s="1"/>
  <c r="W37" i="70" s="1"/>
  <c r="Y37" i="70" s="1"/>
  <c r="AN48" i="61"/>
  <c r="AP48" i="61" s="1"/>
  <c r="AV48" i="61" s="1"/>
  <c r="AX48" i="61" s="1"/>
  <c r="U48" i="61" s="1"/>
  <c r="W48" i="61" s="1"/>
  <c r="Y48" i="61" s="1"/>
  <c r="AN48" i="63"/>
  <c r="AP48" i="63" s="1"/>
  <c r="AV48" i="63" s="1"/>
  <c r="AX48" i="63" s="1"/>
  <c r="AN47" i="65"/>
  <c r="AP47" i="65" s="1"/>
  <c r="AN48" i="62"/>
  <c r="AP48" i="62" s="1"/>
  <c r="AV48" i="62" s="1"/>
  <c r="AX48" i="62" s="1"/>
  <c r="U48" i="62" s="1"/>
  <c r="W48" i="62" s="1"/>
  <c r="Y48" i="62" s="1"/>
  <c r="AN48" i="60"/>
  <c r="AP48" i="60" s="1"/>
  <c r="AV48" i="60" s="1"/>
  <c r="AX48" i="60" s="1"/>
  <c r="U48" i="60" s="1"/>
  <c r="AN48" i="59"/>
  <c r="AP48" i="59" s="1"/>
  <c r="AV48" i="59" s="1"/>
  <c r="AX48" i="59" s="1"/>
  <c r="U48" i="59" s="1"/>
  <c r="W48" i="59" s="1"/>
  <c r="Y48" i="59" s="1"/>
  <c r="W44" i="61"/>
  <c r="Y44" i="61" s="1"/>
  <c r="W32" i="70"/>
  <c r="AN50" i="31"/>
  <c r="AP50" i="31" s="1"/>
  <c r="AN48" i="58"/>
  <c r="AP48" i="58" s="1"/>
  <c r="AN49" i="57"/>
  <c r="AP49" i="57" s="1"/>
  <c r="U38" i="50"/>
  <c r="Y32" i="49"/>
  <c r="Y34" i="50"/>
  <c r="W33" i="48"/>
  <c r="AV37" i="49"/>
  <c r="AN49" i="24"/>
  <c r="AP49" i="24" s="1"/>
  <c r="AN38" i="48"/>
  <c r="AP38" i="48" s="1"/>
  <c r="AV38" i="48" s="1"/>
  <c r="AX38" i="48" s="1"/>
  <c r="U38" i="48" s="1"/>
  <c r="W38" i="48" s="1"/>
  <c r="Y38" i="48" s="1"/>
  <c r="AN38" i="49"/>
  <c r="AP38" i="49" s="1"/>
  <c r="AV38" i="49" s="1"/>
  <c r="AX38" i="49" s="1"/>
  <c r="U38" i="49" s="1"/>
  <c r="W38" i="49" s="1"/>
  <c r="Y38" i="49" s="1"/>
  <c r="AN38" i="47"/>
  <c r="AP38" i="47" s="1"/>
  <c r="AV38" i="47" s="1"/>
  <c r="AX38" i="47" s="1"/>
  <c r="U38" i="47" s="1"/>
  <c r="W38" i="47" s="1"/>
  <c r="Y38" i="47" s="1"/>
  <c r="AN39" i="50"/>
  <c r="AP39" i="50" s="1"/>
  <c r="AV39" i="50" s="1"/>
  <c r="AX39" i="50" s="1"/>
  <c r="U39" i="50" s="1"/>
  <c r="W39" i="50" s="1"/>
  <c r="Y39" i="50" s="1"/>
  <c r="U34" i="49"/>
  <c r="AX35" i="48"/>
  <c r="W37" i="47"/>
  <c r="AN36" i="43"/>
  <c r="AP36" i="43" s="1"/>
  <c r="AV36" i="43" s="1"/>
  <c r="AN36" i="42"/>
  <c r="AP36" i="42" s="1"/>
  <c r="AV36" i="42" s="1"/>
  <c r="AV34" i="42"/>
  <c r="E49" i="14"/>
  <c r="BB49" i="14" s="1"/>
  <c r="H46" i="5"/>
  <c r="G46" i="5"/>
  <c r="AN49" i="74" s="1"/>
  <c r="AP49" i="74" s="1"/>
  <c r="AV49" i="74" s="1"/>
  <c r="AX49" i="74" s="1"/>
  <c r="U49" i="74" s="1"/>
  <c r="W49" i="74" s="1"/>
  <c r="Y49" i="74" s="1"/>
  <c r="AP48" i="14"/>
  <c r="L46" i="5"/>
  <c r="AN49" i="14" s="1"/>
  <c r="J46" i="5"/>
  <c r="AT58" i="20"/>
  <c r="BD60" i="20"/>
  <c r="BF59" i="20"/>
  <c r="AF60" i="20"/>
  <c r="AL59" i="20"/>
  <c r="K48" i="14"/>
  <c r="M48" i="14"/>
  <c r="AF48" i="14"/>
  <c r="AR48" i="14"/>
  <c r="AH48" i="14"/>
  <c r="BD48" i="14"/>
  <c r="AJ48" i="14"/>
  <c r="C53" i="14"/>
  <c r="AB52" i="14"/>
  <c r="S50" i="24"/>
  <c r="U42" i="5"/>
  <c r="C47" i="5"/>
  <c r="AJ43" i="5"/>
  <c r="AK44" i="5"/>
  <c r="AW57" i="5"/>
  <c r="AV56" i="5"/>
  <c r="AX56" i="5"/>
  <c r="AN56" i="5"/>
  <c r="Y38" i="73" l="1"/>
  <c r="O50" i="45"/>
  <c r="S50" i="45" s="1"/>
  <c r="O50" i="44"/>
  <c r="S50" i="44" s="1"/>
  <c r="AR52" i="69"/>
  <c r="AT53" i="69"/>
  <c r="AL64" i="69"/>
  <c r="Y32" i="70"/>
  <c r="U34" i="70"/>
  <c r="U47" i="61"/>
  <c r="AN38" i="70"/>
  <c r="AP38" i="70" s="1"/>
  <c r="AV38" i="70" s="1"/>
  <c r="AX38" i="70" s="1"/>
  <c r="U38" i="70" s="1"/>
  <c r="W38" i="70" s="1"/>
  <c r="Y38" i="70" s="1"/>
  <c r="AN49" i="61"/>
  <c r="AP49" i="61" s="1"/>
  <c r="AV49" i="61" s="1"/>
  <c r="AX49" i="61" s="1"/>
  <c r="U49" i="61" s="1"/>
  <c r="W49" i="61" s="1"/>
  <c r="Y49" i="61" s="1"/>
  <c r="AN49" i="63"/>
  <c r="AP49" i="63" s="1"/>
  <c r="AV49" i="63" s="1"/>
  <c r="AX49" i="63" s="1"/>
  <c r="U49" i="63" s="1"/>
  <c r="W49" i="63" s="1"/>
  <c r="Y49" i="63" s="1"/>
  <c r="AN49" i="62"/>
  <c r="AP49" i="62" s="1"/>
  <c r="AV49" i="62" s="1"/>
  <c r="AX49" i="62" s="1"/>
  <c r="U49" i="62" s="1"/>
  <c r="W49" i="62" s="1"/>
  <c r="Y49" i="62" s="1"/>
  <c r="AN48" i="65"/>
  <c r="AP48" i="65" s="1"/>
  <c r="AN49" i="60"/>
  <c r="AP49" i="60" s="1"/>
  <c r="AV49" i="60" s="1"/>
  <c r="AX49" i="60" s="1"/>
  <c r="U49" i="60" s="1"/>
  <c r="AN49" i="59"/>
  <c r="AP49" i="59" s="1"/>
  <c r="AV49" i="59" s="1"/>
  <c r="AX49" i="59" s="1"/>
  <c r="U49" i="59" s="1"/>
  <c r="W49" i="59" s="1"/>
  <c r="Y49" i="59" s="1"/>
  <c r="U47" i="59"/>
  <c r="AN37" i="68"/>
  <c r="AP37" i="68" s="1"/>
  <c r="AV37" i="68" s="1"/>
  <c r="AX37" i="68" s="1"/>
  <c r="U37" i="68" s="1"/>
  <c r="W37" i="68" s="1"/>
  <c r="Y37" i="68" s="1"/>
  <c r="AN37" i="67"/>
  <c r="AP37" i="67" s="1"/>
  <c r="AV37" i="67" s="1"/>
  <c r="AN38" i="66"/>
  <c r="AP38" i="66" s="1"/>
  <c r="AV38" i="66" s="1"/>
  <c r="U48" i="63"/>
  <c r="W45" i="62"/>
  <c r="Y45" i="62" s="1"/>
  <c r="AN51" i="31"/>
  <c r="AP51" i="31" s="1"/>
  <c r="AN49" i="58"/>
  <c r="AP49" i="58" s="1"/>
  <c r="AN50" i="57"/>
  <c r="AP50" i="57" s="1"/>
  <c r="AN50" i="24"/>
  <c r="AP50" i="24" s="1"/>
  <c r="AN39" i="48"/>
  <c r="AP39" i="48" s="1"/>
  <c r="AV39" i="48" s="1"/>
  <c r="AN39" i="49"/>
  <c r="AP39" i="49" s="1"/>
  <c r="AV39" i="49" s="1"/>
  <c r="AX39" i="49" s="1"/>
  <c r="U39" i="49" s="1"/>
  <c r="W39" i="49" s="1"/>
  <c r="Y39" i="49" s="1"/>
  <c r="AN39" i="47"/>
  <c r="AP39" i="47" s="1"/>
  <c r="AV39" i="47" s="1"/>
  <c r="AX39" i="47" s="1"/>
  <c r="U39" i="47" s="1"/>
  <c r="W39" i="47" s="1"/>
  <c r="Y39" i="47" s="1"/>
  <c r="AN40" i="50"/>
  <c r="AP40" i="50" s="1"/>
  <c r="AV40" i="50" s="1"/>
  <c r="AX40" i="50" s="1"/>
  <c r="U40" i="50" s="1"/>
  <c r="W40" i="50" s="1"/>
  <c r="Y40" i="50" s="1"/>
  <c r="W34" i="49"/>
  <c r="Y33" i="48"/>
  <c r="U35" i="48"/>
  <c r="AX37" i="49"/>
  <c r="W38" i="50"/>
  <c r="AP49" i="14"/>
  <c r="Y37" i="47"/>
  <c r="AN37" i="43"/>
  <c r="AP37" i="43" s="1"/>
  <c r="AV37" i="43" s="1"/>
  <c r="AN37" i="42"/>
  <c r="AP37" i="42" s="1"/>
  <c r="H47" i="5"/>
  <c r="G47" i="5"/>
  <c r="AN50" i="74" s="1"/>
  <c r="AP50" i="74" s="1"/>
  <c r="AV50" i="74" s="1"/>
  <c r="AX50" i="74" s="1"/>
  <c r="U50" i="74" s="1"/>
  <c r="W50" i="74" s="1"/>
  <c r="Y50" i="74" s="1"/>
  <c r="E50" i="14"/>
  <c r="BB50" i="14" s="1"/>
  <c r="J47" i="5"/>
  <c r="L47" i="5"/>
  <c r="AN50" i="14" s="1"/>
  <c r="AT59" i="20"/>
  <c r="AF61" i="20"/>
  <c r="AL60" i="20"/>
  <c r="BD61" i="20"/>
  <c r="BF60" i="20"/>
  <c r="AJ49" i="14"/>
  <c r="M49" i="14"/>
  <c r="AR49" i="14"/>
  <c r="K49" i="14"/>
  <c r="BD49" i="14"/>
  <c r="AF49" i="14"/>
  <c r="AH49" i="14"/>
  <c r="AB53" i="14"/>
  <c r="C54" i="14"/>
  <c r="S51" i="24"/>
  <c r="AX57" i="5"/>
  <c r="AN57" i="5"/>
  <c r="AV57" i="5"/>
  <c r="AW58" i="5"/>
  <c r="AJ44" i="5"/>
  <c r="AK45" i="5"/>
  <c r="U43" i="5"/>
  <c r="C48" i="5"/>
  <c r="O51" i="45" l="1"/>
  <c r="S51" i="45" s="1"/>
  <c r="O51" i="44"/>
  <c r="S51" i="44" s="1"/>
  <c r="AT64" i="69"/>
  <c r="AR53" i="69"/>
  <c r="W48" i="63"/>
  <c r="Y48" i="63" s="1"/>
  <c r="W34" i="70"/>
  <c r="AN39" i="70"/>
  <c r="AP39" i="70" s="1"/>
  <c r="AV39" i="70" s="1"/>
  <c r="AX39" i="70" s="1"/>
  <c r="U39" i="70" s="1"/>
  <c r="W39" i="70" s="1"/>
  <c r="Y39" i="70" s="1"/>
  <c r="AN50" i="63"/>
  <c r="AP50" i="63" s="1"/>
  <c r="AV50" i="63" s="1"/>
  <c r="AX50" i="63" s="1"/>
  <c r="U50" i="63" s="1"/>
  <c r="W50" i="63" s="1"/>
  <c r="Y50" i="63" s="1"/>
  <c r="AN50" i="61"/>
  <c r="AP50" i="61" s="1"/>
  <c r="AV50" i="61" s="1"/>
  <c r="AX50" i="61" s="1"/>
  <c r="U50" i="61" s="1"/>
  <c r="W50" i="61" s="1"/>
  <c r="Y50" i="61" s="1"/>
  <c r="AN50" i="62"/>
  <c r="AP50" i="62" s="1"/>
  <c r="AV50" i="62" s="1"/>
  <c r="AX50" i="62" s="1"/>
  <c r="U50" i="62" s="1"/>
  <c r="W50" i="62" s="1"/>
  <c r="Y50" i="62" s="1"/>
  <c r="AN49" i="65"/>
  <c r="AP49" i="65" s="1"/>
  <c r="AN50" i="60"/>
  <c r="AP50" i="60" s="1"/>
  <c r="AV50" i="60" s="1"/>
  <c r="AX50" i="60" s="1"/>
  <c r="U50" i="60" s="1"/>
  <c r="AN50" i="59"/>
  <c r="AP50" i="59" s="1"/>
  <c r="AV50" i="59" s="1"/>
  <c r="AX50" i="59" s="1"/>
  <c r="U50" i="59" s="1"/>
  <c r="W50" i="59" s="1"/>
  <c r="Y50" i="59" s="1"/>
  <c r="W47" i="59"/>
  <c r="Y47" i="59" s="1"/>
  <c r="AN38" i="68"/>
  <c r="AP38" i="68" s="1"/>
  <c r="AV38" i="68" s="1"/>
  <c r="AX38" i="68" s="1"/>
  <c r="U38" i="68" s="1"/>
  <c r="W38" i="68" s="1"/>
  <c r="Y38" i="68" s="1"/>
  <c r="AN38" i="67"/>
  <c r="AP38" i="67" s="1"/>
  <c r="AV38" i="67" s="1"/>
  <c r="AN39" i="66"/>
  <c r="AP39" i="66" s="1"/>
  <c r="AV39" i="66" s="1"/>
  <c r="W47" i="61"/>
  <c r="Y47" i="61" s="1"/>
  <c r="AN52" i="31"/>
  <c r="AP52" i="31" s="1"/>
  <c r="AN50" i="58"/>
  <c r="AP50" i="58" s="1"/>
  <c r="AN51" i="57"/>
  <c r="AP51" i="57" s="1"/>
  <c r="U37" i="49"/>
  <c r="AX39" i="48"/>
  <c r="AN51" i="24"/>
  <c r="AP51" i="24" s="1"/>
  <c r="AN40" i="48"/>
  <c r="AP40" i="48" s="1"/>
  <c r="AV40" i="48" s="1"/>
  <c r="AX40" i="48" s="1"/>
  <c r="U40" i="48" s="1"/>
  <c r="W40" i="48" s="1"/>
  <c r="Y40" i="48" s="1"/>
  <c r="AN40" i="49"/>
  <c r="AP40" i="49" s="1"/>
  <c r="AV40" i="49" s="1"/>
  <c r="AX40" i="49" s="1"/>
  <c r="U40" i="49" s="1"/>
  <c r="W40" i="49" s="1"/>
  <c r="Y40" i="49" s="1"/>
  <c r="AN40" i="47"/>
  <c r="AP40" i="47" s="1"/>
  <c r="AV40" i="47" s="1"/>
  <c r="AX40" i="47" s="1"/>
  <c r="U40" i="47" s="1"/>
  <c r="W40" i="47" s="1"/>
  <c r="Y40" i="47" s="1"/>
  <c r="AN41" i="50"/>
  <c r="AP41" i="50" s="1"/>
  <c r="AV41" i="50" s="1"/>
  <c r="AX41" i="50" s="1"/>
  <c r="U41" i="50" s="1"/>
  <c r="Y38" i="50"/>
  <c r="W35" i="48"/>
  <c r="Y34" i="49"/>
  <c r="AN38" i="43"/>
  <c r="AP38" i="43" s="1"/>
  <c r="AV38" i="43" s="1"/>
  <c r="AN38" i="42"/>
  <c r="AP38" i="42" s="1"/>
  <c r="AV38" i="42" s="1"/>
  <c r="AV37" i="42"/>
  <c r="E51" i="14"/>
  <c r="BB51" i="14" s="1"/>
  <c r="H48" i="5"/>
  <c r="G48" i="5"/>
  <c r="AN51" i="74" s="1"/>
  <c r="AP51" i="74" s="1"/>
  <c r="AV51" i="74" s="1"/>
  <c r="AX51" i="74" s="1"/>
  <c r="U51" i="74" s="1"/>
  <c r="W51" i="74" s="1"/>
  <c r="Y51" i="74" s="1"/>
  <c r="AP50" i="14"/>
  <c r="L48" i="5"/>
  <c r="AN51" i="14" s="1"/>
  <c r="J48" i="5"/>
  <c r="BD62" i="20"/>
  <c r="BF61" i="20"/>
  <c r="AF62" i="20"/>
  <c r="AL61" i="20"/>
  <c r="AT60" i="20"/>
  <c r="AR50" i="14"/>
  <c r="AF50" i="14"/>
  <c r="AJ50" i="14"/>
  <c r="AH50" i="14"/>
  <c r="BD50" i="14"/>
  <c r="K50" i="14"/>
  <c r="M50" i="14"/>
  <c r="AB54" i="14"/>
  <c r="C55" i="14"/>
  <c r="U44" i="5"/>
  <c r="C49" i="5"/>
  <c r="AJ45" i="5"/>
  <c r="AK46" i="5"/>
  <c r="AW59" i="5"/>
  <c r="AV58" i="5"/>
  <c r="AX58" i="5"/>
  <c r="AN58" i="5"/>
  <c r="O52" i="45" l="1"/>
  <c r="O52" i="44"/>
  <c r="AR64" i="69"/>
  <c r="AN40" i="70"/>
  <c r="AP40" i="70" s="1"/>
  <c r="AV40" i="70" s="1"/>
  <c r="AX40" i="70" s="1"/>
  <c r="U40" i="70" s="1"/>
  <c r="W40" i="70" s="1"/>
  <c r="Y40" i="70" s="1"/>
  <c r="AN51" i="61"/>
  <c r="AP51" i="61" s="1"/>
  <c r="AV51" i="61" s="1"/>
  <c r="AX51" i="61" s="1"/>
  <c r="U51" i="61" s="1"/>
  <c r="W51" i="61" s="1"/>
  <c r="Y51" i="61" s="1"/>
  <c r="AN51" i="63"/>
  <c r="AP51" i="63" s="1"/>
  <c r="AV51" i="63" s="1"/>
  <c r="AX51" i="63" s="1"/>
  <c r="U51" i="63" s="1"/>
  <c r="W51" i="63" s="1"/>
  <c r="Y51" i="63" s="1"/>
  <c r="AN51" i="62"/>
  <c r="AP51" i="62" s="1"/>
  <c r="AV51" i="62" s="1"/>
  <c r="AX51" i="62" s="1"/>
  <c r="U51" i="62" s="1"/>
  <c r="W51" i="62" s="1"/>
  <c r="Y51" i="62" s="1"/>
  <c r="AN50" i="65"/>
  <c r="AP50" i="65" s="1"/>
  <c r="AN51" i="60"/>
  <c r="AP51" i="60" s="1"/>
  <c r="AV51" i="60" s="1"/>
  <c r="AX51" i="60" s="1"/>
  <c r="U51" i="60" s="1"/>
  <c r="AN51" i="59"/>
  <c r="AP51" i="59" s="1"/>
  <c r="AV51" i="59" s="1"/>
  <c r="AX51" i="59" s="1"/>
  <c r="U51" i="59" s="1"/>
  <c r="W51" i="59" s="1"/>
  <c r="Y51" i="59" s="1"/>
  <c r="Y34" i="70"/>
  <c r="AN39" i="68"/>
  <c r="AP39" i="68" s="1"/>
  <c r="AV39" i="68" s="1"/>
  <c r="AX39" i="68" s="1"/>
  <c r="U39" i="68" s="1"/>
  <c r="W39" i="68" s="1"/>
  <c r="Y39" i="68" s="1"/>
  <c r="AN39" i="67"/>
  <c r="AP39" i="67" s="1"/>
  <c r="AV39" i="67" s="1"/>
  <c r="AN40" i="66"/>
  <c r="AP40" i="66" s="1"/>
  <c r="AV40" i="66" s="1"/>
  <c r="AN53" i="31"/>
  <c r="AP53" i="31" s="1"/>
  <c r="AN51" i="58"/>
  <c r="AP51" i="58" s="1"/>
  <c r="AN52" i="57"/>
  <c r="AP52" i="57" s="1"/>
  <c r="W41" i="50"/>
  <c r="AN52" i="24"/>
  <c r="AP52" i="24" s="1"/>
  <c r="AN41" i="48"/>
  <c r="AP41" i="48" s="1"/>
  <c r="AV41" i="48" s="1"/>
  <c r="AX41" i="48" s="1"/>
  <c r="U41" i="48" s="1"/>
  <c r="W41" i="48" s="1"/>
  <c r="Y41" i="48" s="1"/>
  <c r="AN41" i="49"/>
  <c r="AP41" i="49" s="1"/>
  <c r="AV41" i="49" s="1"/>
  <c r="AX41" i="49" s="1"/>
  <c r="U41" i="49" s="1"/>
  <c r="W41" i="49" s="1"/>
  <c r="Y41" i="49" s="1"/>
  <c r="AN41" i="47"/>
  <c r="AP41" i="47" s="1"/>
  <c r="AV41" i="47" s="1"/>
  <c r="AX41" i="47" s="1"/>
  <c r="U41" i="47" s="1"/>
  <c r="W41" i="47" s="1"/>
  <c r="Y41" i="47" s="1"/>
  <c r="AN42" i="50"/>
  <c r="AP42" i="50" s="1"/>
  <c r="AV42" i="50" s="1"/>
  <c r="AX42" i="50" s="1"/>
  <c r="U42" i="50" s="1"/>
  <c r="W42" i="50" s="1"/>
  <c r="Y42" i="50" s="1"/>
  <c r="Y35" i="48"/>
  <c r="U39" i="48"/>
  <c r="W37" i="49"/>
  <c r="AP51" i="14"/>
  <c r="AN39" i="43"/>
  <c r="AP39" i="43" s="1"/>
  <c r="AV39" i="43" s="1"/>
  <c r="AN39" i="42"/>
  <c r="AP39" i="42" s="1"/>
  <c r="AV39" i="42" s="1"/>
  <c r="S52" i="24"/>
  <c r="S71" i="24" s="1"/>
  <c r="I71" i="24"/>
  <c r="H49" i="5"/>
  <c r="G49" i="5"/>
  <c r="AN52" i="74" s="1"/>
  <c r="AP52" i="74" s="1"/>
  <c r="AV52" i="74" s="1"/>
  <c r="AX52" i="74" s="1"/>
  <c r="U52" i="74" s="1"/>
  <c r="W52" i="74" s="1"/>
  <c r="Y52" i="74" s="1"/>
  <c r="L49" i="5"/>
  <c r="AN52" i="14" s="1"/>
  <c r="J49" i="5"/>
  <c r="E52" i="14"/>
  <c r="BB52" i="14" s="1"/>
  <c r="AL62" i="20"/>
  <c r="AF66" i="20"/>
  <c r="AT61" i="20"/>
  <c r="BF62" i="20"/>
  <c r="BF66" i="20" s="1"/>
  <c r="BD66" i="20"/>
  <c r="C56" i="14"/>
  <c r="BD51" i="14"/>
  <c r="AJ51" i="14"/>
  <c r="M51" i="14"/>
  <c r="AF51" i="14"/>
  <c r="AH51" i="14"/>
  <c r="AR51" i="14"/>
  <c r="K51" i="14"/>
  <c r="AB55" i="14"/>
  <c r="AJ46" i="5"/>
  <c r="AK47" i="5"/>
  <c r="U45" i="5"/>
  <c r="C50" i="5"/>
  <c r="AX59" i="5"/>
  <c r="AN59" i="5"/>
  <c r="AW60" i="5"/>
  <c r="AV59" i="5"/>
  <c r="S52" i="44" l="1"/>
  <c r="O61" i="44"/>
  <c r="S52" i="45"/>
  <c r="S61" i="45" s="1"/>
  <c r="G37" i="32" s="1"/>
  <c r="O61" i="45"/>
  <c r="AN41" i="70"/>
  <c r="AP41" i="70" s="1"/>
  <c r="AV41" i="70" s="1"/>
  <c r="AX41" i="70" s="1"/>
  <c r="U41" i="70" s="1"/>
  <c r="W41" i="70" s="1"/>
  <c r="AN52" i="61"/>
  <c r="AP52" i="61" s="1"/>
  <c r="AV52" i="61" s="1"/>
  <c r="AX52" i="61" s="1"/>
  <c r="U52" i="61" s="1"/>
  <c r="W52" i="61" s="1"/>
  <c r="Y52" i="61" s="1"/>
  <c r="AN52" i="63"/>
  <c r="AP52" i="63" s="1"/>
  <c r="AV52" i="63" s="1"/>
  <c r="AX52" i="63" s="1"/>
  <c r="U52" i="63" s="1"/>
  <c r="W52" i="63" s="1"/>
  <c r="Y52" i="63" s="1"/>
  <c r="AN52" i="60"/>
  <c r="AP52" i="60" s="1"/>
  <c r="AV52" i="60" s="1"/>
  <c r="AX52" i="60" s="1"/>
  <c r="U52" i="60" s="1"/>
  <c r="AN52" i="62"/>
  <c r="AP52" i="62" s="1"/>
  <c r="AV52" i="62" s="1"/>
  <c r="AX52" i="62" s="1"/>
  <c r="U52" i="62" s="1"/>
  <c r="W52" i="62" s="1"/>
  <c r="Y52" i="62" s="1"/>
  <c r="AN51" i="65"/>
  <c r="AP51" i="65" s="1"/>
  <c r="AN52" i="59"/>
  <c r="AP52" i="59" s="1"/>
  <c r="AV52" i="59" s="1"/>
  <c r="AX52" i="59" s="1"/>
  <c r="U52" i="59" s="1"/>
  <c r="W52" i="59" s="1"/>
  <c r="Y52" i="59" s="1"/>
  <c r="AN40" i="68"/>
  <c r="AP40" i="68" s="1"/>
  <c r="AV40" i="68" s="1"/>
  <c r="AX40" i="68" s="1"/>
  <c r="U40" i="68" s="1"/>
  <c r="W40" i="68" s="1"/>
  <c r="Y40" i="68" s="1"/>
  <c r="AN40" i="67"/>
  <c r="AP40" i="67" s="1"/>
  <c r="AV40" i="67" s="1"/>
  <c r="AN41" i="66"/>
  <c r="AP41" i="66" s="1"/>
  <c r="AV41" i="66" s="1"/>
  <c r="AN54" i="31"/>
  <c r="AP54" i="31" s="1"/>
  <c r="AN52" i="58"/>
  <c r="AP52" i="58" s="1"/>
  <c r="AN53" i="57"/>
  <c r="AP53" i="57" s="1"/>
  <c r="Y37" i="49"/>
  <c r="AN53" i="24"/>
  <c r="AP53" i="24" s="1"/>
  <c r="AN42" i="48"/>
  <c r="AP42" i="48" s="1"/>
  <c r="AV42" i="48" s="1"/>
  <c r="AX42" i="48" s="1"/>
  <c r="U42" i="48" s="1"/>
  <c r="W42" i="48" s="1"/>
  <c r="Y42" i="48" s="1"/>
  <c r="AN42" i="49"/>
  <c r="AP42" i="49" s="1"/>
  <c r="AV42" i="49" s="1"/>
  <c r="AX42" i="49" s="1"/>
  <c r="U42" i="49" s="1"/>
  <c r="W42" i="49" s="1"/>
  <c r="Y42" i="49" s="1"/>
  <c r="AN42" i="47"/>
  <c r="AP42" i="47" s="1"/>
  <c r="AV42" i="47" s="1"/>
  <c r="AX42" i="47" s="1"/>
  <c r="U42" i="47" s="1"/>
  <c r="W42" i="47" s="1"/>
  <c r="Y42" i="47" s="1"/>
  <c r="AN43" i="50"/>
  <c r="AP43" i="50" s="1"/>
  <c r="AV43" i="50" s="1"/>
  <c r="AX43" i="50" s="1"/>
  <c r="U43" i="50" s="1"/>
  <c r="W43" i="50" s="1"/>
  <c r="Y43" i="50" s="1"/>
  <c r="W39" i="48"/>
  <c r="Y41" i="50"/>
  <c r="AN40" i="43"/>
  <c r="AP40" i="43" s="1"/>
  <c r="AV40" i="43" s="1"/>
  <c r="AN40" i="42"/>
  <c r="AP40" i="42" s="1"/>
  <c r="AV40" i="42" s="1"/>
  <c r="G26" i="32"/>
  <c r="E53" i="14"/>
  <c r="BB53" i="14" s="1"/>
  <c r="H50" i="5"/>
  <c r="G50" i="5"/>
  <c r="AN53" i="74" s="1"/>
  <c r="AP53" i="74" s="1"/>
  <c r="AV53" i="74" s="1"/>
  <c r="AX53" i="74" s="1"/>
  <c r="U53" i="74" s="1"/>
  <c r="W53" i="74" s="1"/>
  <c r="Y53" i="74" s="1"/>
  <c r="BD52" i="14"/>
  <c r="AF52" i="14"/>
  <c r="AP52" i="14"/>
  <c r="AR52" i="14"/>
  <c r="AJ52" i="14"/>
  <c r="L50" i="5"/>
  <c r="AN53" i="14" s="1"/>
  <c r="J50" i="5"/>
  <c r="J51" i="5" s="1"/>
  <c r="J52" i="5" s="1"/>
  <c r="J53" i="5" s="1"/>
  <c r="K52" i="14"/>
  <c r="M52" i="14"/>
  <c r="AH52" i="14"/>
  <c r="AT62" i="20"/>
  <c r="AL66" i="20"/>
  <c r="AB56" i="14"/>
  <c r="U46" i="5"/>
  <c r="C51" i="5"/>
  <c r="AK48" i="5"/>
  <c r="AJ47" i="5"/>
  <c r="AW61" i="5"/>
  <c r="AV60" i="5"/>
  <c r="AN60" i="5"/>
  <c r="AX60" i="5"/>
  <c r="S61" i="44" l="1"/>
  <c r="G36" i="32" s="1"/>
  <c r="AN41" i="68"/>
  <c r="AP41" i="68" s="1"/>
  <c r="AV41" i="68" s="1"/>
  <c r="AX41" i="68" s="1"/>
  <c r="U41" i="68" s="1"/>
  <c r="W41" i="68" s="1"/>
  <c r="Y41" i="68" s="1"/>
  <c r="AN41" i="67"/>
  <c r="AP41" i="67" s="1"/>
  <c r="AV41" i="67" s="1"/>
  <c r="AN42" i="66"/>
  <c r="AP42" i="66" s="1"/>
  <c r="AV42" i="66" s="1"/>
  <c r="AN42" i="70"/>
  <c r="AP42" i="70" s="1"/>
  <c r="AV42" i="70" s="1"/>
  <c r="AX42" i="70" s="1"/>
  <c r="U42" i="70" s="1"/>
  <c r="W42" i="70" s="1"/>
  <c r="Y42" i="70" s="1"/>
  <c r="AN53" i="61"/>
  <c r="AP53" i="61" s="1"/>
  <c r="AV53" i="61" s="1"/>
  <c r="AX53" i="61" s="1"/>
  <c r="U53" i="61" s="1"/>
  <c r="W53" i="61" s="1"/>
  <c r="Y53" i="61" s="1"/>
  <c r="AN53" i="63"/>
  <c r="AP53" i="63" s="1"/>
  <c r="AV53" i="63" s="1"/>
  <c r="AX53" i="63" s="1"/>
  <c r="U53" i="63" s="1"/>
  <c r="W53" i="63" s="1"/>
  <c r="Y53" i="63" s="1"/>
  <c r="AN52" i="65"/>
  <c r="AP52" i="65" s="1"/>
  <c r="AN53" i="62"/>
  <c r="AP53" i="62" s="1"/>
  <c r="AV53" i="62" s="1"/>
  <c r="AX53" i="62" s="1"/>
  <c r="U53" i="62" s="1"/>
  <c r="W53" i="62" s="1"/>
  <c r="Y53" i="62" s="1"/>
  <c r="AN53" i="60"/>
  <c r="AP53" i="60" s="1"/>
  <c r="AV53" i="60" s="1"/>
  <c r="AX53" i="60" s="1"/>
  <c r="U53" i="60" s="1"/>
  <c r="AN53" i="59"/>
  <c r="AP53" i="59" s="1"/>
  <c r="AV53" i="59" s="1"/>
  <c r="AX53" i="59" s="1"/>
  <c r="U53" i="59" s="1"/>
  <c r="W53" i="59" s="1"/>
  <c r="Y53" i="59" s="1"/>
  <c r="Y41" i="70"/>
  <c r="AN55" i="31"/>
  <c r="AP55" i="31" s="1"/>
  <c r="AN53" i="58"/>
  <c r="AP53" i="58" s="1"/>
  <c r="AN54" i="57"/>
  <c r="AP54" i="57" s="1"/>
  <c r="AN54" i="24"/>
  <c r="AP54" i="24" s="1"/>
  <c r="AN43" i="48"/>
  <c r="AP43" i="48" s="1"/>
  <c r="AV43" i="48" s="1"/>
  <c r="AX43" i="48" s="1"/>
  <c r="U43" i="48" s="1"/>
  <c r="W43" i="48" s="1"/>
  <c r="Y43" i="48" s="1"/>
  <c r="AN43" i="49"/>
  <c r="AP43" i="49" s="1"/>
  <c r="AV43" i="49" s="1"/>
  <c r="AX43" i="49" s="1"/>
  <c r="U43" i="49" s="1"/>
  <c r="W43" i="49" s="1"/>
  <c r="Y43" i="49" s="1"/>
  <c r="AN43" i="47"/>
  <c r="AP43" i="47" s="1"/>
  <c r="AV43" i="47" s="1"/>
  <c r="AX43" i="47" s="1"/>
  <c r="U43" i="47" s="1"/>
  <c r="W43" i="47" s="1"/>
  <c r="Y43" i="47" s="1"/>
  <c r="AN44" i="50"/>
  <c r="AP44" i="50" s="1"/>
  <c r="AV44" i="50" s="1"/>
  <c r="AX44" i="50" s="1"/>
  <c r="U44" i="50" s="1"/>
  <c r="W44" i="50" s="1"/>
  <c r="Y44" i="50" s="1"/>
  <c r="Y39" i="48"/>
  <c r="AN41" i="43"/>
  <c r="AP41" i="43" s="1"/>
  <c r="AV41" i="43" s="1"/>
  <c r="AN41" i="42"/>
  <c r="AP41" i="42" s="1"/>
  <c r="AV41" i="42" s="1"/>
  <c r="AP53" i="14"/>
  <c r="J54" i="5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H51" i="5"/>
  <c r="G51" i="5"/>
  <c r="AN54" i="74" s="1"/>
  <c r="AP54" i="74" s="1"/>
  <c r="AV54" i="74" s="1"/>
  <c r="AX54" i="74" s="1"/>
  <c r="U54" i="74" s="1"/>
  <c r="W54" i="74" s="1"/>
  <c r="Y54" i="74" s="1"/>
  <c r="AN36" i="21"/>
  <c r="AP36" i="21" s="1"/>
  <c r="AV36" i="21" s="1"/>
  <c r="AX36" i="21" s="1"/>
  <c r="C52" i="5"/>
  <c r="L51" i="5"/>
  <c r="AN54" i="14" s="1"/>
  <c r="E54" i="14"/>
  <c r="AT66" i="20"/>
  <c r="BD53" i="14"/>
  <c r="AF53" i="14"/>
  <c r="AJ53" i="14"/>
  <c r="M53" i="14"/>
  <c r="AH53" i="14"/>
  <c r="K53" i="14"/>
  <c r="AR53" i="14"/>
  <c r="Q49" i="5"/>
  <c r="U47" i="5"/>
  <c r="U48" i="5" s="1"/>
  <c r="AX61" i="5"/>
  <c r="AN61" i="5"/>
  <c r="AV61" i="5"/>
  <c r="AW62" i="5"/>
  <c r="AK49" i="5"/>
  <c r="AJ48" i="5"/>
  <c r="U49" i="5" l="1"/>
  <c r="AN43" i="70"/>
  <c r="AP43" i="70" s="1"/>
  <c r="AV43" i="70" s="1"/>
  <c r="AX43" i="70" s="1"/>
  <c r="U43" i="70" s="1"/>
  <c r="W43" i="70" s="1"/>
  <c r="Y43" i="70" s="1"/>
  <c r="AN54" i="63"/>
  <c r="AP54" i="63" s="1"/>
  <c r="AV54" i="63" s="1"/>
  <c r="AX54" i="63" s="1"/>
  <c r="U54" i="63" s="1"/>
  <c r="W54" i="63" s="1"/>
  <c r="Y54" i="63" s="1"/>
  <c r="AN54" i="61"/>
  <c r="AP54" i="61" s="1"/>
  <c r="AV54" i="61" s="1"/>
  <c r="AX54" i="61" s="1"/>
  <c r="U54" i="61" s="1"/>
  <c r="W54" i="61" s="1"/>
  <c r="Y54" i="61" s="1"/>
  <c r="AN54" i="62"/>
  <c r="AP54" i="62" s="1"/>
  <c r="AV54" i="62" s="1"/>
  <c r="AX54" i="62" s="1"/>
  <c r="U54" i="62" s="1"/>
  <c r="W54" i="62" s="1"/>
  <c r="Y54" i="62" s="1"/>
  <c r="AN53" i="65"/>
  <c r="AP53" i="65" s="1"/>
  <c r="AN54" i="60"/>
  <c r="AP54" i="60" s="1"/>
  <c r="AV54" i="60" s="1"/>
  <c r="AX54" i="60" s="1"/>
  <c r="U54" i="60" s="1"/>
  <c r="AN54" i="59"/>
  <c r="AP54" i="59" s="1"/>
  <c r="AV54" i="59" s="1"/>
  <c r="AX54" i="59" s="1"/>
  <c r="U54" i="59" s="1"/>
  <c r="W54" i="59" s="1"/>
  <c r="Y54" i="59" s="1"/>
  <c r="AN42" i="68"/>
  <c r="AP42" i="68" s="1"/>
  <c r="AV42" i="68" s="1"/>
  <c r="AX42" i="68" s="1"/>
  <c r="U42" i="68" s="1"/>
  <c r="W42" i="68" s="1"/>
  <c r="Y42" i="68" s="1"/>
  <c r="AN42" i="67"/>
  <c r="AP42" i="67" s="1"/>
  <c r="AV42" i="67" s="1"/>
  <c r="AN43" i="66"/>
  <c r="AP43" i="66" s="1"/>
  <c r="AV43" i="66" s="1"/>
  <c r="AN56" i="31"/>
  <c r="AP56" i="31" s="1"/>
  <c r="AN54" i="58"/>
  <c r="AP54" i="58" s="1"/>
  <c r="AN55" i="57"/>
  <c r="AP55" i="57" s="1"/>
  <c r="AN55" i="24"/>
  <c r="AP55" i="24" s="1"/>
  <c r="AN44" i="48"/>
  <c r="AP44" i="48" s="1"/>
  <c r="AV44" i="48" s="1"/>
  <c r="AX44" i="48" s="1"/>
  <c r="U44" i="48" s="1"/>
  <c r="W44" i="48" s="1"/>
  <c r="Y44" i="48" s="1"/>
  <c r="AN44" i="49"/>
  <c r="AP44" i="49" s="1"/>
  <c r="AV44" i="49" s="1"/>
  <c r="AX44" i="49" s="1"/>
  <c r="U44" i="49" s="1"/>
  <c r="W44" i="49" s="1"/>
  <c r="Y44" i="49" s="1"/>
  <c r="AN44" i="47"/>
  <c r="AP44" i="47" s="1"/>
  <c r="AV44" i="47" s="1"/>
  <c r="AX44" i="47" s="1"/>
  <c r="U44" i="47" s="1"/>
  <c r="W44" i="47" s="1"/>
  <c r="Y44" i="47" s="1"/>
  <c r="AN45" i="50"/>
  <c r="AP45" i="50" s="1"/>
  <c r="AV45" i="50" s="1"/>
  <c r="AX45" i="50" s="1"/>
  <c r="U45" i="50" s="1"/>
  <c r="W45" i="50" s="1"/>
  <c r="Y45" i="50" s="1"/>
  <c r="Q50" i="5"/>
  <c r="Q51" i="5" s="1"/>
  <c r="Q52" i="5" s="1"/>
  <c r="V49" i="5"/>
  <c r="W49" i="5"/>
  <c r="AN42" i="43"/>
  <c r="AP42" i="43" s="1"/>
  <c r="AV42" i="43" s="1"/>
  <c r="AN42" i="42"/>
  <c r="AP42" i="42" s="1"/>
  <c r="AV42" i="42" s="1"/>
  <c r="J66" i="5"/>
  <c r="J67" i="5" s="1"/>
  <c r="AN34" i="72" s="1"/>
  <c r="L52" i="5"/>
  <c r="AN55" i="14" s="1"/>
  <c r="H52" i="5"/>
  <c r="G52" i="5"/>
  <c r="AN55" i="74" s="1"/>
  <c r="AP55" i="74" s="1"/>
  <c r="AV55" i="74" s="1"/>
  <c r="AX55" i="74" s="1"/>
  <c r="U55" i="74" s="1"/>
  <c r="W55" i="74" s="1"/>
  <c r="Y55" i="74" s="1"/>
  <c r="C53" i="5"/>
  <c r="E56" i="14"/>
  <c r="E55" i="14"/>
  <c r="Q53" i="5"/>
  <c r="Q54" i="5" s="1"/>
  <c r="Q55" i="5" s="1"/>
  <c r="Q56" i="5" s="1"/>
  <c r="Q57" i="5" s="1"/>
  <c r="Q58" i="5" s="1"/>
  <c r="Q59" i="5" s="1"/>
  <c r="Q60" i="5" s="1"/>
  <c r="Q61" i="5" s="1"/>
  <c r="Q62" i="5" s="1"/>
  <c r="Q63" i="5" s="1"/>
  <c r="AP54" i="14"/>
  <c r="C54" i="5"/>
  <c r="L53" i="5"/>
  <c r="AN56" i="14" s="1"/>
  <c r="U36" i="21"/>
  <c r="M54" i="14"/>
  <c r="K54" i="14"/>
  <c r="BD54" i="14"/>
  <c r="BB54" i="14"/>
  <c r="AH54" i="14"/>
  <c r="AJ54" i="14"/>
  <c r="AR54" i="14"/>
  <c r="AF54" i="14"/>
  <c r="AW63" i="5"/>
  <c r="AV62" i="5"/>
  <c r="AX62" i="5"/>
  <c r="AK50" i="5"/>
  <c r="AJ49" i="5"/>
  <c r="W50" i="5" l="1"/>
  <c r="W51" i="5" s="1"/>
  <c r="W52" i="5" s="1"/>
  <c r="V50" i="5"/>
  <c r="V51" i="5" s="1"/>
  <c r="V52" i="5" s="1"/>
  <c r="AP34" i="72"/>
  <c r="AN44" i="70"/>
  <c r="AP44" i="70" s="1"/>
  <c r="AV44" i="70" s="1"/>
  <c r="AX44" i="70" s="1"/>
  <c r="U44" i="70" s="1"/>
  <c r="W44" i="70" s="1"/>
  <c r="Y44" i="70" s="1"/>
  <c r="AN55" i="63"/>
  <c r="AP55" i="63" s="1"/>
  <c r="AV55" i="63" s="1"/>
  <c r="AX55" i="63" s="1"/>
  <c r="U55" i="63" s="1"/>
  <c r="W55" i="63" s="1"/>
  <c r="Y55" i="63" s="1"/>
  <c r="AN55" i="61"/>
  <c r="AP55" i="61" s="1"/>
  <c r="AV55" i="61" s="1"/>
  <c r="AX55" i="61" s="1"/>
  <c r="U55" i="61" s="1"/>
  <c r="W55" i="61" s="1"/>
  <c r="Y55" i="61" s="1"/>
  <c r="AN55" i="62"/>
  <c r="AP55" i="62" s="1"/>
  <c r="AV55" i="62" s="1"/>
  <c r="AX55" i="62" s="1"/>
  <c r="U55" i="62" s="1"/>
  <c r="W55" i="62" s="1"/>
  <c r="Y55" i="62" s="1"/>
  <c r="AN55" i="60"/>
  <c r="AP55" i="60" s="1"/>
  <c r="AV55" i="60" s="1"/>
  <c r="AX55" i="60" s="1"/>
  <c r="U55" i="60" s="1"/>
  <c r="AN54" i="65"/>
  <c r="AP54" i="65" s="1"/>
  <c r="AN55" i="59"/>
  <c r="AP55" i="59" s="1"/>
  <c r="AV55" i="59" s="1"/>
  <c r="AX55" i="59" s="1"/>
  <c r="U55" i="59" s="1"/>
  <c r="W55" i="59" s="1"/>
  <c r="Y55" i="59" s="1"/>
  <c r="AN43" i="68"/>
  <c r="AP43" i="68" s="1"/>
  <c r="AV43" i="68" s="1"/>
  <c r="AX43" i="68" s="1"/>
  <c r="U43" i="68" s="1"/>
  <c r="W43" i="68" s="1"/>
  <c r="Y43" i="68" s="1"/>
  <c r="AN43" i="67"/>
  <c r="AP43" i="67" s="1"/>
  <c r="AV43" i="67" s="1"/>
  <c r="AN44" i="66"/>
  <c r="AP44" i="66" s="1"/>
  <c r="AV44" i="66" s="1"/>
  <c r="AN57" i="31"/>
  <c r="AP57" i="31" s="1"/>
  <c r="AN55" i="58"/>
  <c r="AP55" i="58" s="1"/>
  <c r="AN56" i="57"/>
  <c r="AP56" i="57" s="1"/>
  <c r="AP56" i="14"/>
  <c r="AN56" i="24"/>
  <c r="AP56" i="24" s="1"/>
  <c r="AN45" i="48"/>
  <c r="AP45" i="48" s="1"/>
  <c r="AV45" i="48" s="1"/>
  <c r="AX45" i="48" s="1"/>
  <c r="U45" i="48" s="1"/>
  <c r="W45" i="48" s="1"/>
  <c r="Y45" i="48" s="1"/>
  <c r="AN45" i="49"/>
  <c r="AP45" i="49" s="1"/>
  <c r="AV45" i="49" s="1"/>
  <c r="AX45" i="49" s="1"/>
  <c r="U45" i="49" s="1"/>
  <c r="W45" i="49" s="1"/>
  <c r="Y45" i="49" s="1"/>
  <c r="AN45" i="47"/>
  <c r="AP45" i="47" s="1"/>
  <c r="AV45" i="47" s="1"/>
  <c r="AX45" i="47" s="1"/>
  <c r="U45" i="47" s="1"/>
  <c r="W45" i="47" s="1"/>
  <c r="Y45" i="47" s="1"/>
  <c r="AN46" i="50"/>
  <c r="AP46" i="50" s="1"/>
  <c r="AV46" i="50" s="1"/>
  <c r="AX46" i="50" s="1"/>
  <c r="U46" i="50" s="1"/>
  <c r="W46" i="50" s="1"/>
  <c r="Y46" i="50" s="1"/>
  <c r="W53" i="5"/>
  <c r="W54" i="5" s="1"/>
  <c r="W55" i="5" s="1"/>
  <c r="W56" i="5" s="1"/>
  <c r="W57" i="5" s="1"/>
  <c r="W58" i="5" s="1"/>
  <c r="W59" i="5" s="1"/>
  <c r="W60" i="5" s="1"/>
  <c r="W61" i="5" s="1"/>
  <c r="W62" i="5" s="1"/>
  <c r="V53" i="5"/>
  <c r="V54" i="5" s="1"/>
  <c r="V55" i="5" s="1"/>
  <c r="V56" i="5" s="1"/>
  <c r="V57" i="5" s="1"/>
  <c r="V58" i="5" s="1"/>
  <c r="V59" i="5" s="1"/>
  <c r="V60" i="5" s="1"/>
  <c r="V61" i="5" s="1"/>
  <c r="V62" i="5" s="1"/>
  <c r="U50" i="5"/>
  <c r="U51" i="5" s="1"/>
  <c r="U52" i="5" s="1"/>
  <c r="AN43" i="43"/>
  <c r="AP43" i="43" s="1"/>
  <c r="AV43" i="43" s="1"/>
  <c r="AN43" i="42"/>
  <c r="AP43" i="42" s="1"/>
  <c r="AV43" i="42" s="1"/>
  <c r="AP55" i="14"/>
  <c r="H54" i="5"/>
  <c r="L54" i="5"/>
  <c r="G54" i="5"/>
  <c r="AN57" i="74" s="1"/>
  <c r="AP57" i="74" s="1"/>
  <c r="AV57" i="74" s="1"/>
  <c r="AX57" i="74" s="1"/>
  <c r="U57" i="74" s="1"/>
  <c r="W57" i="74" s="1"/>
  <c r="Y57" i="74" s="1"/>
  <c r="H53" i="5"/>
  <c r="G53" i="5"/>
  <c r="AN56" i="74" s="1"/>
  <c r="AP56" i="74" s="1"/>
  <c r="AV56" i="74" s="1"/>
  <c r="AX56" i="74" s="1"/>
  <c r="U56" i="74" s="1"/>
  <c r="W56" i="74" s="1"/>
  <c r="Y56" i="74" s="1"/>
  <c r="AH55" i="14"/>
  <c r="AH56" i="14" s="1"/>
  <c r="M55" i="14"/>
  <c r="M56" i="14" s="1"/>
  <c r="AR55" i="14"/>
  <c r="AR56" i="14" s="1"/>
  <c r="BD55" i="14"/>
  <c r="BD56" i="14" s="1"/>
  <c r="AJ55" i="14"/>
  <c r="AJ56" i="14" s="1"/>
  <c r="K55" i="14"/>
  <c r="K56" i="14" s="1"/>
  <c r="AF55" i="14"/>
  <c r="AF56" i="14" s="1"/>
  <c r="BB55" i="14"/>
  <c r="BB56" i="14" s="1"/>
  <c r="W36" i="21"/>
  <c r="C55" i="5"/>
  <c r="K40" i="19"/>
  <c r="K41" i="19" s="1"/>
  <c r="K42" i="19" s="1"/>
  <c r="K43" i="19" s="1"/>
  <c r="K44" i="19" s="1"/>
  <c r="K45" i="19" s="1"/>
  <c r="K46" i="19" s="1"/>
  <c r="K47" i="19" s="1"/>
  <c r="K48" i="19" s="1"/>
  <c r="K49" i="19" s="1"/>
  <c r="K50" i="19" s="1"/>
  <c r="K51" i="19" s="1"/>
  <c r="K52" i="19" s="1"/>
  <c r="K53" i="19" s="1"/>
  <c r="K54" i="19" s="1"/>
  <c r="K55" i="19" s="1"/>
  <c r="K56" i="19" s="1"/>
  <c r="K57" i="19" s="1"/>
  <c r="K58" i="19" s="1"/>
  <c r="K59" i="19" s="1"/>
  <c r="K60" i="19" s="1"/>
  <c r="K61" i="19" s="1"/>
  <c r="K62" i="19" s="1"/>
  <c r="K66" i="19" s="1"/>
  <c r="I40" i="19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I62" i="19" s="1"/>
  <c r="I66" i="19" s="1"/>
  <c r="M40" i="19"/>
  <c r="M41" i="19" s="1"/>
  <c r="M42" i="19" s="1"/>
  <c r="M43" i="19" s="1"/>
  <c r="M44" i="19" s="1"/>
  <c r="M45" i="19" s="1"/>
  <c r="M46" i="19" s="1"/>
  <c r="M47" i="19" s="1"/>
  <c r="M48" i="19" s="1"/>
  <c r="M49" i="19" s="1"/>
  <c r="M50" i="19" s="1"/>
  <c r="M51" i="19" s="1"/>
  <c r="M52" i="19" s="1"/>
  <c r="M53" i="19" s="1"/>
  <c r="M54" i="19" s="1"/>
  <c r="M55" i="19" s="1"/>
  <c r="M56" i="19" s="1"/>
  <c r="M57" i="19" s="1"/>
  <c r="M58" i="19" s="1"/>
  <c r="M59" i="19" s="1"/>
  <c r="M60" i="19" s="1"/>
  <c r="M61" i="19" s="1"/>
  <c r="M62" i="19" s="1"/>
  <c r="M66" i="19" s="1"/>
  <c r="AR40" i="19"/>
  <c r="AR41" i="19" s="1"/>
  <c r="AR42" i="19" s="1"/>
  <c r="AR43" i="19" s="1"/>
  <c r="AR44" i="19" s="1"/>
  <c r="AR45" i="19" s="1"/>
  <c r="AR46" i="19" s="1"/>
  <c r="AR47" i="19" s="1"/>
  <c r="AR48" i="19" s="1"/>
  <c r="AR49" i="19" s="1"/>
  <c r="AR50" i="19" s="1"/>
  <c r="AR51" i="19" s="1"/>
  <c r="AR52" i="19" s="1"/>
  <c r="AR53" i="19" s="1"/>
  <c r="AR54" i="19" s="1"/>
  <c r="AR55" i="19" s="1"/>
  <c r="AR56" i="19" s="1"/>
  <c r="AR57" i="19" s="1"/>
  <c r="AR58" i="19" s="1"/>
  <c r="AR59" i="19" s="1"/>
  <c r="AR60" i="19" s="1"/>
  <c r="AR61" i="19" s="1"/>
  <c r="AR62" i="19" s="1"/>
  <c r="AR66" i="19" s="1"/>
  <c r="AJ40" i="19"/>
  <c r="AJ41" i="19" s="1"/>
  <c r="AJ42" i="19" s="1"/>
  <c r="AJ43" i="19" s="1"/>
  <c r="AJ44" i="19" s="1"/>
  <c r="AJ45" i="19" s="1"/>
  <c r="AJ46" i="19" s="1"/>
  <c r="AJ47" i="19" s="1"/>
  <c r="AJ48" i="19" s="1"/>
  <c r="AJ49" i="19" s="1"/>
  <c r="AJ50" i="19" s="1"/>
  <c r="AJ51" i="19" s="1"/>
  <c r="AJ52" i="19" s="1"/>
  <c r="AJ53" i="19" s="1"/>
  <c r="AJ54" i="19" s="1"/>
  <c r="AJ55" i="19" s="1"/>
  <c r="AJ56" i="19" s="1"/>
  <c r="AJ57" i="19" s="1"/>
  <c r="AJ58" i="19" s="1"/>
  <c r="AJ59" i="19" s="1"/>
  <c r="AJ60" i="19" s="1"/>
  <c r="AJ61" i="19" s="1"/>
  <c r="AJ62" i="19" s="1"/>
  <c r="AJ66" i="19" s="1"/>
  <c r="AH40" i="19"/>
  <c r="AH41" i="19" s="1"/>
  <c r="AH42" i="19" s="1"/>
  <c r="AH43" i="19" s="1"/>
  <c r="AH44" i="19" s="1"/>
  <c r="AH45" i="19" s="1"/>
  <c r="AH46" i="19" s="1"/>
  <c r="AH47" i="19" s="1"/>
  <c r="AH48" i="19" s="1"/>
  <c r="AH49" i="19" s="1"/>
  <c r="AH50" i="19" s="1"/>
  <c r="AH51" i="19" s="1"/>
  <c r="AH52" i="19" s="1"/>
  <c r="AH53" i="19" s="1"/>
  <c r="AH54" i="19" s="1"/>
  <c r="AH55" i="19" s="1"/>
  <c r="AH56" i="19" s="1"/>
  <c r="AH57" i="19" s="1"/>
  <c r="AH58" i="19" s="1"/>
  <c r="AH59" i="19" s="1"/>
  <c r="AH60" i="19" s="1"/>
  <c r="AH61" i="19" s="1"/>
  <c r="AH62" i="19" s="1"/>
  <c r="AH66" i="19" s="1"/>
  <c r="BD40" i="19"/>
  <c r="BD41" i="19" s="1"/>
  <c r="BD42" i="19" s="1"/>
  <c r="BD43" i="19" s="1"/>
  <c r="BD44" i="19" s="1"/>
  <c r="BD45" i="19" s="1"/>
  <c r="BD46" i="19" s="1"/>
  <c r="BD47" i="19" s="1"/>
  <c r="BD48" i="19" s="1"/>
  <c r="BD49" i="19" s="1"/>
  <c r="BD50" i="19" s="1"/>
  <c r="BD51" i="19" s="1"/>
  <c r="BD52" i="19" s="1"/>
  <c r="BD53" i="19" s="1"/>
  <c r="BD54" i="19" s="1"/>
  <c r="BD55" i="19" s="1"/>
  <c r="BD56" i="19" s="1"/>
  <c r="BD57" i="19" s="1"/>
  <c r="BD58" i="19" s="1"/>
  <c r="BD59" i="19" s="1"/>
  <c r="BD60" i="19" s="1"/>
  <c r="BD61" i="19" s="1"/>
  <c r="BD62" i="19" s="1"/>
  <c r="BD66" i="19" s="1"/>
  <c r="BB40" i="19"/>
  <c r="AF40" i="19"/>
  <c r="AJ50" i="5"/>
  <c r="AK51" i="5"/>
  <c r="AN62" i="5"/>
  <c r="AX63" i="5"/>
  <c r="AV63" i="5"/>
  <c r="AW64" i="5"/>
  <c r="AN31" i="40" l="1"/>
  <c r="AP31" i="40" s="1"/>
  <c r="AN29" i="65"/>
  <c r="AP29" i="65" s="1"/>
  <c r="AV29" i="65" s="1"/>
  <c r="AX29" i="65" s="1"/>
  <c r="U29" i="65" s="1"/>
  <c r="AN32" i="69"/>
  <c r="AN29" i="51"/>
  <c r="AV34" i="72"/>
  <c r="AN46" i="70"/>
  <c r="AP46" i="70" s="1"/>
  <c r="AV46" i="70" s="1"/>
  <c r="AX46" i="70" s="1"/>
  <c r="U46" i="70" s="1"/>
  <c r="W46" i="70" s="1"/>
  <c r="Y46" i="70" s="1"/>
  <c r="AN57" i="61"/>
  <c r="AP57" i="61" s="1"/>
  <c r="AV57" i="61" s="1"/>
  <c r="AX57" i="61" s="1"/>
  <c r="U57" i="61" s="1"/>
  <c r="W57" i="61" s="1"/>
  <c r="Y57" i="61" s="1"/>
  <c r="AN57" i="63"/>
  <c r="AP57" i="63" s="1"/>
  <c r="AV57" i="63" s="1"/>
  <c r="AX57" i="63" s="1"/>
  <c r="U57" i="63" s="1"/>
  <c r="W57" i="63" s="1"/>
  <c r="Y57" i="63" s="1"/>
  <c r="AN57" i="62"/>
  <c r="AP57" i="62" s="1"/>
  <c r="AV57" i="62" s="1"/>
  <c r="AX57" i="62" s="1"/>
  <c r="U57" i="62" s="1"/>
  <c r="W57" i="62" s="1"/>
  <c r="Y57" i="62" s="1"/>
  <c r="AN57" i="60"/>
  <c r="AP57" i="60" s="1"/>
  <c r="AV57" i="60" s="1"/>
  <c r="AX57" i="60" s="1"/>
  <c r="U57" i="60" s="1"/>
  <c r="AN56" i="65"/>
  <c r="AP56" i="65" s="1"/>
  <c r="AN57" i="59"/>
  <c r="AP57" i="59" s="1"/>
  <c r="AV57" i="59" s="1"/>
  <c r="AX57" i="59" s="1"/>
  <c r="U57" i="59" s="1"/>
  <c r="W57" i="59" s="1"/>
  <c r="Y57" i="59" s="1"/>
  <c r="AN45" i="70"/>
  <c r="AP45" i="70" s="1"/>
  <c r="AV45" i="70" s="1"/>
  <c r="AX45" i="70" s="1"/>
  <c r="U45" i="70" s="1"/>
  <c r="W45" i="70" s="1"/>
  <c r="Y45" i="70" s="1"/>
  <c r="AN56" i="63"/>
  <c r="AP56" i="63" s="1"/>
  <c r="AV56" i="63" s="1"/>
  <c r="AX56" i="63" s="1"/>
  <c r="U56" i="63" s="1"/>
  <c r="W56" i="63" s="1"/>
  <c r="Y56" i="63" s="1"/>
  <c r="AN56" i="61"/>
  <c r="AP56" i="61" s="1"/>
  <c r="AV56" i="61" s="1"/>
  <c r="AX56" i="61" s="1"/>
  <c r="U56" i="61" s="1"/>
  <c r="W56" i="61" s="1"/>
  <c r="Y56" i="61" s="1"/>
  <c r="AN55" i="65"/>
  <c r="AP55" i="65" s="1"/>
  <c r="AN56" i="60"/>
  <c r="AP56" i="60" s="1"/>
  <c r="AV56" i="60" s="1"/>
  <c r="AX56" i="60" s="1"/>
  <c r="U56" i="60" s="1"/>
  <c r="AN56" i="62"/>
  <c r="AP56" i="62" s="1"/>
  <c r="AV56" i="62" s="1"/>
  <c r="AX56" i="62" s="1"/>
  <c r="U56" i="62" s="1"/>
  <c r="W56" i="62" s="1"/>
  <c r="Y56" i="62" s="1"/>
  <c r="AN56" i="59"/>
  <c r="AP56" i="59" s="1"/>
  <c r="AV56" i="59" s="1"/>
  <c r="AX56" i="59" s="1"/>
  <c r="U56" i="59" s="1"/>
  <c r="W56" i="59" s="1"/>
  <c r="Y56" i="59" s="1"/>
  <c r="AN45" i="68"/>
  <c r="AP45" i="68" s="1"/>
  <c r="AV45" i="68" s="1"/>
  <c r="AX45" i="68" s="1"/>
  <c r="U45" i="68" s="1"/>
  <c r="W45" i="68" s="1"/>
  <c r="Y45" i="68" s="1"/>
  <c r="AN45" i="67"/>
  <c r="AP45" i="67" s="1"/>
  <c r="AV45" i="67" s="1"/>
  <c r="AN46" i="66"/>
  <c r="AP46" i="66" s="1"/>
  <c r="AV46" i="66" s="1"/>
  <c r="AN44" i="68"/>
  <c r="AP44" i="68" s="1"/>
  <c r="AV44" i="68" s="1"/>
  <c r="AX44" i="68" s="1"/>
  <c r="U44" i="68" s="1"/>
  <c r="W44" i="68" s="1"/>
  <c r="Y44" i="68" s="1"/>
  <c r="AN44" i="67"/>
  <c r="AP44" i="67" s="1"/>
  <c r="AV44" i="67" s="1"/>
  <c r="AN45" i="66"/>
  <c r="AP45" i="66" s="1"/>
  <c r="AV45" i="66" s="1"/>
  <c r="AN59" i="31"/>
  <c r="AP59" i="31" s="1"/>
  <c r="AN57" i="58"/>
  <c r="AP57" i="58" s="1"/>
  <c r="AN58" i="57"/>
  <c r="AP58" i="57" s="1"/>
  <c r="AN58" i="31"/>
  <c r="AP58" i="31" s="1"/>
  <c r="AN56" i="58"/>
  <c r="AP56" i="58" s="1"/>
  <c r="AN57" i="57"/>
  <c r="AP57" i="57" s="1"/>
  <c r="AN58" i="24"/>
  <c r="AP58" i="24" s="1"/>
  <c r="AN47" i="48"/>
  <c r="AN47" i="49"/>
  <c r="AN47" i="47"/>
  <c r="AN48" i="50"/>
  <c r="AN57" i="24"/>
  <c r="AP57" i="24" s="1"/>
  <c r="AN46" i="48"/>
  <c r="AP46" i="48" s="1"/>
  <c r="AV46" i="48" s="1"/>
  <c r="AX46" i="48" s="1"/>
  <c r="U46" i="48" s="1"/>
  <c r="W46" i="48" s="1"/>
  <c r="Y46" i="48" s="1"/>
  <c r="AN46" i="49"/>
  <c r="AP46" i="49" s="1"/>
  <c r="AV46" i="49" s="1"/>
  <c r="AX46" i="49" s="1"/>
  <c r="U46" i="49" s="1"/>
  <c r="W46" i="49" s="1"/>
  <c r="Y46" i="49" s="1"/>
  <c r="AN46" i="47"/>
  <c r="AP46" i="47" s="1"/>
  <c r="AV46" i="47" s="1"/>
  <c r="AX46" i="47" s="1"/>
  <c r="U46" i="47" s="1"/>
  <c r="W46" i="47" s="1"/>
  <c r="Y46" i="47" s="1"/>
  <c r="AN47" i="50"/>
  <c r="AP47" i="50" s="1"/>
  <c r="AV47" i="50" s="1"/>
  <c r="AX47" i="50" s="1"/>
  <c r="U47" i="50" s="1"/>
  <c r="W47" i="50" s="1"/>
  <c r="Y47" i="50" s="1"/>
  <c r="U53" i="5"/>
  <c r="U54" i="5" s="1"/>
  <c r="U55" i="5" s="1"/>
  <c r="U56" i="5" s="1"/>
  <c r="AN45" i="43"/>
  <c r="AP45" i="43" s="1"/>
  <c r="AV45" i="43" s="1"/>
  <c r="AN45" i="42"/>
  <c r="AP45" i="42" s="1"/>
  <c r="AV45" i="42" s="1"/>
  <c r="AN44" i="43"/>
  <c r="AP44" i="43" s="1"/>
  <c r="AV44" i="43" s="1"/>
  <c r="AN44" i="42"/>
  <c r="AP44" i="42" s="1"/>
  <c r="AV44" i="42" s="1"/>
  <c r="C56" i="5"/>
  <c r="H55" i="5"/>
  <c r="G55" i="5"/>
  <c r="AN58" i="74" s="1"/>
  <c r="AP58" i="74" s="1"/>
  <c r="AV58" i="74" s="1"/>
  <c r="AX58" i="74" s="1"/>
  <c r="U58" i="74" s="1"/>
  <c r="W58" i="74" s="1"/>
  <c r="Y58" i="74" s="1"/>
  <c r="AN58" i="19"/>
  <c r="AP58" i="19" s="1"/>
  <c r="AV58" i="19" s="1"/>
  <c r="AN41" i="19"/>
  <c r="AN56" i="19"/>
  <c r="AP56" i="19" s="1"/>
  <c r="AV56" i="19" s="1"/>
  <c r="AN51" i="19"/>
  <c r="AN40" i="19"/>
  <c r="AN55" i="19"/>
  <c r="AP55" i="19" s="1"/>
  <c r="AV55" i="19" s="1"/>
  <c r="AN42" i="21"/>
  <c r="AN62" i="20"/>
  <c r="AN43" i="19"/>
  <c r="AN57" i="19"/>
  <c r="AP57" i="19" s="1"/>
  <c r="AV57" i="19" s="1"/>
  <c r="AN44" i="19"/>
  <c r="AN45" i="19"/>
  <c r="AN49" i="19"/>
  <c r="AN38" i="19"/>
  <c r="AN53" i="19"/>
  <c r="AP53" i="19" s="1"/>
  <c r="AV53" i="19" s="1"/>
  <c r="AN46" i="19"/>
  <c r="AN47" i="19"/>
  <c r="AN48" i="19"/>
  <c r="AN39" i="19"/>
  <c r="AN60" i="20"/>
  <c r="AP60" i="20" s="1"/>
  <c r="AV60" i="20" s="1"/>
  <c r="AX60" i="20" s="1"/>
  <c r="U60" i="20" s="1"/>
  <c r="W60" i="20" s="1"/>
  <c r="Y60" i="20" s="1"/>
  <c r="AN52" i="19"/>
  <c r="AN50" i="19"/>
  <c r="AN54" i="20"/>
  <c r="AP54" i="20" s="1"/>
  <c r="AV54" i="20" s="1"/>
  <c r="AX54" i="20" s="1"/>
  <c r="U54" i="20" s="1"/>
  <c r="W54" i="20" s="1"/>
  <c r="Y54" i="20" s="1"/>
  <c r="AN42" i="19"/>
  <c r="AN61" i="20"/>
  <c r="AP61" i="20" s="1"/>
  <c r="AV61" i="20" s="1"/>
  <c r="AX61" i="20" s="1"/>
  <c r="U61" i="20" s="1"/>
  <c r="W61" i="20" s="1"/>
  <c r="Y61" i="20" s="1"/>
  <c r="AN59" i="20"/>
  <c r="AP59" i="20" s="1"/>
  <c r="AV59" i="20" s="1"/>
  <c r="AX59" i="20" s="1"/>
  <c r="U59" i="20" s="1"/>
  <c r="W59" i="20" s="1"/>
  <c r="Y59" i="20" s="1"/>
  <c r="AN44" i="20"/>
  <c r="AP44" i="20" s="1"/>
  <c r="AV44" i="20" s="1"/>
  <c r="AX44" i="20" s="1"/>
  <c r="U44" i="20" s="1"/>
  <c r="W44" i="20" s="1"/>
  <c r="Y44" i="20" s="1"/>
  <c r="AN50" i="20"/>
  <c r="AP50" i="20" s="1"/>
  <c r="AV50" i="20" s="1"/>
  <c r="AX50" i="20" s="1"/>
  <c r="U50" i="20" s="1"/>
  <c r="W50" i="20" s="1"/>
  <c r="Y50" i="20" s="1"/>
  <c r="AN60" i="19"/>
  <c r="AP60" i="19" s="1"/>
  <c r="AV60" i="19" s="1"/>
  <c r="AN56" i="20"/>
  <c r="AP56" i="20" s="1"/>
  <c r="AV56" i="20" s="1"/>
  <c r="AX56" i="20" s="1"/>
  <c r="U56" i="20" s="1"/>
  <c r="W56" i="20" s="1"/>
  <c r="Y56" i="20" s="1"/>
  <c r="AN37" i="21"/>
  <c r="AP37" i="21" s="1"/>
  <c r="AV37" i="21" s="1"/>
  <c r="AN39" i="21"/>
  <c r="AP39" i="21" s="1"/>
  <c r="AV39" i="21" s="1"/>
  <c r="AX39" i="21" s="1"/>
  <c r="U39" i="21" s="1"/>
  <c r="W39" i="21" s="1"/>
  <c r="Y39" i="21" s="1"/>
  <c r="AN54" i="19"/>
  <c r="AP54" i="19" s="1"/>
  <c r="AV54" i="19" s="1"/>
  <c r="AN59" i="19"/>
  <c r="AP59" i="19" s="1"/>
  <c r="AV59" i="19" s="1"/>
  <c r="AN51" i="20"/>
  <c r="AP51" i="20" s="1"/>
  <c r="AV51" i="20" s="1"/>
  <c r="AX51" i="20" s="1"/>
  <c r="U51" i="20" s="1"/>
  <c r="W51" i="20" s="1"/>
  <c r="Y51" i="20" s="1"/>
  <c r="AN57" i="20"/>
  <c r="AP57" i="20" s="1"/>
  <c r="AV57" i="20" s="1"/>
  <c r="AX57" i="20" s="1"/>
  <c r="U57" i="20" s="1"/>
  <c r="W57" i="20" s="1"/>
  <c r="Y57" i="20" s="1"/>
  <c r="AN43" i="20"/>
  <c r="AP43" i="20" s="1"/>
  <c r="AV43" i="20" s="1"/>
  <c r="AX43" i="20" s="1"/>
  <c r="AN55" i="20"/>
  <c r="AP55" i="20" s="1"/>
  <c r="AV55" i="20" s="1"/>
  <c r="AX55" i="20" s="1"/>
  <c r="U55" i="20" s="1"/>
  <c r="W55" i="20" s="1"/>
  <c r="Y55" i="20" s="1"/>
  <c r="AN52" i="20"/>
  <c r="AP52" i="20" s="1"/>
  <c r="AV52" i="20" s="1"/>
  <c r="AX52" i="20" s="1"/>
  <c r="U52" i="20" s="1"/>
  <c r="W52" i="20" s="1"/>
  <c r="Y52" i="20" s="1"/>
  <c r="AN38" i="21"/>
  <c r="AP38" i="21" s="1"/>
  <c r="AV38" i="21" s="1"/>
  <c r="AX38" i="21" s="1"/>
  <c r="U38" i="21" s="1"/>
  <c r="W38" i="21" s="1"/>
  <c r="Y38" i="21" s="1"/>
  <c r="AN48" i="20"/>
  <c r="AP48" i="20" s="1"/>
  <c r="AV48" i="20" s="1"/>
  <c r="AX48" i="20" s="1"/>
  <c r="U48" i="20" s="1"/>
  <c r="W48" i="20" s="1"/>
  <c r="Y48" i="20" s="1"/>
  <c r="AN46" i="20"/>
  <c r="AP46" i="20" s="1"/>
  <c r="AV46" i="20" s="1"/>
  <c r="AX46" i="20" s="1"/>
  <c r="U46" i="20" s="1"/>
  <c r="W46" i="20" s="1"/>
  <c r="Y46" i="20" s="1"/>
  <c r="AN41" i="21"/>
  <c r="AP41" i="21" s="1"/>
  <c r="AV41" i="21" s="1"/>
  <c r="AX41" i="21" s="1"/>
  <c r="U41" i="21" s="1"/>
  <c r="W41" i="21" s="1"/>
  <c r="Y41" i="21" s="1"/>
  <c r="AN47" i="20"/>
  <c r="AP47" i="20" s="1"/>
  <c r="AV47" i="20" s="1"/>
  <c r="AX47" i="20" s="1"/>
  <c r="U47" i="20" s="1"/>
  <c r="W47" i="20" s="1"/>
  <c r="Y47" i="20" s="1"/>
  <c r="AN49" i="20"/>
  <c r="AP49" i="20" s="1"/>
  <c r="AV49" i="20" s="1"/>
  <c r="AX49" i="20" s="1"/>
  <c r="U49" i="20" s="1"/>
  <c r="W49" i="20" s="1"/>
  <c r="Y49" i="20" s="1"/>
  <c r="AN53" i="20"/>
  <c r="AP53" i="20" s="1"/>
  <c r="AV53" i="20" s="1"/>
  <c r="AX53" i="20" s="1"/>
  <c r="U53" i="20" s="1"/>
  <c r="W53" i="20" s="1"/>
  <c r="Y53" i="20" s="1"/>
  <c r="AN40" i="21"/>
  <c r="AP40" i="21" s="1"/>
  <c r="AV40" i="21" s="1"/>
  <c r="AX40" i="21" s="1"/>
  <c r="U40" i="21" s="1"/>
  <c r="W40" i="21" s="1"/>
  <c r="Y40" i="21" s="1"/>
  <c r="AN45" i="20"/>
  <c r="AP45" i="20" s="1"/>
  <c r="AV45" i="20" s="1"/>
  <c r="AX45" i="20" s="1"/>
  <c r="U45" i="20" s="1"/>
  <c r="W45" i="20" s="1"/>
  <c r="Y45" i="20" s="1"/>
  <c r="AN61" i="19"/>
  <c r="AP61" i="19" s="1"/>
  <c r="AV61" i="19" s="1"/>
  <c r="AN58" i="20"/>
  <c r="AP58" i="20" s="1"/>
  <c r="AV58" i="20" s="1"/>
  <c r="AX58" i="20" s="1"/>
  <c r="U58" i="20" s="1"/>
  <c r="W58" i="20" s="1"/>
  <c r="Y58" i="20" s="1"/>
  <c r="AN62" i="19"/>
  <c r="Y36" i="21"/>
  <c r="AF41" i="19"/>
  <c r="AL40" i="19"/>
  <c r="BB41" i="19"/>
  <c r="BF40" i="19"/>
  <c r="AN63" i="5"/>
  <c r="AK52" i="5"/>
  <c r="AJ51" i="5"/>
  <c r="AW65" i="5"/>
  <c r="AV64" i="5"/>
  <c r="AX64" i="5"/>
  <c r="AN64" i="5"/>
  <c r="AP29" i="51" l="1"/>
  <c r="AP32" i="69"/>
  <c r="AX34" i="72"/>
  <c r="AN47" i="70"/>
  <c r="AP47" i="70" s="1"/>
  <c r="AV47" i="70" s="1"/>
  <c r="AX47" i="70" s="1"/>
  <c r="U47" i="70" s="1"/>
  <c r="W47" i="70" s="1"/>
  <c r="Y47" i="70" s="1"/>
  <c r="AN58" i="61"/>
  <c r="AP58" i="61" s="1"/>
  <c r="AV58" i="61" s="1"/>
  <c r="AX58" i="61" s="1"/>
  <c r="U58" i="61" s="1"/>
  <c r="W58" i="61" s="1"/>
  <c r="Y58" i="61" s="1"/>
  <c r="AN58" i="63"/>
  <c r="AP58" i="63" s="1"/>
  <c r="AV58" i="63" s="1"/>
  <c r="AX58" i="63" s="1"/>
  <c r="U58" i="63" s="1"/>
  <c r="W58" i="63" s="1"/>
  <c r="Y58" i="63" s="1"/>
  <c r="AN58" i="60"/>
  <c r="AP58" i="60" s="1"/>
  <c r="AV58" i="60" s="1"/>
  <c r="AX58" i="60" s="1"/>
  <c r="U58" i="60" s="1"/>
  <c r="AN58" i="62"/>
  <c r="AP58" i="62" s="1"/>
  <c r="AV58" i="62" s="1"/>
  <c r="AX58" i="62" s="1"/>
  <c r="U58" i="62" s="1"/>
  <c r="W58" i="62" s="1"/>
  <c r="Y58" i="62" s="1"/>
  <c r="AN57" i="65"/>
  <c r="AP57" i="65" s="1"/>
  <c r="AN58" i="59"/>
  <c r="AP58" i="59" s="1"/>
  <c r="AV58" i="59" s="1"/>
  <c r="AX58" i="59" s="1"/>
  <c r="U58" i="59" s="1"/>
  <c r="W58" i="59" s="1"/>
  <c r="Y58" i="59" s="1"/>
  <c r="AN59" i="24"/>
  <c r="AP59" i="24" s="1"/>
  <c r="AN46" i="68"/>
  <c r="AP46" i="68" s="1"/>
  <c r="AV46" i="68" s="1"/>
  <c r="AX46" i="68" s="1"/>
  <c r="U46" i="68" s="1"/>
  <c r="W46" i="68" s="1"/>
  <c r="Y46" i="68" s="1"/>
  <c r="AN46" i="67"/>
  <c r="AP46" i="67" s="1"/>
  <c r="AV46" i="67" s="1"/>
  <c r="AN47" i="66"/>
  <c r="AP47" i="66" s="1"/>
  <c r="AV47" i="66" s="1"/>
  <c r="AN60" i="31"/>
  <c r="AP60" i="31" s="1"/>
  <c r="AN58" i="58"/>
  <c r="AP58" i="58" s="1"/>
  <c r="AN59" i="57"/>
  <c r="AP59" i="57" s="1"/>
  <c r="AP47" i="49"/>
  <c r="AN58" i="49"/>
  <c r="AP47" i="48"/>
  <c r="AN58" i="48"/>
  <c r="AP48" i="50"/>
  <c r="AN58" i="50"/>
  <c r="AN46" i="43"/>
  <c r="AP46" i="43" s="1"/>
  <c r="AV46" i="43" s="1"/>
  <c r="AN46" i="42"/>
  <c r="AP46" i="42" s="1"/>
  <c r="AV46" i="42" s="1"/>
  <c r="AP47" i="47"/>
  <c r="AN58" i="47"/>
  <c r="C57" i="5"/>
  <c r="H56" i="5"/>
  <c r="G56" i="5"/>
  <c r="AN59" i="74" s="1"/>
  <c r="AP59" i="74" s="1"/>
  <c r="AV59" i="74" s="1"/>
  <c r="AX59" i="74" s="1"/>
  <c r="U59" i="74" s="1"/>
  <c r="W59" i="74" s="1"/>
  <c r="Y59" i="74" s="1"/>
  <c r="AX37" i="21"/>
  <c r="AP42" i="21"/>
  <c r="AN47" i="21"/>
  <c r="AP62" i="20"/>
  <c r="AN66" i="20"/>
  <c r="AP62" i="19"/>
  <c r="AV62" i="19" s="1"/>
  <c r="AN66" i="19"/>
  <c r="U43" i="20"/>
  <c r="AT40" i="19"/>
  <c r="AL41" i="19"/>
  <c r="AF42" i="19"/>
  <c r="BF41" i="19"/>
  <c r="BB42" i="19"/>
  <c r="AJ52" i="5"/>
  <c r="AK53" i="5"/>
  <c r="AX65" i="5"/>
  <c r="AV65" i="5"/>
  <c r="AW66" i="5"/>
  <c r="U34" i="72" l="1"/>
  <c r="AV32" i="69"/>
  <c r="AV29" i="51"/>
  <c r="AN48" i="70"/>
  <c r="AP48" i="70" s="1"/>
  <c r="AV48" i="70" s="1"/>
  <c r="AX48" i="70" s="1"/>
  <c r="U48" i="70" s="1"/>
  <c r="W48" i="70" s="1"/>
  <c r="Y48" i="70" s="1"/>
  <c r="AN59" i="61"/>
  <c r="AP59" i="61" s="1"/>
  <c r="AV59" i="61" s="1"/>
  <c r="AX59" i="61" s="1"/>
  <c r="U59" i="61" s="1"/>
  <c r="W59" i="61" s="1"/>
  <c r="Y59" i="61" s="1"/>
  <c r="AN59" i="63"/>
  <c r="AP59" i="63" s="1"/>
  <c r="AV59" i="63" s="1"/>
  <c r="AX59" i="63" s="1"/>
  <c r="U59" i="63" s="1"/>
  <c r="W59" i="63" s="1"/>
  <c r="Y59" i="63" s="1"/>
  <c r="AN59" i="62"/>
  <c r="AP59" i="62" s="1"/>
  <c r="AV59" i="62" s="1"/>
  <c r="AX59" i="62" s="1"/>
  <c r="U59" i="62" s="1"/>
  <c r="W59" i="62" s="1"/>
  <c r="Y59" i="62" s="1"/>
  <c r="AN59" i="60"/>
  <c r="AP59" i="60" s="1"/>
  <c r="AV59" i="60" s="1"/>
  <c r="AX59" i="60" s="1"/>
  <c r="U59" i="60" s="1"/>
  <c r="AN58" i="65"/>
  <c r="AP58" i="65" s="1"/>
  <c r="AN59" i="59"/>
  <c r="AP59" i="59" s="1"/>
  <c r="AV59" i="59" s="1"/>
  <c r="AX59" i="59" s="1"/>
  <c r="U59" i="59" s="1"/>
  <c r="W59" i="59" s="1"/>
  <c r="Y59" i="59" s="1"/>
  <c r="H57" i="5"/>
  <c r="AN48" i="68" s="1"/>
  <c r="AN47" i="68"/>
  <c r="AP47" i="68" s="1"/>
  <c r="AV47" i="68" s="1"/>
  <c r="AX47" i="68" s="1"/>
  <c r="U47" i="68" s="1"/>
  <c r="W47" i="68" s="1"/>
  <c r="Y47" i="68" s="1"/>
  <c r="AN47" i="67"/>
  <c r="AP47" i="67" s="1"/>
  <c r="AV47" i="67" s="1"/>
  <c r="AN48" i="66"/>
  <c r="AP48" i="66" s="1"/>
  <c r="AV48" i="66" s="1"/>
  <c r="H58" i="5"/>
  <c r="AN61" i="31"/>
  <c r="AP61" i="31" s="1"/>
  <c r="AN59" i="58"/>
  <c r="AP59" i="58" s="1"/>
  <c r="AN60" i="57"/>
  <c r="AP60" i="57" s="1"/>
  <c r="AV47" i="48"/>
  <c r="AP58" i="48"/>
  <c r="AV48" i="50"/>
  <c r="AP58" i="50"/>
  <c r="AV47" i="49"/>
  <c r="AP58" i="49"/>
  <c r="AN47" i="43"/>
  <c r="AN47" i="42"/>
  <c r="AV47" i="47"/>
  <c r="AP58" i="47"/>
  <c r="C58" i="5"/>
  <c r="G57" i="5"/>
  <c r="AN60" i="74" s="1"/>
  <c r="AP60" i="74" s="1"/>
  <c r="AV60" i="74" s="1"/>
  <c r="AX60" i="74" s="1"/>
  <c r="U60" i="74" s="1"/>
  <c r="W60" i="74" s="1"/>
  <c r="Y60" i="74" s="1"/>
  <c r="AV42" i="21"/>
  <c r="AP47" i="21"/>
  <c r="W43" i="20"/>
  <c r="AV62" i="20"/>
  <c r="AP66" i="20"/>
  <c r="U37" i="21"/>
  <c r="AT41" i="19"/>
  <c r="BB43" i="19"/>
  <c r="BF42" i="19"/>
  <c r="AL42" i="19"/>
  <c r="AF43" i="19"/>
  <c r="AW67" i="5"/>
  <c r="AV66" i="5"/>
  <c r="AX66" i="5"/>
  <c r="AK54" i="5"/>
  <c r="AJ53" i="5"/>
  <c r="AN65" i="5"/>
  <c r="AX32" i="69" l="1"/>
  <c r="AX29" i="51"/>
  <c r="W34" i="72"/>
  <c r="AN49" i="66"/>
  <c r="AP49" i="66" s="1"/>
  <c r="AN48" i="67"/>
  <c r="AN49" i="70"/>
  <c r="AP49" i="70" s="1"/>
  <c r="AV49" i="70" s="1"/>
  <c r="AX49" i="70" s="1"/>
  <c r="U49" i="70" s="1"/>
  <c r="W49" i="70" s="1"/>
  <c r="Y49" i="70" s="1"/>
  <c r="AN60" i="63"/>
  <c r="AP60" i="63" s="1"/>
  <c r="AV60" i="63" s="1"/>
  <c r="AX60" i="63" s="1"/>
  <c r="U60" i="63" s="1"/>
  <c r="W60" i="63" s="1"/>
  <c r="Y60" i="63" s="1"/>
  <c r="AN60" i="61"/>
  <c r="AP60" i="61" s="1"/>
  <c r="AV60" i="61" s="1"/>
  <c r="AX60" i="61" s="1"/>
  <c r="U60" i="61" s="1"/>
  <c r="W60" i="61" s="1"/>
  <c r="Y60" i="61" s="1"/>
  <c r="AN60" i="62"/>
  <c r="AP60" i="62" s="1"/>
  <c r="AV60" i="62" s="1"/>
  <c r="AX60" i="62" s="1"/>
  <c r="U60" i="62" s="1"/>
  <c r="W60" i="62" s="1"/>
  <c r="Y60" i="62" s="1"/>
  <c r="AN59" i="65"/>
  <c r="AP59" i="65" s="1"/>
  <c r="AN60" i="60"/>
  <c r="AP60" i="60" s="1"/>
  <c r="AV60" i="60" s="1"/>
  <c r="AX60" i="60" s="1"/>
  <c r="U60" i="60" s="1"/>
  <c r="AN60" i="59"/>
  <c r="AP60" i="59" s="1"/>
  <c r="AV60" i="59" s="1"/>
  <c r="AX60" i="59" s="1"/>
  <c r="U60" i="59" s="1"/>
  <c r="W60" i="59" s="1"/>
  <c r="Y60" i="59" s="1"/>
  <c r="AP48" i="67"/>
  <c r="AP48" i="68"/>
  <c r="H59" i="5"/>
  <c r="AN49" i="68"/>
  <c r="AP49" i="68" s="1"/>
  <c r="AV49" i="68" s="1"/>
  <c r="AX49" i="68" s="1"/>
  <c r="U49" i="68" s="1"/>
  <c r="W49" i="68" s="1"/>
  <c r="Y49" i="68" s="1"/>
  <c r="AN49" i="67"/>
  <c r="AP49" i="67" s="1"/>
  <c r="AV49" i="67" s="1"/>
  <c r="AN50" i="66"/>
  <c r="AP50" i="66" s="1"/>
  <c r="AV50" i="66" s="1"/>
  <c r="AN62" i="31"/>
  <c r="AP62" i="31" s="1"/>
  <c r="AN60" i="58"/>
  <c r="AP60" i="58" s="1"/>
  <c r="AN61" i="57"/>
  <c r="AP61" i="57" s="1"/>
  <c r="AX47" i="49"/>
  <c r="AV58" i="49"/>
  <c r="AX47" i="48"/>
  <c r="AV58" i="48"/>
  <c r="AX48" i="50"/>
  <c r="AV58" i="50"/>
  <c r="AV58" i="47"/>
  <c r="AX47" i="47"/>
  <c r="AP47" i="42"/>
  <c r="AN58" i="42"/>
  <c r="AP47" i="43"/>
  <c r="AN58" i="43"/>
  <c r="C59" i="5"/>
  <c r="C60" i="5" s="1"/>
  <c r="C61" i="5" s="1"/>
  <c r="C62" i="5" s="1"/>
  <c r="C63" i="5" s="1"/>
  <c r="C64" i="5" s="1"/>
  <c r="C65" i="5" s="1"/>
  <c r="C66" i="5" s="1"/>
  <c r="C67" i="5" s="1"/>
  <c r="G58" i="5"/>
  <c r="AN61" i="74" s="1"/>
  <c r="AP61" i="74" s="1"/>
  <c r="AV61" i="74" s="1"/>
  <c r="AX61" i="74" s="1"/>
  <c r="U61" i="74" s="1"/>
  <c r="W61" i="74" s="1"/>
  <c r="Y61" i="74" s="1"/>
  <c r="W37" i="21"/>
  <c r="Y43" i="20"/>
  <c r="AV66" i="20"/>
  <c r="AX62" i="20"/>
  <c r="AX42" i="21"/>
  <c r="AV47" i="21"/>
  <c r="AL43" i="19"/>
  <c r="AF44" i="19"/>
  <c r="AT42" i="19"/>
  <c r="BF43" i="19"/>
  <c r="BB44" i="19"/>
  <c r="AJ54" i="5"/>
  <c r="AK55" i="5"/>
  <c r="AN66" i="5"/>
  <c r="AX67" i="5"/>
  <c r="AW68" i="5"/>
  <c r="AV67" i="5"/>
  <c r="E38" i="65" l="1"/>
  <c r="AN47" i="54"/>
  <c r="E47" i="54"/>
  <c r="E47" i="51"/>
  <c r="E68" i="65"/>
  <c r="E47" i="55"/>
  <c r="AN48" i="72"/>
  <c r="AN53" i="69"/>
  <c r="AP53" i="69" s="1"/>
  <c r="AN47" i="55"/>
  <c r="AN47" i="51"/>
  <c r="AP47" i="51" s="1"/>
  <c r="AN47" i="56"/>
  <c r="E47" i="56"/>
  <c r="AN32" i="55"/>
  <c r="AN40" i="56"/>
  <c r="E31" i="65"/>
  <c r="E38" i="56"/>
  <c r="E62" i="65"/>
  <c r="E33" i="65"/>
  <c r="AN37" i="55"/>
  <c r="E37" i="54"/>
  <c r="AN38" i="55"/>
  <c r="E45" i="56"/>
  <c r="AN40" i="51"/>
  <c r="AN52" i="69"/>
  <c r="AP52" i="69" s="1"/>
  <c r="AV52" i="69" s="1"/>
  <c r="AX52" i="69" s="1"/>
  <c r="U52" i="69" s="1"/>
  <c r="AN45" i="56"/>
  <c r="AN36" i="65"/>
  <c r="E42" i="55"/>
  <c r="AN31" i="54"/>
  <c r="E44" i="65"/>
  <c r="E40" i="51"/>
  <c r="AN41" i="56"/>
  <c r="AN46" i="56"/>
  <c r="AN33" i="65"/>
  <c r="E29" i="54"/>
  <c r="M29" i="54" s="1"/>
  <c r="AN48" i="69"/>
  <c r="AP48" i="69" s="1"/>
  <c r="AV48" i="69" s="1"/>
  <c r="AX48" i="69" s="1"/>
  <c r="U48" i="69" s="1"/>
  <c r="AN42" i="51"/>
  <c r="AN44" i="73"/>
  <c r="AP44" i="73" s="1"/>
  <c r="AV44" i="73" s="1"/>
  <c r="AX44" i="73" s="1"/>
  <c r="U44" i="73" s="1"/>
  <c r="W44" i="73" s="1"/>
  <c r="Y44" i="73" s="1"/>
  <c r="E35" i="51"/>
  <c r="AN40" i="72"/>
  <c r="AP40" i="72" s="1"/>
  <c r="AV40" i="72" s="1"/>
  <c r="AX40" i="72" s="1"/>
  <c r="U40" i="72" s="1"/>
  <c r="W40" i="72" s="1"/>
  <c r="Y40" i="72" s="1"/>
  <c r="E37" i="51"/>
  <c r="AN42" i="55"/>
  <c r="AP42" i="55" s="1"/>
  <c r="E40" i="55"/>
  <c r="E53" i="65"/>
  <c r="E36" i="54"/>
  <c r="E39" i="56"/>
  <c r="E32" i="51"/>
  <c r="AN35" i="51"/>
  <c r="E61" i="65"/>
  <c r="E52" i="65"/>
  <c r="AN38" i="69"/>
  <c r="AP38" i="69" s="1"/>
  <c r="AV38" i="69" s="1"/>
  <c r="AX38" i="69" s="1"/>
  <c r="U38" i="69" s="1"/>
  <c r="E58" i="65"/>
  <c r="AN43" i="51"/>
  <c r="AN33" i="51"/>
  <c r="AN35" i="69"/>
  <c r="AP35" i="69" s="1"/>
  <c r="AV35" i="69" s="1"/>
  <c r="AX35" i="69" s="1"/>
  <c r="U35" i="69" s="1"/>
  <c r="E34" i="65"/>
  <c r="AN38" i="54"/>
  <c r="AN39" i="69"/>
  <c r="AP39" i="69" s="1"/>
  <c r="AV39" i="69" s="1"/>
  <c r="AX39" i="69" s="1"/>
  <c r="U39" i="69" s="1"/>
  <c r="E30" i="55"/>
  <c r="E33" i="51"/>
  <c r="E36" i="55"/>
  <c r="AN36" i="72"/>
  <c r="AP36" i="72" s="1"/>
  <c r="AV36" i="72" s="1"/>
  <c r="AX36" i="72" s="1"/>
  <c r="U36" i="72" s="1"/>
  <c r="W36" i="72" s="1"/>
  <c r="Y36" i="72" s="1"/>
  <c r="E46" i="56"/>
  <c r="AN35" i="54"/>
  <c r="E51" i="65"/>
  <c r="AN30" i="65"/>
  <c r="AN31" i="56"/>
  <c r="AN32" i="56"/>
  <c r="E47" i="65"/>
  <c r="AN34" i="69"/>
  <c r="AP34" i="69" s="1"/>
  <c r="AV34" i="69" s="1"/>
  <c r="AX34" i="69" s="1"/>
  <c r="U34" i="69" s="1"/>
  <c r="AN36" i="54"/>
  <c r="AN32" i="65"/>
  <c r="AN45" i="51"/>
  <c r="E57" i="65"/>
  <c r="AN36" i="56"/>
  <c r="E31" i="56"/>
  <c r="AN28" i="75"/>
  <c r="E44" i="55"/>
  <c r="E28" i="56"/>
  <c r="AN35" i="55"/>
  <c r="E46" i="55"/>
  <c r="E35" i="55"/>
  <c r="AN42" i="72"/>
  <c r="AP42" i="72" s="1"/>
  <c r="AV42" i="72" s="1"/>
  <c r="AX42" i="72" s="1"/>
  <c r="U42" i="72" s="1"/>
  <c r="W42" i="72" s="1"/>
  <c r="Y42" i="72" s="1"/>
  <c r="E46" i="54"/>
  <c r="E30" i="51"/>
  <c r="AN49" i="69"/>
  <c r="AP49" i="69" s="1"/>
  <c r="AV49" i="69" s="1"/>
  <c r="AX49" i="69" s="1"/>
  <c r="U49" i="69" s="1"/>
  <c r="E28" i="54"/>
  <c r="AN32" i="54"/>
  <c r="E34" i="54"/>
  <c r="AN45" i="55"/>
  <c r="E33" i="55"/>
  <c r="AN43" i="69"/>
  <c r="AP43" i="69" s="1"/>
  <c r="AV43" i="69" s="1"/>
  <c r="AX43" i="69" s="1"/>
  <c r="U43" i="69" s="1"/>
  <c r="E30" i="65"/>
  <c r="E46" i="51"/>
  <c r="AN40" i="54"/>
  <c r="E28" i="55"/>
  <c r="AN37" i="65"/>
  <c r="E49" i="65"/>
  <c r="AN34" i="56"/>
  <c r="E40" i="54"/>
  <c r="AN34" i="65"/>
  <c r="AP34" i="65" s="1"/>
  <c r="AN44" i="72"/>
  <c r="AP44" i="72" s="1"/>
  <c r="AV44" i="72" s="1"/>
  <c r="AX44" i="72" s="1"/>
  <c r="U44" i="72" s="1"/>
  <c r="W44" i="72" s="1"/>
  <c r="Y44" i="72" s="1"/>
  <c r="AN42" i="56"/>
  <c r="AN44" i="69"/>
  <c r="AP44" i="69" s="1"/>
  <c r="AV44" i="69" s="1"/>
  <c r="AX44" i="69" s="1"/>
  <c r="U44" i="69" s="1"/>
  <c r="AN34" i="54"/>
  <c r="AN36" i="69"/>
  <c r="AP36" i="69" s="1"/>
  <c r="AV36" i="69" s="1"/>
  <c r="AX36" i="69" s="1"/>
  <c r="U36" i="69" s="1"/>
  <c r="AN44" i="55"/>
  <c r="E31" i="51"/>
  <c r="E63" i="65"/>
  <c r="AN40" i="69"/>
  <c r="AP40" i="69" s="1"/>
  <c r="AV40" i="69" s="1"/>
  <c r="AX40" i="69" s="1"/>
  <c r="U40" i="69" s="1"/>
  <c r="AN44" i="54"/>
  <c r="E35" i="65"/>
  <c r="E42" i="54"/>
  <c r="E54" i="65"/>
  <c r="AN46" i="55"/>
  <c r="AP46" i="55" s="1"/>
  <c r="E50" i="65"/>
  <c r="AN45" i="54"/>
  <c r="E41" i="51"/>
  <c r="E30" i="56"/>
  <c r="E33" i="54"/>
  <c r="E41" i="56"/>
  <c r="AN30" i="56"/>
  <c r="AP30" i="56" s="1"/>
  <c r="AN35" i="65"/>
  <c r="AN37" i="51"/>
  <c r="AP37" i="51" s="1"/>
  <c r="AN34" i="55"/>
  <c r="AN35" i="56"/>
  <c r="AN43" i="72"/>
  <c r="AP43" i="72" s="1"/>
  <c r="AV43" i="72" s="1"/>
  <c r="AX43" i="72" s="1"/>
  <c r="U43" i="72" s="1"/>
  <c r="W43" i="72" s="1"/>
  <c r="Y43" i="72" s="1"/>
  <c r="E45" i="51"/>
  <c r="AN31" i="51"/>
  <c r="E42" i="51"/>
  <c r="AN43" i="73"/>
  <c r="AP43" i="73" s="1"/>
  <c r="AV43" i="73" s="1"/>
  <c r="AX43" i="73" s="1"/>
  <c r="U43" i="73" s="1"/>
  <c r="W43" i="73" s="1"/>
  <c r="Y43" i="73" s="1"/>
  <c r="E39" i="54"/>
  <c r="AN28" i="56"/>
  <c r="E32" i="55"/>
  <c r="E44" i="56"/>
  <c r="AN39" i="55"/>
  <c r="AN28" i="54"/>
  <c r="E30" i="54"/>
  <c r="AN51" i="69"/>
  <c r="AP51" i="69" s="1"/>
  <c r="AV51" i="69" s="1"/>
  <c r="AX51" i="69" s="1"/>
  <c r="U51" i="69" s="1"/>
  <c r="AN46" i="73"/>
  <c r="AP46" i="73" s="1"/>
  <c r="AV46" i="73" s="1"/>
  <c r="AX46" i="73" s="1"/>
  <c r="U46" i="73" s="1"/>
  <c r="W46" i="73" s="1"/>
  <c r="Y46" i="73" s="1"/>
  <c r="AN42" i="69"/>
  <c r="AP42" i="69" s="1"/>
  <c r="AV42" i="69" s="1"/>
  <c r="AX42" i="69" s="1"/>
  <c r="U42" i="69" s="1"/>
  <c r="AN37" i="54"/>
  <c r="E67" i="65"/>
  <c r="E60" i="65"/>
  <c r="E45" i="54"/>
  <c r="AN33" i="69"/>
  <c r="AN42" i="54"/>
  <c r="AN37" i="56"/>
  <c r="E33" i="56"/>
  <c r="E64" i="65"/>
  <c r="AN36" i="51"/>
  <c r="E32" i="65"/>
  <c r="E32" i="56"/>
  <c r="AN41" i="54"/>
  <c r="AN33" i="56"/>
  <c r="AP33" i="56" s="1"/>
  <c r="AN46" i="54"/>
  <c r="AP46" i="54" s="1"/>
  <c r="E36" i="65"/>
  <c r="E41" i="54"/>
  <c r="E46" i="65"/>
  <c r="E43" i="56"/>
  <c r="AN28" i="55"/>
  <c r="AN35" i="72"/>
  <c r="AP35" i="72" s="1"/>
  <c r="AN31" i="65"/>
  <c r="AP31" i="65" s="1"/>
  <c r="AN33" i="55"/>
  <c r="AP33" i="55" s="1"/>
  <c r="AN37" i="69"/>
  <c r="AP37" i="69" s="1"/>
  <c r="AV37" i="69" s="1"/>
  <c r="AX37" i="69" s="1"/>
  <c r="U37" i="69" s="1"/>
  <c r="AN45" i="69"/>
  <c r="AP45" i="69" s="1"/>
  <c r="AV45" i="69" s="1"/>
  <c r="AX45" i="69" s="1"/>
  <c r="U45" i="69" s="1"/>
  <c r="AN30" i="55"/>
  <c r="AP30" i="55" s="1"/>
  <c r="E34" i="55"/>
  <c r="E43" i="51"/>
  <c r="E34" i="56"/>
  <c r="E31" i="54"/>
  <c r="AN40" i="73"/>
  <c r="AP40" i="73" s="1"/>
  <c r="AV40" i="73" s="1"/>
  <c r="AX40" i="73" s="1"/>
  <c r="U40" i="73" s="1"/>
  <c r="W40" i="73" s="1"/>
  <c r="Y40" i="73" s="1"/>
  <c r="AN41" i="72"/>
  <c r="AP41" i="72" s="1"/>
  <c r="AV41" i="72" s="1"/>
  <c r="AX41" i="72" s="1"/>
  <c r="U41" i="72" s="1"/>
  <c r="W41" i="72" s="1"/>
  <c r="Y41" i="72" s="1"/>
  <c r="E38" i="51"/>
  <c r="E48" i="65"/>
  <c r="M48" i="65" s="1"/>
  <c r="S48" i="65" s="1"/>
  <c r="E40" i="65"/>
  <c r="AN38" i="72"/>
  <c r="AP38" i="72" s="1"/>
  <c r="AV38" i="72" s="1"/>
  <c r="AX38" i="72" s="1"/>
  <c r="U38" i="72" s="1"/>
  <c r="W38" i="72" s="1"/>
  <c r="Y38" i="72" s="1"/>
  <c r="E29" i="55"/>
  <c r="M29" i="55" s="1"/>
  <c r="E55" i="65"/>
  <c r="AN39" i="54"/>
  <c r="E38" i="55"/>
  <c r="E40" i="56"/>
  <c r="E37" i="55"/>
  <c r="E43" i="54"/>
  <c r="E44" i="51"/>
  <c r="E39" i="55"/>
  <c r="AN44" i="51"/>
  <c r="AP44" i="51" s="1"/>
  <c r="AN48" i="73"/>
  <c r="AN45" i="73"/>
  <c r="AP45" i="73" s="1"/>
  <c r="AV45" i="73" s="1"/>
  <c r="AX45" i="73" s="1"/>
  <c r="U45" i="73" s="1"/>
  <c r="W45" i="73" s="1"/>
  <c r="Y45" i="73" s="1"/>
  <c r="AN34" i="51"/>
  <c r="E36" i="56"/>
  <c r="AN47" i="69"/>
  <c r="AP47" i="69" s="1"/>
  <c r="AV47" i="69" s="1"/>
  <c r="AX47" i="69" s="1"/>
  <c r="U47" i="69" s="1"/>
  <c r="AN33" i="54"/>
  <c r="AP33" i="54" s="1"/>
  <c r="E43" i="65"/>
  <c r="AN47" i="73"/>
  <c r="AP47" i="73" s="1"/>
  <c r="AV47" i="73" s="1"/>
  <c r="AX47" i="73" s="1"/>
  <c r="U47" i="73" s="1"/>
  <c r="W47" i="73" s="1"/>
  <c r="Y47" i="73" s="1"/>
  <c r="E59" i="65"/>
  <c r="AN43" i="55"/>
  <c r="E39" i="51"/>
  <c r="AN46" i="51"/>
  <c r="E66" i="65"/>
  <c r="AN39" i="73"/>
  <c r="AP39" i="73" s="1"/>
  <c r="E29" i="56"/>
  <c r="M29" i="56" s="1"/>
  <c r="AN40" i="55"/>
  <c r="AP40" i="55" s="1"/>
  <c r="AN41" i="69"/>
  <c r="AP41" i="69" s="1"/>
  <c r="AV41" i="69" s="1"/>
  <c r="AX41" i="69" s="1"/>
  <c r="U41" i="69" s="1"/>
  <c r="E65" i="65"/>
  <c r="AN45" i="72"/>
  <c r="AP45" i="72" s="1"/>
  <c r="AV45" i="72" s="1"/>
  <c r="AX45" i="72" s="1"/>
  <c r="U45" i="72" s="1"/>
  <c r="W45" i="72" s="1"/>
  <c r="Y45" i="72" s="1"/>
  <c r="AN30" i="51"/>
  <c r="AN50" i="69"/>
  <c r="AP50" i="69" s="1"/>
  <c r="AV50" i="69" s="1"/>
  <c r="AX50" i="69" s="1"/>
  <c r="U50" i="69" s="1"/>
  <c r="AN30" i="54"/>
  <c r="E35" i="54"/>
  <c r="E42" i="56"/>
  <c r="AN42" i="73"/>
  <c r="AP42" i="73" s="1"/>
  <c r="AV42" i="73" s="1"/>
  <c r="AX42" i="73" s="1"/>
  <c r="U42" i="73" s="1"/>
  <c r="W42" i="73" s="1"/>
  <c r="Y42" i="73" s="1"/>
  <c r="AN39" i="56"/>
  <c r="E36" i="51"/>
  <c r="AN41" i="55"/>
  <c r="AN29" i="54"/>
  <c r="AP29" i="54" s="1"/>
  <c r="AN39" i="51"/>
  <c r="E41" i="65"/>
  <c r="E42" i="65"/>
  <c r="E31" i="55"/>
  <c r="E35" i="56"/>
  <c r="AN36" i="55"/>
  <c r="AP36" i="55" s="1"/>
  <c r="AN31" i="55"/>
  <c r="AN41" i="51"/>
  <c r="AN39" i="72"/>
  <c r="AP39" i="72" s="1"/>
  <c r="AV39" i="72" s="1"/>
  <c r="AX39" i="72" s="1"/>
  <c r="U39" i="72" s="1"/>
  <c r="W39" i="72" s="1"/>
  <c r="Y39" i="72" s="1"/>
  <c r="E56" i="65"/>
  <c r="E34" i="51"/>
  <c r="E37" i="56"/>
  <c r="AN32" i="51"/>
  <c r="AP32" i="51" s="1"/>
  <c r="AN37" i="72"/>
  <c r="AP37" i="72" s="1"/>
  <c r="AV37" i="72" s="1"/>
  <c r="AX37" i="72" s="1"/>
  <c r="U37" i="72" s="1"/>
  <c r="W37" i="72" s="1"/>
  <c r="Y37" i="72" s="1"/>
  <c r="E43" i="55"/>
  <c r="AN38" i="51"/>
  <c r="AN29" i="56"/>
  <c r="AP29" i="56" s="1"/>
  <c r="AN41" i="73"/>
  <c r="AP41" i="73" s="1"/>
  <c r="AV41" i="73" s="1"/>
  <c r="AX41" i="73" s="1"/>
  <c r="U41" i="73" s="1"/>
  <c r="W41" i="73" s="1"/>
  <c r="Y41" i="73" s="1"/>
  <c r="AN46" i="72"/>
  <c r="AP46" i="72" s="1"/>
  <c r="AV46" i="72" s="1"/>
  <c r="AX46" i="72" s="1"/>
  <c r="U46" i="72" s="1"/>
  <c r="W46" i="72" s="1"/>
  <c r="Y46" i="72" s="1"/>
  <c r="E37" i="65"/>
  <c r="E39" i="65"/>
  <c r="E44" i="54"/>
  <c r="AN29" i="55"/>
  <c r="AP29" i="55" s="1"/>
  <c r="AN29" i="75"/>
  <c r="AN44" i="56"/>
  <c r="AP44" i="56" s="1"/>
  <c r="E38" i="54"/>
  <c r="E32" i="54"/>
  <c r="AN47" i="72"/>
  <c r="AP47" i="72" s="1"/>
  <c r="AV47" i="72" s="1"/>
  <c r="AX47" i="72" s="1"/>
  <c r="U47" i="72" s="1"/>
  <c r="W47" i="72" s="1"/>
  <c r="Y47" i="72" s="1"/>
  <c r="AN38" i="56"/>
  <c r="AP38" i="56" s="1"/>
  <c r="E45" i="55"/>
  <c r="E45" i="65"/>
  <c r="E41" i="55"/>
  <c r="AN43" i="56"/>
  <c r="AN46" i="69"/>
  <c r="AP46" i="69" s="1"/>
  <c r="AV46" i="69" s="1"/>
  <c r="AX46" i="69" s="1"/>
  <c r="U46" i="69" s="1"/>
  <c r="AN43" i="54"/>
  <c r="U29" i="51"/>
  <c r="Y34" i="72"/>
  <c r="U32" i="69"/>
  <c r="AN50" i="70"/>
  <c r="AP50" i="70" s="1"/>
  <c r="AV50" i="70" s="1"/>
  <c r="AX50" i="70" s="1"/>
  <c r="U50" i="70" s="1"/>
  <c r="W50" i="70" s="1"/>
  <c r="Y50" i="70" s="1"/>
  <c r="AN61" i="61"/>
  <c r="AP61" i="61" s="1"/>
  <c r="AV61" i="61" s="1"/>
  <c r="AX61" i="61" s="1"/>
  <c r="U61" i="61" s="1"/>
  <c r="W61" i="61" s="1"/>
  <c r="Y61" i="61" s="1"/>
  <c r="AN61" i="63"/>
  <c r="AP61" i="63" s="1"/>
  <c r="AV61" i="63" s="1"/>
  <c r="AX61" i="63" s="1"/>
  <c r="U61" i="63" s="1"/>
  <c r="W61" i="63" s="1"/>
  <c r="Y61" i="63" s="1"/>
  <c r="AN60" i="65"/>
  <c r="AP60" i="65" s="1"/>
  <c r="AN61" i="60"/>
  <c r="AP61" i="60" s="1"/>
  <c r="AV61" i="60" s="1"/>
  <c r="AX61" i="60" s="1"/>
  <c r="U61" i="60" s="1"/>
  <c r="AN61" i="62"/>
  <c r="AP61" i="62" s="1"/>
  <c r="AV61" i="62" s="1"/>
  <c r="AX61" i="62" s="1"/>
  <c r="U61" i="62" s="1"/>
  <c r="W61" i="62" s="1"/>
  <c r="Y61" i="62" s="1"/>
  <c r="AN61" i="59"/>
  <c r="AP61" i="59" s="1"/>
  <c r="AV61" i="59" s="1"/>
  <c r="AX61" i="59" s="1"/>
  <c r="U61" i="59" s="1"/>
  <c r="W61" i="59" s="1"/>
  <c r="Y61" i="59" s="1"/>
  <c r="H60" i="5"/>
  <c r="AN50" i="68"/>
  <c r="AP50" i="68" s="1"/>
  <c r="AV50" i="68" s="1"/>
  <c r="AX50" i="68" s="1"/>
  <c r="U50" i="68" s="1"/>
  <c r="W50" i="68" s="1"/>
  <c r="Y50" i="68" s="1"/>
  <c r="AN50" i="67"/>
  <c r="AN51" i="66"/>
  <c r="AP51" i="66" s="1"/>
  <c r="AV51" i="66" s="1"/>
  <c r="AV48" i="68"/>
  <c r="AX48" i="68" s="1"/>
  <c r="AV49" i="66"/>
  <c r="AV48" i="67"/>
  <c r="AN61" i="58"/>
  <c r="AP61" i="58" s="1"/>
  <c r="AN62" i="57"/>
  <c r="AP62" i="57" s="1"/>
  <c r="G59" i="5"/>
  <c r="G60" i="5" s="1"/>
  <c r="AN63" i="74" s="1"/>
  <c r="AP63" i="74" s="1"/>
  <c r="AV63" i="74" s="1"/>
  <c r="AX63" i="74" s="1"/>
  <c r="U63" i="74" s="1"/>
  <c r="W63" i="74" s="1"/>
  <c r="Y63" i="74" s="1"/>
  <c r="AN63" i="31"/>
  <c r="AP63" i="31" s="1"/>
  <c r="U47" i="48"/>
  <c r="AX58" i="48"/>
  <c r="U48" i="50"/>
  <c r="AX58" i="50"/>
  <c r="U47" i="49"/>
  <c r="AX58" i="49"/>
  <c r="AV47" i="42"/>
  <c r="AP58" i="42"/>
  <c r="U47" i="47"/>
  <c r="AX58" i="47"/>
  <c r="AV47" i="43"/>
  <c r="AP58" i="43"/>
  <c r="AN30" i="40"/>
  <c r="AP30" i="40" s="1"/>
  <c r="E47" i="40"/>
  <c r="E46" i="40"/>
  <c r="E38" i="40"/>
  <c r="AN35" i="40"/>
  <c r="AN47" i="40"/>
  <c r="E36" i="40"/>
  <c r="E32" i="40"/>
  <c r="AN42" i="40"/>
  <c r="AN45" i="40"/>
  <c r="AN43" i="40"/>
  <c r="E34" i="40"/>
  <c r="AN33" i="40"/>
  <c r="AN37" i="40"/>
  <c r="AN39" i="40"/>
  <c r="E42" i="40"/>
  <c r="E35" i="40"/>
  <c r="E39" i="40"/>
  <c r="AN44" i="40"/>
  <c r="E33" i="40"/>
  <c r="AN36" i="40"/>
  <c r="E45" i="40"/>
  <c r="AN46" i="40"/>
  <c r="E41" i="40"/>
  <c r="AN41" i="40"/>
  <c r="E44" i="40"/>
  <c r="E40" i="40"/>
  <c r="AN34" i="40"/>
  <c r="E37" i="40"/>
  <c r="E43" i="40"/>
  <c r="AN40" i="40"/>
  <c r="AN38" i="40"/>
  <c r="AP38" i="40" s="1"/>
  <c r="AN32" i="40"/>
  <c r="AN64" i="24"/>
  <c r="AP64" i="24" s="1"/>
  <c r="AN62" i="24"/>
  <c r="AP62" i="24" s="1"/>
  <c r="AN63" i="24"/>
  <c r="AP63" i="24" s="1"/>
  <c r="AN60" i="24"/>
  <c r="AP60" i="24" s="1"/>
  <c r="AN61" i="24"/>
  <c r="AP61" i="24" s="1"/>
  <c r="U42" i="21"/>
  <c r="AX47" i="21"/>
  <c r="U62" i="20"/>
  <c r="AX66" i="20"/>
  <c r="Y37" i="21"/>
  <c r="AF45" i="19"/>
  <c r="AL44" i="19"/>
  <c r="BF44" i="19"/>
  <c r="BB45" i="19"/>
  <c r="AT43" i="19"/>
  <c r="AW70" i="5"/>
  <c r="AV68" i="5"/>
  <c r="AN68" i="5"/>
  <c r="AX68" i="5"/>
  <c r="AK56" i="5"/>
  <c r="AJ55" i="5"/>
  <c r="AN67" i="5"/>
  <c r="AP29" i="75" l="1"/>
  <c r="AN59" i="75"/>
  <c r="AP31" i="55"/>
  <c r="AP40" i="40"/>
  <c r="AP43" i="54"/>
  <c r="AP38" i="51"/>
  <c r="AP46" i="51"/>
  <c r="AP44" i="55"/>
  <c r="AP35" i="51"/>
  <c r="AP39" i="56"/>
  <c r="AP39" i="54"/>
  <c r="AP37" i="54"/>
  <c r="AP35" i="65"/>
  <c r="AP36" i="54"/>
  <c r="AP33" i="65"/>
  <c r="AP43" i="56"/>
  <c r="AP45" i="56"/>
  <c r="AP47" i="55"/>
  <c r="AP39" i="55"/>
  <c r="AP31" i="51"/>
  <c r="AP47" i="56"/>
  <c r="AP30" i="54"/>
  <c r="AP34" i="54"/>
  <c r="AP44" i="54"/>
  <c r="AP32" i="54"/>
  <c r="AP28" i="75"/>
  <c r="AP36" i="56"/>
  <c r="AP32" i="65"/>
  <c r="AP35" i="54"/>
  <c r="AP38" i="54"/>
  <c r="AP43" i="51"/>
  <c r="AP31" i="54"/>
  <c r="AP38" i="55"/>
  <c r="AP37" i="55"/>
  <c r="AF39" i="65"/>
  <c r="AR39" i="65"/>
  <c r="AH39" i="65"/>
  <c r="AH40" i="65" s="1"/>
  <c r="AH41" i="65" s="1"/>
  <c r="AH42" i="65" s="1"/>
  <c r="AH43" i="65" s="1"/>
  <c r="AH44" i="65" s="1"/>
  <c r="AH45" i="65" s="1"/>
  <c r="AH46" i="65" s="1"/>
  <c r="AH47" i="65" s="1"/>
  <c r="AH48" i="65" s="1"/>
  <c r="AH49" i="65" s="1"/>
  <c r="AH50" i="65" s="1"/>
  <c r="AH51" i="65" s="1"/>
  <c r="AH52" i="65" s="1"/>
  <c r="AH53" i="65" s="1"/>
  <c r="AH54" i="65" s="1"/>
  <c r="AH55" i="65" s="1"/>
  <c r="AH56" i="65" s="1"/>
  <c r="AH57" i="65" s="1"/>
  <c r="AH58" i="65" s="1"/>
  <c r="AH59" i="65" s="1"/>
  <c r="AH60" i="65" s="1"/>
  <c r="AH61" i="65" s="1"/>
  <c r="AH62" i="65" s="1"/>
  <c r="AH63" i="65" s="1"/>
  <c r="AH64" i="65" s="1"/>
  <c r="AH65" i="65" s="1"/>
  <c r="AH66" i="65" s="1"/>
  <c r="AH67" i="65" s="1"/>
  <c r="AH68" i="65" s="1"/>
  <c r="AJ39" i="65"/>
  <c r="AJ40" i="65" s="1"/>
  <c r="AJ41" i="65" s="1"/>
  <c r="AJ42" i="65" s="1"/>
  <c r="AJ43" i="65" s="1"/>
  <c r="AJ44" i="65" s="1"/>
  <c r="AJ45" i="65" s="1"/>
  <c r="AJ46" i="65" s="1"/>
  <c r="AJ47" i="65" s="1"/>
  <c r="AJ48" i="65" s="1"/>
  <c r="AJ49" i="65" s="1"/>
  <c r="AJ50" i="65" s="1"/>
  <c r="AJ51" i="65" s="1"/>
  <c r="AJ52" i="65" s="1"/>
  <c r="AJ53" i="65" s="1"/>
  <c r="AJ54" i="65" s="1"/>
  <c r="AJ55" i="65" s="1"/>
  <c r="AJ56" i="65" s="1"/>
  <c r="AJ57" i="65" s="1"/>
  <c r="AJ58" i="65" s="1"/>
  <c r="AJ59" i="65" s="1"/>
  <c r="AJ60" i="65" s="1"/>
  <c r="AJ61" i="65" s="1"/>
  <c r="AJ62" i="65" s="1"/>
  <c r="AJ63" i="65" s="1"/>
  <c r="AJ64" i="65" s="1"/>
  <c r="AJ65" i="65" s="1"/>
  <c r="AJ66" i="65" s="1"/>
  <c r="AJ67" i="65" s="1"/>
  <c r="AJ68" i="65" s="1"/>
  <c r="M30" i="56"/>
  <c r="M31" i="56" s="1"/>
  <c r="M32" i="56" s="1"/>
  <c r="M33" i="56" s="1"/>
  <c r="M34" i="56" s="1"/>
  <c r="M35" i="56" s="1"/>
  <c r="M36" i="56" s="1"/>
  <c r="M37" i="56" s="1"/>
  <c r="M38" i="56" s="1"/>
  <c r="M39" i="56" s="1"/>
  <c r="M40" i="56" s="1"/>
  <c r="M41" i="56" s="1"/>
  <c r="M42" i="56" s="1"/>
  <c r="M43" i="56" s="1"/>
  <c r="M44" i="56" s="1"/>
  <c r="M45" i="56" s="1"/>
  <c r="M46" i="56" s="1"/>
  <c r="AP28" i="56"/>
  <c r="AN58" i="56"/>
  <c r="I28" i="56"/>
  <c r="BB28" i="56"/>
  <c r="BD28" i="56"/>
  <c r="AJ28" i="56"/>
  <c r="AF28" i="56"/>
  <c r="AH28" i="56"/>
  <c r="AR28" i="56"/>
  <c r="W29" i="51"/>
  <c r="AP41" i="51"/>
  <c r="AP39" i="51"/>
  <c r="AP43" i="55"/>
  <c r="AP35" i="56"/>
  <c r="AP45" i="54"/>
  <c r="AP40" i="54"/>
  <c r="I28" i="54"/>
  <c r="BB28" i="54"/>
  <c r="AJ28" i="54"/>
  <c r="AF28" i="54"/>
  <c r="AH28" i="54"/>
  <c r="BD28" i="54"/>
  <c r="AR28" i="54"/>
  <c r="M30" i="51"/>
  <c r="M31" i="51" s="1"/>
  <c r="M32" i="51" s="1"/>
  <c r="M33" i="51" s="1"/>
  <c r="M34" i="51" s="1"/>
  <c r="M35" i="51" s="1"/>
  <c r="M36" i="51" s="1"/>
  <c r="M37" i="51" s="1"/>
  <c r="M38" i="51" s="1"/>
  <c r="M39" i="51" s="1"/>
  <c r="M40" i="51" s="1"/>
  <c r="M41" i="51" s="1"/>
  <c r="M42" i="51" s="1"/>
  <c r="M43" i="51" s="1"/>
  <c r="M44" i="51" s="1"/>
  <c r="M45" i="51" s="1"/>
  <c r="M46" i="51" s="1"/>
  <c r="M58" i="51" s="1"/>
  <c r="AR30" i="51"/>
  <c r="AH30" i="51"/>
  <c r="AH31" i="51" s="1"/>
  <c r="AH32" i="51" s="1"/>
  <c r="AH33" i="51" s="1"/>
  <c r="AH34" i="51" s="1"/>
  <c r="AH35" i="51" s="1"/>
  <c r="AH36" i="51" s="1"/>
  <c r="AH37" i="51" s="1"/>
  <c r="AH38" i="51" s="1"/>
  <c r="AH39" i="51" s="1"/>
  <c r="AH40" i="51" s="1"/>
  <c r="AH41" i="51" s="1"/>
  <c r="AH42" i="51" s="1"/>
  <c r="AH43" i="51" s="1"/>
  <c r="AH44" i="51" s="1"/>
  <c r="AH45" i="51" s="1"/>
  <c r="AH46" i="51" s="1"/>
  <c r="AH47" i="51" s="1"/>
  <c r="AH58" i="51" s="1"/>
  <c r="AJ30" i="51"/>
  <c r="AJ31" i="51" s="1"/>
  <c r="AJ32" i="51" s="1"/>
  <c r="AJ33" i="51" s="1"/>
  <c r="AJ34" i="51" s="1"/>
  <c r="AJ35" i="51" s="1"/>
  <c r="AJ36" i="51" s="1"/>
  <c r="AJ37" i="51" s="1"/>
  <c r="AJ38" i="51" s="1"/>
  <c r="AJ39" i="51" s="1"/>
  <c r="AJ40" i="51" s="1"/>
  <c r="AJ41" i="51" s="1"/>
  <c r="AJ42" i="51" s="1"/>
  <c r="AJ43" i="51" s="1"/>
  <c r="AJ44" i="51" s="1"/>
  <c r="AJ45" i="51" s="1"/>
  <c r="AJ46" i="51" s="1"/>
  <c r="AJ47" i="51" s="1"/>
  <c r="AJ58" i="51" s="1"/>
  <c r="BD30" i="51"/>
  <c r="BB30" i="51"/>
  <c r="AF30" i="51"/>
  <c r="I30" i="51"/>
  <c r="AP30" i="65"/>
  <c r="M30" i="55"/>
  <c r="M31" i="55" s="1"/>
  <c r="M32" i="55" s="1"/>
  <c r="M33" i="55" s="1"/>
  <c r="M34" i="55" s="1"/>
  <c r="M35" i="55" s="1"/>
  <c r="M36" i="55" s="1"/>
  <c r="M37" i="55" s="1"/>
  <c r="M38" i="55" s="1"/>
  <c r="M39" i="55" s="1"/>
  <c r="M40" i="55" s="1"/>
  <c r="M41" i="55" s="1"/>
  <c r="M42" i="55" s="1"/>
  <c r="M43" i="55" s="1"/>
  <c r="M44" i="55" s="1"/>
  <c r="M45" i="55" s="1"/>
  <c r="M46" i="55" s="1"/>
  <c r="M30" i="54"/>
  <c r="M31" i="54" s="1"/>
  <c r="M32" i="54" s="1"/>
  <c r="M33" i="54" s="1"/>
  <c r="M34" i="54" s="1"/>
  <c r="M35" i="54" s="1"/>
  <c r="M36" i="54" s="1"/>
  <c r="M37" i="54" s="1"/>
  <c r="M38" i="54" s="1"/>
  <c r="M39" i="54" s="1"/>
  <c r="M40" i="54" s="1"/>
  <c r="M41" i="54" s="1"/>
  <c r="M42" i="54" s="1"/>
  <c r="M43" i="54" s="1"/>
  <c r="M44" i="54" s="1"/>
  <c r="M45" i="54" s="1"/>
  <c r="M46" i="54" s="1"/>
  <c r="AV53" i="69"/>
  <c r="AX53" i="69" s="1"/>
  <c r="U53" i="69" s="1"/>
  <c r="I28" i="55"/>
  <c r="BB28" i="55"/>
  <c r="BD28" i="55"/>
  <c r="AH28" i="55"/>
  <c r="AF28" i="55"/>
  <c r="AJ28" i="55"/>
  <c r="AR28" i="55"/>
  <c r="AP41" i="55"/>
  <c r="AP34" i="51"/>
  <c r="AV35" i="72"/>
  <c r="AP37" i="56"/>
  <c r="AP34" i="55"/>
  <c r="AP42" i="56"/>
  <c r="AP37" i="65"/>
  <c r="AP45" i="55"/>
  <c r="AP32" i="56"/>
  <c r="AP42" i="51"/>
  <c r="AP40" i="51"/>
  <c r="AP40" i="56"/>
  <c r="AP48" i="72"/>
  <c r="AV48" i="72" s="1"/>
  <c r="AX48" i="72" s="1"/>
  <c r="U48" i="72" s="1"/>
  <c r="W48" i="72" s="1"/>
  <c r="Y48" i="72" s="1"/>
  <c r="AN50" i="72"/>
  <c r="AP47" i="54"/>
  <c r="AP48" i="73"/>
  <c r="AV48" i="73" s="1"/>
  <c r="AX48" i="73" s="1"/>
  <c r="U48" i="73" s="1"/>
  <c r="W48" i="73" s="1"/>
  <c r="Y48" i="73" s="1"/>
  <c r="AN52" i="73"/>
  <c r="AP33" i="69"/>
  <c r="AV33" i="69" s="1"/>
  <c r="AN64" i="69"/>
  <c r="M49" i="65"/>
  <c r="S49" i="65" s="1"/>
  <c r="AP30" i="51"/>
  <c r="AN58" i="51"/>
  <c r="AV39" i="73"/>
  <c r="AP28" i="55"/>
  <c r="AN58" i="55"/>
  <c r="AP41" i="54"/>
  <c r="AP36" i="51"/>
  <c r="AP42" i="54"/>
  <c r="AP28" i="54"/>
  <c r="AN58" i="54"/>
  <c r="AP34" i="56"/>
  <c r="M30" i="65"/>
  <c r="AR30" i="65"/>
  <c r="K30" i="65"/>
  <c r="AF30" i="65"/>
  <c r="BB30" i="65"/>
  <c r="AH30" i="65"/>
  <c r="AJ30" i="65"/>
  <c r="BD30" i="65"/>
  <c r="AP35" i="55"/>
  <c r="AP45" i="51"/>
  <c r="AP31" i="56"/>
  <c r="AP33" i="51"/>
  <c r="AP46" i="56"/>
  <c r="AP41" i="56"/>
  <c r="AP36" i="65"/>
  <c r="AP32" i="55"/>
  <c r="AN64" i="31"/>
  <c r="AN62" i="74"/>
  <c r="AP62" i="74" s="1"/>
  <c r="AV62" i="74" s="1"/>
  <c r="AX62" i="74" s="1"/>
  <c r="U62" i="74" s="1"/>
  <c r="W62" i="74" s="1"/>
  <c r="Y62" i="74" s="1"/>
  <c r="AN52" i="70"/>
  <c r="AP52" i="70" s="1"/>
  <c r="AV52" i="70" s="1"/>
  <c r="AX52" i="70" s="1"/>
  <c r="U52" i="70" s="1"/>
  <c r="W52" i="70" s="1"/>
  <c r="Y52" i="70" s="1"/>
  <c r="AN63" i="63"/>
  <c r="AP63" i="63" s="1"/>
  <c r="AV63" i="63" s="1"/>
  <c r="AX63" i="63" s="1"/>
  <c r="U63" i="63" s="1"/>
  <c r="W63" i="63" s="1"/>
  <c r="Y63" i="63" s="1"/>
  <c r="AN63" i="61"/>
  <c r="AP63" i="61" s="1"/>
  <c r="AV63" i="61" s="1"/>
  <c r="AX63" i="61" s="1"/>
  <c r="U63" i="61" s="1"/>
  <c r="W63" i="61" s="1"/>
  <c r="Y63" i="61" s="1"/>
  <c r="AN63" i="62"/>
  <c r="AP63" i="62" s="1"/>
  <c r="AV63" i="62" s="1"/>
  <c r="AX63" i="62" s="1"/>
  <c r="U63" i="62" s="1"/>
  <c r="W63" i="62" s="1"/>
  <c r="Y63" i="62" s="1"/>
  <c r="AN63" i="60"/>
  <c r="AP63" i="60" s="1"/>
  <c r="AV63" i="60" s="1"/>
  <c r="AX63" i="60" s="1"/>
  <c r="U63" i="60" s="1"/>
  <c r="AN62" i="65"/>
  <c r="AP62" i="65" s="1"/>
  <c r="AN63" i="59"/>
  <c r="AP63" i="59" s="1"/>
  <c r="AV63" i="59" s="1"/>
  <c r="AX63" i="59" s="1"/>
  <c r="U63" i="59" s="1"/>
  <c r="W63" i="59" s="1"/>
  <c r="Y63" i="59" s="1"/>
  <c r="AN51" i="70"/>
  <c r="AP51" i="70" s="1"/>
  <c r="AV51" i="70" s="1"/>
  <c r="AX51" i="70" s="1"/>
  <c r="U51" i="70" s="1"/>
  <c r="W51" i="70" s="1"/>
  <c r="Y51" i="70" s="1"/>
  <c r="AN62" i="61"/>
  <c r="AP62" i="61" s="1"/>
  <c r="AV62" i="61" s="1"/>
  <c r="AX62" i="61" s="1"/>
  <c r="U62" i="61" s="1"/>
  <c r="W62" i="61" s="1"/>
  <c r="Y62" i="61" s="1"/>
  <c r="AN62" i="63"/>
  <c r="AP62" i="63" s="1"/>
  <c r="AV62" i="63" s="1"/>
  <c r="AX62" i="63" s="1"/>
  <c r="U62" i="63" s="1"/>
  <c r="W62" i="63" s="1"/>
  <c r="Y62" i="63" s="1"/>
  <c r="AN62" i="60"/>
  <c r="AP62" i="60" s="1"/>
  <c r="AV62" i="60" s="1"/>
  <c r="AX62" i="60" s="1"/>
  <c r="U62" i="60" s="1"/>
  <c r="AN62" i="62"/>
  <c r="AP62" i="62" s="1"/>
  <c r="AV62" i="62" s="1"/>
  <c r="AX62" i="62" s="1"/>
  <c r="U62" i="62" s="1"/>
  <c r="W62" i="62" s="1"/>
  <c r="Y62" i="62" s="1"/>
  <c r="AN61" i="65"/>
  <c r="AP61" i="65" s="1"/>
  <c r="AN62" i="59"/>
  <c r="AP62" i="59" s="1"/>
  <c r="AV62" i="59" s="1"/>
  <c r="AX62" i="59" s="1"/>
  <c r="U62" i="59" s="1"/>
  <c r="W62" i="59" s="1"/>
  <c r="Y62" i="59" s="1"/>
  <c r="AP50" i="67"/>
  <c r="U48" i="68"/>
  <c r="H61" i="5"/>
  <c r="AN51" i="68"/>
  <c r="AN51" i="67"/>
  <c r="AP51" i="67" s="1"/>
  <c r="AV51" i="67" s="1"/>
  <c r="AN52" i="66"/>
  <c r="AP52" i="66" s="1"/>
  <c r="AV52" i="66" s="1"/>
  <c r="AP46" i="40"/>
  <c r="AP36" i="40"/>
  <c r="AN62" i="58"/>
  <c r="AP62" i="58" s="1"/>
  <c r="AN63" i="57"/>
  <c r="AP63" i="57" s="1"/>
  <c r="AN63" i="58"/>
  <c r="AP63" i="58" s="1"/>
  <c r="AN64" i="57"/>
  <c r="AP64" i="57" s="1"/>
  <c r="AP64" i="31"/>
  <c r="G61" i="5"/>
  <c r="AN64" i="74" s="1"/>
  <c r="AP64" i="74" s="1"/>
  <c r="AV64" i="74" s="1"/>
  <c r="AX64" i="74" s="1"/>
  <c r="U64" i="74" s="1"/>
  <c r="W64" i="74" s="1"/>
  <c r="Y64" i="74" s="1"/>
  <c r="AN65" i="31"/>
  <c r="AP65" i="31" s="1"/>
  <c r="W47" i="49"/>
  <c r="U58" i="49"/>
  <c r="I46" i="32" s="1"/>
  <c r="W47" i="48"/>
  <c r="U58" i="48"/>
  <c r="I45" i="32" s="1"/>
  <c r="W48" i="50"/>
  <c r="U58" i="50"/>
  <c r="I49" i="32" s="1"/>
  <c r="W47" i="47"/>
  <c r="U58" i="47"/>
  <c r="I44" i="32" s="1"/>
  <c r="AV58" i="43"/>
  <c r="AV58" i="42"/>
  <c r="AP32" i="40"/>
  <c r="AP34" i="40"/>
  <c r="AP33" i="40"/>
  <c r="AP47" i="40"/>
  <c r="AP44" i="40"/>
  <c r="AP39" i="40"/>
  <c r="AP35" i="40"/>
  <c r="AP41" i="40"/>
  <c r="AP45" i="40"/>
  <c r="I32" i="40"/>
  <c r="AR32" i="40"/>
  <c r="M32" i="40"/>
  <c r="AJ32" i="40"/>
  <c r="AH32" i="40"/>
  <c r="BD32" i="40"/>
  <c r="AF32" i="40"/>
  <c r="BB32" i="40"/>
  <c r="AP37" i="40"/>
  <c r="AP42" i="40"/>
  <c r="AP43" i="40"/>
  <c r="AN58" i="40"/>
  <c r="W62" i="20"/>
  <c r="U66" i="20"/>
  <c r="W42" i="21"/>
  <c r="U47" i="21"/>
  <c r="AL45" i="19"/>
  <c r="AF46" i="19"/>
  <c r="AT44" i="19"/>
  <c r="BF45" i="19"/>
  <c r="BB46" i="19"/>
  <c r="AK57" i="5"/>
  <c r="AJ56" i="5"/>
  <c r="AX70" i="5"/>
  <c r="AN70" i="5"/>
  <c r="AW71" i="5"/>
  <c r="AV70" i="5"/>
  <c r="AV29" i="75" l="1"/>
  <c r="AP59" i="75"/>
  <c r="AP50" i="72"/>
  <c r="AH31" i="65"/>
  <c r="AH32" i="65" s="1"/>
  <c r="AH33" i="65" s="1"/>
  <c r="AH34" i="65" s="1"/>
  <c r="AH35" i="65" s="1"/>
  <c r="AH36" i="65" s="1"/>
  <c r="AH37" i="65" s="1"/>
  <c r="AH75" i="65" s="1"/>
  <c r="AR31" i="65"/>
  <c r="AV28" i="55"/>
  <c r="AP58" i="55"/>
  <c r="AP52" i="73"/>
  <c r="AV30" i="51"/>
  <c r="AP58" i="51"/>
  <c r="AL28" i="55"/>
  <c r="AF29" i="55"/>
  <c r="S28" i="55"/>
  <c r="I29" i="55"/>
  <c r="I31" i="51"/>
  <c r="S30" i="51"/>
  <c r="AR29" i="54"/>
  <c r="AJ29" i="54"/>
  <c r="AJ30" i="54" s="1"/>
  <c r="AJ31" i="54" s="1"/>
  <c r="AJ32" i="54" s="1"/>
  <c r="AJ33" i="54" s="1"/>
  <c r="AJ34" i="54" s="1"/>
  <c r="AJ35" i="54" s="1"/>
  <c r="AJ36" i="54" s="1"/>
  <c r="AJ37" i="54" s="1"/>
  <c r="AJ38" i="54" s="1"/>
  <c r="AJ39" i="54" s="1"/>
  <c r="AJ40" i="54" s="1"/>
  <c r="AJ41" i="54" s="1"/>
  <c r="AJ42" i="54" s="1"/>
  <c r="AJ43" i="54" s="1"/>
  <c r="AJ44" i="54" s="1"/>
  <c r="AJ45" i="54" s="1"/>
  <c r="AJ46" i="54" s="1"/>
  <c r="AJ47" i="54" s="1"/>
  <c r="AR29" i="56"/>
  <c r="BD29" i="56"/>
  <c r="BD30" i="56" s="1"/>
  <c r="BD31" i="56" s="1"/>
  <c r="BD32" i="56" s="1"/>
  <c r="BD33" i="56" s="1"/>
  <c r="BD34" i="56" s="1"/>
  <c r="BD35" i="56" s="1"/>
  <c r="BD36" i="56" s="1"/>
  <c r="BD37" i="56" s="1"/>
  <c r="BD38" i="56" s="1"/>
  <c r="BD39" i="56" s="1"/>
  <c r="BD40" i="56" s="1"/>
  <c r="BD41" i="56" s="1"/>
  <c r="BD42" i="56" s="1"/>
  <c r="BD43" i="56" s="1"/>
  <c r="BD44" i="56" s="1"/>
  <c r="BD45" i="56" s="1"/>
  <c r="BD46" i="56" s="1"/>
  <c r="BD47" i="56" s="1"/>
  <c r="AR40" i="65"/>
  <c r="AV39" i="65"/>
  <c r="BB31" i="65"/>
  <c r="BF30" i="65"/>
  <c r="AX39" i="73"/>
  <c r="AV52" i="73"/>
  <c r="M58" i="55"/>
  <c r="AH29" i="55"/>
  <c r="AH30" i="55" s="1"/>
  <c r="AH31" i="55" s="1"/>
  <c r="AH32" i="55" s="1"/>
  <c r="AH33" i="55" s="1"/>
  <c r="AH34" i="55" s="1"/>
  <c r="AH35" i="55" s="1"/>
  <c r="AH36" i="55" s="1"/>
  <c r="AH37" i="55" s="1"/>
  <c r="AH38" i="55" s="1"/>
  <c r="AH39" i="55" s="1"/>
  <c r="AH40" i="55" s="1"/>
  <c r="AH41" i="55" s="1"/>
  <c r="AH42" i="55" s="1"/>
  <c r="AH43" i="55" s="1"/>
  <c r="AH44" i="55" s="1"/>
  <c r="AH45" i="55" s="1"/>
  <c r="AH46" i="55" s="1"/>
  <c r="AH47" i="55" s="1"/>
  <c r="M31" i="65"/>
  <c r="M32" i="65" s="1"/>
  <c r="M33" i="65" s="1"/>
  <c r="M34" i="65" s="1"/>
  <c r="M35" i="65" s="1"/>
  <c r="M36" i="65" s="1"/>
  <c r="M37" i="65" s="1"/>
  <c r="M38" i="65" s="1"/>
  <c r="AV30" i="65"/>
  <c r="AF31" i="51"/>
  <c r="AL30" i="51"/>
  <c r="BF28" i="54"/>
  <c r="BD29" i="54"/>
  <c r="BD30" i="54" s="1"/>
  <c r="BD31" i="54" s="1"/>
  <c r="BD32" i="54" s="1"/>
  <c r="BD33" i="54" s="1"/>
  <c r="BD34" i="54" s="1"/>
  <c r="BD35" i="54" s="1"/>
  <c r="BD36" i="54" s="1"/>
  <c r="BD37" i="54" s="1"/>
  <c r="BD38" i="54" s="1"/>
  <c r="BD39" i="54" s="1"/>
  <c r="BD40" i="54" s="1"/>
  <c r="BD41" i="54" s="1"/>
  <c r="BD42" i="54" s="1"/>
  <c r="BD43" i="54" s="1"/>
  <c r="BD44" i="54" s="1"/>
  <c r="BD45" i="54" s="1"/>
  <c r="BD46" i="54" s="1"/>
  <c r="BD47" i="54" s="1"/>
  <c r="BB29" i="54"/>
  <c r="AH29" i="56"/>
  <c r="AH30" i="56" s="1"/>
  <c r="AH31" i="56" s="1"/>
  <c r="AH32" i="56" s="1"/>
  <c r="AH33" i="56" s="1"/>
  <c r="AH34" i="56" s="1"/>
  <c r="AH35" i="56" s="1"/>
  <c r="AH36" i="56" s="1"/>
  <c r="AH37" i="56" s="1"/>
  <c r="AH38" i="56" s="1"/>
  <c r="AH39" i="56" s="1"/>
  <c r="AH40" i="56" s="1"/>
  <c r="AH41" i="56" s="1"/>
  <c r="AH42" i="56" s="1"/>
  <c r="AH43" i="56" s="1"/>
  <c r="AH44" i="56" s="1"/>
  <c r="AH45" i="56" s="1"/>
  <c r="AH46" i="56" s="1"/>
  <c r="AH47" i="56" s="1"/>
  <c r="BB29" i="56"/>
  <c r="BF28" i="56"/>
  <c r="AF40" i="65"/>
  <c r="AL39" i="65"/>
  <c r="BD31" i="65"/>
  <c r="BD32" i="65" s="1"/>
  <c r="BD33" i="65" s="1"/>
  <c r="BD34" i="65" s="1"/>
  <c r="BD35" i="65" s="1"/>
  <c r="BD36" i="65" s="1"/>
  <c r="BD37" i="65" s="1"/>
  <c r="BD38" i="65" s="1"/>
  <c r="BD39" i="65" s="1"/>
  <c r="BD40" i="65" s="1"/>
  <c r="BD41" i="65" s="1"/>
  <c r="BD42" i="65" s="1"/>
  <c r="BD43" i="65" s="1"/>
  <c r="BD44" i="65" s="1"/>
  <c r="BD45" i="65" s="1"/>
  <c r="BD46" i="65" s="1"/>
  <c r="BD47" i="65" s="1"/>
  <c r="BD48" i="65" s="1"/>
  <c r="BD49" i="65" s="1"/>
  <c r="BD50" i="65" s="1"/>
  <c r="BD51" i="65" s="1"/>
  <c r="BD52" i="65" s="1"/>
  <c r="BD53" i="65" s="1"/>
  <c r="BD54" i="65" s="1"/>
  <c r="BD55" i="65" s="1"/>
  <c r="BD56" i="65" s="1"/>
  <c r="BD57" i="65" s="1"/>
  <c r="BD58" i="65" s="1"/>
  <c r="BD59" i="65" s="1"/>
  <c r="BD60" i="65" s="1"/>
  <c r="BD61" i="65" s="1"/>
  <c r="BD62" i="65" s="1"/>
  <c r="BD63" i="65" s="1"/>
  <c r="BD64" i="65" s="1"/>
  <c r="BD65" i="65" s="1"/>
  <c r="BD66" i="65" s="1"/>
  <c r="BD67" i="65" s="1"/>
  <c r="BD68" i="65" s="1"/>
  <c r="AL30" i="65"/>
  <c r="AF31" i="65"/>
  <c r="M50" i="65"/>
  <c r="AX35" i="72"/>
  <c r="AV50" i="72"/>
  <c r="AR29" i="55"/>
  <c r="BD29" i="55"/>
  <c r="BD30" i="55" s="1"/>
  <c r="BD31" i="55" s="1"/>
  <c r="BD32" i="55" s="1"/>
  <c r="BD33" i="55" s="1"/>
  <c r="BD34" i="55" s="1"/>
  <c r="BD35" i="55" s="1"/>
  <c r="BD36" i="55" s="1"/>
  <c r="BD37" i="55" s="1"/>
  <c r="BD38" i="55" s="1"/>
  <c r="BD39" i="55" s="1"/>
  <c r="BD40" i="55" s="1"/>
  <c r="BD41" i="55" s="1"/>
  <c r="BD42" i="55" s="1"/>
  <c r="BD43" i="55" s="1"/>
  <c r="BD44" i="55" s="1"/>
  <c r="BD45" i="55" s="1"/>
  <c r="BD46" i="55" s="1"/>
  <c r="BD47" i="55" s="1"/>
  <c r="M58" i="54"/>
  <c r="BB31" i="51"/>
  <c r="BF30" i="51"/>
  <c r="AR31" i="51"/>
  <c r="AH29" i="54"/>
  <c r="AH30" i="54" s="1"/>
  <c r="AH31" i="54" s="1"/>
  <c r="AH32" i="54" s="1"/>
  <c r="AH33" i="54" s="1"/>
  <c r="AH34" i="54" s="1"/>
  <c r="AH35" i="54" s="1"/>
  <c r="AH36" i="54" s="1"/>
  <c r="AH37" i="54" s="1"/>
  <c r="AH38" i="54" s="1"/>
  <c r="AH39" i="54" s="1"/>
  <c r="AH40" i="54" s="1"/>
  <c r="AH41" i="54" s="1"/>
  <c r="AH42" i="54" s="1"/>
  <c r="AH43" i="54" s="1"/>
  <c r="AH44" i="54" s="1"/>
  <c r="AH45" i="54" s="1"/>
  <c r="AH46" i="54" s="1"/>
  <c r="AH47" i="54" s="1"/>
  <c r="I29" i="54"/>
  <c r="S28" i="54"/>
  <c r="AF29" i="56"/>
  <c r="AL28" i="56"/>
  <c r="I29" i="56"/>
  <c r="S28" i="56"/>
  <c r="M58" i="56"/>
  <c r="AJ31" i="65"/>
  <c r="AJ32" i="65" s="1"/>
  <c r="AJ33" i="65" s="1"/>
  <c r="AJ34" i="65" s="1"/>
  <c r="AJ35" i="65" s="1"/>
  <c r="AJ36" i="65" s="1"/>
  <c r="AJ37" i="65" s="1"/>
  <c r="K31" i="65"/>
  <c r="K32" i="65" s="1"/>
  <c r="K33" i="65" s="1"/>
  <c r="K34" i="65" s="1"/>
  <c r="K35" i="65" s="1"/>
  <c r="K36" i="65" s="1"/>
  <c r="K37" i="65" s="1"/>
  <c r="AP58" i="54"/>
  <c r="AV28" i="54"/>
  <c r="AX33" i="69"/>
  <c r="AV64" i="69"/>
  <c r="AJ29" i="55"/>
  <c r="AJ30" i="55" s="1"/>
  <c r="AJ31" i="55" s="1"/>
  <c r="AJ32" i="55" s="1"/>
  <c r="AJ33" i="55" s="1"/>
  <c r="AJ34" i="55" s="1"/>
  <c r="AJ35" i="55" s="1"/>
  <c r="AJ36" i="55" s="1"/>
  <c r="AJ37" i="55" s="1"/>
  <c r="AJ38" i="55" s="1"/>
  <c r="AJ39" i="55" s="1"/>
  <c r="AJ40" i="55" s="1"/>
  <c r="AJ41" i="55" s="1"/>
  <c r="AJ42" i="55" s="1"/>
  <c r="AJ43" i="55" s="1"/>
  <c r="AJ44" i="55" s="1"/>
  <c r="AJ45" i="55" s="1"/>
  <c r="AJ46" i="55" s="1"/>
  <c r="AJ47" i="55" s="1"/>
  <c r="BB29" i="55"/>
  <c r="BF28" i="55"/>
  <c r="AP64" i="69"/>
  <c r="BD31" i="51"/>
  <c r="BD32" i="51" s="1"/>
  <c r="BD33" i="51" s="1"/>
  <c r="BD34" i="51" s="1"/>
  <c r="BD35" i="51" s="1"/>
  <c r="BD36" i="51" s="1"/>
  <c r="BD37" i="51" s="1"/>
  <c r="BD38" i="51" s="1"/>
  <c r="BD39" i="51" s="1"/>
  <c r="BD40" i="51" s="1"/>
  <c r="BD41" i="51" s="1"/>
  <c r="BD42" i="51" s="1"/>
  <c r="BD43" i="51" s="1"/>
  <c r="BD44" i="51" s="1"/>
  <c r="BD45" i="51" s="1"/>
  <c r="BD46" i="51" s="1"/>
  <c r="BD47" i="51" s="1"/>
  <c r="AF29" i="54"/>
  <c r="AL28" i="54"/>
  <c r="Y29" i="51"/>
  <c r="AJ29" i="56"/>
  <c r="AJ30" i="56" s="1"/>
  <c r="AJ31" i="56" s="1"/>
  <c r="AJ32" i="56" s="1"/>
  <c r="AJ33" i="56" s="1"/>
  <c r="AJ34" i="56" s="1"/>
  <c r="AJ35" i="56" s="1"/>
  <c r="AJ36" i="56" s="1"/>
  <c r="AJ37" i="56" s="1"/>
  <c r="AJ38" i="56" s="1"/>
  <c r="AJ39" i="56" s="1"/>
  <c r="AJ40" i="56" s="1"/>
  <c r="AJ41" i="56" s="1"/>
  <c r="AJ42" i="56" s="1"/>
  <c r="AJ43" i="56" s="1"/>
  <c r="AJ44" i="56" s="1"/>
  <c r="AJ45" i="56" s="1"/>
  <c r="AJ46" i="56" s="1"/>
  <c r="AJ47" i="56" s="1"/>
  <c r="AV28" i="56"/>
  <c r="AP58" i="56"/>
  <c r="AV28" i="75"/>
  <c r="AN53" i="70"/>
  <c r="AP53" i="70" s="1"/>
  <c r="AV53" i="70" s="1"/>
  <c r="AX53" i="70" s="1"/>
  <c r="U53" i="70" s="1"/>
  <c r="W53" i="70" s="1"/>
  <c r="Y53" i="70" s="1"/>
  <c r="AN64" i="61"/>
  <c r="AP64" i="61" s="1"/>
  <c r="AV64" i="61" s="1"/>
  <c r="AX64" i="61" s="1"/>
  <c r="U64" i="61" s="1"/>
  <c r="W64" i="61" s="1"/>
  <c r="Y64" i="61" s="1"/>
  <c r="AN64" i="63"/>
  <c r="AP64" i="63" s="1"/>
  <c r="AV64" i="63" s="1"/>
  <c r="AX64" i="63" s="1"/>
  <c r="U64" i="63" s="1"/>
  <c r="W64" i="63" s="1"/>
  <c r="Y64" i="63" s="1"/>
  <c r="AN64" i="60"/>
  <c r="AP64" i="60" s="1"/>
  <c r="AV64" i="60" s="1"/>
  <c r="AX64" i="60" s="1"/>
  <c r="U64" i="60" s="1"/>
  <c r="AN63" i="65"/>
  <c r="AP63" i="65" s="1"/>
  <c r="AN64" i="62"/>
  <c r="AP64" i="62" s="1"/>
  <c r="AV64" i="62" s="1"/>
  <c r="AX64" i="62" s="1"/>
  <c r="U64" i="62" s="1"/>
  <c r="W64" i="62" s="1"/>
  <c r="Y64" i="62" s="1"/>
  <c r="AN64" i="59"/>
  <c r="AP64" i="59" s="1"/>
  <c r="AV64" i="59" s="1"/>
  <c r="AX64" i="59" s="1"/>
  <c r="U64" i="59" s="1"/>
  <c r="W64" i="59" s="1"/>
  <c r="Y64" i="59" s="1"/>
  <c r="AP51" i="68"/>
  <c r="H62" i="5"/>
  <c r="AN52" i="68"/>
  <c r="AP52" i="68" s="1"/>
  <c r="AV52" i="68" s="1"/>
  <c r="AX52" i="68" s="1"/>
  <c r="U52" i="68" s="1"/>
  <c r="W52" i="68" s="1"/>
  <c r="Y52" i="68" s="1"/>
  <c r="AN52" i="67"/>
  <c r="AP52" i="67" s="1"/>
  <c r="AV52" i="67" s="1"/>
  <c r="AN53" i="66"/>
  <c r="AP53" i="66" s="1"/>
  <c r="AV53" i="66" s="1"/>
  <c r="AN65" i="24"/>
  <c r="AV50" i="67"/>
  <c r="W48" i="68"/>
  <c r="AN64" i="58"/>
  <c r="AP64" i="58" s="1"/>
  <c r="AN65" i="57"/>
  <c r="AP65" i="57" s="1"/>
  <c r="G62" i="5"/>
  <c r="AN65" i="74" s="1"/>
  <c r="AP65" i="74" s="1"/>
  <c r="AV65" i="74" s="1"/>
  <c r="AX65" i="74" s="1"/>
  <c r="U65" i="74" s="1"/>
  <c r="W65" i="74" s="1"/>
  <c r="Y65" i="74" s="1"/>
  <c r="AN66" i="31"/>
  <c r="AP66" i="31" s="1"/>
  <c r="I28" i="32"/>
  <c r="I41" i="32"/>
  <c r="Y47" i="48"/>
  <c r="Y58" i="48" s="1"/>
  <c r="M45" i="32" s="1"/>
  <c r="H56" i="23" s="1"/>
  <c r="J56" i="23" s="1"/>
  <c r="W58" i="48"/>
  <c r="K45" i="32" s="1"/>
  <c r="Y48" i="50"/>
  <c r="Y58" i="50" s="1"/>
  <c r="M49" i="32" s="1"/>
  <c r="H58" i="23" s="1"/>
  <c r="J58" i="23" s="1"/>
  <c r="W58" i="50"/>
  <c r="K49" i="32" s="1"/>
  <c r="Y47" i="49"/>
  <c r="Y58" i="49" s="1"/>
  <c r="M46" i="32" s="1"/>
  <c r="H57" i="23" s="1"/>
  <c r="J57" i="23" s="1"/>
  <c r="W58" i="49"/>
  <c r="K46" i="32" s="1"/>
  <c r="Y47" i="47"/>
  <c r="Y58" i="47" s="1"/>
  <c r="M44" i="32" s="1"/>
  <c r="H55" i="23" s="1"/>
  <c r="J55" i="23" s="1"/>
  <c r="W58" i="47"/>
  <c r="K44" i="32" s="1"/>
  <c r="AP58" i="40"/>
  <c r="BD33" i="40"/>
  <c r="BD34" i="40" s="1"/>
  <c r="BD35" i="40" s="1"/>
  <c r="BD36" i="40" s="1"/>
  <c r="BD37" i="40" s="1"/>
  <c r="BD38" i="40" s="1"/>
  <c r="BD39" i="40" s="1"/>
  <c r="BD40" i="40" s="1"/>
  <c r="BD41" i="40" s="1"/>
  <c r="BD42" i="40" s="1"/>
  <c r="BD43" i="40" s="1"/>
  <c r="BD44" i="40" s="1"/>
  <c r="BD45" i="40" s="1"/>
  <c r="BD46" i="40" s="1"/>
  <c r="BD47" i="40" s="1"/>
  <c r="AR33" i="40"/>
  <c r="AR34" i="40" s="1"/>
  <c r="AR35" i="40" s="1"/>
  <c r="AR36" i="40" s="1"/>
  <c r="AR37" i="40" s="1"/>
  <c r="AR38" i="40" s="1"/>
  <c r="AR39" i="40" s="1"/>
  <c r="AR40" i="40" s="1"/>
  <c r="AR41" i="40" s="1"/>
  <c r="AR42" i="40" s="1"/>
  <c r="AR43" i="40" s="1"/>
  <c r="AR44" i="40" s="1"/>
  <c r="AR45" i="40" s="1"/>
  <c r="AR46" i="40" s="1"/>
  <c r="AR47" i="40" s="1"/>
  <c r="AV47" i="40" s="1"/>
  <c r="AH33" i="40"/>
  <c r="AH34" i="40" s="1"/>
  <c r="AH35" i="40" s="1"/>
  <c r="AH36" i="40" s="1"/>
  <c r="AH37" i="40" s="1"/>
  <c r="AH38" i="40" s="1"/>
  <c r="AH39" i="40" s="1"/>
  <c r="AH40" i="40" s="1"/>
  <c r="AH41" i="40" s="1"/>
  <c r="AH42" i="40" s="1"/>
  <c r="AH43" i="40" s="1"/>
  <c r="AH44" i="40" s="1"/>
  <c r="AH45" i="40" s="1"/>
  <c r="AH46" i="40" s="1"/>
  <c r="AH47" i="40" s="1"/>
  <c r="I33" i="40"/>
  <c r="I34" i="40" s="1"/>
  <c r="I35" i="40" s="1"/>
  <c r="I36" i="40" s="1"/>
  <c r="I37" i="40" s="1"/>
  <c r="I38" i="40" s="1"/>
  <c r="I39" i="40" s="1"/>
  <c r="I40" i="40" s="1"/>
  <c r="I41" i="40" s="1"/>
  <c r="I42" i="40" s="1"/>
  <c r="I43" i="40" s="1"/>
  <c r="I44" i="40" s="1"/>
  <c r="I45" i="40" s="1"/>
  <c r="I46" i="40" s="1"/>
  <c r="I47" i="40" s="1"/>
  <c r="S47" i="40" s="1"/>
  <c r="BB33" i="40"/>
  <c r="BF32" i="40"/>
  <c r="AJ33" i="40"/>
  <c r="AJ34" i="40" s="1"/>
  <c r="AJ35" i="40" s="1"/>
  <c r="AJ36" i="40" s="1"/>
  <c r="AJ37" i="40" s="1"/>
  <c r="AJ38" i="40" s="1"/>
  <c r="AJ39" i="40" s="1"/>
  <c r="AJ40" i="40" s="1"/>
  <c r="AJ41" i="40" s="1"/>
  <c r="AJ42" i="40" s="1"/>
  <c r="AJ43" i="40" s="1"/>
  <c r="AJ44" i="40" s="1"/>
  <c r="AJ45" i="40" s="1"/>
  <c r="AJ46" i="40" s="1"/>
  <c r="AJ47" i="40" s="1"/>
  <c r="AF33" i="40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58" i="40" s="1"/>
  <c r="M33" i="40"/>
  <c r="M34" i="40" s="1"/>
  <c r="M35" i="40" s="1"/>
  <c r="M36" i="40" s="1"/>
  <c r="M37" i="40" s="1"/>
  <c r="M38" i="40" s="1"/>
  <c r="M39" i="40" s="1"/>
  <c r="M40" i="40" s="1"/>
  <c r="M41" i="40" s="1"/>
  <c r="M42" i="40" s="1"/>
  <c r="M43" i="40" s="1"/>
  <c r="M44" i="40" s="1"/>
  <c r="M45" i="40" s="1"/>
  <c r="M46" i="40" s="1"/>
  <c r="Y42" i="21"/>
  <c r="Y47" i="21" s="1"/>
  <c r="W47" i="21"/>
  <c r="Y62" i="20"/>
  <c r="Y66" i="20" s="1"/>
  <c r="W66" i="20"/>
  <c r="AT45" i="19"/>
  <c r="AF47" i="19"/>
  <c r="AL46" i="19"/>
  <c r="BB47" i="19"/>
  <c r="BF46" i="19"/>
  <c r="AW72" i="5"/>
  <c r="AV71" i="5"/>
  <c r="AX71" i="5"/>
  <c r="AK58" i="5"/>
  <c r="AJ57" i="5"/>
  <c r="S56" i="23" l="1"/>
  <c r="U56" i="23" s="1"/>
  <c r="S55" i="23"/>
  <c r="U55" i="23" s="1"/>
  <c r="S58" i="23"/>
  <c r="U58" i="23" s="1"/>
  <c r="S57" i="23"/>
  <c r="U57" i="23" s="1"/>
  <c r="AV59" i="75"/>
  <c r="K75" i="65"/>
  <c r="BD58" i="55"/>
  <c r="BD75" i="65"/>
  <c r="AH58" i="56"/>
  <c r="BD58" i="51"/>
  <c r="AJ58" i="56"/>
  <c r="BB30" i="55"/>
  <c r="BF29" i="55"/>
  <c r="U33" i="69"/>
  <c r="U64" i="69" s="1"/>
  <c r="I13" i="32" s="1"/>
  <c r="AX64" i="69"/>
  <c r="AF30" i="56"/>
  <c r="AL29" i="56"/>
  <c r="I30" i="54"/>
  <c r="S29" i="54"/>
  <c r="AR32" i="51"/>
  <c r="AV31" i="51"/>
  <c r="U35" i="72"/>
  <c r="AX50" i="72"/>
  <c r="AF32" i="65"/>
  <c r="AL31" i="65"/>
  <c r="AF41" i="65"/>
  <c r="AL40" i="65"/>
  <c r="BB30" i="54"/>
  <c r="BF29" i="54"/>
  <c r="M39" i="65"/>
  <c r="S38" i="65"/>
  <c r="U39" i="73"/>
  <c r="AX52" i="73"/>
  <c r="AR41" i="65"/>
  <c r="AV40" i="65"/>
  <c r="AR30" i="56"/>
  <c r="AV29" i="56"/>
  <c r="I32" i="51"/>
  <c r="S31" i="51"/>
  <c r="AJ58" i="55"/>
  <c r="AJ75" i="65"/>
  <c r="I30" i="56"/>
  <c r="S29" i="56"/>
  <c r="AH58" i="54"/>
  <c r="S50" i="65"/>
  <c r="M51" i="65"/>
  <c r="AT30" i="65"/>
  <c r="AX30" i="65" s="1"/>
  <c r="U30" i="65" s="1"/>
  <c r="BD58" i="54"/>
  <c r="AT30" i="51"/>
  <c r="AX30" i="51" s="1"/>
  <c r="AH58" i="55"/>
  <c r="BB32" i="65"/>
  <c r="BF31" i="65"/>
  <c r="BD58" i="56"/>
  <c r="AR30" i="54"/>
  <c r="AV29" i="54"/>
  <c r="AL29" i="54"/>
  <c r="AF30" i="54"/>
  <c r="AR30" i="55"/>
  <c r="AV29" i="55"/>
  <c r="AF32" i="51"/>
  <c r="AL31" i="51"/>
  <c r="AJ58" i="54"/>
  <c r="AF30" i="55"/>
  <c r="AL29" i="55"/>
  <c r="AT28" i="56"/>
  <c r="AX28" i="56" s="1"/>
  <c r="BB32" i="51"/>
  <c r="BF31" i="51"/>
  <c r="BB30" i="56"/>
  <c r="BF29" i="56"/>
  <c r="AT28" i="54"/>
  <c r="AX28" i="54" s="1"/>
  <c r="S29" i="55"/>
  <c r="I30" i="55"/>
  <c r="AT28" i="55"/>
  <c r="AR32" i="65"/>
  <c r="AV31" i="65"/>
  <c r="AN54" i="70"/>
  <c r="AP54" i="70" s="1"/>
  <c r="AV54" i="70" s="1"/>
  <c r="AX54" i="70" s="1"/>
  <c r="U54" i="70" s="1"/>
  <c r="W54" i="70" s="1"/>
  <c r="Y54" i="70" s="1"/>
  <c r="AN65" i="61"/>
  <c r="AP65" i="61" s="1"/>
  <c r="AV65" i="61" s="1"/>
  <c r="AX65" i="61" s="1"/>
  <c r="U65" i="61" s="1"/>
  <c r="W65" i="61" s="1"/>
  <c r="Y65" i="61" s="1"/>
  <c r="AN65" i="63"/>
  <c r="AP65" i="63" s="1"/>
  <c r="AV65" i="63" s="1"/>
  <c r="AX65" i="63" s="1"/>
  <c r="U65" i="63" s="1"/>
  <c r="W65" i="63" s="1"/>
  <c r="Y65" i="63" s="1"/>
  <c r="AN65" i="60"/>
  <c r="AP65" i="60" s="1"/>
  <c r="AV65" i="60" s="1"/>
  <c r="AX65" i="60" s="1"/>
  <c r="U65" i="60" s="1"/>
  <c r="AN65" i="62"/>
  <c r="AP65" i="62" s="1"/>
  <c r="AV65" i="62" s="1"/>
  <c r="AX65" i="62" s="1"/>
  <c r="U65" i="62" s="1"/>
  <c r="W65" i="62" s="1"/>
  <c r="Y65" i="62" s="1"/>
  <c r="AN64" i="65"/>
  <c r="AP64" i="65" s="1"/>
  <c r="AN65" i="59"/>
  <c r="AP65" i="59" s="1"/>
  <c r="AV65" i="59" s="1"/>
  <c r="AX65" i="59" s="1"/>
  <c r="U65" i="59" s="1"/>
  <c r="W65" i="59" s="1"/>
  <c r="Y65" i="59" s="1"/>
  <c r="Y48" i="68"/>
  <c r="AP65" i="24"/>
  <c r="H63" i="5"/>
  <c r="AN53" i="68"/>
  <c r="AN53" i="67"/>
  <c r="AP53" i="67" s="1"/>
  <c r="AN54" i="66"/>
  <c r="AN66" i="24"/>
  <c r="AP66" i="24" s="1"/>
  <c r="AV51" i="68"/>
  <c r="AX51" i="68" s="1"/>
  <c r="AN65" i="58"/>
  <c r="AP65" i="58" s="1"/>
  <c r="AN66" i="57"/>
  <c r="AP66" i="57" s="1"/>
  <c r="G63" i="5"/>
  <c r="AN66" i="74" s="1"/>
  <c r="AP66" i="74" s="1"/>
  <c r="AV66" i="74" s="1"/>
  <c r="AX66" i="74" s="1"/>
  <c r="U66" i="74" s="1"/>
  <c r="W66" i="74" s="1"/>
  <c r="Y66" i="74" s="1"/>
  <c r="AN67" i="31"/>
  <c r="AP67" i="31" s="1"/>
  <c r="K28" i="32"/>
  <c r="M41" i="32"/>
  <c r="H65" i="23" s="1"/>
  <c r="J65" i="23" s="1"/>
  <c r="M28" i="32"/>
  <c r="H62" i="23" s="1"/>
  <c r="J62" i="23" s="1"/>
  <c r="K41" i="32"/>
  <c r="AL47" i="40"/>
  <c r="AJ58" i="40"/>
  <c r="I58" i="40"/>
  <c r="AR58" i="40"/>
  <c r="M58" i="40"/>
  <c r="BF33" i="40"/>
  <c r="BB34" i="40"/>
  <c r="AH58" i="40"/>
  <c r="BD58" i="40"/>
  <c r="AT46" i="19"/>
  <c r="BB48" i="19"/>
  <c r="BF47" i="19"/>
  <c r="AF48" i="19"/>
  <c r="AL47" i="19"/>
  <c r="AJ58" i="5"/>
  <c r="AK59" i="5"/>
  <c r="AN71" i="5"/>
  <c r="AX72" i="5"/>
  <c r="AV72" i="5"/>
  <c r="AW73" i="5"/>
  <c r="S65" i="23" l="1"/>
  <c r="U65" i="23" s="1"/>
  <c r="S62" i="23"/>
  <c r="U62" i="23" s="1"/>
  <c r="AT29" i="55"/>
  <c r="AX29" i="55" s="1"/>
  <c r="U29" i="55" s="1"/>
  <c r="W29" i="55" s="1"/>
  <c r="Y29" i="55" s="1"/>
  <c r="U28" i="56"/>
  <c r="U28" i="54"/>
  <c r="I31" i="55"/>
  <c r="S30" i="55"/>
  <c r="AL32" i="51"/>
  <c r="AF33" i="51"/>
  <c r="AL30" i="54"/>
  <c r="AF31" i="54"/>
  <c r="BB33" i="65"/>
  <c r="BF32" i="65"/>
  <c r="S32" i="51"/>
  <c r="I33" i="51"/>
  <c r="AR42" i="65"/>
  <c r="AV41" i="65"/>
  <c r="AR33" i="65"/>
  <c r="AV32" i="65"/>
  <c r="BB31" i="56"/>
  <c r="BF30" i="56"/>
  <c r="AR31" i="54"/>
  <c r="AV30" i="54"/>
  <c r="M40" i="65"/>
  <c r="S39" i="65"/>
  <c r="AF42" i="65"/>
  <c r="AL41" i="65"/>
  <c r="W35" i="72"/>
  <c r="U50" i="72"/>
  <c r="I53" i="32" s="1"/>
  <c r="I31" i="54"/>
  <c r="S30" i="54"/>
  <c r="BB31" i="55"/>
  <c r="BF30" i="55"/>
  <c r="I31" i="56"/>
  <c r="S30" i="56"/>
  <c r="AR31" i="56"/>
  <c r="AV30" i="56"/>
  <c r="AT29" i="54"/>
  <c r="AX29" i="54" s="1"/>
  <c r="AT31" i="65"/>
  <c r="AX31" i="65" s="1"/>
  <c r="U31" i="65" s="1"/>
  <c r="AT29" i="56"/>
  <c r="AX29" i="56" s="1"/>
  <c r="U29" i="56" s="1"/>
  <c r="W29" i="56" s="1"/>
  <c r="Y29" i="56" s="1"/>
  <c r="AX28" i="55"/>
  <c r="BB33" i="51"/>
  <c r="BF32" i="51"/>
  <c r="AL30" i="55"/>
  <c r="AF31" i="55"/>
  <c r="AT31" i="51"/>
  <c r="AX31" i="51" s="1"/>
  <c r="AR31" i="55"/>
  <c r="AV30" i="55"/>
  <c r="U30" i="51"/>
  <c r="S51" i="65"/>
  <c r="M52" i="65"/>
  <c r="W39" i="73"/>
  <c r="U52" i="73"/>
  <c r="I42" i="32" s="1"/>
  <c r="BB31" i="54"/>
  <c r="BF30" i="54"/>
  <c r="AF33" i="65"/>
  <c r="AL32" i="65"/>
  <c r="AR33" i="51"/>
  <c r="AV32" i="51"/>
  <c r="AF31" i="56"/>
  <c r="AL30" i="56"/>
  <c r="AN55" i="70"/>
  <c r="AP55" i="70" s="1"/>
  <c r="AV55" i="70" s="1"/>
  <c r="AX55" i="70" s="1"/>
  <c r="U55" i="70" s="1"/>
  <c r="W55" i="70" s="1"/>
  <c r="Y55" i="70" s="1"/>
  <c r="AN66" i="63"/>
  <c r="AP66" i="63" s="1"/>
  <c r="AV66" i="63" s="1"/>
  <c r="AX66" i="63" s="1"/>
  <c r="U66" i="63" s="1"/>
  <c r="W66" i="63" s="1"/>
  <c r="Y66" i="63" s="1"/>
  <c r="AN66" i="61"/>
  <c r="AP66" i="61" s="1"/>
  <c r="AV66" i="61" s="1"/>
  <c r="AX66" i="61" s="1"/>
  <c r="U66" i="61" s="1"/>
  <c r="W66" i="61" s="1"/>
  <c r="Y66" i="61" s="1"/>
  <c r="AN66" i="62"/>
  <c r="AP66" i="62" s="1"/>
  <c r="AV66" i="62" s="1"/>
  <c r="AX66" i="62" s="1"/>
  <c r="U66" i="62" s="1"/>
  <c r="W66" i="62" s="1"/>
  <c r="Y66" i="62" s="1"/>
  <c r="AN65" i="65"/>
  <c r="AP65" i="65" s="1"/>
  <c r="AN66" i="60"/>
  <c r="AP66" i="60" s="1"/>
  <c r="AV66" i="60" s="1"/>
  <c r="AX66" i="60" s="1"/>
  <c r="U66" i="60" s="1"/>
  <c r="AN66" i="59"/>
  <c r="AP66" i="59" s="1"/>
  <c r="AV66" i="59" s="1"/>
  <c r="AX66" i="59" s="1"/>
  <c r="U66" i="59" s="1"/>
  <c r="W66" i="59" s="1"/>
  <c r="Y66" i="59" s="1"/>
  <c r="U51" i="68"/>
  <c r="AP54" i="66"/>
  <c r="AV54" i="66" s="1"/>
  <c r="AV53" i="67"/>
  <c r="AP53" i="68"/>
  <c r="H64" i="5"/>
  <c r="AN54" i="68"/>
  <c r="AP54" i="68" s="1"/>
  <c r="AV54" i="68" s="1"/>
  <c r="AX54" i="68" s="1"/>
  <c r="U54" i="68" s="1"/>
  <c r="W54" i="68" s="1"/>
  <c r="Y54" i="68" s="1"/>
  <c r="AN54" i="67"/>
  <c r="AN55" i="66"/>
  <c r="AP55" i="66" s="1"/>
  <c r="AV55" i="66" s="1"/>
  <c r="AN67" i="24"/>
  <c r="AP67" i="24" s="1"/>
  <c r="AN66" i="58"/>
  <c r="AP66" i="58" s="1"/>
  <c r="AN67" i="57"/>
  <c r="AP67" i="57" s="1"/>
  <c r="G64" i="5"/>
  <c r="AN67" i="74" s="1"/>
  <c r="AP67" i="74" s="1"/>
  <c r="AV67" i="74" s="1"/>
  <c r="AN68" i="31"/>
  <c r="AP68" i="31" s="1"/>
  <c r="BB35" i="40"/>
  <c r="BF34" i="40"/>
  <c r="AT47" i="19"/>
  <c r="AL48" i="19"/>
  <c r="AF49" i="19"/>
  <c r="BF48" i="19"/>
  <c r="BB49" i="19"/>
  <c r="AW74" i="5"/>
  <c r="AV73" i="5"/>
  <c r="AX73" i="5"/>
  <c r="AN73" i="5"/>
  <c r="AK60" i="5"/>
  <c r="AJ59" i="5"/>
  <c r="AN72" i="5"/>
  <c r="U31" i="51" l="1"/>
  <c r="W31" i="51" s="1"/>
  <c r="Y31" i="51" s="1"/>
  <c r="U29" i="54"/>
  <c r="W29" i="54" s="1"/>
  <c r="Y29" i="54" s="1"/>
  <c r="AT32" i="65"/>
  <c r="BB32" i="54"/>
  <c r="BF31" i="54"/>
  <c r="AT30" i="55"/>
  <c r="S31" i="56"/>
  <c r="I32" i="56"/>
  <c r="BB32" i="55"/>
  <c r="BF31" i="55"/>
  <c r="AR32" i="54"/>
  <c r="AV31" i="54"/>
  <c r="AL33" i="65"/>
  <c r="AF34" i="65"/>
  <c r="AR32" i="55"/>
  <c r="AV31" i="55"/>
  <c r="AR32" i="56"/>
  <c r="AV31" i="56"/>
  <c r="Y35" i="72"/>
  <c r="Y50" i="72" s="1"/>
  <c r="M53" i="32" s="1"/>
  <c r="W50" i="72"/>
  <c r="K53" i="32" s="1"/>
  <c r="S40" i="65"/>
  <c r="M41" i="65"/>
  <c r="AR34" i="65"/>
  <c r="AV33" i="65"/>
  <c r="AR43" i="65"/>
  <c r="AV42" i="65"/>
  <c r="BB34" i="65"/>
  <c r="BF33" i="65"/>
  <c r="AF34" i="51"/>
  <c r="AL33" i="51"/>
  <c r="I32" i="55"/>
  <c r="S31" i="55"/>
  <c r="W28" i="56"/>
  <c r="AT30" i="56"/>
  <c r="AX30" i="56" s="1"/>
  <c r="U30" i="56" s="1"/>
  <c r="W30" i="56" s="1"/>
  <c r="Y30" i="56" s="1"/>
  <c r="AR34" i="51"/>
  <c r="AV33" i="51"/>
  <c r="Y39" i="73"/>
  <c r="Y52" i="73" s="1"/>
  <c r="M42" i="32" s="1"/>
  <c r="W52" i="73"/>
  <c r="K42" i="32" s="1"/>
  <c r="U28" i="55"/>
  <c r="BB32" i="56"/>
  <c r="BF31" i="56"/>
  <c r="S33" i="51"/>
  <c r="I34" i="51"/>
  <c r="AT32" i="51"/>
  <c r="AX32" i="51" s="1"/>
  <c r="AX67" i="74"/>
  <c r="U67" i="74" s="1"/>
  <c r="W67" i="74" s="1"/>
  <c r="Y67" i="74" s="1"/>
  <c r="AL31" i="56"/>
  <c r="AF32" i="56"/>
  <c r="AT30" i="54"/>
  <c r="S52" i="65"/>
  <c r="M53" i="65"/>
  <c r="W30" i="51"/>
  <c r="AL31" i="55"/>
  <c r="AT31" i="55" s="1"/>
  <c r="AF32" i="55"/>
  <c r="BB34" i="51"/>
  <c r="BF33" i="51"/>
  <c r="S31" i="54"/>
  <c r="I32" i="54"/>
  <c r="AF43" i="65"/>
  <c r="AL42" i="65"/>
  <c r="AX30" i="54"/>
  <c r="U30" i="54" s="1"/>
  <c r="W30" i="54" s="1"/>
  <c r="Y30" i="54" s="1"/>
  <c r="AX32" i="65"/>
  <c r="U32" i="65" s="1"/>
  <c r="AL31" i="54"/>
  <c r="AF32" i="54"/>
  <c r="W28" i="54"/>
  <c r="AN56" i="70"/>
  <c r="AP56" i="70" s="1"/>
  <c r="AV56" i="70" s="1"/>
  <c r="AX56" i="70" s="1"/>
  <c r="U56" i="70" s="1"/>
  <c r="W56" i="70" s="1"/>
  <c r="Y56" i="70" s="1"/>
  <c r="AN67" i="63"/>
  <c r="AP67" i="63" s="1"/>
  <c r="AV67" i="63" s="1"/>
  <c r="AX67" i="63" s="1"/>
  <c r="U67" i="63" s="1"/>
  <c r="W67" i="63" s="1"/>
  <c r="Y67" i="63" s="1"/>
  <c r="AN67" i="61"/>
  <c r="AP67" i="61" s="1"/>
  <c r="AV67" i="61" s="1"/>
  <c r="AX67" i="61" s="1"/>
  <c r="U67" i="61" s="1"/>
  <c r="W67" i="61" s="1"/>
  <c r="Y67" i="61" s="1"/>
  <c r="AN67" i="60"/>
  <c r="AP67" i="60" s="1"/>
  <c r="AV67" i="60" s="1"/>
  <c r="AX67" i="60" s="1"/>
  <c r="U67" i="60" s="1"/>
  <c r="AN66" i="65"/>
  <c r="AP66" i="65" s="1"/>
  <c r="AN67" i="62"/>
  <c r="AP67" i="62" s="1"/>
  <c r="AV67" i="62" s="1"/>
  <c r="AX67" i="62" s="1"/>
  <c r="U67" i="62" s="1"/>
  <c r="W67" i="62" s="1"/>
  <c r="Y67" i="62" s="1"/>
  <c r="AN67" i="59"/>
  <c r="AP67" i="59" s="1"/>
  <c r="AV67" i="59" s="1"/>
  <c r="AX67" i="59" s="1"/>
  <c r="U67" i="59" s="1"/>
  <c r="W67" i="59" s="1"/>
  <c r="Y67" i="59" s="1"/>
  <c r="AP54" i="67"/>
  <c r="AV53" i="68"/>
  <c r="AX53" i="68" s="1"/>
  <c r="H65" i="5"/>
  <c r="AN55" i="68"/>
  <c r="AP55" i="68" s="1"/>
  <c r="AV55" i="68" s="1"/>
  <c r="AX55" i="68" s="1"/>
  <c r="U55" i="68" s="1"/>
  <c r="W55" i="68" s="1"/>
  <c r="Y55" i="68" s="1"/>
  <c r="AN55" i="67"/>
  <c r="AP55" i="67" s="1"/>
  <c r="AV55" i="67" s="1"/>
  <c r="AN56" i="66"/>
  <c r="AP56" i="66" s="1"/>
  <c r="AV56" i="66" s="1"/>
  <c r="AN68" i="24"/>
  <c r="AP68" i="24" s="1"/>
  <c r="W51" i="68"/>
  <c r="AN67" i="58"/>
  <c r="AP67" i="58" s="1"/>
  <c r="AN68" i="57"/>
  <c r="AP68" i="57" s="1"/>
  <c r="G65" i="5"/>
  <c r="AN68" i="74" s="1"/>
  <c r="AN69" i="31"/>
  <c r="AP69" i="31" s="1"/>
  <c r="BB36" i="40"/>
  <c r="BF35" i="40"/>
  <c r="AL49" i="19"/>
  <c r="AF50" i="19"/>
  <c r="BF49" i="19"/>
  <c r="BB50" i="19"/>
  <c r="AT48" i="19"/>
  <c r="AX74" i="5"/>
  <c r="AV74" i="5"/>
  <c r="AW75" i="5"/>
  <c r="AJ60" i="5"/>
  <c r="AK61" i="5"/>
  <c r="S32" i="23" l="1"/>
  <c r="U32" i="23" s="1"/>
  <c r="H32" i="23"/>
  <c r="J32" i="23" s="1"/>
  <c r="S39" i="23"/>
  <c r="U39" i="23" s="1"/>
  <c r="H39" i="23"/>
  <c r="J39" i="23" s="1"/>
  <c r="AX31" i="55"/>
  <c r="U31" i="55" s="1"/>
  <c r="W31" i="55" s="1"/>
  <c r="Y31" i="55" s="1"/>
  <c r="AT31" i="56"/>
  <c r="AX31" i="56" s="1"/>
  <c r="U31" i="56" s="1"/>
  <c r="W31" i="56" s="1"/>
  <c r="Y31" i="56" s="1"/>
  <c r="U32" i="51"/>
  <c r="AF44" i="65"/>
  <c r="AL43" i="65"/>
  <c r="BB33" i="56"/>
  <c r="BF32" i="56"/>
  <c r="AR35" i="51"/>
  <c r="AV34" i="51"/>
  <c r="AL34" i="51"/>
  <c r="AF35" i="51"/>
  <c r="AR44" i="65"/>
  <c r="AV43" i="65"/>
  <c r="BB33" i="55"/>
  <c r="BF32" i="55"/>
  <c r="AF33" i="54"/>
  <c r="AL32" i="54"/>
  <c r="I33" i="54"/>
  <c r="S32" i="54"/>
  <c r="BB35" i="51"/>
  <c r="BF34" i="51"/>
  <c r="Y30" i="51"/>
  <c r="S34" i="51"/>
  <c r="I35" i="51"/>
  <c r="W28" i="55"/>
  <c r="AR33" i="55"/>
  <c r="AV32" i="55"/>
  <c r="S32" i="56"/>
  <c r="I33" i="56"/>
  <c r="AX30" i="55"/>
  <c r="Y28" i="54"/>
  <c r="AF33" i="55"/>
  <c r="AL32" i="55"/>
  <c r="S53" i="65"/>
  <c r="M54" i="65"/>
  <c r="I33" i="55"/>
  <c r="S32" i="55"/>
  <c r="BB35" i="65"/>
  <c r="BF34" i="65"/>
  <c r="AR35" i="65"/>
  <c r="AV34" i="65"/>
  <c r="AR33" i="56"/>
  <c r="AV32" i="56"/>
  <c r="AF35" i="65"/>
  <c r="AL34" i="65"/>
  <c r="AR33" i="54"/>
  <c r="AV32" i="54"/>
  <c r="AT31" i="54"/>
  <c r="AX31" i="54" s="1"/>
  <c r="U31" i="54" s="1"/>
  <c r="W31" i="54" s="1"/>
  <c r="Y31" i="54" s="1"/>
  <c r="AF33" i="56"/>
  <c r="AL32" i="56"/>
  <c r="Y28" i="56"/>
  <c r="AT33" i="51"/>
  <c r="AX33" i="51" s="1"/>
  <c r="U33" i="51" s="1"/>
  <c r="W33" i="51" s="1"/>
  <c r="Y33" i="51" s="1"/>
  <c r="S41" i="65"/>
  <c r="M42" i="65"/>
  <c r="AT33" i="65"/>
  <c r="BB33" i="54"/>
  <c r="BF32" i="54"/>
  <c r="AP68" i="74"/>
  <c r="AN57" i="70"/>
  <c r="AN68" i="61"/>
  <c r="AN68" i="63"/>
  <c r="AN68" i="60"/>
  <c r="AN68" i="62"/>
  <c r="AN67" i="65"/>
  <c r="AP67" i="65" s="1"/>
  <c r="AN68" i="59"/>
  <c r="Y51" i="68"/>
  <c r="U53" i="68"/>
  <c r="H66" i="5"/>
  <c r="AN56" i="68"/>
  <c r="AP56" i="68" s="1"/>
  <c r="AV56" i="68" s="1"/>
  <c r="AX56" i="68" s="1"/>
  <c r="U56" i="68" s="1"/>
  <c r="W56" i="68" s="1"/>
  <c r="Y56" i="68" s="1"/>
  <c r="AN56" i="67"/>
  <c r="AP56" i="67" s="1"/>
  <c r="AV56" i="67" s="1"/>
  <c r="AN57" i="66"/>
  <c r="AN69" i="24"/>
  <c r="AV54" i="67"/>
  <c r="AN68" i="58"/>
  <c r="AN69" i="57"/>
  <c r="G66" i="5"/>
  <c r="AN70" i="31"/>
  <c r="BF36" i="40"/>
  <c r="BB37" i="40"/>
  <c r="BF50" i="19"/>
  <c r="BB51" i="19"/>
  <c r="AF51" i="19"/>
  <c r="AL50" i="19"/>
  <c r="AT49" i="19"/>
  <c r="AK62" i="5"/>
  <c r="AJ61" i="5"/>
  <c r="AN74" i="5"/>
  <c r="AW76" i="5"/>
  <c r="AV75" i="5"/>
  <c r="AX75" i="5"/>
  <c r="AN75" i="5"/>
  <c r="AT32" i="56" l="1"/>
  <c r="S54" i="65"/>
  <c r="M55" i="65"/>
  <c r="U30" i="55"/>
  <c r="S33" i="54"/>
  <c r="I34" i="54"/>
  <c r="AR45" i="65"/>
  <c r="AV44" i="65"/>
  <c r="AF45" i="65"/>
  <c r="AL44" i="65"/>
  <c r="W32" i="51"/>
  <c r="AR34" i="54"/>
  <c r="AV33" i="54"/>
  <c r="AR34" i="56"/>
  <c r="AV33" i="56"/>
  <c r="BB36" i="65"/>
  <c r="BF35" i="65"/>
  <c r="I34" i="56"/>
  <c r="S33" i="56"/>
  <c r="Y28" i="55"/>
  <c r="BB36" i="51"/>
  <c r="BF35" i="51"/>
  <c r="AT32" i="54"/>
  <c r="AX32" i="56"/>
  <c r="AT34" i="65"/>
  <c r="AX34" i="65" s="1"/>
  <c r="U34" i="65" s="1"/>
  <c r="AT32" i="55"/>
  <c r="AR34" i="55"/>
  <c r="AV33" i="55"/>
  <c r="BB34" i="55"/>
  <c r="BF33" i="55"/>
  <c r="AL35" i="51"/>
  <c r="AF36" i="51"/>
  <c r="BB34" i="56"/>
  <c r="BF33" i="56"/>
  <c r="BB34" i="54"/>
  <c r="BF33" i="54"/>
  <c r="S42" i="65"/>
  <c r="M43" i="65"/>
  <c r="AL33" i="56"/>
  <c r="AF34" i="56"/>
  <c r="AL35" i="65"/>
  <c r="AT35" i="65" s="1"/>
  <c r="AF36" i="65"/>
  <c r="AR36" i="65"/>
  <c r="AV35" i="65"/>
  <c r="I34" i="55"/>
  <c r="S33" i="55"/>
  <c r="AL33" i="55"/>
  <c r="AF34" i="55"/>
  <c r="AX33" i="65"/>
  <c r="U33" i="65" s="1"/>
  <c r="I36" i="51"/>
  <c r="S35" i="51"/>
  <c r="AL33" i="54"/>
  <c r="AF34" i="54"/>
  <c r="AT34" i="51"/>
  <c r="AR36" i="51"/>
  <c r="AV35" i="51"/>
  <c r="AV68" i="74"/>
  <c r="AP68" i="60"/>
  <c r="AP68" i="59"/>
  <c r="AP68" i="63"/>
  <c r="G67" i="5"/>
  <c r="AN68" i="65"/>
  <c r="AP68" i="61"/>
  <c r="AP68" i="62"/>
  <c r="AP57" i="70"/>
  <c r="AN68" i="70"/>
  <c r="W53" i="68"/>
  <c r="AP69" i="24"/>
  <c r="AN71" i="24"/>
  <c r="H67" i="5"/>
  <c r="AN57" i="68"/>
  <c r="AN57" i="67"/>
  <c r="AP57" i="66"/>
  <c r="AN59" i="66"/>
  <c r="AP69" i="57"/>
  <c r="AP68" i="58"/>
  <c r="AP70" i="31"/>
  <c r="BB38" i="40"/>
  <c r="BF37" i="40"/>
  <c r="AT50" i="19"/>
  <c r="AF52" i="19"/>
  <c r="AF53" i="19" s="1"/>
  <c r="AL51" i="19"/>
  <c r="BB52" i="19"/>
  <c r="BB53" i="19" s="1"/>
  <c r="BF51" i="19"/>
  <c r="AJ62" i="5"/>
  <c r="AK63" i="5"/>
  <c r="AX76" i="5"/>
  <c r="AW77" i="5"/>
  <c r="AV76" i="5"/>
  <c r="AT35" i="51" l="1"/>
  <c r="AX35" i="51" s="1"/>
  <c r="U35" i="51" s="1"/>
  <c r="W35" i="51" s="1"/>
  <c r="Y35" i="51" s="1"/>
  <c r="AX35" i="65"/>
  <c r="U35" i="65" s="1"/>
  <c r="AF35" i="55"/>
  <c r="AL34" i="55"/>
  <c r="S43" i="65"/>
  <c r="M44" i="65"/>
  <c r="BB35" i="54"/>
  <c r="BF34" i="54"/>
  <c r="BB35" i="56"/>
  <c r="BF34" i="56"/>
  <c r="I35" i="56"/>
  <c r="S34" i="56"/>
  <c r="AR35" i="56"/>
  <c r="AV34" i="56"/>
  <c r="AF46" i="65"/>
  <c r="AL45" i="65"/>
  <c r="I37" i="51"/>
  <c r="S36" i="51"/>
  <c r="AT33" i="55"/>
  <c r="AX33" i="55" s="1"/>
  <c r="U33" i="55" s="1"/>
  <c r="W33" i="55" s="1"/>
  <c r="Y33" i="55" s="1"/>
  <c r="AR37" i="65"/>
  <c r="AV37" i="65" s="1"/>
  <c r="AV36" i="65"/>
  <c r="AX34" i="51"/>
  <c r="U34" i="51" s="1"/>
  <c r="AR35" i="55"/>
  <c r="AV34" i="55"/>
  <c r="Y32" i="51"/>
  <c r="AX32" i="54"/>
  <c r="AR37" i="51"/>
  <c r="AV36" i="51"/>
  <c r="AF35" i="54"/>
  <c r="AL34" i="54"/>
  <c r="AF35" i="56"/>
  <c r="AL34" i="56"/>
  <c r="AL36" i="51"/>
  <c r="AF37" i="51"/>
  <c r="BB35" i="55"/>
  <c r="BF34" i="55"/>
  <c r="AX32" i="55"/>
  <c r="U32" i="56"/>
  <c r="BB37" i="65"/>
  <c r="BF36" i="65"/>
  <c r="AR35" i="54"/>
  <c r="AV34" i="54"/>
  <c r="AR46" i="65"/>
  <c r="AV45" i="65"/>
  <c r="W30" i="55"/>
  <c r="I35" i="55"/>
  <c r="S34" i="55"/>
  <c r="AF37" i="65"/>
  <c r="AL37" i="65" s="1"/>
  <c r="AL36" i="65"/>
  <c r="AT33" i="56"/>
  <c r="AT33" i="54"/>
  <c r="AX33" i="54" s="1"/>
  <c r="U33" i="54" s="1"/>
  <c r="W33" i="54" s="1"/>
  <c r="Y33" i="54" s="1"/>
  <c r="BB37" i="51"/>
  <c r="BF36" i="51"/>
  <c r="I35" i="54"/>
  <c r="S34" i="54"/>
  <c r="S55" i="65"/>
  <c r="M56" i="65"/>
  <c r="AX68" i="74"/>
  <c r="AP68" i="65"/>
  <c r="AN75" i="65"/>
  <c r="AV68" i="62"/>
  <c r="AV68" i="59"/>
  <c r="AV57" i="70"/>
  <c r="AP68" i="70"/>
  <c r="AV68" i="61"/>
  <c r="AV68" i="63"/>
  <c r="AV68" i="60"/>
  <c r="AP57" i="67"/>
  <c r="AN59" i="67"/>
  <c r="AP57" i="68"/>
  <c r="AN59" i="68"/>
  <c r="AV57" i="66"/>
  <c r="AV59" i="66" s="1"/>
  <c r="AP59" i="66"/>
  <c r="Y53" i="68"/>
  <c r="BB39" i="40"/>
  <c r="BF38" i="40"/>
  <c r="BF53" i="19"/>
  <c r="BB54" i="19"/>
  <c r="AL53" i="19"/>
  <c r="AF54" i="19"/>
  <c r="AT51" i="19"/>
  <c r="AL52" i="19"/>
  <c r="BF52" i="19"/>
  <c r="AN76" i="5"/>
  <c r="AK64" i="5"/>
  <c r="AJ63" i="5"/>
  <c r="AW78" i="5"/>
  <c r="AV77" i="5"/>
  <c r="AN77" i="5"/>
  <c r="AX77" i="5"/>
  <c r="AT34" i="56" l="1"/>
  <c r="AX34" i="56" s="1"/>
  <c r="U34" i="56" s="1"/>
  <c r="W34" i="56" s="1"/>
  <c r="Y34" i="56" s="1"/>
  <c r="AT36" i="65"/>
  <c r="W32" i="56"/>
  <c r="BB36" i="55"/>
  <c r="BF35" i="55"/>
  <c r="AL35" i="54"/>
  <c r="AF36" i="54"/>
  <c r="U32" i="54"/>
  <c r="W34" i="51"/>
  <c r="AF47" i="65"/>
  <c r="AL46" i="65"/>
  <c r="S35" i="56"/>
  <c r="I36" i="56"/>
  <c r="AT34" i="54"/>
  <c r="AT34" i="55"/>
  <c r="BB38" i="51"/>
  <c r="BF37" i="51"/>
  <c r="AX33" i="56"/>
  <c r="S35" i="55"/>
  <c r="I36" i="55"/>
  <c r="AR47" i="65"/>
  <c r="AV46" i="65"/>
  <c r="BB38" i="65"/>
  <c r="BF37" i="65"/>
  <c r="AT37" i="65" s="1"/>
  <c r="AX37" i="65" s="1"/>
  <c r="U37" i="65" s="1"/>
  <c r="AF38" i="51"/>
  <c r="AL37" i="51"/>
  <c r="AX36" i="65"/>
  <c r="U36" i="65" s="1"/>
  <c r="BB36" i="54"/>
  <c r="BF35" i="54"/>
  <c r="AL35" i="55"/>
  <c r="AF36" i="55"/>
  <c r="I36" i="54"/>
  <c r="S35" i="54"/>
  <c r="AX34" i="54"/>
  <c r="U34" i="54" s="1"/>
  <c r="W34" i="54" s="1"/>
  <c r="Y34" i="54" s="1"/>
  <c r="U32" i="55"/>
  <c r="AT36" i="51"/>
  <c r="AX36" i="51" s="1"/>
  <c r="U36" i="51" s="1"/>
  <c r="W36" i="51" s="1"/>
  <c r="Y36" i="51" s="1"/>
  <c r="AL35" i="56"/>
  <c r="AF36" i="56"/>
  <c r="I38" i="51"/>
  <c r="S37" i="51"/>
  <c r="AR36" i="56"/>
  <c r="AV35" i="56"/>
  <c r="S44" i="65"/>
  <c r="M45" i="65"/>
  <c r="S56" i="65"/>
  <c r="M57" i="65"/>
  <c r="Y30" i="55"/>
  <c r="AR36" i="54"/>
  <c r="AV35" i="54"/>
  <c r="AR38" i="51"/>
  <c r="AV37" i="51"/>
  <c r="AR36" i="55"/>
  <c r="AV35" i="55"/>
  <c r="BB36" i="56"/>
  <c r="BF35" i="56"/>
  <c r="U68" i="74"/>
  <c r="AX68" i="63"/>
  <c r="AX57" i="70"/>
  <c r="AV68" i="70"/>
  <c r="AX68" i="62"/>
  <c r="AX68" i="60"/>
  <c r="AX68" i="61"/>
  <c r="AX68" i="59"/>
  <c r="AP75" i="65"/>
  <c r="AV57" i="68"/>
  <c r="AP59" i="68"/>
  <c r="AV57" i="67"/>
  <c r="AV59" i="67" s="1"/>
  <c r="AP59" i="67"/>
  <c r="AT53" i="19"/>
  <c r="AX53" i="19" s="1"/>
  <c r="U53" i="19" s="1"/>
  <c r="W53" i="19" s="1"/>
  <c r="Y53" i="19" s="1"/>
  <c r="BF39" i="40"/>
  <c r="BB40" i="40"/>
  <c r="AF55" i="19"/>
  <c r="AL54" i="19"/>
  <c r="BF54" i="19"/>
  <c r="BB55" i="19"/>
  <c r="AT52" i="19"/>
  <c r="AW79" i="5"/>
  <c r="AV78" i="5"/>
  <c r="AN78" i="5"/>
  <c r="AX78" i="5"/>
  <c r="AK65" i="5"/>
  <c r="AJ64" i="5"/>
  <c r="AT37" i="51" l="1"/>
  <c r="AX37" i="51" s="1"/>
  <c r="U37" i="51" s="1"/>
  <c r="W37" i="51" s="1"/>
  <c r="Y37" i="51" s="1"/>
  <c r="AR37" i="55"/>
  <c r="AV36" i="55"/>
  <c r="I39" i="51"/>
  <c r="S38" i="51"/>
  <c r="AT35" i="56"/>
  <c r="AX35" i="56" s="1"/>
  <c r="U35" i="56" s="1"/>
  <c r="W35" i="56" s="1"/>
  <c r="Y35" i="56" s="1"/>
  <c r="S36" i="54"/>
  <c r="I37" i="54"/>
  <c r="BB37" i="54"/>
  <c r="BF36" i="54"/>
  <c r="S36" i="55"/>
  <c r="I37" i="55"/>
  <c r="S36" i="56"/>
  <c r="I37" i="56"/>
  <c r="AL36" i="54"/>
  <c r="AF37" i="54"/>
  <c r="BB37" i="55"/>
  <c r="BF36" i="55"/>
  <c r="AR37" i="54"/>
  <c r="AV36" i="54"/>
  <c r="S57" i="65"/>
  <c r="M58" i="65"/>
  <c r="AF37" i="55"/>
  <c r="AL36" i="55"/>
  <c r="BB39" i="65"/>
  <c r="BF38" i="65"/>
  <c r="AT38" i="65" s="1"/>
  <c r="AX38" i="65" s="1"/>
  <c r="U38" i="65" s="1"/>
  <c r="W38" i="65" s="1"/>
  <c r="Y38" i="65" s="1"/>
  <c r="BB39" i="51"/>
  <c r="BF38" i="51"/>
  <c r="Y34" i="51"/>
  <c r="BB37" i="56"/>
  <c r="BF36" i="56"/>
  <c r="AR39" i="51"/>
  <c r="AV38" i="51"/>
  <c r="AR37" i="56"/>
  <c r="AV36" i="56"/>
  <c r="AT35" i="55"/>
  <c r="AX35" i="55" s="1"/>
  <c r="U35" i="55" s="1"/>
  <c r="W35" i="55" s="1"/>
  <c r="Y35" i="55" s="1"/>
  <c r="AX34" i="55"/>
  <c r="Y32" i="56"/>
  <c r="S45" i="65"/>
  <c r="M46" i="65"/>
  <c r="S46" i="65" s="1"/>
  <c r="AL36" i="56"/>
  <c r="AF37" i="56"/>
  <c r="W32" i="55"/>
  <c r="AT35" i="54"/>
  <c r="AX35" i="54" s="1"/>
  <c r="U35" i="54" s="1"/>
  <c r="AF39" i="51"/>
  <c r="AL38" i="51"/>
  <c r="AR48" i="65"/>
  <c r="AV47" i="65"/>
  <c r="U33" i="56"/>
  <c r="AF48" i="65"/>
  <c r="AL47" i="65"/>
  <c r="W32" i="54"/>
  <c r="W68" i="74"/>
  <c r="U68" i="59"/>
  <c r="U68" i="60"/>
  <c r="U57" i="70"/>
  <c r="AX68" i="70"/>
  <c r="U68" i="61"/>
  <c r="U68" i="62"/>
  <c r="U68" i="63"/>
  <c r="AV59" i="68"/>
  <c r="AX57" i="68"/>
  <c r="BB41" i="40"/>
  <c r="BF40" i="40"/>
  <c r="AT54" i="19"/>
  <c r="AX54" i="19" s="1"/>
  <c r="U54" i="19" s="1"/>
  <c r="W54" i="19" s="1"/>
  <c r="Y54" i="19" s="1"/>
  <c r="BF55" i="19"/>
  <c r="BB56" i="19"/>
  <c r="AF56" i="19"/>
  <c r="AL55" i="19"/>
  <c r="AV79" i="5"/>
  <c r="AN79" i="5"/>
  <c r="AW80" i="5"/>
  <c r="AX79" i="5"/>
  <c r="AK66" i="5"/>
  <c r="AJ65" i="5"/>
  <c r="AT38" i="51" l="1"/>
  <c r="AT36" i="54"/>
  <c r="AX36" i="54" s="1"/>
  <c r="U36" i="54" s="1"/>
  <c r="W36" i="54" s="1"/>
  <c r="Y36" i="54" s="1"/>
  <c r="W35" i="54"/>
  <c r="Y35" i="54" s="1"/>
  <c r="AR38" i="56"/>
  <c r="AV37" i="56"/>
  <c r="S58" i="65"/>
  <c r="M59" i="65"/>
  <c r="I40" i="51"/>
  <c r="S39" i="51"/>
  <c r="AF49" i="65"/>
  <c r="AL48" i="65"/>
  <c r="AR49" i="65"/>
  <c r="AV48" i="65"/>
  <c r="AF38" i="56"/>
  <c r="AL37" i="56"/>
  <c r="BB38" i="56"/>
  <c r="BF37" i="56"/>
  <c r="BB40" i="65"/>
  <c r="BF39" i="65"/>
  <c r="AT39" i="65" s="1"/>
  <c r="AX39" i="65" s="1"/>
  <c r="U39" i="65" s="1"/>
  <c r="W39" i="65" s="1"/>
  <c r="Y39" i="65" s="1"/>
  <c r="BB38" i="55"/>
  <c r="BF37" i="55"/>
  <c r="I38" i="56"/>
  <c r="S37" i="56"/>
  <c r="AT36" i="56"/>
  <c r="AX36" i="56" s="1"/>
  <c r="U36" i="56" s="1"/>
  <c r="W36" i="56" s="1"/>
  <c r="Y36" i="56" s="1"/>
  <c r="AX38" i="51"/>
  <c r="U38" i="51" s="1"/>
  <c r="W38" i="51" s="1"/>
  <c r="BB40" i="51"/>
  <c r="BF39" i="51"/>
  <c r="AT36" i="55"/>
  <c r="AL37" i="54"/>
  <c r="AF38" i="54"/>
  <c r="BB38" i="54"/>
  <c r="BF37" i="54"/>
  <c r="Y32" i="54"/>
  <c r="W33" i="56"/>
  <c r="AL39" i="51"/>
  <c r="AF40" i="51"/>
  <c r="Y32" i="55"/>
  <c r="U34" i="55"/>
  <c r="AR40" i="51"/>
  <c r="AV39" i="51"/>
  <c r="AL37" i="55"/>
  <c r="AF38" i="55"/>
  <c r="AR38" i="54"/>
  <c r="AV37" i="54"/>
  <c r="S37" i="55"/>
  <c r="I38" i="55"/>
  <c r="I38" i="54"/>
  <c r="S37" i="54"/>
  <c r="AR38" i="55"/>
  <c r="AV37" i="55"/>
  <c r="Y68" i="74"/>
  <c r="W68" i="62"/>
  <c r="Y68" i="62" s="1"/>
  <c r="W57" i="70"/>
  <c r="U68" i="70"/>
  <c r="I17" i="32" s="1"/>
  <c r="W68" i="63"/>
  <c r="Y68" i="63" s="1"/>
  <c r="W68" i="61"/>
  <c r="Y68" i="61" s="1"/>
  <c r="U57" i="68"/>
  <c r="AX59" i="68"/>
  <c r="BB42" i="40"/>
  <c r="BF41" i="40"/>
  <c r="AT55" i="19"/>
  <c r="AX55" i="19" s="1"/>
  <c r="U55" i="19" s="1"/>
  <c r="W55" i="19" s="1"/>
  <c r="Y55" i="19" s="1"/>
  <c r="BB57" i="19"/>
  <c r="BF56" i="19"/>
  <c r="AL56" i="19"/>
  <c r="AF57" i="19"/>
  <c r="AJ66" i="5"/>
  <c r="AK67" i="5"/>
  <c r="AV80" i="5"/>
  <c r="AW81" i="5"/>
  <c r="AX80" i="5"/>
  <c r="AT39" i="51" l="1"/>
  <c r="AX39" i="51" s="1"/>
  <c r="U39" i="51" s="1"/>
  <c r="W39" i="51" s="1"/>
  <c r="Y39" i="51" s="1"/>
  <c r="AT37" i="55"/>
  <c r="AX37" i="55" s="1"/>
  <c r="U37" i="55" s="1"/>
  <c r="W37" i="55" s="1"/>
  <c r="Y37" i="55" s="1"/>
  <c r="AT37" i="54"/>
  <c r="AX37" i="54" s="1"/>
  <c r="U37" i="54" s="1"/>
  <c r="W37" i="54" s="1"/>
  <c r="S38" i="55"/>
  <c r="I39" i="55"/>
  <c r="AF39" i="55"/>
  <c r="AL38" i="55"/>
  <c r="AF41" i="51"/>
  <c r="AL40" i="51"/>
  <c r="Y38" i="51"/>
  <c r="AR39" i="55"/>
  <c r="AV38" i="55"/>
  <c r="W34" i="55"/>
  <c r="BB39" i="54"/>
  <c r="BF38" i="54"/>
  <c r="AX36" i="55"/>
  <c r="BB39" i="55"/>
  <c r="BF38" i="55"/>
  <c r="BB39" i="56"/>
  <c r="BF38" i="56"/>
  <c r="AR50" i="65"/>
  <c r="AV49" i="65"/>
  <c r="AF39" i="54"/>
  <c r="AL38" i="54"/>
  <c r="AT37" i="56"/>
  <c r="AX37" i="56" s="1"/>
  <c r="U37" i="56" s="1"/>
  <c r="S40" i="51"/>
  <c r="I41" i="51"/>
  <c r="AR39" i="56"/>
  <c r="AV38" i="56"/>
  <c r="I39" i="54"/>
  <c r="S38" i="54"/>
  <c r="AR39" i="54"/>
  <c r="AV38" i="54"/>
  <c r="AR41" i="51"/>
  <c r="AV40" i="51"/>
  <c r="Y33" i="56"/>
  <c r="BB41" i="51"/>
  <c r="BF40" i="51"/>
  <c r="S38" i="56"/>
  <c r="I39" i="56"/>
  <c r="BB41" i="65"/>
  <c r="BF40" i="65"/>
  <c r="AT40" i="65" s="1"/>
  <c r="AX40" i="65" s="1"/>
  <c r="AF39" i="56"/>
  <c r="AL38" i="56"/>
  <c r="AF50" i="65"/>
  <c r="AL49" i="65"/>
  <c r="S59" i="65"/>
  <c r="M60" i="65"/>
  <c r="Y57" i="70"/>
  <c r="Y68" i="70" s="1"/>
  <c r="M17" i="32" s="1"/>
  <c r="H15" i="23" s="1"/>
  <c r="J15" i="23" s="1"/>
  <c r="W68" i="70"/>
  <c r="K17" i="32" s="1"/>
  <c r="W57" i="68"/>
  <c r="U59" i="68"/>
  <c r="I52" i="32" s="1"/>
  <c r="BB43" i="40"/>
  <c r="BF42" i="40"/>
  <c r="AT56" i="19"/>
  <c r="AX56" i="19" s="1"/>
  <c r="U56" i="19" s="1"/>
  <c r="W56" i="19" s="1"/>
  <c r="Y56" i="19" s="1"/>
  <c r="AL57" i="19"/>
  <c r="AF58" i="19"/>
  <c r="BB58" i="19"/>
  <c r="BF57" i="19"/>
  <c r="AN80" i="5"/>
  <c r="AX81" i="5"/>
  <c r="AN81" i="5"/>
  <c r="AV81" i="5"/>
  <c r="AW82" i="5"/>
  <c r="AK68" i="5"/>
  <c r="AJ67" i="5"/>
  <c r="S15" i="23" l="1"/>
  <c r="U15" i="23" s="1"/>
  <c r="AT38" i="56"/>
  <c r="AX38" i="56" s="1"/>
  <c r="U38" i="56" s="1"/>
  <c r="W38" i="56" s="1"/>
  <c r="Y38" i="56" s="1"/>
  <c r="AF40" i="56"/>
  <c r="AL39" i="56"/>
  <c r="AR42" i="51"/>
  <c r="AV41" i="51"/>
  <c r="I40" i="54"/>
  <c r="S39" i="54"/>
  <c r="AR40" i="56"/>
  <c r="AV39" i="56"/>
  <c r="AT38" i="54"/>
  <c r="AX38" i="54" s="1"/>
  <c r="U38" i="54" s="1"/>
  <c r="W38" i="54" s="1"/>
  <c r="Y38" i="54" s="1"/>
  <c r="AT38" i="55"/>
  <c r="AX38" i="55" s="1"/>
  <c r="U38" i="55" s="1"/>
  <c r="W38" i="55" s="1"/>
  <c r="Y38" i="55" s="1"/>
  <c r="U40" i="65"/>
  <c r="S41" i="51"/>
  <c r="I42" i="51"/>
  <c r="AF40" i="54"/>
  <c r="AL39" i="54"/>
  <c r="AR51" i="65"/>
  <c r="AV50" i="65"/>
  <c r="BB40" i="55"/>
  <c r="BF39" i="55"/>
  <c r="BB40" i="54"/>
  <c r="BF39" i="54"/>
  <c r="AL39" i="55"/>
  <c r="AF40" i="55"/>
  <c r="AF51" i="65"/>
  <c r="AL50" i="65"/>
  <c r="BB42" i="65"/>
  <c r="BF41" i="65"/>
  <c r="AT41" i="65" s="1"/>
  <c r="AX41" i="65" s="1"/>
  <c r="U41" i="65" s="1"/>
  <c r="W41" i="65" s="1"/>
  <c r="Y41" i="65" s="1"/>
  <c r="BB42" i="51"/>
  <c r="BF41" i="51"/>
  <c r="AR40" i="54"/>
  <c r="AV39" i="54"/>
  <c r="AR40" i="55"/>
  <c r="AV39" i="55"/>
  <c r="AT40" i="51"/>
  <c r="AX40" i="51" s="1"/>
  <c r="U40" i="51" s="1"/>
  <c r="W40" i="51" s="1"/>
  <c r="Y40" i="51" s="1"/>
  <c r="I40" i="55"/>
  <c r="S39" i="55"/>
  <c r="S60" i="65"/>
  <c r="M61" i="65"/>
  <c r="S39" i="56"/>
  <c r="I40" i="56"/>
  <c r="W37" i="56"/>
  <c r="Y37" i="54"/>
  <c r="BB40" i="56"/>
  <c r="BF39" i="56"/>
  <c r="U36" i="55"/>
  <c r="Y34" i="55"/>
  <c r="AF42" i="51"/>
  <c r="AL41" i="51"/>
  <c r="Y57" i="68"/>
  <c r="Y59" i="68" s="1"/>
  <c r="M52" i="32" s="1"/>
  <c r="W59" i="68"/>
  <c r="K52" i="32" s="1"/>
  <c r="BF43" i="40"/>
  <c r="BB44" i="40"/>
  <c r="BF58" i="19"/>
  <c r="BB59" i="19"/>
  <c r="AF59" i="19"/>
  <c r="AL58" i="19"/>
  <c r="AT57" i="19"/>
  <c r="AX57" i="19" s="1"/>
  <c r="U57" i="19" s="1"/>
  <c r="W57" i="19" s="1"/>
  <c r="Y57" i="19" s="1"/>
  <c r="AJ68" i="5"/>
  <c r="AK70" i="5"/>
  <c r="AW83" i="5"/>
  <c r="AV82" i="5"/>
  <c r="AX82" i="5"/>
  <c r="AN82" i="5"/>
  <c r="S38" i="23" l="1"/>
  <c r="U38" i="23" s="1"/>
  <c r="H38" i="23"/>
  <c r="J38" i="23" s="1"/>
  <c r="AT41" i="51"/>
  <c r="S40" i="56"/>
  <c r="I41" i="56"/>
  <c r="AR41" i="55"/>
  <c r="AV40" i="55"/>
  <c r="BB43" i="51"/>
  <c r="BF42" i="51"/>
  <c r="AF52" i="65"/>
  <c r="AL51" i="65"/>
  <c r="BB41" i="54"/>
  <c r="BF40" i="54"/>
  <c r="AR52" i="65"/>
  <c r="AV51" i="65"/>
  <c r="W40" i="65"/>
  <c r="Y40" i="65" s="1"/>
  <c r="AX41" i="51"/>
  <c r="U41" i="51" s="1"/>
  <c r="W41" i="51" s="1"/>
  <c r="Y41" i="51" s="1"/>
  <c r="BB41" i="56"/>
  <c r="BF40" i="56"/>
  <c r="Y37" i="56"/>
  <c r="S40" i="55"/>
  <c r="I41" i="55"/>
  <c r="AL40" i="55"/>
  <c r="AF41" i="55"/>
  <c r="AR41" i="56"/>
  <c r="AV40" i="56"/>
  <c r="AR43" i="51"/>
  <c r="AV42" i="51"/>
  <c r="S61" i="65"/>
  <c r="M62" i="65"/>
  <c r="AR41" i="54"/>
  <c r="AV40" i="54"/>
  <c r="BB43" i="65"/>
  <c r="BF42" i="65"/>
  <c r="AT42" i="65" s="1"/>
  <c r="AX42" i="65" s="1"/>
  <c r="U42" i="65" s="1"/>
  <c r="W42" i="65" s="1"/>
  <c r="Y42" i="65" s="1"/>
  <c r="AT39" i="55"/>
  <c r="AX39" i="55" s="1"/>
  <c r="U39" i="55" s="1"/>
  <c r="W39" i="55" s="1"/>
  <c r="Y39" i="55" s="1"/>
  <c r="BB41" i="55"/>
  <c r="BF40" i="55"/>
  <c r="AF41" i="54"/>
  <c r="AL40" i="54"/>
  <c r="AT39" i="56"/>
  <c r="AX39" i="56" s="1"/>
  <c r="U39" i="56" s="1"/>
  <c r="W39" i="56" s="1"/>
  <c r="Y39" i="56" s="1"/>
  <c r="AL42" i="51"/>
  <c r="AT42" i="51" s="1"/>
  <c r="AF43" i="51"/>
  <c r="W36" i="55"/>
  <c r="AT39" i="54"/>
  <c r="AX39" i="54" s="1"/>
  <c r="U39" i="54" s="1"/>
  <c r="W39" i="54" s="1"/>
  <c r="I43" i="51"/>
  <c r="S42" i="51"/>
  <c r="I41" i="54"/>
  <c r="S40" i="54"/>
  <c r="AL40" i="56"/>
  <c r="AF41" i="56"/>
  <c r="AT58" i="19"/>
  <c r="AX58" i="19" s="1"/>
  <c r="U58" i="19" s="1"/>
  <c r="W58" i="19" s="1"/>
  <c r="Y58" i="19" s="1"/>
  <c r="BB45" i="40"/>
  <c r="BF44" i="40"/>
  <c r="AF60" i="19"/>
  <c r="AL59" i="19"/>
  <c r="BF59" i="19"/>
  <c r="BB60" i="19"/>
  <c r="AK71" i="5"/>
  <c r="AJ70" i="5"/>
  <c r="AV83" i="5"/>
  <c r="AW84" i="5"/>
  <c r="AX83" i="5"/>
  <c r="AN83" i="5"/>
  <c r="AT40" i="56" l="1"/>
  <c r="AX40" i="56" s="1"/>
  <c r="U40" i="56" s="1"/>
  <c r="W40" i="56" s="1"/>
  <c r="Y40" i="56" s="1"/>
  <c r="AT40" i="55"/>
  <c r="AX40" i="55" s="1"/>
  <c r="U40" i="55" s="1"/>
  <c r="W40" i="55" s="1"/>
  <c r="Y40" i="55" s="1"/>
  <c r="Y39" i="54"/>
  <c r="I44" i="51"/>
  <c r="S43" i="51"/>
  <c r="Y36" i="55"/>
  <c r="AR42" i="54"/>
  <c r="AV41" i="54"/>
  <c r="AR44" i="51"/>
  <c r="AV43" i="51"/>
  <c r="AR53" i="65"/>
  <c r="AV52" i="65"/>
  <c r="AF53" i="65"/>
  <c r="AL52" i="65"/>
  <c r="AR42" i="55"/>
  <c r="AV41" i="55"/>
  <c r="S41" i="54"/>
  <c r="I42" i="54"/>
  <c r="AF44" i="51"/>
  <c r="AL43" i="51"/>
  <c r="AF42" i="54"/>
  <c r="AL41" i="54"/>
  <c r="S62" i="65"/>
  <c r="M63" i="65"/>
  <c r="AT40" i="54"/>
  <c r="AX40" i="54" s="1"/>
  <c r="U40" i="54" s="1"/>
  <c r="W40" i="54" s="1"/>
  <c r="Y40" i="54" s="1"/>
  <c r="AL41" i="56"/>
  <c r="AF42" i="56"/>
  <c r="BB44" i="65"/>
  <c r="BF43" i="65"/>
  <c r="AT43" i="65" s="1"/>
  <c r="AX43" i="65" s="1"/>
  <c r="AR42" i="56"/>
  <c r="AV41" i="56"/>
  <c r="S41" i="55"/>
  <c r="I42" i="55"/>
  <c r="BB42" i="54"/>
  <c r="BF41" i="54"/>
  <c r="BB44" i="51"/>
  <c r="BF43" i="51"/>
  <c r="S41" i="56"/>
  <c r="I42" i="56"/>
  <c r="BB42" i="55"/>
  <c r="BF41" i="55"/>
  <c r="AX42" i="51"/>
  <c r="U42" i="51" s="1"/>
  <c r="W42" i="51" s="1"/>
  <c r="Y42" i="51" s="1"/>
  <c r="AL41" i="55"/>
  <c r="AF42" i="55"/>
  <c r="BB42" i="56"/>
  <c r="BF41" i="56"/>
  <c r="BB46" i="40"/>
  <c r="BF45" i="40"/>
  <c r="BB61" i="19"/>
  <c r="BF60" i="19"/>
  <c r="AT59" i="19"/>
  <c r="AX59" i="19" s="1"/>
  <c r="U59" i="19" s="1"/>
  <c r="W59" i="19" s="1"/>
  <c r="Y59" i="19" s="1"/>
  <c r="AL60" i="19"/>
  <c r="AF61" i="19"/>
  <c r="AV84" i="5"/>
  <c r="AW85" i="5"/>
  <c r="AX84" i="5"/>
  <c r="AN84" i="5"/>
  <c r="AJ71" i="5"/>
  <c r="AK72" i="5"/>
  <c r="AT41" i="56" l="1"/>
  <c r="AX41" i="56" s="1"/>
  <c r="U41" i="56" s="1"/>
  <c r="W41" i="56" s="1"/>
  <c r="Y41" i="56" s="1"/>
  <c r="BB43" i="56"/>
  <c r="BF42" i="56"/>
  <c r="BB43" i="54"/>
  <c r="BF42" i="54"/>
  <c r="AR43" i="56"/>
  <c r="AV42" i="56"/>
  <c r="AF45" i="51"/>
  <c r="AL44" i="51"/>
  <c r="AR43" i="55"/>
  <c r="AV42" i="55"/>
  <c r="AR54" i="65"/>
  <c r="AV53" i="65"/>
  <c r="U43" i="65"/>
  <c r="S42" i="54"/>
  <c r="I43" i="54"/>
  <c r="AR43" i="54"/>
  <c r="AV42" i="54"/>
  <c r="I45" i="51"/>
  <c r="S44" i="51"/>
  <c r="I43" i="55"/>
  <c r="S42" i="55"/>
  <c r="BB43" i="55"/>
  <c r="BF42" i="55"/>
  <c r="BB45" i="65"/>
  <c r="BF44" i="65"/>
  <c r="AT44" i="65" s="1"/>
  <c r="AX44" i="65" s="1"/>
  <c r="U44" i="65" s="1"/>
  <c r="W44" i="65" s="1"/>
  <c r="Y44" i="65" s="1"/>
  <c r="AF43" i="54"/>
  <c r="AL42" i="54"/>
  <c r="AF54" i="65"/>
  <c r="AL53" i="65"/>
  <c r="AF43" i="55"/>
  <c r="AL42" i="55"/>
  <c r="AT41" i="55"/>
  <c r="AX41" i="55" s="1"/>
  <c r="U41" i="55" s="1"/>
  <c r="W41" i="55" s="1"/>
  <c r="Y41" i="55" s="1"/>
  <c r="BB45" i="51"/>
  <c r="BF44" i="51"/>
  <c r="I43" i="56"/>
  <c r="S42" i="56"/>
  <c r="AT41" i="54"/>
  <c r="AX41" i="54" s="1"/>
  <c r="U41" i="54" s="1"/>
  <c r="W41" i="54" s="1"/>
  <c r="Y41" i="54" s="1"/>
  <c r="AF43" i="56"/>
  <c r="AL42" i="56"/>
  <c r="AT42" i="56" s="1"/>
  <c r="AX42" i="56" s="1"/>
  <c r="U42" i="56" s="1"/>
  <c r="S63" i="65"/>
  <c r="M64" i="65"/>
  <c r="AT43" i="51"/>
  <c r="AX43" i="51" s="1"/>
  <c r="U43" i="51" s="1"/>
  <c r="W43" i="51" s="1"/>
  <c r="Y43" i="51" s="1"/>
  <c r="AR45" i="51"/>
  <c r="AV44" i="51"/>
  <c r="AT60" i="19"/>
  <c r="AX60" i="19" s="1"/>
  <c r="U60" i="19" s="1"/>
  <c r="BB47" i="40"/>
  <c r="BF46" i="40"/>
  <c r="AL61" i="19"/>
  <c r="AF62" i="19"/>
  <c r="BF61" i="19"/>
  <c r="BB62" i="19"/>
  <c r="AK73" i="5"/>
  <c r="AJ72" i="5"/>
  <c r="AX85" i="5"/>
  <c r="AN85" i="5"/>
  <c r="AW86" i="5"/>
  <c r="AV85" i="5"/>
  <c r="AT42" i="55" l="1"/>
  <c r="AX42" i="55" s="1"/>
  <c r="U42" i="55" s="1"/>
  <c r="W42" i="55" s="1"/>
  <c r="Y42" i="55" s="1"/>
  <c r="AT42" i="54"/>
  <c r="AX42" i="54" s="1"/>
  <c r="U42" i="54" s="1"/>
  <c r="W42" i="54" s="1"/>
  <c r="Y42" i="54" s="1"/>
  <c r="W42" i="56"/>
  <c r="Y42" i="56" s="1"/>
  <c r="AR46" i="51"/>
  <c r="AV45" i="51"/>
  <c r="AF44" i="54"/>
  <c r="AL43" i="54"/>
  <c r="BB44" i="55"/>
  <c r="BF43" i="55"/>
  <c r="S45" i="51"/>
  <c r="I46" i="51"/>
  <c r="AT44" i="51"/>
  <c r="AX44" i="51" s="1"/>
  <c r="U44" i="51" s="1"/>
  <c r="W44" i="51" s="1"/>
  <c r="Y44" i="51" s="1"/>
  <c r="I44" i="56"/>
  <c r="S43" i="56"/>
  <c r="AR55" i="65"/>
  <c r="AV54" i="65"/>
  <c r="AL45" i="51"/>
  <c r="AF46" i="51"/>
  <c r="BB44" i="54"/>
  <c r="BF43" i="54"/>
  <c r="AL43" i="56"/>
  <c r="AF44" i="56"/>
  <c r="AF44" i="55"/>
  <c r="AL43" i="55"/>
  <c r="AF55" i="65"/>
  <c r="AL54" i="65"/>
  <c r="BB46" i="65"/>
  <c r="BF45" i="65"/>
  <c r="AT45" i="65" s="1"/>
  <c r="AX45" i="65" s="1"/>
  <c r="U45" i="65" s="1"/>
  <c r="W45" i="65" s="1"/>
  <c r="Y45" i="65" s="1"/>
  <c r="I44" i="55"/>
  <c r="S43" i="55"/>
  <c r="AR44" i="54"/>
  <c r="AV43" i="54"/>
  <c r="W43" i="65"/>
  <c r="Y43" i="65" s="1"/>
  <c r="S64" i="65"/>
  <c r="M65" i="65"/>
  <c r="BB46" i="51"/>
  <c r="BF45" i="51"/>
  <c r="I44" i="54"/>
  <c r="S43" i="54"/>
  <c r="AR44" i="55"/>
  <c r="AV43" i="55"/>
  <c r="AR44" i="56"/>
  <c r="AV43" i="56"/>
  <c r="BB44" i="56"/>
  <c r="BF43" i="56"/>
  <c r="BF47" i="40"/>
  <c r="BB58" i="40"/>
  <c r="BF62" i="19"/>
  <c r="BF66" i="19" s="1"/>
  <c r="BB66" i="19"/>
  <c r="AL62" i="19"/>
  <c r="AF66" i="19"/>
  <c r="AT61" i="19"/>
  <c r="AX61" i="19" s="1"/>
  <c r="U61" i="19" s="1"/>
  <c r="W61" i="19" s="1"/>
  <c r="Y61" i="19" s="1"/>
  <c r="AW87" i="5"/>
  <c r="AV86" i="5"/>
  <c r="AX86" i="5"/>
  <c r="AK74" i="5"/>
  <c r="AJ73" i="5"/>
  <c r="AT43" i="55" l="1"/>
  <c r="AT43" i="54"/>
  <c r="AX43" i="54" s="1"/>
  <c r="U43" i="54" s="1"/>
  <c r="W43" i="54" s="1"/>
  <c r="Y43" i="54" s="1"/>
  <c r="AR45" i="56"/>
  <c r="AV44" i="56"/>
  <c r="I45" i="54"/>
  <c r="S44" i="54"/>
  <c r="AX43" i="55"/>
  <c r="U43" i="55" s="1"/>
  <c r="W43" i="55" s="1"/>
  <c r="Y43" i="55" s="1"/>
  <c r="I45" i="56"/>
  <c r="S44" i="56"/>
  <c r="I47" i="51"/>
  <c r="S46" i="51"/>
  <c r="AR45" i="54"/>
  <c r="AV44" i="54"/>
  <c r="BB47" i="65"/>
  <c r="BF46" i="65"/>
  <c r="AT46" i="65" s="1"/>
  <c r="AX46" i="65" s="1"/>
  <c r="U46" i="65" s="1"/>
  <c r="AL44" i="55"/>
  <c r="AF45" i="55"/>
  <c r="BB45" i="54"/>
  <c r="BF44" i="54"/>
  <c r="AR56" i="65"/>
  <c r="AV55" i="65"/>
  <c r="AL44" i="54"/>
  <c r="AF45" i="54"/>
  <c r="BB45" i="56"/>
  <c r="BF44" i="56"/>
  <c r="AR45" i="55"/>
  <c r="AV44" i="55"/>
  <c r="BB47" i="51"/>
  <c r="BF46" i="51"/>
  <c r="AL44" i="56"/>
  <c r="AF45" i="56"/>
  <c r="AL46" i="51"/>
  <c r="AF47" i="51"/>
  <c r="S65" i="65"/>
  <c r="M66" i="65"/>
  <c r="S44" i="55"/>
  <c r="I45" i="55"/>
  <c r="AF56" i="65"/>
  <c r="AL55" i="65"/>
  <c r="AT43" i="56"/>
  <c r="AX43" i="56" s="1"/>
  <c r="U43" i="56" s="1"/>
  <c r="W43" i="56" s="1"/>
  <c r="Y43" i="56" s="1"/>
  <c r="AT45" i="51"/>
  <c r="AX45" i="51" s="1"/>
  <c r="U45" i="51" s="1"/>
  <c r="W45" i="51" s="1"/>
  <c r="Y45" i="51" s="1"/>
  <c r="BB45" i="55"/>
  <c r="BF44" i="55"/>
  <c r="AR47" i="51"/>
  <c r="AV46" i="51"/>
  <c r="BF58" i="40"/>
  <c r="AT47" i="40"/>
  <c r="AX47" i="40" s="1"/>
  <c r="U47" i="40" s="1"/>
  <c r="AT62" i="19"/>
  <c r="AL66" i="19"/>
  <c r="AK75" i="5"/>
  <c r="AJ74" i="5"/>
  <c r="AN86" i="5"/>
  <c r="AW88" i="5"/>
  <c r="AX87" i="5"/>
  <c r="AV87" i="5"/>
  <c r="S66" i="65" l="1"/>
  <c r="M67" i="65"/>
  <c r="AL47" i="51"/>
  <c r="AF58" i="51"/>
  <c r="AF46" i="55"/>
  <c r="AL45" i="55"/>
  <c r="BB46" i="55"/>
  <c r="BF45" i="55"/>
  <c r="AF57" i="65"/>
  <c r="AL56" i="65"/>
  <c r="AT46" i="51"/>
  <c r="AX46" i="51" s="1"/>
  <c r="U46" i="51" s="1"/>
  <c r="W46" i="51" s="1"/>
  <c r="Y46" i="51" s="1"/>
  <c r="BF47" i="51"/>
  <c r="BF58" i="51" s="1"/>
  <c r="BB58" i="51"/>
  <c r="BB46" i="56"/>
  <c r="BF45" i="56"/>
  <c r="AR57" i="65"/>
  <c r="AV56" i="65"/>
  <c r="AT44" i="55"/>
  <c r="AX44" i="55" s="1"/>
  <c r="U44" i="55" s="1"/>
  <c r="W44" i="55" s="1"/>
  <c r="Y44" i="55" s="1"/>
  <c r="AR46" i="54"/>
  <c r="AV45" i="54"/>
  <c r="I46" i="56"/>
  <c r="S45" i="56"/>
  <c r="I46" i="54"/>
  <c r="S45" i="54"/>
  <c r="I46" i="55"/>
  <c r="S45" i="55"/>
  <c r="AL45" i="56"/>
  <c r="AT45" i="56" s="1"/>
  <c r="AF46" i="56"/>
  <c r="AL45" i="54"/>
  <c r="AF46" i="54"/>
  <c r="AT44" i="54"/>
  <c r="AX44" i="54" s="1"/>
  <c r="U44" i="54" s="1"/>
  <c r="W44" i="54" s="1"/>
  <c r="Y44" i="54" s="1"/>
  <c r="W46" i="65"/>
  <c r="Y46" i="65" s="1"/>
  <c r="AV47" i="51"/>
  <c r="AV58" i="51" s="1"/>
  <c r="AR58" i="51"/>
  <c r="AT44" i="56"/>
  <c r="AX44" i="56" s="1"/>
  <c r="U44" i="56" s="1"/>
  <c r="W44" i="56" s="1"/>
  <c r="Y44" i="56" s="1"/>
  <c r="AR46" i="55"/>
  <c r="AV45" i="55"/>
  <c r="BB46" i="54"/>
  <c r="BF45" i="54"/>
  <c r="BB48" i="65"/>
  <c r="BF47" i="65"/>
  <c r="AT47" i="65" s="1"/>
  <c r="AX47" i="65" s="1"/>
  <c r="U47" i="65" s="1"/>
  <c r="W47" i="65" s="1"/>
  <c r="Y47" i="65" s="1"/>
  <c r="S47" i="51"/>
  <c r="I58" i="51"/>
  <c r="AR46" i="56"/>
  <c r="AV45" i="56"/>
  <c r="W47" i="40"/>
  <c r="AX62" i="19"/>
  <c r="U62" i="19" s="1"/>
  <c r="W62" i="19" s="1"/>
  <c r="Y62" i="19" s="1"/>
  <c r="AT66" i="19"/>
  <c r="AX88" i="5"/>
  <c r="AV88" i="5"/>
  <c r="AW89" i="5"/>
  <c r="AN87" i="5"/>
  <c r="AJ75" i="5"/>
  <c r="AK76" i="5"/>
  <c r="AT45" i="54" l="1"/>
  <c r="AX45" i="56"/>
  <c r="U45" i="56" s="1"/>
  <c r="W45" i="56" s="1"/>
  <c r="Y45" i="56" s="1"/>
  <c r="AT45" i="55"/>
  <c r="AX45" i="55" s="1"/>
  <c r="U45" i="55" s="1"/>
  <c r="W45" i="55" s="1"/>
  <c r="Y45" i="55" s="1"/>
  <c r="AR47" i="56"/>
  <c r="AV46" i="56"/>
  <c r="BB49" i="65"/>
  <c r="BF48" i="65"/>
  <c r="AT48" i="65" s="1"/>
  <c r="AX48" i="65" s="1"/>
  <c r="U48" i="65" s="1"/>
  <c r="AR47" i="55"/>
  <c r="AV46" i="55"/>
  <c r="S46" i="55"/>
  <c r="I47" i="55"/>
  <c r="BB47" i="56"/>
  <c r="BF46" i="56"/>
  <c r="AF47" i="56"/>
  <c r="AL46" i="56"/>
  <c r="AT47" i="51"/>
  <c r="AL58" i="51"/>
  <c r="AF58" i="65"/>
  <c r="AL57" i="65"/>
  <c r="S58" i="51"/>
  <c r="G50" i="32" s="1"/>
  <c r="BB47" i="54"/>
  <c r="BF46" i="54"/>
  <c r="AX45" i="54"/>
  <c r="U45" i="54" s="1"/>
  <c r="W45" i="54" s="1"/>
  <c r="Y45" i="54" s="1"/>
  <c r="AR58" i="65"/>
  <c r="AV57" i="65"/>
  <c r="AF47" i="55"/>
  <c r="AL46" i="55"/>
  <c r="M68" i="65"/>
  <c r="S67" i="65"/>
  <c r="I47" i="56"/>
  <c r="S46" i="56"/>
  <c r="AL46" i="54"/>
  <c r="AF47" i="54"/>
  <c r="I47" i="54"/>
  <c r="S46" i="54"/>
  <c r="AR47" i="54"/>
  <c r="AV46" i="54"/>
  <c r="BB47" i="55"/>
  <c r="BF46" i="55"/>
  <c r="Y47" i="40"/>
  <c r="AK77" i="5"/>
  <c r="AJ76" i="5"/>
  <c r="AX89" i="5"/>
  <c r="AN89" i="5"/>
  <c r="AV89" i="5"/>
  <c r="AW90" i="5"/>
  <c r="AN88" i="5"/>
  <c r="AT46" i="56" l="1"/>
  <c r="AX46" i="56" s="1"/>
  <c r="U46" i="56" s="1"/>
  <c r="AL47" i="54"/>
  <c r="AF58" i="54"/>
  <c r="BF47" i="54"/>
  <c r="BF58" i="54" s="1"/>
  <c r="BB58" i="54"/>
  <c r="AF59" i="65"/>
  <c r="AL58" i="65"/>
  <c r="W46" i="56"/>
  <c r="Y46" i="56" s="1"/>
  <c r="S47" i="55"/>
  <c r="I58" i="55"/>
  <c r="W48" i="65"/>
  <c r="Y48" i="65" s="1"/>
  <c r="AL47" i="56"/>
  <c r="AF58" i="56"/>
  <c r="BB50" i="65"/>
  <c r="BF49" i="65"/>
  <c r="AT49" i="65" s="1"/>
  <c r="AX49" i="65" s="1"/>
  <c r="U49" i="65" s="1"/>
  <c r="W49" i="65" s="1"/>
  <c r="Y49" i="65" s="1"/>
  <c r="AV47" i="54"/>
  <c r="AV58" i="54" s="1"/>
  <c r="AR58" i="54"/>
  <c r="AT46" i="55"/>
  <c r="AX46" i="55" s="1"/>
  <c r="U46" i="55" s="1"/>
  <c r="W46" i="55" s="1"/>
  <c r="Y46" i="55" s="1"/>
  <c r="AX47" i="51"/>
  <c r="AT58" i="51"/>
  <c r="S68" i="65"/>
  <c r="M75" i="65"/>
  <c r="AR59" i="65"/>
  <c r="AV58" i="65"/>
  <c r="BF47" i="55"/>
  <c r="BF58" i="55" s="1"/>
  <c r="BB58" i="55"/>
  <c r="S47" i="54"/>
  <c r="I58" i="54"/>
  <c r="S47" i="56"/>
  <c r="I58" i="56"/>
  <c r="AL47" i="55"/>
  <c r="AF58" i="55"/>
  <c r="AT46" i="54"/>
  <c r="AX46" i="54" s="1"/>
  <c r="U46" i="54" s="1"/>
  <c r="W46" i="54" s="1"/>
  <c r="Y46" i="54" s="1"/>
  <c r="BF47" i="56"/>
  <c r="BF58" i="56" s="1"/>
  <c r="BB58" i="56"/>
  <c r="AV47" i="55"/>
  <c r="AV58" i="55" s="1"/>
  <c r="AR58" i="55"/>
  <c r="AV47" i="56"/>
  <c r="AV58" i="56" s="1"/>
  <c r="AR58" i="56"/>
  <c r="AW91" i="5"/>
  <c r="AV90" i="5"/>
  <c r="AX90" i="5"/>
  <c r="AN90" i="5"/>
  <c r="AJ77" i="5"/>
  <c r="AK78" i="5"/>
  <c r="BB51" i="65" l="1"/>
  <c r="BF50" i="65"/>
  <c r="AT50" i="65" s="1"/>
  <c r="AX50" i="65" s="1"/>
  <c r="U50" i="65" s="1"/>
  <c r="W50" i="65" s="1"/>
  <c r="Y50" i="65" s="1"/>
  <c r="S58" i="56"/>
  <c r="G40" i="32" s="1"/>
  <c r="AF60" i="65"/>
  <c r="AL59" i="65"/>
  <c r="AT47" i="56"/>
  <c r="AL58" i="56"/>
  <c r="S58" i="55"/>
  <c r="G39" i="32" s="1"/>
  <c r="AT47" i="54"/>
  <c r="AL58" i="54"/>
  <c r="AT47" i="55"/>
  <c r="AL58" i="55"/>
  <c r="S58" i="54"/>
  <c r="G29" i="32" s="1"/>
  <c r="AR60" i="65"/>
  <c r="AV59" i="65"/>
  <c r="U47" i="51"/>
  <c r="AX58" i="51"/>
  <c r="AX91" i="5"/>
  <c r="AN91" i="5"/>
  <c r="AV91" i="5"/>
  <c r="AW92" i="5"/>
  <c r="AJ78" i="5"/>
  <c r="AK79" i="5"/>
  <c r="AR61" i="65" l="1"/>
  <c r="AV60" i="65"/>
  <c r="AX47" i="55"/>
  <c r="AT58" i="55"/>
  <c r="AF61" i="65"/>
  <c r="AL60" i="65"/>
  <c r="U58" i="51"/>
  <c r="I50" i="32" s="1"/>
  <c r="W47" i="51"/>
  <c r="AX47" i="54"/>
  <c r="AT58" i="54"/>
  <c r="AX47" i="56"/>
  <c r="AT58" i="56"/>
  <c r="BB52" i="65"/>
  <c r="BF51" i="65"/>
  <c r="AT51" i="65" s="1"/>
  <c r="AX51" i="65" s="1"/>
  <c r="U51" i="65" s="1"/>
  <c r="W51" i="65" s="1"/>
  <c r="Y51" i="65" s="1"/>
  <c r="AK80" i="5"/>
  <c r="AJ79" i="5"/>
  <c r="AW93" i="5"/>
  <c r="AX92" i="5"/>
  <c r="AV92" i="5"/>
  <c r="AN92" i="5"/>
  <c r="U47" i="55" l="1"/>
  <c r="AX58" i="55"/>
  <c r="U47" i="56"/>
  <c r="AX58" i="56"/>
  <c r="BB53" i="65"/>
  <c r="BF52" i="65"/>
  <c r="AT52" i="65" s="1"/>
  <c r="AX52" i="65" s="1"/>
  <c r="U52" i="65" s="1"/>
  <c r="W52" i="65" s="1"/>
  <c r="Y52" i="65" s="1"/>
  <c r="U47" i="54"/>
  <c r="AX58" i="54"/>
  <c r="AF62" i="65"/>
  <c r="AL61" i="65"/>
  <c r="AR62" i="65"/>
  <c r="AV61" i="65"/>
  <c r="Y47" i="51"/>
  <c r="Y58" i="51" s="1"/>
  <c r="M50" i="32" s="1"/>
  <c r="W58" i="51"/>
  <c r="K50" i="32" s="1"/>
  <c r="AJ80" i="5"/>
  <c r="AK81" i="5"/>
  <c r="AX93" i="5"/>
  <c r="AW94" i="5"/>
  <c r="AV93" i="5"/>
  <c r="H36" i="23" l="1"/>
  <c r="J36" i="23" s="1"/>
  <c r="S36" i="23"/>
  <c r="U36" i="23" s="1"/>
  <c r="AR63" i="65"/>
  <c r="AV62" i="65"/>
  <c r="U58" i="54"/>
  <c r="I29" i="32" s="1"/>
  <c r="W47" i="54"/>
  <c r="U58" i="56"/>
  <c r="I40" i="32" s="1"/>
  <c r="W47" i="56"/>
  <c r="AF63" i="65"/>
  <c r="AL62" i="65"/>
  <c r="BB54" i="65"/>
  <c r="BF53" i="65"/>
  <c r="AT53" i="65" s="1"/>
  <c r="AX53" i="65" s="1"/>
  <c r="U53" i="65" s="1"/>
  <c r="W53" i="65" s="1"/>
  <c r="Y53" i="65" s="1"/>
  <c r="U58" i="55"/>
  <c r="I39" i="32" s="1"/>
  <c r="W47" i="55"/>
  <c r="AW95" i="5"/>
  <c r="AV94" i="5"/>
  <c r="AN94" i="5"/>
  <c r="AX94" i="5"/>
  <c r="AN93" i="5"/>
  <c r="AJ81" i="5"/>
  <c r="AK82" i="5"/>
  <c r="Y47" i="54" l="1"/>
  <c r="Y58" i="54" s="1"/>
  <c r="M29" i="32" s="1"/>
  <c r="W58" i="54"/>
  <c r="K29" i="32" s="1"/>
  <c r="AF64" i="65"/>
  <c r="AL63" i="65"/>
  <c r="Y47" i="56"/>
  <c r="Y58" i="56" s="1"/>
  <c r="M40" i="32" s="1"/>
  <c r="W58" i="56"/>
  <c r="K40" i="32" s="1"/>
  <c r="Y47" i="55"/>
  <c r="Y58" i="55" s="1"/>
  <c r="M39" i="32" s="1"/>
  <c r="H54" i="23" s="1"/>
  <c r="J54" i="23" s="1"/>
  <c r="J59" i="23" s="1"/>
  <c r="W58" i="55"/>
  <c r="K39" i="32" s="1"/>
  <c r="BB55" i="65"/>
  <c r="BF54" i="65"/>
  <c r="AT54" i="65" s="1"/>
  <c r="AX54" i="65" s="1"/>
  <c r="U54" i="65" s="1"/>
  <c r="W54" i="65" s="1"/>
  <c r="Y54" i="65" s="1"/>
  <c r="AR64" i="65"/>
  <c r="AV63" i="65"/>
  <c r="AK83" i="5"/>
  <c r="AJ82" i="5"/>
  <c r="AV95" i="5"/>
  <c r="AN95" i="5"/>
  <c r="AW96" i="5"/>
  <c r="AX95" i="5"/>
  <c r="S31" i="23" l="1"/>
  <c r="U31" i="23" s="1"/>
  <c r="H31" i="23"/>
  <c r="J31" i="23" s="1"/>
  <c r="S24" i="23"/>
  <c r="U24" i="23" s="1"/>
  <c r="H24" i="23"/>
  <c r="J24" i="23" s="1"/>
  <c r="S54" i="23"/>
  <c r="U54" i="23" s="1"/>
  <c r="U59" i="23" s="1"/>
  <c r="AF65" i="65"/>
  <c r="AL64" i="65"/>
  <c r="AR65" i="65"/>
  <c r="AV64" i="65"/>
  <c r="BB56" i="65"/>
  <c r="BF55" i="65"/>
  <c r="AT55" i="65" s="1"/>
  <c r="AX55" i="65" s="1"/>
  <c r="U55" i="65" s="1"/>
  <c r="W55" i="65" s="1"/>
  <c r="Y55" i="65" s="1"/>
  <c r="AN96" i="5"/>
  <c r="AW97" i="5"/>
  <c r="AX96" i="5"/>
  <c r="AV96" i="5"/>
  <c r="AK84" i="5"/>
  <c r="AJ83" i="5"/>
  <c r="AR66" i="65" l="1"/>
  <c r="AV65" i="65"/>
  <c r="BB57" i="65"/>
  <c r="BF56" i="65"/>
  <c r="AT56" i="65" s="1"/>
  <c r="AX56" i="65" s="1"/>
  <c r="U56" i="65" s="1"/>
  <c r="W56" i="65" s="1"/>
  <c r="Y56" i="65" s="1"/>
  <c r="AF66" i="65"/>
  <c r="AL65" i="65"/>
  <c r="AK85" i="5"/>
  <c r="AJ84" i="5"/>
  <c r="AX97" i="5"/>
  <c r="AN97" i="5"/>
  <c r="AV97" i="5"/>
  <c r="AW98" i="5"/>
  <c r="BB58" i="65" l="1"/>
  <c r="BF57" i="65"/>
  <c r="AT57" i="65" s="1"/>
  <c r="AX57" i="65" s="1"/>
  <c r="U57" i="65" s="1"/>
  <c r="W57" i="65" s="1"/>
  <c r="Y57" i="65" s="1"/>
  <c r="AF67" i="65"/>
  <c r="AL66" i="65"/>
  <c r="AR67" i="65"/>
  <c r="AV66" i="65"/>
  <c r="AW99" i="5"/>
  <c r="AV98" i="5"/>
  <c r="AX98" i="5"/>
  <c r="AJ85" i="5"/>
  <c r="AK86" i="5"/>
  <c r="AF68" i="65" l="1"/>
  <c r="AL67" i="65"/>
  <c r="AR68" i="65"/>
  <c r="AV67" i="65"/>
  <c r="BB59" i="65"/>
  <c r="BF58" i="65"/>
  <c r="AT58" i="65" s="1"/>
  <c r="AX58" i="65" s="1"/>
  <c r="U58" i="65" s="1"/>
  <c r="W58" i="65" s="1"/>
  <c r="Y58" i="65" s="1"/>
  <c r="AJ86" i="5"/>
  <c r="AK87" i="5"/>
  <c r="AN98" i="5"/>
  <c r="AW100" i="5"/>
  <c r="AX99" i="5"/>
  <c r="AV99" i="5"/>
  <c r="AR75" i="65" l="1"/>
  <c r="AV68" i="65"/>
  <c r="AV75" i="65" s="1"/>
  <c r="BB60" i="65"/>
  <c r="BF59" i="65"/>
  <c r="AT59" i="65" s="1"/>
  <c r="AX59" i="65" s="1"/>
  <c r="U59" i="65" s="1"/>
  <c r="W59" i="65" s="1"/>
  <c r="Y59" i="65" s="1"/>
  <c r="AL68" i="65"/>
  <c r="AF75" i="65"/>
  <c r="AK88" i="5"/>
  <c r="AJ87" i="5"/>
  <c r="AN99" i="5"/>
  <c r="AV100" i="5"/>
  <c r="AW101" i="5"/>
  <c r="AX100" i="5"/>
  <c r="AN100" i="5"/>
  <c r="BB61" i="65" l="1"/>
  <c r="BF60" i="65"/>
  <c r="AT60" i="65" s="1"/>
  <c r="AX60" i="65" s="1"/>
  <c r="U60" i="65" s="1"/>
  <c r="W60" i="65" s="1"/>
  <c r="Y60" i="65" s="1"/>
  <c r="AL75" i="65"/>
  <c r="AX101" i="5"/>
  <c r="AW102" i="5"/>
  <c r="AV101" i="5"/>
  <c r="AJ88" i="5"/>
  <c r="AK89" i="5"/>
  <c r="BB62" i="65" l="1"/>
  <c r="BF61" i="65"/>
  <c r="AT61" i="65" s="1"/>
  <c r="AX61" i="65" s="1"/>
  <c r="U61" i="65" s="1"/>
  <c r="W61" i="65" s="1"/>
  <c r="Y61" i="65" s="1"/>
  <c r="AK90" i="5"/>
  <c r="AJ89" i="5"/>
  <c r="AW103" i="5"/>
  <c r="AV102" i="5"/>
  <c r="AX102" i="5"/>
  <c r="AN102" i="5"/>
  <c r="AN101" i="5"/>
  <c r="BB63" i="65" l="1"/>
  <c r="BF62" i="65"/>
  <c r="AT62" i="65" s="1"/>
  <c r="AX62" i="65" s="1"/>
  <c r="U62" i="65" s="1"/>
  <c r="W62" i="65" s="1"/>
  <c r="Y62" i="65" s="1"/>
  <c r="AW104" i="5"/>
  <c r="AX103" i="5"/>
  <c r="AV103" i="5"/>
  <c r="AK91" i="5"/>
  <c r="AJ90" i="5"/>
  <c r="BB64" i="65" l="1"/>
  <c r="BF63" i="65"/>
  <c r="AT63" i="65" s="1"/>
  <c r="AX63" i="65" s="1"/>
  <c r="U63" i="65" s="1"/>
  <c r="W63" i="65" s="1"/>
  <c r="Y63" i="65" s="1"/>
  <c r="AW105" i="5"/>
  <c r="AV104" i="5"/>
  <c r="AX104" i="5"/>
  <c r="AN103" i="5"/>
  <c r="AK92" i="5"/>
  <c r="AJ91" i="5"/>
  <c r="BB65" i="65" l="1"/>
  <c r="BF64" i="65"/>
  <c r="AT64" i="65" s="1"/>
  <c r="AX64" i="65" s="1"/>
  <c r="U64" i="65" s="1"/>
  <c r="W64" i="65" s="1"/>
  <c r="Y64" i="65" s="1"/>
  <c r="AJ92" i="5"/>
  <c r="AK93" i="5"/>
  <c r="AX105" i="5"/>
  <c r="AN105" i="5"/>
  <c r="AV105" i="5"/>
  <c r="AW106" i="5"/>
  <c r="AN104" i="5"/>
  <c r="BB66" i="65" l="1"/>
  <c r="BF65" i="65"/>
  <c r="AT65" i="65" s="1"/>
  <c r="AX65" i="65" s="1"/>
  <c r="U65" i="65" s="1"/>
  <c r="W65" i="65" s="1"/>
  <c r="Y65" i="65" s="1"/>
  <c r="AW107" i="5"/>
  <c r="AV106" i="5"/>
  <c r="AX106" i="5"/>
  <c r="AK94" i="5"/>
  <c r="AJ93" i="5"/>
  <c r="BB67" i="65" l="1"/>
  <c r="BF66" i="65"/>
  <c r="AT66" i="65" s="1"/>
  <c r="AX66" i="65" s="1"/>
  <c r="U66" i="65" s="1"/>
  <c r="W66" i="65" s="1"/>
  <c r="Y66" i="65" s="1"/>
  <c r="AJ94" i="5"/>
  <c r="AK95" i="5"/>
  <c r="AN106" i="5"/>
  <c r="AW108" i="5"/>
  <c r="AV107" i="5"/>
  <c r="AX107" i="5"/>
  <c r="BB68" i="65" l="1"/>
  <c r="BF67" i="65"/>
  <c r="AT67" i="65" s="1"/>
  <c r="AX67" i="65" s="1"/>
  <c r="U67" i="65" s="1"/>
  <c r="W67" i="65" s="1"/>
  <c r="Y67" i="65" s="1"/>
  <c r="AN107" i="5"/>
  <c r="AW109" i="5"/>
  <c r="AX108" i="5"/>
  <c r="AV108" i="5"/>
  <c r="AN108" i="5"/>
  <c r="AK96" i="5"/>
  <c r="AJ95" i="5"/>
  <c r="BF68" i="65" l="1"/>
  <c r="BB75" i="65"/>
  <c r="AK97" i="5"/>
  <c r="AJ96" i="5"/>
  <c r="AX109" i="5"/>
  <c r="AN109" i="5"/>
  <c r="AW110" i="5"/>
  <c r="AV109" i="5"/>
  <c r="BF75" i="65" l="1"/>
  <c r="AT68" i="65"/>
  <c r="AW111" i="5"/>
  <c r="AV110" i="5"/>
  <c r="AN110" i="5"/>
  <c r="AX110" i="5"/>
  <c r="AJ97" i="5"/>
  <c r="AK98" i="5"/>
  <c r="AT75" i="65" l="1"/>
  <c r="AX68" i="65"/>
  <c r="AK99" i="5"/>
  <c r="AJ98" i="5"/>
  <c r="AV111" i="5"/>
  <c r="AN111" i="5"/>
  <c r="AW112" i="5"/>
  <c r="AX111" i="5"/>
  <c r="U68" i="65" l="1"/>
  <c r="AX75" i="65"/>
  <c r="AV112" i="5"/>
  <c r="AX112" i="5"/>
  <c r="AW113" i="5"/>
  <c r="AK100" i="5"/>
  <c r="AJ99" i="5"/>
  <c r="U75" i="65" l="1"/>
  <c r="I19" i="32" s="1"/>
  <c r="W68" i="65"/>
  <c r="Y68" i="65" s="1"/>
  <c r="AK101" i="5"/>
  <c r="AJ100" i="5"/>
  <c r="AX113" i="5"/>
  <c r="AN113" i="5"/>
  <c r="AV113" i="5"/>
  <c r="AW114" i="5"/>
  <c r="AN112" i="5"/>
  <c r="AK102" i="5" l="1"/>
  <c r="AJ101" i="5"/>
  <c r="AW115" i="5"/>
  <c r="AV114" i="5"/>
  <c r="AX114" i="5"/>
  <c r="AN114" i="5"/>
  <c r="AV115" i="5" l="1"/>
  <c r="AX115" i="5"/>
  <c r="AW116" i="5"/>
  <c r="AJ102" i="5"/>
  <c r="AK103" i="5"/>
  <c r="AV116" i="5" l="1"/>
  <c r="AW117" i="5"/>
  <c r="AX116" i="5"/>
  <c r="AN116" i="5"/>
  <c r="AN115" i="5"/>
  <c r="AK104" i="5"/>
  <c r="AJ103" i="5"/>
  <c r="AX117" i="5" l="1"/>
  <c r="AW118" i="5"/>
  <c r="AV117" i="5"/>
  <c r="AK105" i="5"/>
  <c r="AJ104" i="5"/>
  <c r="AW119" i="5" l="1"/>
  <c r="AV118" i="5"/>
  <c r="AX118" i="5"/>
  <c r="AN118" i="5"/>
  <c r="AK106" i="5"/>
  <c r="AJ105" i="5"/>
  <c r="AN117" i="5"/>
  <c r="AW120" i="5" l="1"/>
  <c r="AV119" i="5"/>
  <c r="AX119" i="5"/>
  <c r="AK107" i="5"/>
  <c r="AJ106" i="5"/>
  <c r="AN119" i="5" l="1"/>
  <c r="AK108" i="5"/>
  <c r="AJ107" i="5"/>
  <c r="AX120" i="5"/>
  <c r="AN120" i="5"/>
  <c r="AW121" i="5"/>
  <c r="AV120" i="5"/>
  <c r="AW122" i="5" l="1"/>
  <c r="AV121" i="5"/>
  <c r="AX121" i="5"/>
  <c r="AJ108" i="5"/>
  <c r="AK109" i="5"/>
  <c r="AJ109" i="5" l="1"/>
  <c r="AK110" i="5"/>
  <c r="AN121" i="5"/>
  <c r="AW123" i="5"/>
  <c r="AV122" i="5"/>
  <c r="AN122" i="5"/>
  <c r="AX122" i="5"/>
  <c r="AW124" i="5" l="1"/>
  <c r="AV123" i="5"/>
  <c r="AX123" i="5"/>
  <c r="AJ110" i="5"/>
  <c r="AK111" i="5"/>
  <c r="AX124" i="5" l="1"/>
  <c r="AW125" i="5"/>
  <c r="AV124" i="5"/>
  <c r="AN123" i="5"/>
  <c r="AK112" i="5"/>
  <c r="AJ111" i="5"/>
  <c r="AJ112" i="5" l="1"/>
  <c r="AK113" i="5"/>
  <c r="AN124" i="5"/>
  <c r="AW126" i="5"/>
  <c r="AV125" i="5"/>
  <c r="AX125" i="5"/>
  <c r="AN125" i="5"/>
  <c r="AW127" i="5" l="1"/>
  <c r="AV126" i="5"/>
  <c r="AX126" i="5"/>
  <c r="AN126" i="5"/>
  <c r="AJ113" i="5"/>
  <c r="AK114" i="5"/>
  <c r="AW128" i="5" l="1"/>
  <c r="AV127" i="5"/>
  <c r="AN127" i="5"/>
  <c r="AX127" i="5"/>
  <c r="AK115" i="5"/>
  <c r="AJ114" i="5"/>
  <c r="AK116" i="5" l="1"/>
  <c r="AJ115" i="5"/>
  <c r="AX128" i="5"/>
  <c r="AN128" i="5"/>
  <c r="AW129" i="5"/>
  <c r="AV128" i="5"/>
  <c r="AW130" i="5" l="1"/>
  <c r="AV129" i="5"/>
  <c r="AX129" i="5"/>
  <c r="AK117" i="5"/>
  <c r="AJ116" i="5"/>
  <c r="AJ117" i="5" l="1"/>
  <c r="AK118" i="5"/>
  <c r="AN129" i="5"/>
  <c r="AW131" i="5"/>
  <c r="AV130" i="5"/>
  <c r="AX130" i="5"/>
  <c r="AN130" i="5"/>
  <c r="AJ118" i="5" l="1"/>
  <c r="AK119" i="5"/>
  <c r="AW132" i="5"/>
  <c r="AV131" i="5"/>
  <c r="AX131" i="5"/>
  <c r="AK120" i="5" l="1"/>
  <c r="AJ119" i="5"/>
  <c r="AX132" i="5"/>
  <c r="AN132" i="5"/>
  <c r="AW133" i="5"/>
  <c r="AV132" i="5"/>
  <c r="AN131" i="5"/>
  <c r="AW134" i="5" l="1"/>
  <c r="AV133" i="5"/>
  <c r="AX133" i="5"/>
  <c r="AK121" i="5"/>
  <c r="AJ120" i="5"/>
  <c r="AK122" i="5" l="1"/>
  <c r="AJ121" i="5"/>
  <c r="AN133" i="5"/>
  <c r="AW135" i="5"/>
  <c r="AV134" i="5"/>
  <c r="AN134" i="5"/>
  <c r="AX134" i="5"/>
  <c r="AW136" i="5" l="1"/>
  <c r="AV135" i="5"/>
  <c r="AX135" i="5"/>
  <c r="AK123" i="5"/>
  <c r="AJ122" i="5"/>
  <c r="AN135" i="5" l="1"/>
  <c r="AK124" i="5"/>
  <c r="AJ123" i="5"/>
  <c r="AX136" i="5"/>
  <c r="AN136" i="5"/>
  <c r="AW137" i="5"/>
  <c r="AV136" i="5"/>
  <c r="AW138" i="5" l="1"/>
  <c r="AV137" i="5"/>
  <c r="AX137" i="5"/>
  <c r="AK125" i="5"/>
  <c r="AJ124" i="5"/>
  <c r="AK126" i="5" l="1"/>
  <c r="AJ125" i="5"/>
  <c r="AN137" i="5"/>
  <c r="AW139" i="5"/>
  <c r="AV138" i="5"/>
  <c r="AX138" i="5"/>
  <c r="AK127" i="5" l="1"/>
  <c r="AJ126" i="5"/>
  <c r="AW140" i="5"/>
  <c r="AV139" i="5"/>
  <c r="AN139" i="5"/>
  <c r="AX139" i="5"/>
  <c r="AN138" i="5"/>
  <c r="AK128" i="5" l="1"/>
  <c r="AJ127" i="5"/>
  <c r="AX140" i="5"/>
  <c r="AN140" i="5"/>
  <c r="AW141" i="5"/>
  <c r="AV140" i="5"/>
  <c r="AW142" i="5" l="1"/>
  <c r="AV141" i="5"/>
  <c r="AX141" i="5"/>
  <c r="AK129" i="5"/>
  <c r="AJ128" i="5"/>
  <c r="AK130" i="5" l="1"/>
  <c r="AJ129" i="5"/>
  <c r="AN141" i="5"/>
  <c r="AW143" i="5"/>
  <c r="AV142" i="5"/>
  <c r="AX142" i="5"/>
  <c r="AN142" i="5"/>
  <c r="AW144" i="5" l="1"/>
  <c r="AV143" i="5"/>
  <c r="AN143" i="5"/>
  <c r="AX143" i="5"/>
  <c r="AK131" i="5"/>
  <c r="AJ130" i="5"/>
  <c r="AK132" i="5" l="1"/>
  <c r="AJ131" i="5"/>
  <c r="AX144" i="5"/>
  <c r="AN144" i="5"/>
  <c r="AW145" i="5"/>
  <c r="AV144" i="5"/>
  <c r="AW146" i="5" l="1"/>
  <c r="AV145" i="5"/>
  <c r="AX145" i="5"/>
  <c r="AK133" i="5"/>
  <c r="AJ132" i="5"/>
  <c r="AK134" i="5" l="1"/>
  <c r="AJ133" i="5"/>
  <c r="AN145" i="5"/>
  <c r="AW147" i="5"/>
  <c r="AV146" i="5"/>
  <c r="AX146" i="5"/>
  <c r="AN146" i="5"/>
  <c r="AK135" i="5" l="1"/>
  <c r="AJ134" i="5"/>
  <c r="AW148" i="5"/>
  <c r="AV147" i="5"/>
  <c r="AX147" i="5"/>
  <c r="AX148" i="5" l="1"/>
  <c r="AW149" i="5"/>
  <c r="AV148" i="5"/>
  <c r="AN147" i="5"/>
  <c r="AK136" i="5"/>
  <c r="AJ135" i="5"/>
  <c r="AK137" i="5" l="1"/>
  <c r="AJ136" i="5"/>
  <c r="AW150" i="5"/>
  <c r="AV149" i="5"/>
  <c r="AX149" i="5"/>
  <c r="AN149" i="5"/>
  <c r="AN148" i="5"/>
  <c r="AW151" i="5" l="1"/>
  <c r="AV150" i="5"/>
  <c r="AN150" i="5"/>
  <c r="AX150" i="5"/>
  <c r="AK138" i="5"/>
  <c r="AJ137" i="5"/>
  <c r="AW152" i="5" l="1"/>
  <c r="AV151" i="5"/>
  <c r="AX151" i="5"/>
  <c r="AK139" i="5"/>
  <c r="AJ138" i="5"/>
  <c r="AN151" i="5" l="1"/>
  <c r="AK140" i="5"/>
  <c r="AJ139" i="5"/>
  <c r="AX152" i="5"/>
  <c r="AN152" i="5"/>
  <c r="AW153" i="5"/>
  <c r="AV152" i="5"/>
  <c r="AW154" i="5" l="1"/>
  <c r="AV153" i="5"/>
  <c r="AX153" i="5"/>
  <c r="AK141" i="5"/>
  <c r="AJ140" i="5"/>
  <c r="AK142" i="5" l="1"/>
  <c r="AJ141" i="5"/>
  <c r="AN153" i="5"/>
  <c r="AW155" i="5"/>
  <c r="AV154" i="5"/>
  <c r="AX154" i="5"/>
  <c r="AK143" i="5" l="1"/>
  <c r="AJ142" i="5"/>
  <c r="AW156" i="5"/>
  <c r="AV155" i="5"/>
  <c r="AN155" i="5"/>
  <c r="AX155" i="5"/>
  <c r="AN154" i="5"/>
  <c r="AX156" i="5" l="1"/>
  <c r="AW157" i="5"/>
  <c r="AV156" i="5"/>
  <c r="AK144" i="5"/>
  <c r="AJ143" i="5"/>
  <c r="AK145" i="5" l="1"/>
  <c r="AJ144" i="5"/>
  <c r="AN156" i="5"/>
  <c r="AW158" i="5"/>
  <c r="AV157" i="5"/>
  <c r="AX157" i="5"/>
  <c r="AN157" i="5"/>
  <c r="AW159" i="5" l="1"/>
  <c r="AV158" i="5"/>
  <c r="AX158" i="5"/>
  <c r="AK146" i="5"/>
  <c r="AJ145" i="5"/>
  <c r="AK147" i="5" l="1"/>
  <c r="AJ146" i="5"/>
  <c r="AN158" i="5"/>
  <c r="AW160" i="5"/>
  <c r="AV159" i="5"/>
  <c r="AX159" i="5"/>
  <c r="AK148" i="5" l="1"/>
  <c r="AJ147" i="5"/>
  <c r="AX160" i="5"/>
  <c r="AN160" i="5"/>
  <c r="AW161" i="5"/>
  <c r="AV160" i="5"/>
  <c r="AN159" i="5"/>
  <c r="AW162" i="5" l="1"/>
  <c r="AV161" i="5"/>
  <c r="AX161" i="5"/>
  <c r="AK149" i="5"/>
  <c r="AJ148" i="5"/>
  <c r="AK150" i="5" l="1"/>
  <c r="AJ149" i="5"/>
  <c r="AN161" i="5"/>
  <c r="AW163" i="5"/>
  <c r="AX162" i="5"/>
  <c r="AV162" i="5"/>
  <c r="AN162" i="5" l="1"/>
  <c r="AV163" i="5"/>
  <c r="AW164" i="5"/>
  <c r="AX163" i="5"/>
  <c r="AK151" i="5"/>
  <c r="AJ150" i="5"/>
  <c r="AX164" i="5" l="1"/>
  <c r="AN164" i="5"/>
  <c r="AV164" i="5"/>
  <c r="AW165" i="5"/>
  <c r="AK152" i="5"/>
  <c r="AJ151" i="5"/>
  <c r="AN163" i="5"/>
  <c r="AW166" i="5" l="1"/>
  <c r="AV165" i="5"/>
  <c r="AX165" i="5"/>
  <c r="AK153" i="5"/>
  <c r="AJ152" i="5"/>
  <c r="AK154" i="5" l="1"/>
  <c r="AJ153" i="5"/>
  <c r="AN165" i="5"/>
  <c r="AW167" i="5"/>
  <c r="AX166" i="5"/>
  <c r="AV166" i="5"/>
  <c r="AK155" i="5" l="1"/>
  <c r="AJ154" i="5"/>
  <c r="AN166" i="5"/>
  <c r="AW168" i="5"/>
  <c r="AX167" i="5"/>
  <c r="AV167" i="5"/>
  <c r="AN167" i="5" l="1"/>
  <c r="AX168" i="5"/>
  <c r="AN168" i="5"/>
  <c r="AW169" i="5"/>
  <c r="AV168" i="5"/>
  <c r="AK156" i="5"/>
  <c r="AJ155" i="5"/>
  <c r="AW170" i="5" l="1"/>
  <c r="AV169" i="5"/>
  <c r="AN169" i="5"/>
  <c r="AX169" i="5"/>
  <c r="AK157" i="5"/>
  <c r="AJ156" i="5"/>
  <c r="AK158" i="5" l="1"/>
  <c r="AJ157" i="5"/>
  <c r="AV170" i="5"/>
  <c r="AN170" i="5"/>
  <c r="AX170" i="5"/>
  <c r="AW171" i="5"/>
  <c r="AW172" i="5" l="1"/>
  <c r="AX171" i="5"/>
  <c r="AV171" i="5"/>
  <c r="AK159" i="5"/>
  <c r="AJ158" i="5"/>
  <c r="AK160" i="5" l="1"/>
  <c r="AJ159" i="5"/>
  <c r="AX172" i="5"/>
  <c r="AN172" i="5"/>
  <c r="AW173" i="5"/>
  <c r="AV172" i="5"/>
  <c r="AN171" i="5"/>
  <c r="AW174" i="5" l="1"/>
  <c r="AV173" i="5"/>
  <c r="AN173" i="5"/>
  <c r="AX173" i="5"/>
  <c r="AJ160" i="5"/>
  <c r="AK161" i="5"/>
  <c r="AJ161" i="5" l="1"/>
  <c r="AK162" i="5"/>
  <c r="AV174" i="5"/>
  <c r="AX174" i="5"/>
  <c r="AW175" i="5"/>
  <c r="AV175" i="5" l="1"/>
  <c r="AW176" i="5"/>
  <c r="AX175" i="5"/>
  <c r="AK163" i="5"/>
  <c r="AJ162" i="5"/>
  <c r="AN174" i="5"/>
  <c r="AX176" i="5" l="1"/>
  <c r="AW177" i="5"/>
  <c r="AV176" i="5"/>
  <c r="AN175" i="5"/>
  <c r="AK164" i="5"/>
  <c r="AJ163" i="5"/>
  <c r="AN176" i="5" l="1"/>
  <c r="AW178" i="5"/>
  <c r="AV177" i="5"/>
  <c r="AX177" i="5"/>
  <c r="AK165" i="5"/>
  <c r="AJ164" i="5"/>
  <c r="AN177" i="5" l="1"/>
  <c r="AW179" i="5"/>
  <c r="AX178" i="5"/>
  <c r="AV178" i="5"/>
  <c r="AK166" i="5"/>
  <c r="AJ165" i="5"/>
  <c r="AK167" i="5" l="1"/>
  <c r="AJ166" i="5"/>
  <c r="AN178" i="5"/>
  <c r="AV179" i="5"/>
  <c r="AW180" i="5"/>
  <c r="AX179" i="5"/>
  <c r="AJ167" i="5" l="1"/>
  <c r="AK168" i="5"/>
  <c r="AN179" i="5"/>
  <c r="AX180" i="5"/>
  <c r="AV180" i="5"/>
  <c r="AW181" i="5"/>
  <c r="AW182" i="5" l="1"/>
  <c r="AV181" i="5"/>
  <c r="AX181" i="5"/>
  <c r="AN181" i="5"/>
  <c r="AK169" i="5"/>
  <c r="AJ168" i="5"/>
  <c r="AN180" i="5"/>
  <c r="AW183" i="5" l="1"/>
  <c r="AX182" i="5"/>
  <c r="AV182" i="5"/>
  <c r="AN182" i="5"/>
  <c r="AK170" i="5"/>
  <c r="AJ169" i="5"/>
  <c r="AK171" i="5" l="1"/>
  <c r="AJ170" i="5"/>
  <c r="AW184" i="5"/>
  <c r="AX183" i="5"/>
  <c r="AV183" i="5"/>
  <c r="AN183" i="5" l="1"/>
  <c r="AX184" i="5"/>
  <c r="AN184" i="5"/>
  <c r="AW185" i="5"/>
  <c r="AV184" i="5"/>
  <c r="AJ171" i="5"/>
  <c r="AK172" i="5"/>
  <c r="AJ172" i="5" l="1"/>
  <c r="AK173" i="5"/>
  <c r="AW186" i="5"/>
  <c r="AV185" i="5"/>
  <c r="AN185" i="5"/>
  <c r="AX185" i="5"/>
  <c r="AJ173" i="5" l="1"/>
  <c r="AK174" i="5"/>
  <c r="AV186" i="5"/>
  <c r="AN186" i="5"/>
  <c r="AW187" i="5"/>
  <c r="AX186" i="5"/>
  <c r="AK175" i="5" l="1"/>
  <c r="AJ174" i="5"/>
  <c r="AW188" i="5"/>
  <c r="AX187" i="5"/>
  <c r="AV187" i="5"/>
  <c r="AX188" i="5" l="1"/>
  <c r="AW189" i="5"/>
  <c r="AV188" i="5"/>
  <c r="AN187" i="5"/>
  <c r="AK176" i="5"/>
  <c r="AJ175" i="5"/>
  <c r="AJ176" i="5" l="1"/>
  <c r="AK177" i="5"/>
  <c r="AN188" i="5"/>
  <c r="AW190" i="5"/>
  <c r="AV189" i="5"/>
  <c r="AX189" i="5"/>
  <c r="AV190" i="5" l="1"/>
  <c r="AN190" i="5"/>
  <c r="AX190" i="5"/>
  <c r="AW191" i="5"/>
  <c r="AN189" i="5"/>
  <c r="AJ177" i="5"/>
  <c r="AK178" i="5"/>
  <c r="AK179" i="5" l="1"/>
  <c r="AJ178" i="5"/>
  <c r="AV191" i="5"/>
  <c r="AN191" i="5"/>
  <c r="AX191" i="5"/>
  <c r="AW192" i="5"/>
  <c r="AX192" i="5" l="1"/>
  <c r="AV192" i="5"/>
  <c r="AW193" i="5"/>
  <c r="AK180" i="5"/>
  <c r="AJ179" i="5"/>
  <c r="AK181" i="5" l="1"/>
  <c r="AJ180" i="5"/>
  <c r="AN192" i="5"/>
  <c r="AW194" i="5"/>
  <c r="AV193" i="5"/>
  <c r="AX193" i="5"/>
  <c r="AN193" i="5"/>
  <c r="AW195" i="5" l="1"/>
  <c r="AX194" i="5"/>
  <c r="AV194" i="5"/>
  <c r="AK182" i="5"/>
  <c r="AJ181" i="5"/>
  <c r="AK183" i="5" l="1"/>
  <c r="AJ182" i="5"/>
  <c r="AN194" i="5"/>
  <c r="AV195" i="5"/>
  <c r="AW196" i="5"/>
  <c r="AX195" i="5"/>
  <c r="AJ183" i="5" l="1"/>
  <c r="AK184" i="5"/>
  <c r="AN195" i="5"/>
  <c r="AX196" i="5"/>
  <c r="AV196" i="5"/>
  <c r="AW197" i="5"/>
  <c r="AW198" i="5" l="1"/>
  <c r="AV197" i="5"/>
  <c r="AX197" i="5"/>
  <c r="AN197" i="5"/>
  <c r="AK185" i="5"/>
  <c r="AJ184" i="5"/>
  <c r="AN196" i="5"/>
  <c r="AW199" i="5" l="1"/>
  <c r="AX198" i="5"/>
  <c r="AV198" i="5"/>
  <c r="AN198" i="5"/>
  <c r="AK186" i="5"/>
  <c r="AJ185" i="5"/>
  <c r="AK187" i="5" l="1"/>
  <c r="AJ186" i="5"/>
  <c r="AW200" i="5"/>
  <c r="AX199" i="5"/>
  <c r="AV199" i="5"/>
  <c r="AN199" i="5" l="1"/>
  <c r="AX200" i="5"/>
  <c r="AN200" i="5"/>
  <c r="AV200" i="5"/>
  <c r="AW201" i="5"/>
  <c r="AJ187" i="5"/>
  <c r="AK188" i="5"/>
  <c r="AJ188" i="5" l="1"/>
  <c r="AK189" i="5"/>
  <c r="AW202" i="5"/>
  <c r="AV201" i="5"/>
  <c r="AX201" i="5"/>
  <c r="AN201" i="5" l="1"/>
  <c r="AX202" i="5"/>
  <c r="AN202" i="5"/>
  <c r="AV202" i="5"/>
  <c r="AW203" i="5"/>
  <c r="AJ189" i="5"/>
  <c r="AK190" i="5"/>
  <c r="AK191" i="5" l="1"/>
  <c r="AJ190" i="5"/>
  <c r="AW204" i="5"/>
  <c r="AV203" i="5"/>
  <c r="AX203" i="5"/>
  <c r="AN203" i="5"/>
  <c r="AX204" i="5" l="1"/>
  <c r="AW205" i="5"/>
  <c r="AV204" i="5"/>
  <c r="AK192" i="5"/>
  <c r="AJ191" i="5"/>
  <c r="AW206" i="5" l="1"/>
  <c r="AV205" i="5"/>
  <c r="AN205" i="5"/>
  <c r="AX205" i="5"/>
  <c r="AJ192" i="5"/>
  <c r="AK193" i="5"/>
  <c r="AN204" i="5"/>
  <c r="AJ193" i="5" l="1"/>
  <c r="AK194" i="5"/>
  <c r="AX206" i="5"/>
  <c r="AN206" i="5"/>
  <c r="AV206" i="5"/>
  <c r="AW207" i="5"/>
  <c r="AK195" i="5" l="1"/>
  <c r="AJ194" i="5"/>
  <c r="AW208" i="5"/>
  <c r="AV207" i="5"/>
  <c r="AX207" i="5"/>
  <c r="AN207" i="5"/>
  <c r="AX208" i="5" l="1"/>
  <c r="AV208" i="5"/>
  <c r="AW209" i="5"/>
  <c r="AK196" i="5"/>
  <c r="AJ195" i="5"/>
  <c r="AK197" i="5" l="1"/>
  <c r="AJ196" i="5"/>
  <c r="AN208" i="5"/>
  <c r="AW210" i="5"/>
  <c r="AV209" i="5"/>
  <c r="AX209" i="5"/>
  <c r="AN209" i="5"/>
  <c r="AK198" i="5" l="1"/>
  <c r="AJ197" i="5"/>
  <c r="AX210" i="5"/>
  <c r="AN210" i="5"/>
  <c r="AV210" i="5"/>
  <c r="AW211" i="5"/>
  <c r="AW212" i="5" l="1"/>
  <c r="AV211" i="5"/>
  <c r="AX211" i="5"/>
  <c r="AN211" i="5"/>
  <c r="AK199" i="5"/>
  <c r="AJ198" i="5"/>
  <c r="AJ199" i="5" l="1"/>
  <c r="AK200" i="5"/>
  <c r="AX212" i="5"/>
  <c r="AN212" i="5"/>
  <c r="AW213" i="5"/>
  <c r="AV212" i="5"/>
  <c r="AW214" i="5" l="1"/>
  <c r="AV213" i="5"/>
  <c r="AN213" i="5"/>
  <c r="AX213" i="5"/>
  <c r="AK201" i="5"/>
  <c r="AJ200" i="5"/>
  <c r="AK202" i="5" l="1"/>
  <c r="AJ201" i="5"/>
  <c r="AX214" i="5"/>
  <c r="AV214" i="5"/>
  <c r="AW215" i="5"/>
  <c r="AK203" i="5" l="1"/>
  <c r="AJ202" i="5"/>
  <c r="AN214" i="5"/>
  <c r="AW216" i="5"/>
  <c r="AV215" i="5"/>
  <c r="AX215" i="5"/>
  <c r="AN215" i="5"/>
  <c r="AX216" i="5" l="1"/>
  <c r="AN216" i="5"/>
  <c r="AV216" i="5"/>
  <c r="AW217" i="5"/>
  <c r="AJ203" i="5"/>
  <c r="AK204" i="5"/>
  <c r="AW218" i="5" l="1"/>
  <c r="AV217" i="5"/>
  <c r="AX217" i="5"/>
  <c r="AK205" i="5"/>
  <c r="AJ204" i="5"/>
  <c r="AJ205" i="5" l="1"/>
  <c r="AK206" i="5"/>
  <c r="AN217" i="5"/>
  <c r="AX218" i="5"/>
  <c r="AV218" i="5"/>
  <c r="AW219" i="5"/>
  <c r="AW220" i="5" l="1"/>
  <c r="AV219" i="5"/>
  <c r="AX219" i="5"/>
  <c r="AN219" i="5"/>
  <c r="AK207" i="5"/>
  <c r="AJ206" i="5"/>
  <c r="AN218" i="5"/>
  <c r="AX220" i="5" l="1"/>
  <c r="AW221" i="5"/>
  <c r="AV220" i="5"/>
  <c r="AJ207" i="5"/>
  <c r="AK208" i="5"/>
  <c r="AK209" i="5" l="1"/>
  <c r="AJ208" i="5"/>
  <c r="AN220" i="5"/>
  <c r="AW222" i="5"/>
  <c r="AV221" i="5"/>
  <c r="AX221" i="5"/>
  <c r="AK210" i="5" l="1"/>
  <c r="AJ209" i="5"/>
  <c r="AX222" i="5"/>
  <c r="AN222" i="5"/>
  <c r="AV222" i="5"/>
  <c r="AW223" i="5"/>
  <c r="AN221" i="5"/>
  <c r="AW224" i="5" l="1"/>
  <c r="AV223" i="5"/>
  <c r="AX223" i="5"/>
  <c r="AN223" i="5"/>
  <c r="AK211" i="5"/>
  <c r="AJ210" i="5"/>
  <c r="AX224" i="5" l="1"/>
  <c r="AV224" i="5"/>
  <c r="AW225" i="5"/>
  <c r="AJ211" i="5"/>
  <c r="AK212" i="5"/>
  <c r="AN224" i="5" l="1"/>
  <c r="AK213" i="5"/>
  <c r="AJ212" i="5"/>
  <c r="AW226" i="5"/>
  <c r="AV225" i="5"/>
  <c r="AX225" i="5"/>
  <c r="AN225" i="5"/>
  <c r="AX226" i="5" l="1"/>
  <c r="AV226" i="5"/>
  <c r="AW227" i="5"/>
  <c r="AJ213" i="5"/>
  <c r="AK214" i="5"/>
  <c r="AW228" i="5" l="1"/>
  <c r="AV227" i="5"/>
  <c r="AX227" i="5"/>
  <c r="AK215" i="5"/>
  <c r="AJ214" i="5"/>
  <c r="AN226" i="5"/>
  <c r="AJ215" i="5" l="1"/>
  <c r="AK216" i="5"/>
  <c r="AN227" i="5"/>
  <c r="AX228" i="5"/>
  <c r="AN228" i="5"/>
  <c r="AW229" i="5"/>
  <c r="AV228" i="5"/>
  <c r="AW230" i="5" l="1"/>
  <c r="AV229" i="5"/>
  <c r="AN229" i="5"/>
  <c r="AX229" i="5"/>
  <c r="AK217" i="5"/>
  <c r="AJ216" i="5"/>
  <c r="AK218" i="5" l="1"/>
  <c r="AJ217" i="5"/>
  <c r="AX230" i="5"/>
  <c r="AV230" i="5"/>
  <c r="AW231" i="5"/>
  <c r="AK219" i="5" l="1"/>
  <c r="AJ218" i="5"/>
  <c r="AN230" i="5"/>
  <c r="AW232" i="5"/>
  <c r="AV231" i="5"/>
  <c r="AX231" i="5"/>
  <c r="AN231" i="5"/>
  <c r="AN232" i="5" l="1"/>
  <c r="AX232" i="5"/>
  <c r="AV232" i="5"/>
  <c r="AW233" i="5"/>
  <c r="AJ219" i="5"/>
  <c r="AK220" i="5"/>
  <c r="AX233" i="5" l="1"/>
  <c r="AV233" i="5"/>
  <c r="AW234" i="5"/>
  <c r="AK221" i="5"/>
  <c r="AJ220" i="5"/>
  <c r="AJ221" i="5" l="1"/>
  <c r="AK222" i="5"/>
  <c r="AN233" i="5"/>
  <c r="AW235" i="5"/>
  <c r="AV234" i="5"/>
  <c r="AX234" i="5"/>
  <c r="AN234" i="5"/>
  <c r="AX235" i="5" l="1"/>
  <c r="AV235" i="5"/>
  <c r="AW236" i="5"/>
  <c r="AK223" i="5"/>
  <c r="AJ222" i="5"/>
  <c r="AN235" i="5" l="1"/>
  <c r="AW237" i="5"/>
  <c r="AX236" i="5"/>
  <c r="AV236" i="5"/>
  <c r="AN236" i="5"/>
  <c r="AJ223" i="5"/>
  <c r="AK224" i="5"/>
  <c r="AK225" i="5" l="1"/>
  <c r="AJ224" i="5"/>
  <c r="AX237" i="5"/>
  <c r="AN237" i="5"/>
  <c r="AW238" i="5"/>
  <c r="AV237" i="5"/>
  <c r="AW239" i="5" l="1"/>
  <c r="AV238" i="5"/>
  <c r="AN238" i="5"/>
  <c r="AX238" i="5"/>
  <c r="AK226" i="5"/>
  <c r="AJ225" i="5"/>
  <c r="AK227" i="5" l="1"/>
  <c r="AJ226" i="5"/>
  <c r="AV239" i="5"/>
  <c r="AN239" i="5"/>
  <c r="AW240" i="5"/>
  <c r="AX239" i="5"/>
  <c r="AW241" i="5" l="1"/>
  <c r="AX240" i="5"/>
  <c r="AV240" i="5"/>
  <c r="AJ227" i="5"/>
  <c r="AK228" i="5"/>
  <c r="AX241" i="5" l="1"/>
  <c r="AV241" i="5"/>
  <c r="AW242" i="5"/>
  <c r="AK229" i="5"/>
  <c r="AJ228" i="5"/>
  <c r="AN240" i="5"/>
  <c r="AW243" i="5" l="1"/>
  <c r="AV242" i="5"/>
  <c r="AN242" i="5"/>
  <c r="AX242" i="5"/>
  <c r="AJ229" i="5"/>
  <c r="AK230" i="5"/>
  <c r="AN241" i="5"/>
  <c r="AK231" i="5" l="1"/>
  <c r="AJ230" i="5"/>
  <c r="AW244" i="5"/>
  <c r="AX243" i="5"/>
  <c r="AV243" i="5"/>
  <c r="AN243" i="5" l="1"/>
  <c r="AV244" i="5"/>
  <c r="AW245" i="5"/>
  <c r="AX244" i="5"/>
  <c r="AJ231" i="5"/>
  <c r="AK232" i="5"/>
  <c r="AN244" i="5" l="1"/>
  <c r="AJ232" i="5"/>
  <c r="AK233" i="5"/>
  <c r="AX245" i="5"/>
  <c r="AW246" i="5"/>
  <c r="AV245" i="5"/>
  <c r="AK234" i="5" l="1"/>
  <c r="AJ233" i="5"/>
  <c r="AW247" i="5"/>
  <c r="AV246" i="5"/>
  <c r="AX246" i="5"/>
  <c r="AN245" i="5"/>
  <c r="AN246" i="5" l="1"/>
  <c r="AW248" i="5"/>
  <c r="AX247" i="5"/>
  <c r="AV247" i="5"/>
  <c r="AK235" i="5"/>
  <c r="AJ234" i="5"/>
  <c r="AK236" i="5" l="1"/>
  <c r="AJ235" i="5"/>
  <c r="AW249" i="5"/>
  <c r="AX248" i="5"/>
  <c r="AV248" i="5"/>
  <c r="AN247" i="5"/>
  <c r="AX249" i="5" l="1"/>
  <c r="AV249" i="5"/>
  <c r="AW250" i="5"/>
  <c r="AN248" i="5"/>
  <c r="AJ236" i="5"/>
  <c r="AK237" i="5"/>
  <c r="AK238" i="5" l="1"/>
  <c r="AJ237" i="5"/>
  <c r="AN249" i="5"/>
  <c r="AW251" i="5"/>
  <c r="AV250" i="5"/>
  <c r="AX250" i="5"/>
  <c r="AN250" i="5"/>
  <c r="AJ238" i="5" l="1"/>
  <c r="AK239" i="5"/>
  <c r="AW252" i="5"/>
  <c r="AV251" i="5"/>
  <c r="AX251" i="5"/>
  <c r="AN251" i="5"/>
  <c r="AK240" i="5" l="1"/>
  <c r="AJ239" i="5"/>
  <c r="AW253" i="5"/>
  <c r="AX252" i="5"/>
  <c r="AV252" i="5"/>
  <c r="AN252" i="5"/>
  <c r="AX253" i="5" l="1"/>
  <c r="AW254" i="5"/>
  <c r="AV253" i="5"/>
  <c r="AK241" i="5"/>
  <c r="AJ240" i="5"/>
  <c r="AW255" i="5" l="1"/>
  <c r="AV254" i="5"/>
  <c r="AN254" i="5"/>
  <c r="AX254" i="5"/>
  <c r="AJ241" i="5"/>
  <c r="AK242" i="5"/>
  <c r="AN253" i="5"/>
  <c r="AK243" i="5" l="1"/>
  <c r="AJ242" i="5"/>
  <c r="AV255" i="5"/>
  <c r="AN255" i="5"/>
  <c r="AW256" i="5"/>
  <c r="AX255" i="5"/>
  <c r="AN256" i="5" l="1"/>
  <c r="AV256" i="5"/>
  <c r="AW257" i="5"/>
  <c r="AX256" i="5"/>
  <c r="AK244" i="5"/>
  <c r="AJ243" i="5"/>
  <c r="AK245" i="5" l="1"/>
  <c r="AJ244" i="5"/>
  <c r="AN257" i="5"/>
  <c r="AX257" i="5"/>
  <c r="AV257" i="5"/>
  <c r="AW258" i="5"/>
  <c r="AX258" i="5" l="1"/>
  <c r="AV258" i="5"/>
  <c r="AW259" i="5"/>
  <c r="AK246" i="5"/>
  <c r="AJ245" i="5"/>
  <c r="AJ246" i="5" l="1"/>
  <c r="AK247" i="5"/>
  <c r="AN258" i="5"/>
  <c r="AW260" i="5"/>
  <c r="AV259" i="5"/>
  <c r="AX259" i="5"/>
  <c r="AN259" i="5"/>
  <c r="AX260" i="5" l="1"/>
  <c r="AN260" i="5"/>
  <c r="AW261" i="5"/>
  <c r="AV260" i="5"/>
  <c r="AK248" i="5"/>
  <c r="AJ247" i="5"/>
  <c r="AV261" i="5" l="1"/>
  <c r="AW262" i="5"/>
  <c r="AN261" i="5"/>
  <c r="AX261" i="5"/>
  <c r="AK249" i="5"/>
  <c r="AJ248" i="5"/>
  <c r="AK250" i="5" l="1"/>
  <c r="AJ249" i="5"/>
  <c r="AX262" i="5"/>
  <c r="AN262" i="5"/>
  <c r="AV262" i="5"/>
  <c r="AW263" i="5"/>
  <c r="AW264" i="5" l="1"/>
  <c r="AV263" i="5"/>
  <c r="AX263" i="5"/>
  <c r="AN263" i="5"/>
  <c r="AK251" i="5"/>
  <c r="AJ250" i="5"/>
  <c r="AK252" i="5" l="1"/>
  <c r="AJ251" i="5"/>
  <c r="AW265" i="5"/>
  <c r="AX264" i="5"/>
  <c r="AV264" i="5"/>
  <c r="AN264" i="5" l="1"/>
  <c r="AX265" i="5"/>
  <c r="AW266" i="5"/>
  <c r="AV265" i="5"/>
  <c r="AJ252" i="5"/>
  <c r="AK253" i="5"/>
  <c r="AJ253" i="5" l="1"/>
  <c r="AK254" i="5"/>
  <c r="AX266" i="5"/>
  <c r="AN266" i="5"/>
  <c r="AV266" i="5"/>
  <c r="AW267" i="5"/>
  <c r="AN265" i="5"/>
  <c r="AW268" i="5" l="1"/>
  <c r="AV267" i="5"/>
  <c r="AX267" i="5"/>
  <c r="AJ254" i="5"/>
  <c r="AK255" i="5"/>
  <c r="AK256" i="5" l="1"/>
  <c r="AJ255" i="5"/>
  <c r="AN267" i="5"/>
  <c r="AV268" i="5"/>
  <c r="AX268" i="5"/>
  <c r="AW269" i="5"/>
  <c r="AW270" i="5" l="1"/>
  <c r="AX269" i="5"/>
  <c r="AV269" i="5"/>
  <c r="AN269" i="5"/>
  <c r="AN268" i="5"/>
  <c r="AJ256" i="5"/>
  <c r="AK257" i="5"/>
  <c r="AJ257" i="5" l="1"/>
  <c r="AK258" i="5"/>
  <c r="AX270" i="5"/>
  <c r="AW271" i="5"/>
  <c r="AV270" i="5"/>
  <c r="AJ258" i="5" l="1"/>
  <c r="AK259" i="5"/>
  <c r="AN270" i="5"/>
  <c r="AW272" i="5"/>
  <c r="AV271" i="5"/>
  <c r="AN271" i="5"/>
  <c r="AX271" i="5"/>
  <c r="AV272" i="5" l="1"/>
  <c r="AW273" i="5"/>
  <c r="AX272" i="5"/>
  <c r="AJ259" i="5"/>
  <c r="AK260" i="5"/>
  <c r="AN272" i="5" l="1"/>
  <c r="AV273" i="5"/>
  <c r="AN273" i="5"/>
  <c r="AW274" i="5"/>
  <c r="AX273" i="5"/>
  <c r="AK261" i="5"/>
  <c r="AJ260" i="5"/>
  <c r="AK262" i="5" l="1"/>
  <c r="AJ261" i="5"/>
  <c r="AX274" i="5"/>
  <c r="AN274" i="5"/>
  <c r="AV274" i="5"/>
  <c r="AW275" i="5"/>
  <c r="AK263" i="5" l="1"/>
  <c r="AJ262" i="5"/>
  <c r="AW276" i="5"/>
  <c r="AV275" i="5"/>
  <c r="AX275" i="5"/>
  <c r="AN275" i="5"/>
  <c r="AW277" i="5" l="1"/>
  <c r="AX276" i="5"/>
  <c r="AN276" i="5"/>
  <c r="AV276" i="5"/>
  <c r="AJ263" i="5"/>
  <c r="AK264" i="5"/>
  <c r="AK265" i="5" l="1"/>
  <c r="AJ264" i="5"/>
  <c r="AV277" i="5"/>
  <c r="AX277" i="5"/>
  <c r="AW278" i="5"/>
  <c r="AX278" i="5" l="1"/>
  <c r="AV278" i="5"/>
  <c r="AW279" i="5"/>
  <c r="AN277" i="5"/>
  <c r="AK266" i="5"/>
  <c r="AJ265" i="5"/>
  <c r="AK267" i="5" l="1"/>
  <c r="AJ266" i="5"/>
  <c r="AW280" i="5"/>
  <c r="AV279" i="5"/>
  <c r="AX279" i="5"/>
  <c r="AN279" i="5"/>
  <c r="AN278" i="5"/>
  <c r="AW281" i="5" l="1"/>
  <c r="AX280" i="5"/>
  <c r="AN280" i="5"/>
  <c r="AV280" i="5"/>
  <c r="AK268" i="5"/>
  <c r="AJ267" i="5"/>
  <c r="AK269" i="5" l="1"/>
  <c r="AJ268" i="5"/>
  <c r="AW282" i="5"/>
  <c r="AX281" i="5"/>
  <c r="AV281" i="5"/>
  <c r="AX282" i="5" l="1"/>
  <c r="AW283" i="5"/>
  <c r="AV282" i="5"/>
  <c r="AN281" i="5"/>
  <c r="AJ269" i="5"/>
  <c r="AK270" i="5"/>
  <c r="AK271" i="5" l="1"/>
  <c r="AJ270" i="5"/>
  <c r="AW284" i="5"/>
  <c r="AV283" i="5"/>
  <c r="AX283" i="5"/>
  <c r="AN282" i="5"/>
  <c r="AV284" i="5" l="1"/>
  <c r="AW285" i="5"/>
  <c r="AX284" i="5"/>
  <c r="AN283" i="5"/>
  <c r="AK272" i="5"/>
  <c r="AJ271" i="5"/>
  <c r="AK273" i="5" l="1"/>
  <c r="AJ272" i="5"/>
  <c r="AW286" i="5"/>
  <c r="AX285" i="5"/>
  <c r="AV285" i="5"/>
  <c r="AN284" i="5"/>
  <c r="AN285" i="5" l="1"/>
  <c r="AX286" i="5"/>
  <c r="AN286" i="5"/>
  <c r="AW287" i="5"/>
  <c r="AV286" i="5"/>
  <c r="AK274" i="5"/>
  <c r="AJ273" i="5"/>
  <c r="AW288" i="5" l="1"/>
  <c r="AV287" i="5"/>
  <c r="AN287" i="5"/>
  <c r="AX287" i="5"/>
  <c r="AJ274" i="5"/>
  <c r="AK275" i="5"/>
  <c r="AJ275" i="5" l="1"/>
  <c r="AK276" i="5"/>
  <c r="AW289" i="5"/>
  <c r="AV288" i="5"/>
  <c r="AX288" i="5"/>
  <c r="AW290" i="5" l="1"/>
  <c r="AV289" i="5"/>
  <c r="AX289" i="5"/>
  <c r="AN288" i="5"/>
  <c r="AK277" i="5"/>
  <c r="AJ276" i="5"/>
  <c r="AK278" i="5" l="1"/>
  <c r="AJ277" i="5"/>
  <c r="AN289" i="5"/>
  <c r="AW291" i="5"/>
  <c r="AX290" i="5"/>
  <c r="AV290" i="5"/>
  <c r="AN290" i="5"/>
  <c r="AX291" i="5" l="1"/>
  <c r="AV291" i="5"/>
  <c r="AW292" i="5"/>
  <c r="AN291" i="5"/>
  <c r="AK279" i="5"/>
  <c r="AJ278" i="5"/>
  <c r="AX292" i="5" l="1"/>
  <c r="AV292" i="5"/>
  <c r="AW293" i="5"/>
  <c r="AK280" i="5"/>
  <c r="AJ279" i="5"/>
  <c r="AW294" i="5" l="1"/>
  <c r="AV293" i="5"/>
  <c r="AN293" i="5"/>
  <c r="AX293" i="5"/>
  <c r="AK281" i="5"/>
  <c r="AJ280" i="5"/>
  <c r="AN292" i="5"/>
  <c r="AJ281" i="5" l="1"/>
  <c r="AK282" i="5"/>
  <c r="AW295" i="5"/>
  <c r="AV294" i="5"/>
  <c r="AX294" i="5"/>
  <c r="AW296" i="5" l="1"/>
  <c r="AX295" i="5"/>
  <c r="AV295" i="5"/>
  <c r="AN294" i="5"/>
  <c r="AK283" i="5"/>
  <c r="AJ282" i="5"/>
  <c r="AK284" i="5" l="1"/>
  <c r="AJ283" i="5"/>
  <c r="AN295" i="5"/>
  <c r="AX296" i="5"/>
  <c r="AW297" i="5"/>
  <c r="AV296" i="5"/>
  <c r="AW298" i="5" l="1"/>
  <c r="AV297" i="5"/>
  <c r="AN297" i="5"/>
  <c r="AX297" i="5"/>
  <c r="AN296" i="5"/>
  <c r="AK285" i="5"/>
  <c r="AJ284" i="5"/>
  <c r="AJ285" i="5" l="1"/>
  <c r="AK286" i="5"/>
  <c r="AV298" i="5"/>
  <c r="AX298" i="5"/>
  <c r="AW299" i="5"/>
  <c r="AN298" i="5" l="1"/>
  <c r="AN299" i="5"/>
  <c r="AX299" i="5"/>
  <c r="AW300" i="5"/>
  <c r="AV299" i="5"/>
  <c r="AJ286" i="5"/>
  <c r="AK287" i="5"/>
  <c r="AK288" i="5" l="1"/>
  <c r="AJ287" i="5"/>
  <c r="AX300" i="5"/>
  <c r="AN300" i="5"/>
  <c r="AV300" i="5"/>
  <c r="AW301" i="5"/>
  <c r="AW302" i="5" l="1"/>
  <c r="AV301" i="5"/>
  <c r="AX301" i="5"/>
  <c r="AK289" i="5"/>
  <c r="AJ288" i="5"/>
  <c r="AJ289" i="5" l="1"/>
  <c r="AK290" i="5"/>
  <c r="AN301" i="5"/>
  <c r="AX302" i="5"/>
  <c r="AN302" i="5"/>
  <c r="AV302" i="5"/>
  <c r="AW303" i="5"/>
  <c r="AW304" i="5" l="1"/>
  <c r="AV303" i="5"/>
  <c r="AX303" i="5"/>
  <c r="AK291" i="5"/>
  <c r="AJ290" i="5"/>
  <c r="AJ291" i="5" l="1"/>
  <c r="AK292" i="5"/>
  <c r="AN303" i="5"/>
  <c r="AX304" i="5"/>
  <c r="AN304" i="5"/>
  <c r="AW305" i="5"/>
  <c r="AV304" i="5"/>
  <c r="AW306" i="5" l="1"/>
  <c r="AV305" i="5"/>
  <c r="AN305" i="5"/>
  <c r="AX305" i="5"/>
  <c r="AK293" i="5"/>
  <c r="AJ292" i="5"/>
  <c r="AK294" i="5" l="1"/>
  <c r="AJ293" i="5"/>
  <c r="AV306" i="5"/>
  <c r="AN306" i="5"/>
  <c r="AW307" i="5"/>
  <c r="AX306" i="5"/>
  <c r="AW308" i="5" l="1"/>
  <c r="AX307" i="5"/>
  <c r="AV307" i="5"/>
  <c r="AK295" i="5"/>
  <c r="AJ294" i="5"/>
  <c r="AJ295" i="5" l="1"/>
  <c r="AK296" i="5"/>
  <c r="AX308" i="5"/>
  <c r="AN308" i="5"/>
  <c r="AV308" i="5"/>
  <c r="AW309" i="5"/>
  <c r="AN307" i="5"/>
  <c r="AJ296" i="5" l="1"/>
  <c r="AK297" i="5"/>
  <c r="AW310" i="5"/>
  <c r="AV309" i="5"/>
  <c r="AX309" i="5"/>
  <c r="AN309" i="5"/>
  <c r="AJ297" i="5" l="1"/>
  <c r="AK298" i="5"/>
  <c r="AW311" i="5"/>
  <c r="AV310" i="5"/>
  <c r="AX310" i="5"/>
  <c r="AN310" i="5"/>
  <c r="AK299" i="5" l="1"/>
  <c r="AJ298" i="5"/>
  <c r="AV311" i="5"/>
  <c r="AW312" i="5"/>
  <c r="AX311" i="5"/>
  <c r="AN311" i="5" l="1"/>
  <c r="AX312" i="5"/>
  <c r="AN312" i="5"/>
  <c r="AW313" i="5"/>
  <c r="AV312" i="5"/>
  <c r="AK300" i="5"/>
  <c r="AJ299" i="5"/>
  <c r="AW314" i="5" l="1"/>
  <c r="AV313" i="5"/>
  <c r="AX313" i="5"/>
  <c r="AN313" i="5"/>
  <c r="AJ300" i="5"/>
  <c r="AK301" i="5"/>
  <c r="AJ301" i="5" l="1"/>
  <c r="AK302" i="5"/>
  <c r="AW315" i="5"/>
  <c r="AX314" i="5"/>
  <c r="AV314" i="5"/>
  <c r="AN314" i="5"/>
  <c r="AV315" i="5" l="1"/>
  <c r="AW316" i="5"/>
  <c r="AX315" i="5"/>
  <c r="AK303" i="5"/>
  <c r="AJ302" i="5"/>
  <c r="AX316" i="5" l="1"/>
  <c r="AV316" i="5"/>
  <c r="AW317" i="5"/>
  <c r="AK304" i="5"/>
  <c r="AJ303" i="5"/>
  <c r="AN315" i="5"/>
  <c r="AW318" i="5" l="1"/>
  <c r="AV317" i="5"/>
  <c r="AX317" i="5"/>
  <c r="AJ304" i="5"/>
  <c r="AK305" i="5"/>
  <c r="AN316" i="5"/>
  <c r="AJ305" i="5" l="1"/>
  <c r="AK306" i="5"/>
  <c r="AN317" i="5"/>
  <c r="AV318" i="5"/>
  <c r="AW319" i="5"/>
  <c r="AX318" i="5"/>
  <c r="AN318" i="5" l="1"/>
  <c r="AK307" i="5"/>
  <c r="AJ306" i="5"/>
  <c r="AW320" i="5"/>
  <c r="AX319" i="5"/>
  <c r="AV319" i="5"/>
  <c r="AN319" i="5"/>
  <c r="AK308" i="5" l="1"/>
  <c r="AJ307" i="5"/>
  <c r="AX320" i="5"/>
  <c r="AN320" i="5"/>
  <c r="AW321" i="5"/>
  <c r="AV320" i="5"/>
  <c r="AW322" i="5" l="1"/>
  <c r="AV321" i="5"/>
  <c r="AN321" i="5"/>
  <c r="AX321" i="5"/>
  <c r="AJ308" i="5"/>
  <c r="AK309" i="5"/>
  <c r="AK310" i="5" l="1"/>
  <c r="AJ309" i="5"/>
  <c r="AV322" i="5"/>
  <c r="AN322" i="5"/>
  <c r="AW323" i="5"/>
  <c r="AX322" i="5"/>
  <c r="AX323" i="5" l="1"/>
  <c r="AV323" i="5"/>
  <c r="AW324" i="5"/>
  <c r="AK311" i="5"/>
  <c r="AJ310" i="5"/>
  <c r="AK312" i="5" l="1"/>
  <c r="AJ311" i="5"/>
  <c r="AX324" i="5"/>
  <c r="AN324" i="5"/>
  <c r="AV324" i="5"/>
  <c r="AW325" i="5"/>
  <c r="AN323" i="5"/>
  <c r="AW326" i="5" l="1"/>
  <c r="AV325" i="5"/>
  <c r="AX325" i="5"/>
  <c r="AN325" i="5"/>
  <c r="AJ312" i="5"/>
  <c r="AK313" i="5"/>
  <c r="AJ313" i="5" l="1"/>
  <c r="AK314" i="5"/>
  <c r="AX326" i="5"/>
  <c r="AV326" i="5"/>
  <c r="AW327" i="5"/>
  <c r="AK315" i="5" l="1"/>
  <c r="AJ314" i="5"/>
  <c r="AV327" i="5"/>
  <c r="AW328" i="5"/>
  <c r="AX327" i="5"/>
  <c r="AN326" i="5"/>
  <c r="AN327" i="5" l="1"/>
  <c r="AX328" i="5"/>
  <c r="AN328" i="5"/>
  <c r="AW329" i="5"/>
  <c r="AV328" i="5"/>
  <c r="AJ315" i="5"/>
  <c r="AK316" i="5"/>
  <c r="AK317" i="5" l="1"/>
  <c r="AJ316" i="5"/>
  <c r="AW330" i="5"/>
  <c r="AV329" i="5"/>
  <c r="AX329" i="5"/>
  <c r="AX330" i="5" l="1"/>
  <c r="AV330" i="5"/>
  <c r="AW331" i="5"/>
  <c r="AK318" i="5"/>
  <c r="AJ317" i="5"/>
  <c r="AN329" i="5"/>
  <c r="AW332" i="5" l="1"/>
  <c r="AV331" i="5"/>
  <c r="AX331" i="5"/>
  <c r="AN331" i="5"/>
  <c r="AK319" i="5"/>
  <c r="AJ318" i="5"/>
  <c r="AN330" i="5"/>
  <c r="AX332" i="5" l="1"/>
  <c r="AW333" i="5"/>
  <c r="AV332" i="5"/>
  <c r="AJ319" i="5"/>
  <c r="AK320" i="5"/>
  <c r="AW334" i="5" l="1"/>
  <c r="AV333" i="5"/>
  <c r="AN333" i="5"/>
  <c r="AX333" i="5"/>
  <c r="AN332" i="5"/>
  <c r="AJ320" i="5"/>
  <c r="AK321" i="5"/>
  <c r="AX334" i="5" l="1"/>
  <c r="AV334" i="5"/>
  <c r="AW335" i="5"/>
  <c r="AJ321" i="5"/>
  <c r="AK322" i="5"/>
  <c r="AN334" i="5" l="1"/>
  <c r="AK323" i="5"/>
  <c r="AJ322" i="5"/>
  <c r="AW336" i="5"/>
  <c r="AV335" i="5"/>
  <c r="AX335" i="5"/>
  <c r="AN335" i="5"/>
  <c r="AW337" i="5" l="1"/>
  <c r="AV336" i="5"/>
  <c r="AX336" i="5"/>
  <c r="AJ323" i="5"/>
  <c r="AK324" i="5"/>
  <c r="AN336" i="5" l="1"/>
  <c r="AJ324" i="5"/>
  <c r="AK325" i="5"/>
  <c r="AW338" i="5"/>
  <c r="AX337" i="5"/>
  <c r="AV337" i="5"/>
  <c r="AN337" i="5"/>
  <c r="AK326" i="5" l="1"/>
  <c r="AJ325" i="5"/>
  <c r="AX338" i="5"/>
  <c r="AN338" i="5"/>
  <c r="AW339" i="5"/>
  <c r="AV338" i="5"/>
  <c r="AW340" i="5" l="1"/>
  <c r="AV339" i="5"/>
  <c r="AN339" i="5"/>
  <c r="AX339" i="5"/>
  <c r="AK327" i="5"/>
  <c r="AJ326" i="5"/>
  <c r="AK328" i="5" l="1"/>
  <c r="AJ327" i="5"/>
  <c r="AV340" i="5"/>
  <c r="AN340" i="5"/>
  <c r="AW341" i="5"/>
  <c r="AX340" i="5"/>
  <c r="AX341" i="5" l="1"/>
  <c r="AW342" i="5"/>
  <c r="AV341" i="5"/>
  <c r="AK329" i="5"/>
  <c r="AJ328" i="5"/>
  <c r="AK330" i="5" l="1"/>
  <c r="AJ329" i="5"/>
  <c r="AX342" i="5"/>
  <c r="AN342" i="5"/>
  <c r="AV342" i="5"/>
  <c r="AW343" i="5"/>
  <c r="AN341" i="5"/>
  <c r="AW344" i="5" l="1"/>
  <c r="AV343" i="5"/>
  <c r="AN343" i="5"/>
  <c r="AX343" i="5"/>
  <c r="AK331" i="5"/>
  <c r="AJ330" i="5"/>
  <c r="AJ331" i="5" l="1"/>
  <c r="AK332" i="5"/>
  <c r="AX344" i="5"/>
  <c r="AN344" i="5"/>
  <c r="AV344" i="5"/>
  <c r="AW345" i="5"/>
  <c r="AV345" i="5" l="1"/>
  <c r="AW346" i="5"/>
  <c r="AX345" i="5"/>
  <c r="AN345" i="5"/>
  <c r="AK333" i="5"/>
  <c r="AJ332" i="5"/>
  <c r="AK334" i="5" l="1"/>
  <c r="AJ333" i="5"/>
  <c r="AX346" i="5"/>
  <c r="AN346" i="5"/>
  <c r="AW347" i="5"/>
  <c r="AV346" i="5"/>
  <c r="AW348" i="5" l="1"/>
  <c r="AV347" i="5"/>
  <c r="AX347" i="5"/>
  <c r="AK335" i="5"/>
  <c r="AJ334" i="5"/>
  <c r="AK336" i="5" l="1"/>
  <c r="AJ335" i="5"/>
  <c r="AN347" i="5"/>
  <c r="AW349" i="5"/>
  <c r="AX348" i="5"/>
  <c r="AV348" i="5"/>
  <c r="AK337" i="5" l="1"/>
  <c r="AJ336" i="5"/>
  <c r="AN348" i="5"/>
  <c r="AW350" i="5"/>
  <c r="AV349" i="5"/>
  <c r="AX349" i="5"/>
  <c r="AW351" i="5" l="1"/>
  <c r="AV350" i="5"/>
  <c r="AX350" i="5"/>
  <c r="AN349" i="5"/>
  <c r="AJ337" i="5"/>
  <c r="AK338" i="5"/>
  <c r="AN350" i="5" l="1"/>
  <c r="AK339" i="5"/>
  <c r="AJ338" i="5"/>
  <c r="AW352" i="5"/>
  <c r="AV351" i="5"/>
  <c r="AX351" i="5"/>
  <c r="AN351" i="5"/>
  <c r="AJ339" i="5" l="1"/>
  <c r="AK340" i="5"/>
  <c r="AW353" i="5"/>
  <c r="AX352" i="5"/>
  <c r="AN352" i="5"/>
  <c r="AV352" i="5"/>
  <c r="AX353" i="5" l="1"/>
  <c r="AW354" i="5"/>
  <c r="AV353" i="5"/>
  <c r="AK341" i="5"/>
  <c r="AJ340" i="5"/>
  <c r="AW355" i="5" l="1"/>
  <c r="AV354" i="5"/>
  <c r="AN354" i="5"/>
  <c r="AX354" i="5"/>
  <c r="AK342" i="5"/>
  <c r="AJ341" i="5"/>
  <c r="AN353" i="5"/>
  <c r="AV355" i="5" l="1"/>
  <c r="AX355" i="5"/>
  <c r="AW356" i="5"/>
  <c r="AJ342" i="5"/>
  <c r="AK343" i="5"/>
  <c r="AK344" i="5" l="1"/>
  <c r="AJ343" i="5"/>
  <c r="AN355" i="5"/>
  <c r="AN356" i="5"/>
  <c r="AX356" i="5"/>
  <c r="AV356" i="5"/>
  <c r="AW357" i="5"/>
  <c r="AK345" i="5" l="1"/>
  <c r="AJ344" i="5"/>
  <c r="AX357" i="5"/>
  <c r="AN357" i="5"/>
  <c r="AV357" i="5"/>
  <c r="AW358" i="5"/>
  <c r="AW359" i="5" l="1"/>
  <c r="AV358" i="5"/>
  <c r="AX358" i="5"/>
  <c r="AN358" i="5"/>
  <c r="AK346" i="5"/>
  <c r="AJ345" i="5"/>
  <c r="AX359" i="5" l="1"/>
  <c r="AN359" i="5"/>
  <c r="AW360" i="5"/>
  <c r="AV359" i="5"/>
  <c r="AJ346" i="5"/>
  <c r="AK347" i="5"/>
  <c r="AV360" i="5" l="1"/>
  <c r="AW361" i="5"/>
  <c r="AN360" i="5"/>
  <c r="AX360" i="5"/>
  <c r="AJ347" i="5"/>
  <c r="AK348" i="5"/>
  <c r="AK349" i="5" l="1"/>
  <c r="AJ348" i="5"/>
  <c r="AX361" i="5"/>
  <c r="AN361" i="5"/>
  <c r="AW362" i="5"/>
  <c r="AV361" i="5"/>
  <c r="AW363" i="5" l="1"/>
  <c r="AV362" i="5"/>
  <c r="AX362" i="5"/>
  <c r="AN362" i="5"/>
  <c r="AJ349" i="5"/>
  <c r="AK350" i="5"/>
  <c r="AK351" i="5" l="1"/>
  <c r="AJ350" i="5"/>
  <c r="AW364" i="5"/>
  <c r="AX363" i="5"/>
  <c r="AV363" i="5"/>
  <c r="AN363" i="5"/>
  <c r="AK352" i="5" l="1"/>
  <c r="AJ351" i="5"/>
  <c r="AX364" i="5"/>
  <c r="AW365" i="5"/>
  <c r="AN364" i="5"/>
  <c r="AV364" i="5"/>
  <c r="AX365" i="5" l="1"/>
  <c r="AV365" i="5"/>
  <c r="AW366" i="5"/>
  <c r="AJ352" i="5"/>
  <c r="AK353" i="5"/>
  <c r="AW367" i="5" l="1"/>
  <c r="AV366" i="5"/>
  <c r="AN366" i="5"/>
  <c r="AX366" i="5"/>
  <c r="AJ353" i="5"/>
  <c r="AK354" i="5"/>
  <c r="AN365" i="5"/>
  <c r="AJ354" i="5" l="1"/>
  <c r="AK355" i="5"/>
  <c r="AV367" i="5"/>
  <c r="AN367" i="5"/>
  <c r="AX367" i="5"/>
  <c r="AW368" i="5"/>
  <c r="AW369" i="5" l="1"/>
  <c r="AX368" i="5"/>
  <c r="AV368" i="5"/>
  <c r="AK356" i="5"/>
  <c r="AJ355" i="5"/>
  <c r="AK357" i="5" l="1"/>
  <c r="AJ356" i="5"/>
  <c r="AN368" i="5"/>
  <c r="AX369" i="5"/>
  <c r="AN369" i="5"/>
  <c r="AW370" i="5"/>
  <c r="AV369" i="5"/>
  <c r="AJ357" i="5" l="1"/>
  <c r="AK358" i="5"/>
  <c r="AW371" i="5"/>
  <c r="AV370" i="5"/>
  <c r="AX370" i="5"/>
  <c r="AN370" i="5"/>
  <c r="AJ358" i="5" l="1"/>
  <c r="AK359" i="5"/>
  <c r="AX371" i="5"/>
  <c r="AN371" i="5"/>
  <c r="AV371" i="5"/>
  <c r="AW372" i="5"/>
  <c r="AW373" i="5" l="1"/>
  <c r="AV372" i="5"/>
  <c r="AX372" i="5"/>
  <c r="AN372" i="5"/>
  <c r="AK360" i="5"/>
  <c r="AJ359" i="5"/>
  <c r="AX373" i="5" l="1"/>
  <c r="AW374" i="5"/>
  <c r="AV373" i="5"/>
  <c r="AK361" i="5"/>
  <c r="AJ360" i="5"/>
  <c r="AW375" i="5" l="1"/>
  <c r="AV374" i="5"/>
  <c r="AN374" i="5"/>
  <c r="AX374" i="5"/>
  <c r="AK362" i="5"/>
  <c r="AJ361" i="5"/>
  <c r="AN373" i="5"/>
  <c r="AX375" i="5" l="1"/>
  <c r="AW376" i="5"/>
  <c r="AV375" i="5"/>
  <c r="AJ362" i="5"/>
  <c r="AK363" i="5"/>
  <c r="AN375" i="5" l="1"/>
  <c r="AW377" i="5"/>
  <c r="AV376" i="5"/>
  <c r="AX376" i="5"/>
  <c r="AK364" i="5"/>
  <c r="AJ363" i="5"/>
  <c r="AK365" i="5" l="1"/>
  <c r="AJ364" i="5"/>
  <c r="AN376" i="5"/>
  <c r="AX377" i="5"/>
  <c r="AN377" i="5"/>
  <c r="AW378" i="5"/>
  <c r="AV377" i="5"/>
  <c r="AK366" i="5" l="1"/>
  <c r="AJ365" i="5"/>
  <c r="AW379" i="5"/>
  <c r="AV378" i="5"/>
  <c r="AX378" i="5"/>
  <c r="AX379" i="5" l="1"/>
  <c r="AV379" i="5"/>
  <c r="AW380" i="5"/>
  <c r="AN378" i="5"/>
  <c r="AK367" i="5"/>
  <c r="AJ366" i="5"/>
  <c r="AW381" i="5" l="1"/>
  <c r="AV380" i="5"/>
  <c r="AX380" i="5"/>
  <c r="AN380" i="5"/>
  <c r="AK368" i="5"/>
  <c r="AJ367" i="5"/>
  <c r="AN379" i="5"/>
  <c r="AX381" i="5" l="1"/>
  <c r="AW382" i="5"/>
  <c r="AV381" i="5"/>
  <c r="AJ368" i="5"/>
  <c r="AK369" i="5"/>
  <c r="AK370" i="5" l="1"/>
  <c r="AJ369" i="5"/>
  <c r="AN381" i="5"/>
  <c r="AW383" i="5"/>
  <c r="AV382" i="5"/>
  <c r="AX382" i="5"/>
  <c r="AX383" i="5" l="1"/>
  <c r="AW384" i="5"/>
  <c r="AV383" i="5"/>
  <c r="AN382" i="5"/>
  <c r="AK371" i="5"/>
  <c r="AJ370" i="5"/>
  <c r="AK372" i="5" l="1"/>
  <c r="AJ371" i="5"/>
  <c r="AW385" i="5"/>
  <c r="AV384" i="5"/>
  <c r="AX384" i="5"/>
  <c r="AN383" i="5"/>
  <c r="AK373" i="5" l="1"/>
  <c r="AJ372" i="5"/>
  <c r="AN384" i="5"/>
  <c r="AX385" i="5"/>
  <c r="AN385" i="5"/>
  <c r="AV385" i="5"/>
  <c r="AW386" i="5"/>
  <c r="AW387" i="5" l="1"/>
  <c r="AV386" i="5"/>
  <c r="AX386" i="5"/>
  <c r="AN386" i="5"/>
  <c r="AK374" i="5"/>
  <c r="AJ373" i="5"/>
  <c r="AJ374" i="5" l="1"/>
  <c r="AK375" i="5"/>
  <c r="AX387" i="5"/>
  <c r="AV387" i="5"/>
  <c r="AN387" i="5" l="1"/>
  <c r="AK376" i="5"/>
  <c r="AJ375" i="5"/>
  <c r="AJ376" i="5" l="1"/>
  <c r="AK377" i="5"/>
  <c r="AK378" i="5" l="1"/>
  <c r="AJ377" i="5"/>
  <c r="AK379" i="5" l="1"/>
  <c r="AJ378" i="5"/>
  <c r="AK380" i="5" l="1"/>
  <c r="AJ379" i="5"/>
  <c r="AJ380" i="5" l="1"/>
  <c r="AK381" i="5"/>
  <c r="AK382" i="5" l="1"/>
  <c r="AJ381" i="5"/>
  <c r="AK383" i="5" l="1"/>
  <c r="AJ382" i="5"/>
  <c r="AK384" i="5" l="1"/>
  <c r="AJ383" i="5"/>
  <c r="AJ384" i="5" l="1"/>
  <c r="AK385" i="5"/>
  <c r="AK386" i="5" l="1"/>
  <c r="AJ385" i="5"/>
  <c r="AJ386" i="5" l="1"/>
  <c r="AK387" i="5"/>
  <c r="AJ387" i="5" l="1"/>
  <c r="AK388" i="5"/>
  <c r="K24" i="5" a="1"/>
  <c r="K24" i="5" s="1"/>
  <c r="F24" i="5" a="1"/>
  <c r="F24" i="5" s="1"/>
  <c r="F52" i="5" a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E52" i="5" a="1"/>
  <c r="E52" i="5" s="1"/>
  <c r="E53" i="5" s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K52" i="5" a="1"/>
  <c r="K52" i="5" s="1"/>
  <c r="AV56" i="24" s="1"/>
  <c r="AX56" i="24" s="1"/>
  <c r="U56" i="24" s="1"/>
  <c r="D52" i="5" a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E23" i="5" a="1"/>
  <c r="E23" i="5" s="1"/>
  <c r="E22" i="5" a="1"/>
  <c r="E22" i="5" s="1"/>
  <c r="E21" i="5" s="1"/>
  <c r="E20" i="5" s="1"/>
  <c r="E19" i="5" s="1"/>
  <c r="E18" i="5" s="1"/>
  <c r="E17" i="5" s="1"/>
  <c r="E16" i="5" s="1"/>
  <c r="E15" i="5" s="1"/>
  <c r="E24" i="5" a="1"/>
  <c r="E24" i="5" s="1"/>
  <c r="E26" i="5" a="1"/>
  <c r="E26" i="5" s="1"/>
  <c r="E25" i="5" a="1"/>
  <c r="E25" i="5" s="1"/>
  <c r="K25" i="5" a="1"/>
  <c r="K25" i="5" s="1"/>
  <c r="D26" i="5" a="1"/>
  <c r="D26" i="5" s="1"/>
  <c r="K23" i="5" a="1"/>
  <c r="K23" i="5" s="1"/>
  <c r="AN28" i="31" s="1"/>
  <c r="F25" i="5" a="1"/>
  <c r="F25" i="5" s="1"/>
  <c r="F22" i="5" a="1"/>
  <c r="F22" i="5" s="1"/>
  <c r="F21" i="5" s="1"/>
  <c r="F20" i="5" s="1"/>
  <c r="F19" i="5" s="1"/>
  <c r="F18" i="5" s="1"/>
  <c r="F17" i="5" s="1"/>
  <c r="F16" i="5" s="1"/>
  <c r="F15" i="5" s="1"/>
  <c r="K26" i="5" a="1"/>
  <c r="K26" i="5" s="1"/>
  <c r="D25" i="5" a="1"/>
  <c r="D25" i="5" s="1"/>
  <c r="F26" i="5" a="1"/>
  <c r="F26" i="5" s="1"/>
  <c r="F28" i="5" a="1"/>
  <c r="F28" i="5" s="1"/>
  <c r="D28" i="5" a="1"/>
  <c r="D28" i="5" s="1"/>
  <c r="D27" i="5" a="1"/>
  <c r="D27" i="5" s="1"/>
  <c r="F27" i="5" a="1"/>
  <c r="F27" i="5" s="1"/>
  <c r="F29" i="5" a="1"/>
  <c r="F29" i="5" s="1"/>
  <c r="K29" i="5" a="1"/>
  <c r="K29" i="5" s="1"/>
  <c r="K27" i="5" a="1"/>
  <c r="K27" i="5" s="1"/>
  <c r="E28" i="5" a="1"/>
  <c r="E28" i="5" s="1"/>
  <c r="E29" i="5" a="1"/>
  <c r="E29" i="5" s="1"/>
  <c r="E27" i="5" a="1"/>
  <c r="E27" i="5" s="1"/>
  <c r="K28" i="5" a="1"/>
  <c r="K28" i="5" s="1"/>
  <c r="D29" i="5" a="1"/>
  <c r="D29" i="5" s="1"/>
  <c r="F30" i="5" a="1"/>
  <c r="F30" i="5" s="1"/>
  <c r="D30" i="5" a="1"/>
  <c r="D30" i="5" s="1"/>
  <c r="E33" i="5" a="1"/>
  <c r="E33" i="5" s="1"/>
  <c r="F31" i="5" a="1"/>
  <c r="F31" i="5" s="1"/>
  <c r="K30" i="5" a="1"/>
  <c r="K30" i="5" s="1"/>
  <c r="E32" i="5" a="1"/>
  <c r="E32" i="5" s="1"/>
  <c r="K33" i="5" a="1"/>
  <c r="K33" i="5" s="1"/>
  <c r="E30" i="5" a="1"/>
  <c r="E30" i="5" s="1"/>
  <c r="F34" i="5" a="1"/>
  <c r="F34" i="5" s="1"/>
  <c r="D32" i="5" a="1"/>
  <c r="D32" i="5" s="1"/>
  <c r="D34" i="5" a="1"/>
  <c r="D34" i="5" s="1"/>
  <c r="K32" i="5" a="1"/>
  <c r="K32" i="5" s="1"/>
  <c r="D31" i="5" a="1"/>
  <c r="D31" i="5" s="1"/>
  <c r="F32" i="5" a="1"/>
  <c r="F32" i="5" s="1"/>
  <c r="D33" i="5" a="1"/>
  <c r="D33" i="5" s="1"/>
  <c r="E31" i="5" a="1"/>
  <c r="E31" i="5" s="1"/>
  <c r="AP35" i="24"/>
  <c r="AV35" i="24" s="1"/>
  <c r="AX35" i="24" s="1"/>
  <c r="U35" i="24" s="1"/>
  <c r="K34" i="5" a="1"/>
  <c r="K34" i="5" s="1"/>
  <c r="D36" i="5" a="1"/>
  <c r="D36" i="5" s="1"/>
  <c r="F36" i="5" a="1"/>
  <c r="F36" i="5" s="1"/>
  <c r="D35" i="5" a="1"/>
  <c r="D35" i="5" s="1"/>
  <c r="F35" i="5" a="1"/>
  <c r="F35" i="5" s="1"/>
  <c r="K36" i="5" a="1"/>
  <c r="K36" i="5" s="1"/>
  <c r="E34" i="5" a="1"/>
  <c r="E34" i="5" s="1"/>
  <c r="K35" i="5" a="1"/>
  <c r="K35" i="5" s="1"/>
  <c r="F33" i="5" a="1"/>
  <c r="F33" i="5" s="1"/>
  <c r="D37" i="5" a="1"/>
  <c r="D37" i="5" s="1"/>
  <c r="E37" i="5" a="1"/>
  <c r="E37" i="5" s="1"/>
  <c r="K37" i="5" a="1"/>
  <c r="K37" i="5" s="1"/>
  <c r="F37" i="5" a="1"/>
  <c r="F37" i="5" s="1"/>
  <c r="E35" i="5" a="1"/>
  <c r="E35" i="5" s="1"/>
  <c r="F39" i="5" a="1"/>
  <c r="F39" i="5" s="1"/>
  <c r="E36" i="5" a="1"/>
  <c r="E36" i="5" s="1"/>
  <c r="D38" i="5" a="1"/>
  <c r="D38" i="5" s="1"/>
  <c r="E38" i="5" a="1"/>
  <c r="E38" i="5" s="1"/>
  <c r="K39" i="5" a="1"/>
  <c r="K39" i="5" s="1"/>
  <c r="D39" i="5" a="1"/>
  <c r="D39" i="5" s="1"/>
  <c r="F38" i="5" a="1"/>
  <c r="F38" i="5" s="1"/>
  <c r="E39" i="5" a="1"/>
  <c r="E39" i="5" s="1"/>
  <c r="K38" i="5" a="1"/>
  <c r="K38" i="5" s="1"/>
  <c r="F40" i="5" a="1"/>
  <c r="F40" i="5" s="1"/>
  <c r="D40" i="5" a="1"/>
  <c r="D40" i="5" s="1"/>
  <c r="E43" i="5" a="1"/>
  <c r="E43" i="5" s="1"/>
  <c r="E40" i="5" a="1"/>
  <c r="E40" i="5" s="1"/>
  <c r="E42" i="5" a="1"/>
  <c r="E42" i="5" s="1"/>
  <c r="F41" i="5" a="1"/>
  <c r="F41" i="5" s="1"/>
  <c r="K41" i="5" a="1"/>
  <c r="K41" i="5" s="1"/>
  <c r="D41" i="5" a="1"/>
  <c r="D41" i="5" s="1"/>
  <c r="D42" i="5" a="1"/>
  <c r="D42" i="5" s="1"/>
  <c r="K40" i="5" a="1"/>
  <c r="K40" i="5" s="1"/>
  <c r="F45" i="5" a="1"/>
  <c r="F45" i="5" s="1"/>
  <c r="K46" i="5" a="1"/>
  <c r="K46" i="5" s="1"/>
  <c r="F42" i="5" a="1"/>
  <c r="F42" i="5" s="1"/>
  <c r="K43" i="5" a="1"/>
  <c r="K43" i="5" s="1"/>
  <c r="D43" i="5" a="1"/>
  <c r="D43" i="5" s="1"/>
  <c r="K42" i="5" a="1"/>
  <c r="K42" i="5" s="1"/>
  <c r="F43" i="5" a="1"/>
  <c r="F43" i="5" s="1"/>
  <c r="K47" i="5" a="1"/>
  <c r="K47" i="5" s="1"/>
  <c r="F44" i="5" a="1"/>
  <c r="F44" i="5" s="1"/>
  <c r="E44" i="5" a="1"/>
  <c r="E44" i="5" s="1"/>
  <c r="E45" i="5" a="1"/>
  <c r="E45" i="5" s="1"/>
  <c r="K44" i="5" a="1"/>
  <c r="K44" i="5" s="1"/>
  <c r="D44" i="5" a="1"/>
  <c r="D44" i="5" s="1"/>
  <c r="F46" i="5" a="1"/>
  <c r="F46" i="5" s="1"/>
  <c r="K45" i="5" a="1"/>
  <c r="K45" i="5" s="1"/>
  <c r="D46" i="5" a="1"/>
  <c r="D46" i="5" s="1"/>
  <c r="E46" i="5" a="1"/>
  <c r="E46" i="5" s="1"/>
  <c r="D48" i="5" a="1"/>
  <c r="D48" i="5" s="1"/>
  <c r="D47" i="5" a="1"/>
  <c r="D47" i="5" s="1"/>
  <c r="F47" i="5" a="1"/>
  <c r="F47" i="5" s="1"/>
  <c r="F49" i="5" a="1"/>
  <c r="F49" i="5" s="1"/>
  <c r="D49" i="5" a="1"/>
  <c r="D49" i="5" s="1"/>
  <c r="E50" i="5" a="1"/>
  <c r="E50" i="5" s="1"/>
  <c r="K48" i="5" a="1"/>
  <c r="K48" i="5" s="1"/>
  <c r="F50" i="5" a="1"/>
  <c r="F50" i="5" s="1"/>
  <c r="E48" i="5" a="1"/>
  <c r="E48" i="5" s="1"/>
  <c r="E47" i="5" a="1"/>
  <c r="E47" i="5" s="1"/>
  <c r="F48" i="5" a="1"/>
  <c r="F48" i="5" s="1"/>
  <c r="K49" i="5" a="1"/>
  <c r="K49" i="5" s="1"/>
  <c r="AV53" i="24" s="1"/>
  <c r="AX53" i="24" s="1"/>
  <c r="U53" i="24" s="1"/>
  <c r="K50" i="5" a="1"/>
  <c r="K50" i="5" s="1"/>
  <c r="AV54" i="24" s="1"/>
  <c r="AX54" i="24" s="1"/>
  <c r="U54" i="24" s="1"/>
  <c r="D50" i="5" a="1"/>
  <c r="D50" i="5" s="1"/>
  <c r="D51" i="5" a="1"/>
  <c r="D51" i="5" s="1"/>
  <c r="E49" i="5" a="1"/>
  <c r="E49" i="5" s="1"/>
  <c r="E51" i="5" a="1"/>
  <c r="E51" i="5" s="1"/>
  <c r="K51" i="5" a="1"/>
  <c r="K51" i="5" s="1"/>
  <c r="AV55" i="24" s="1"/>
  <c r="AX55" i="24" s="1"/>
  <c r="U55" i="24" s="1"/>
  <c r="F51" i="5" a="1"/>
  <c r="F51" i="5" s="1"/>
  <c r="D24" i="5" a="1"/>
  <c r="D24" i="5" s="1"/>
  <c r="F23" i="5" a="1"/>
  <c r="F23" i="5" s="1"/>
  <c r="D23" i="5" a="1"/>
  <c r="D23" i="5" s="1"/>
  <c r="D22" i="5" a="1"/>
  <c r="D22" i="5" s="1"/>
  <c r="D21" i="5" s="1"/>
  <c r="D20" i="5" s="1"/>
  <c r="D19" i="5" s="1"/>
  <c r="D18" i="5" s="1"/>
  <c r="D17" i="5" s="1"/>
  <c r="D16" i="5" s="1"/>
  <c r="D15" i="5" s="1"/>
  <c r="AN36" i="60" l="1"/>
  <c r="AP36" i="60" s="1"/>
  <c r="AV36" i="60" s="1"/>
  <c r="AX36" i="60" s="1"/>
  <c r="U36" i="60" s="1"/>
  <c r="W36" i="60" s="1"/>
  <c r="Y36" i="60" s="1"/>
  <c r="AN36" i="62"/>
  <c r="AP36" i="62" s="1"/>
  <c r="AV36" i="62" s="1"/>
  <c r="AX36" i="62" s="1"/>
  <c r="U36" i="62" s="1"/>
  <c r="AN36" i="63"/>
  <c r="AP36" i="63" s="1"/>
  <c r="AV36" i="63" s="1"/>
  <c r="AX36" i="63" s="1"/>
  <c r="U36" i="63" s="1"/>
  <c r="AN36" i="61"/>
  <c r="AP36" i="61" s="1"/>
  <c r="AV36" i="61" s="1"/>
  <c r="AX36" i="61" s="1"/>
  <c r="U36" i="61" s="1"/>
  <c r="AN38" i="31"/>
  <c r="AP38" i="31" s="1"/>
  <c r="AV38" i="31" s="1"/>
  <c r="AX38" i="31" s="1"/>
  <c r="U38" i="31" s="1"/>
  <c r="W38" i="31" s="1"/>
  <c r="Y38" i="31" s="1"/>
  <c r="AN36" i="74"/>
  <c r="AP36" i="74" s="1"/>
  <c r="AV36" i="74" s="1"/>
  <c r="AX36" i="74" s="1"/>
  <c r="U36" i="74" s="1"/>
  <c r="W36" i="74" s="1"/>
  <c r="Y36" i="74" s="1"/>
  <c r="AN37" i="57"/>
  <c r="AP37" i="57" s="1"/>
  <c r="AV37" i="57" s="1"/>
  <c r="AX37" i="57" s="1"/>
  <c r="U37" i="57" s="1"/>
  <c r="AN36" i="58"/>
  <c r="AP36" i="58" s="1"/>
  <c r="AV36" i="58" s="1"/>
  <c r="AX36" i="58" s="1"/>
  <c r="U36" i="58" s="1"/>
  <c r="W36" i="58" s="1"/>
  <c r="Y36" i="58" s="1"/>
  <c r="AN36" i="59"/>
  <c r="AP36" i="59" s="1"/>
  <c r="AV36" i="59" s="1"/>
  <c r="AX36" i="59" s="1"/>
  <c r="U36" i="59" s="1"/>
  <c r="W36" i="59" s="1"/>
  <c r="Y36" i="59" s="1"/>
  <c r="AN31" i="63"/>
  <c r="AP31" i="63" s="1"/>
  <c r="AV31" i="63" s="1"/>
  <c r="AX31" i="63" s="1"/>
  <c r="U31" i="63" s="1"/>
  <c r="AN32" i="57"/>
  <c r="AP32" i="57" s="1"/>
  <c r="AV32" i="57" s="1"/>
  <c r="AX32" i="57" s="1"/>
  <c r="U32" i="57" s="1"/>
  <c r="AN31" i="59"/>
  <c r="AP31" i="59" s="1"/>
  <c r="AV31" i="59" s="1"/>
  <c r="AX31" i="59" s="1"/>
  <c r="U31" i="59" s="1"/>
  <c r="W31" i="59" s="1"/>
  <c r="Y31" i="59" s="1"/>
  <c r="AN31" i="60"/>
  <c r="AP31" i="60" s="1"/>
  <c r="AV31" i="60" s="1"/>
  <c r="AX31" i="60" s="1"/>
  <c r="U31" i="60" s="1"/>
  <c r="W31" i="60" s="1"/>
  <c r="Y31" i="60" s="1"/>
  <c r="AN31" i="61"/>
  <c r="AP31" i="61" s="1"/>
  <c r="AV31" i="61" s="1"/>
  <c r="AX31" i="61" s="1"/>
  <c r="U31" i="61" s="1"/>
  <c r="AN31" i="62"/>
  <c r="AP31" i="62" s="1"/>
  <c r="AV31" i="62" s="1"/>
  <c r="AX31" i="62" s="1"/>
  <c r="U31" i="62" s="1"/>
  <c r="AN31" i="58"/>
  <c r="AP31" i="58" s="1"/>
  <c r="AV31" i="58" s="1"/>
  <c r="AX31" i="58" s="1"/>
  <c r="U31" i="58" s="1"/>
  <c r="W31" i="58" s="1"/>
  <c r="Y31" i="58" s="1"/>
  <c r="AN33" i="31"/>
  <c r="AP33" i="31" s="1"/>
  <c r="AV33" i="31" s="1"/>
  <c r="AX33" i="31" s="1"/>
  <c r="U33" i="31" s="1"/>
  <c r="W33" i="31" s="1"/>
  <c r="Y33" i="31" s="1"/>
  <c r="AN31" i="74"/>
  <c r="AP31" i="74" s="1"/>
  <c r="AV31" i="74" s="1"/>
  <c r="AX31" i="74" s="1"/>
  <c r="U31" i="74" s="1"/>
  <c r="W31" i="74" s="1"/>
  <c r="Y31" i="74" s="1"/>
  <c r="AP31" i="24"/>
  <c r="AV31" i="24" s="1"/>
  <c r="AX31" i="24" s="1"/>
  <c r="U31" i="24" s="1"/>
  <c r="AN30" i="74"/>
  <c r="AP30" i="74" s="1"/>
  <c r="AV30" i="74" s="1"/>
  <c r="AX30" i="74" s="1"/>
  <c r="U30" i="74" s="1"/>
  <c r="W30" i="74" s="1"/>
  <c r="Y30" i="74" s="1"/>
  <c r="AP28" i="31"/>
  <c r="AN37" i="59"/>
  <c r="AP37" i="59" s="1"/>
  <c r="AV37" i="59" s="1"/>
  <c r="AX37" i="59" s="1"/>
  <c r="U37" i="59" s="1"/>
  <c r="W37" i="59" s="1"/>
  <c r="Y37" i="59" s="1"/>
  <c r="AN37" i="62"/>
  <c r="AP37" i="62" s="1"/>
  <c r="AV37" i="62" s="1"/>
  <c r="AX37" i="62" s="1"/>
  <c r="U37" i="62" s="1"/>
  <c r="AN37" i="60"/>
  <c r="AP37" i="60" s="1"/>
  <c r="AV37" i="60" s="1"/>
  <c r="AX37" i="60" s="1"/>
  <c r="U37" i="60" s="1"/>
  <c r="W37" i="60" s="1"/>
  <c r="Y37" i="60" s="1"/>
  <c r="AN37" i="63"/>
  <c r="AP37" i="63" s="1"/>
  <c r="AV37" i="63" s="1"/>
  <c r="AX37" i="63" s="1"/>
  <c r="U37" i="63" s="1"/>
  <c r="AN38" i="57"/>
  <c r="AP38" i="57" s="1"/>
  <c r="AV38" i="57" s="1"/>
  <c r="AX38" i="57" s="1"/>
  <c r="U38" i="57" s="1"/>
  <c r="AN37" i="58"/>
  <c r="AP37" i="58" s="1"/>
  <c r="AV37" i="58" s="1"/>
  <c r="AX37" i="58" s="1"/>
  <c r="U37" i="58" s="1"/>
  <c r="W37" i="58" s="1"/>
  <c r="Y37" i="58" s="1"/>
  <c r="AN37" i="74"/>
  <c r="AP37" i="74" s="1"/>
  <c r="AV37" i="74" s="1"/>
  <c r="AX37" i="74" s="1"/>
  <c r="U37" i="74" s="1"/>
  <c r="W37" i="74" s="1"/>
  <c r="Y37" i="74" s="1"/>
  <c r="AN39" i="31"/>
  <c r="AP39" i="31" s="1"/>
  <c r="AV39" i="31" s="1"/>
  <c r="AX39" i="31" s="1"/>
  <c r="U39" i="31" s="1"/>
  <c r="W39" i="31" s="1"/>
  <c r="Y39" i="31" s="1"/>
  <c r="AN37" i="61"/>
  <c r="AP37" i="61" s="1"/>
  <c r="AV37" i="61" s="1"/>
  <c r="AX37" i="61" s="1"/>
  <c r="U37" i="61" s="1"/>
  <c r="AN32" i="58"/>
  <c r="AP32" i="58" s="1"/>
  <c r="AV32" i="58" s="1"/>
  <c r="AX32" i="58" s="1"/>
  <c r="U32" i="58" s="1"/>
  <c r="W32" i="58" s="1"/>
  <c r="Y32" i="58" s="1"/>
  <c r="AN32" i="60"/>
  <c r="AP32" i="60" s="1"/>
  <c r="AV32" i="60" s="1"/>
  <c r="AX32" i="60" s="1"/>
  <c r="U32" i="60" s="1"/>
  <c r="W32" i="60" s="1"/>
  <c r="Y32" i="60" s="1"/>
  <c r="AN34" i="31"/>
  <c r="AP34" i="31" s="1"/>
  <c r="AV34" i="31" s="1"/>
  <c r="AX34" i="31" s="1"/>
  <c r="U34" i="31" s="1"/>
  <c r="W34" i="31" s="1"/>
  <c r="Y34" i="31" s="1"/>
  <c r="AN32" i="59"/>
  <c r="AP32" i="59" s="1"/>
  <c r="AV32" i="59" s="1"/>
  <c r="AX32" i="59" s="1"/>
  <c r="U32" i="59" s="1"/>
  <c r="W32" i="59" s="1"/>
  <c r="Y32" i="59" s="1"/>
  <c r="AN32" i="62"/>
  <c r="AP32" i="62" s="1"/>
  <c r="AV32" i="62" s="1"/>
  <c r="AX32" i="62" s="1"/>
  <c r="U32" i="62" s="1"/>
  <c r="AN32" i="61"/>
  <c r="AP32" i="61" s="1"/>
  <c r="AV32" i="61" s="1"/>
  <c r="AX32" i="61" s="1"/>
  <c r="U32" i="61" s="1"/>
  <c r="AN32" i="74"/>
  <c r="AP32" i="74" s="1"/>
  <c r="AV32" i="74" s="1"/>
  <c r="AX32" i="74" s="1"/>
  <c r="U32" i="74" s="1"/>
  <c r="W32" i="74" s="1"/>
  <c r="Y32" i="74" s="1"/>
  <c r="AN32" i="63"/>
  <c r="AP32" i="63" s="1"/>
  <c r="AV32" i="63" s="1"/>
  <c r="AX32" i="63" s="1"/>
  <c r="U32" i="63" s="1"/>
  <c r="AN33" i="57"/>
  <c r="AP33" i="57" s="1"/>
  <c r="AV33" i="57" s="1"/>
  <c r="AX33" i="57" s="1"/>
  <c r="U33" i="57" s="1"/>
  <c r="W33" i="57" s="1"/>
  <c r="Y33" i="57" s="1"/>
  <c r="AN30" i="44"/>
  <c r="AP30" i="44" s="1"/>
  <c r="AV30" i="44" s="1"/>
  <c r="AX30" i="44" s="1"/>
  <c r="U30" i="44" s="1"/>
  <c r="W30" i="44" s="1"/>
  <c r="Y30" i="44" s="1"/>
  <c r="AN29" i="60"/>
  <c r="AP29" i="60" s="1"/>
  <c r="AV29" i="60" s="1"/>
  <c r="AX29" i="60" s="1"/>
  <c r="U29" i="60" s="1"/>
  <c r="W29" i="60" s="1"/>
  <c r="Y29" i="60" s="1"/>
  <c r="AN29" i="59"/>
  <c r="AP29" i="59" s="1"/>
  <c r="AV29" i="59" s="1"/>
  <c r="AX29" i="59" s="1"/>
  <c r="U29" i="59" s="1"/>
  <c r="W29" i="59" s="1"/>
  <c r="Y29" i="59" s="1"/>
  <c r="AN29" i="63"/>
  <c r="AP29" i="63" s="1"/>
  <c r="AV29" i="63" s="1"/>
  <c r="AX29" i="63" s="1"/>
  <c r="U29" i="63" s="1"/>
  <c r="AN29" i="62"/>
  <c r="AP29" i="62" s="1"/>
  <c r="AV29" i="62" s="1"/>
  <c r="AX29" i="62" s="1"/>
  <c r="U29" i="62" s="1"/>
  <c r="AN31" i="31"/>
  <c r="AP31" i="31" s="1"/>
  <c r="AV31" i="31" s="1"/>
  <c r="AX31" i="31" s="1"/>
  <c r="U31" i="31" s="1"/>
  <c r="W31" i="31" s="1"/>
  <c r="Y31" i="31" s="1"/>
  <c r="AN29" i="74"/>
  <c r="AP29" i="74" s="1"/>
  <c r="AV29" i="74" s="1"/>
  <c r="AX29" i="74" s="1"/>
  <c r="U29" i="74" s="1"/>
  <c r="W29" i="74" s="1"/>
  <c r="Y29" i="74" s="1"/>
  <c r="AN28" i="57"/>
  <c r="AN29" i="31"/>
  <c r="AP29" i="31" s="1"/>
  <c r="AV29" i="31" s="1"/>
  <c r="AX29" i="31" s="1"/>
  <c r="U29" i="31" s="1"/>
  <c r="W29" i="31" s="1"/>
  <c r="Y29" i="31" s="1"/>
  <c r="AN38" i="74"/>
  <c r="AP38" i="74" s="1"/>
  <c r="AV38" i="74" s="1"/>
  <c r="AX38" i="74" s="1"/>
  <c r="U38" i="74" s="1"/>
  <c r="W38" i="74" s="1"/>
  <c r="Y38" i="74" s="1"/>
  <c r="AN38" i="58"/>
  <c r="AP38" i="58" s="1"/>
  <c r="AN38" i="59"/>
  <c r="AP38" i="59" s="1"/>
  <c r="AV38" i="59" s="1"/>
  <c r="AX38" i="59" s="1"/>
  <c r="U38" i="59" s="1"/>
  <c r="W38" i="59" s="1"/>
  <c r="Y38" i="59" s="1"/>
  <c r="AN38" i="60"/>
  <c r="AP38" i="60" s="1"/>
  <c r="AV38" i="60" s="1"/>
  <c r="AX38" i="60" s="1"/>
  <c r="U38" i="60" s="1"/>
  <c r="W38" i="60" s="1"/>
  <c r="Y38" i="60" s="1"/>
  <c r="AN38" i="62"/>
  <c r="AP38" i="62" s="1"/>
  <c r="AV38" i="62" s="1"/>
  <c r="AX38" i="62" s="1"/>
  <c r="U38" i="62" s="1"/>
  <c r="W38" i="62" s="1"/>
  <c r="Y38" i="62" s="1"/>
  <c r="AN38" i="61"/>
  <c r="AP38" i="61" s="1"/>
  <c r="AV38" i="61" s="1"/>
  <c r="AX38" i="61" s="1"/>
  <c r="U38" i="61" s="1"/>
  <c r="W38" i="61" s="1"/>
  <c r="Y38" i="61" s="1"/>
  <c r="AN38" i="63"/>
  <c r="AP38" i="63" s="1"/>
  <c r="AV38" i="63" s="1"/>
  <c r="AX38" i="63" s="1"/>
  <c r="U38" i="63" s="1"/>
  <c r="W38" i="63" s="1"/>
  <c r="Y38" i="63" s="1"/>
  <c r="AN35" i="31"/>
  <c r="AP35" i="31" s="1"/>
  <c r="AV35" i="31" s="1"/>
  <c r="AX35" i="31" s="1"/>
  <c r="U35" i="31" s="1"/>
  <c r="W35" i="31" s="1"/>
  <c r="Y35" i="31" s="1"/>
  <c r="AN33" i="74"/>
  <c r="AP33" i="74" s="1"/>
  <c r="AV33" i="74" s="1"/>
  <c r="AX33" i="74" s="1"/>
  <c r="U33" i="74" s="1"/>
  <c r="W33" i="74" s="1"/>
  <c r="Y33" i="74" s="1"/>
  <c r="AN33" i="59"/>
  <c r="AP33" i="59" s="1"/>
  <c r="AV33" i="59" s="1"/>
  <c r="AX33" i="59" s="1"/>
  <c r="U33" i="59" s="1"/>
  <c r="W33" i="59" s="1"/>
  <c r="Y33" i="59" s="1"/>
  <c r="AN33" i="62"/>
  <c r="AP33" i="62" s="1"/>
  <c r="AV33" i="62" s="1"/>
  <c r="AX33" i="62" s="1"/>
  <c r="U33" i="62" s="1"/>
  <c r="AN33" i="63"/>
  <c r="AP33" i="63" s="1"/>
  <c r="AV33" i="63" s="1"/>
  <c r="AX33" i="63" s="1"/>
  <c r="U33" i="63" s="1"/>
  <c r="AN33" i="58"/>
  <c r="AP33" i="58" s="1"/>
  <c r="AV33" i="58" s="1"/>
  <c r="AX33" i="58" s="1"/>
  <c r="U33" i="58" s="1"/>
  <c r="W33" i="58" s="1"/>
  <c r="Y33" i="58" s="1"/>
  <c r="AN34" i="57"/>
  <c r="AP34" i="57" s="1"/>
  <c r="AV34" i="57" s="1"/>
  <c r="AX34" i="57" s="1"/>
  <c r="U34" i="57" s="1"/>
  <c r="AN33" i="61"/>
  <c r="AP33" i="61" s="1"/>
  <c r="AV33" i="61" s="1"/>
  <c r="AX33" i="61" s="1"/>
  <c r="U33" i="61" s="1"/>
  <c r="AN33" i="60"/>
  <c r="AP33" i="60" s="1"/>
  <c r="AV33" i="60" s="1"/>
  <c r="AX33" i="60" s="1"/>
  <c r="U33" i="60" s="1"/>
  <c r="W33" i="60" s="1"/>
  <c r="Y33" i="60" s="1"/>
  <c r="AN30" i="31"/>
  <c r="AP30" i="31" s="1"/>
  <c r="AV30" i="31" s="1"/>
  <c r="AX30" i="31" s="1"/>
  <c r="U30" i="31" s="1"/>
  <c r="W30" i="31" s="1"/>
  <c r="Y30" i="31" s="1"/>
  <c r="AN29" i="57"/>
  <c r="AP29" i="57" s="1"/>
  <c r="AV29" i="57" s="1"/>
  <c r="AX29" i="57" s="1"/>
  <c r="U29" i="57" s="1"/>
  <c r="AN28" i="58"/>
  <c r="AN28" i="61"/>
  <c r="AN28" i="60"/>
  <c r="AN28" i="62"/>
  <c r="AN28" i="74"/>
  <c r="AN28" i="59"/>
  <c r="AN28" i="63"/>
  <c r="AN35" i="74"/>
  <c r="AP35" i="74" s="1"/>
  <c r="AV35" i="74" s="1"/>
  <c r="AX35" i="74" s="1"/>
  <c r="U35" i="74" s="1"/>
  <c r="W35" i="74" s="1"/>
  <c r="Y35" i="74" s="1"/>
  <c r="AN35" i="62"/>
  <c r="AP35" i="62" s="1"/>
  <c r="AV35" i="62" s="1"/>
  <c r="AX35" i="62" s="1"/>
  <c r="U35" i="62" s="1"/>
  <c r="AN35" i="58"/>
  <c r="AP35" i="58" s="1"/>
  <c r="AV35" i="58" s="1"/>
  <c r="AX35" i="58" s="1"/>
  <c r="U35" i="58" s="1"/>
  <c r="W35" i="58" s="1"/>
  <c r="Y35" i="58" s="1"/>
  <c r="AN35" i="61"/>
  <c r="AP35" i="61" s="1"/>
  <c r="AV35" i="61" s="1"/>
  <c r="AX35" i="61" s="1"/>
  <c r="U35" i="61" s="1"/>
  <c r="AN37" i="31"/>
  <c r="AP37" i="31" s="1"/>
  <c r="AV37" i="31" s="1"/>
  <c r="AX37" i="31" s="1"/>
  <c r="U37" i="31" s="1"/>
  <c r="W37" i="31" s="1"/>
  <c r="Y37" i="31" s="1"/>
  <c r="AN35" i="60"/>
  <c r="AP35" i="60" s="1"/>
  <c r="AV35" i="60" s="1"/>
  <c r="AX35" i="60" s="1"/>
  <c r="U35" i="60" s="1"/>
  <c r="W35" i="60" s="1"/>
  <c r="Y35" i="60" s="1"/>
  <c r="AN35" i="63"/>
  <c r="AP35" i="63" s="1"/>
  <c r="AV35" i="63" s="1"/>
  <c r="AX35" i="63" s="1"/>
  <c r="U35" i="63" s="1"/>
  <c r="AN35" i="59"/>
  <c r="AP35" i="59" s="1"/>
  <c r="AV35" i="59" s="1"/>
  <c r="AX35" i="59" s="1"/>
  <c r="U35" i="59" s="1"/>
  <c r="W35" i="59" s="1"/>
  <c r="Y35" i="59" s="1"/>
  <c r="AN36" i="57"/>
  <c r="AP36" i="57" s="1"/>
  <c r="AV36" i="57" s="1"/>
  <c r="AX36" i="57" s="1"/>
  <c r="U36" i="57" s="1"/>
  <c r="AN49" i="45"/>
  <c r="AP49" i="45" s="1"/>
  <c r="AV49" i="45" s="1"/>
  <c r="AX49" i="45" s="1"/>
  <c r="U49" i="45" s="1"/>
  <c r="W49" i="45" s="1"/>
  <c r="Y49" i="45" s="1"/>
  <c r="AN49" i="44"/>
  <c r="AP49" i="44" s="1"/>
  <c r="AV49" i="44" s="1"/>
  <c r="AX49" i="44" s="1"/>
  <c r="U49" i="44" s="1"/>
  <c r="W49" i="44" s="1"/>
  <c r="Y49" i="44" s="1"/>
  <c r="AN52" i="44"/>
  <c r="AP52" i="44" s="1"/>
  <c r="AV52" i="44" s="1"/>
  <c r="AX52" i="44" s="1"/>
  <c r="U52" i="44" s="1"/>
  <c r="AN45" i="45"/>
  <c r="AP45" i="45" s="1"/>
  <c r="AV45" i="45" s="1"/>
  <c r="AX45" i="45" s="1"/>
  <c r="U45" i="45" s="1"/>
  <c r="W45" i="45" s="1"/>
  <c r="Y45" i="45" s="1"/>
  <c r="AN52" i="45"/>
  <c r="AP52" i="45" s="1"/>
  <c r="AV52" i="45" s="1"/>
  <c r="AX52" i="45" s="1"/>
  <c r="U52" i="45" s="1"/>
  <c r="W52" i="45" s="1"/>
  <c r="Y52" i="45" s="1"/>
  <c r="AN45" i="44"/>
  <c r="AP45" i="44" s="1"/>
  <c r="AV45" i="44" s="1"/>
  <c r="AX45" i="44" s="1"/>
  <c r="U45" i="44" s="1"/>
  <c r="W45" i="44" s="1"/>
  <c r="Y45" i="44" s="1"/>
  <c r="AN40" i="45"/>
  <c r="AP40" i="45" s="1"/>
  <c r="AV40" i="45" s="1"/>
  <c r="AX40" i="45" s="1"/>
  <c r="U40" i="45" s="1"/>
  <c r="W40" i="45" s="1"/>
  <c r="Y40" i="45" s="1"/>
  <c r="AN40" i="44"/>
  <c r="AP40" i="44" s="1"/>
  <c r="AV40" i="44" s="1"/>
  <c r="AX40" i="44" s="1"/>
  <c r="U40" i="44" s="1"/>
  <c r="W40" i="44" s="1"/>
  <c r="Y40" i="44" s="1"/>
  <c r="AN37" i="45"/>
  <c r="AP37" i="45" s="1"/>
  <c r="AV37" i="45" s="1"/>
  <c r="AX37" i="45" s="1"/>
  <c r="U37" i="45" s="1"/>
  <c r="W37" i="45" s="1"/>
  <c r="Y37" i="45" s="1"/>
  <c r="AN37" i="44"/>
  <c r="AP37" i="44" s="1"/>
  <c r="AV37" i="44" s="1"/>
  <c r="AX37" i="44" s="1"/>
  <c r="U37" i="44" s="1"/>
  <c r="W37" i="44" s="1"/>
  <c r="Y37" i="44" s="1"/>
  <c r="AP32" i="24"/>
  <c r="AV32" i="24" s="1"/>
  <c r="AX32" i="24" s="1"/>
  <c r="U32" i="24" s="1"/>
  <c r="AN32" i="44"/>
  <c r="AP32" i="44" s="1"/>
  <c r="AV32" i="44" s="1"/>
  <c r="AX32" i="44" s="1"/>
  <c r="U32" i="44" s="1"/>
  <c r="W32" i="44" s="1"/>
  <c r="Y32" i="44" s="1"/>
  <c r="AN32" i="45"/>
  <c r="AP32" i="45" s="1"/>
  <c r="AV32" i="45" s="1"/>
  <c r="AX32" i="45" s="1"/>
  <c r="U32" i="45" s="1"/>
  <c r="W32" i="45" s="1"/>
  <c r="Y32" i="45" s="1"/>
  <c r="AN48" i="45"/>
  <c r="AP48" i="45" s="1"/>
  <c r="AV48" i="45" s="1"/>
  <c r="AX48" i="45" s="1"/>
  <c r="U48" i="45" s="1"/>
  <c r="W48" i="45" s="1"/>
  <c r="Y48" i="45" s="1"/>
  <c r="AN48" i="44"/>
  <c r="AP48" i="44" s="1"/>
  <c r="AV48" i="44" s="1"/>
  <c r="AX48" i="44" s="1"/>
  <c r="U48" i="44" s="1"/>
  <c r="W48" i="44" s="1"/>
  <c r="Y48" i="44" s="1"/>
  <c r="AN47" i="44"/>
  <c r="AP47" i="44" s="1"/>
  <c r="AV47" i="44" s="1"/>
  <c r="AX47" i="44" s="1"/>
  <c r="U47" i="44" s="1"/>
  <c r="W47" i="44" s="1"/>
  <c r="Y47" i="44" s="1"/>
  <c r="AN47" i="45"/>
  <c r="AP47" i="45" s="1"/>
  <c r="AV47" i="45" s="1"/>
  <c r="AX47" i="45" s="1"/>
  <c r="U47" i="45" s="1"/>
  <c r="W47" i="45" s="1"/>
  <c r="Y47" i="45" s="1"/>
  <c r="AN44" i="45"/>
  <c r="AP44" i="45" s="1"/>
  <c r="AV44" i="45" s="1"/>
  <c r="AX44" i="45" s="1"/>
  <c r="U44" i="45" s="1"/>
  <c r="W44" i="45" s="1"/>
  <c r="Y44" i="45" s="1"/>
  <c r="AN51" i="44"/>
  <c r="AP51" i="44" s="1"/>
  <c r="AV51" i="44" s="1"/>
  <c r="AX51" i="44" s="1"/>
  <c r="U51" i="44" s="1"/>
  <c r="W51" i="44" s="1"/>
  <c r="Y51" i="44" s="1"/>
  <c r="AN44" i="44"/>
  <c r="AP44" i="44" s="1"/>
  <c r="AV44" i="44" s="1"/>
  <c r="AX44" i="44" s="1"/>
  <c r="U44" i="44" s="1"/>
  <c r="W44" i="44" s="1"/>
  <c r="Y44" i="44" s="1"/>
  <c r="AN51" i="45"/>
  <c r="AP51" i="45" s="1"/>
  <c r="AV51" i="45" s="1"/>
  <c r="AX51" i="45" s="1"/>
  <c r="U51" i="45" s="1"/>
  <c r="W51" i="45" s="1"/>
  <c r="Y51" i="45" s="1"/>
  <c r="AN38" i="44"/>
  <c r="AP38" i="44" s="1"/>
  <c r="AV38" i="44" s="1"/>
  <c r="AX38" i="44" s="1"/>
  <c r="U38" i="44" s="1"/>
  <c r="W38" i="44" s="1"/>
  <c r="Y38" i="44" s="1"/>
  <c r="AN38" i="45"/>
  <c r="AP38" i="45" s="1"/>
  <c r="AV38" i="45" s="1"/>
  <c r="AX38" i="45" s="1"/>
  <c r="U38" i="45" s="1"/>
  <c r="W38" i="45" s="1"/>
  <c r="Y38" i="45" s="1"/>
  <c r="AN33" i="44"/>
  <c r="AP33" i="44" s="1"/>
  <c r="AV33" i="44" s="1"/>
  <c r="AX33" i="44" s="1"/>
  <c r="U33" i="44" s="1"/>
  <c r="W33" i="44" s="1"/>
  <c r="Y33" i="44" s="1"/>
  <c r="AN33" i="45"/>
  <c r="AP33" i="45" s="1"/>
  <c r="AV33" i="45" s="1"/>
  <c r="AX33" i="45" s="1"/>
  <c r="U33" i="45" s="1"/>
  <c r="W33" i="45" s="1"/>
  <c r="Y33" i="45" s="1"/>
  <c r="AN28" i="45"/>
  <c r="AN28" i="44"/>
  <c r="AN41" i="44"/>
  <c r="AP41" i="44" s="1"/>
  <c r="AV41" i="44" s="1"/>
  <c r="AX41" i="44" s="1"/>
  <c r="U41" i="44" s="1"/>
  <c r="W41" i="44" s="1"/>
  <c r="Y41" i="44" s="1"/>
  <c r="AN41" i="45"/>
  <c r="AP41" i="45" s="1"/>
  <c r="AV41" i="45" s="1"/>
  <c r="AX41" i="45" s="1"/>
  <c r="U41" i="45" s="1"/>
  <c r="W41" i="45" s="1"/>
  <c r="Y41" i="45" s="1"/>
  <c r="AN39" i="45"/>
  <c r="AP39" i="45" s="1"/>
  <c r="AV39" i="45" s="1"/>
  <c r="AX39" i="45" s="1"/>
  <c r="U39" i="45" s="1"/>
  <c r="W39" i="45" s="1"/>
  <c r="Y39" i="45" s="1"/>
  <c r="AN39" i="44"/>
  <c r="AP39" i="44" s="1"/>
  <c r="AV39" i="44" s="1"/>
  <c r="AX39" i="44" s="1"/>
  <c r="U39" i="44" s="1"/>
  <c r="W39" i="44" s="1"/>
  <c r="Y39" i="44" s="1"/>
  <c r="AN34" i="45"/>
  <c r="AP34" i="45" s="1"/>
  <c r="AV34" i="45" s="1"/>
  <c r="AX34" i="45" s="1"/>
  <c r="U34" i="45" s="1"/>
  <c r="W34" i="45" s="1"/>
  <c r="Y34" i="45" s="1"/>
  <c r="AN34" i="44"/>
  <c r="AP34" i="44" s="1"/>
  <c r="AV34" i="44" s="1"/>
  <c r="AX34" i="44" s="1"/>
  <c r="U34" i="44" s="1"/>
  <c r="W34" i="44" s="1"/>
  <c r="Y34" i="44" s="1"/>
  <c r="AN29" i="44"/>
  <c r="AP29" i="44" s="1"/>
  <c r="AV29" i="44" s="1"/>
  <c r="AX29" i="44" s="1"/>
  <c r="U29" i="44" s="1"/>
  <c r="W29" i="44" s="1"/>
  <c r="Y29" i="44" s="1"/>
  <c r="AN29" i="45"/>
  <c r="AP29" i="45" s="1"/>
  <c r="AV29" i="45" s="1"/>
  <c r="AX29" i="45" s="1"/>
  <c r="U29" i="45" s="1"/>
  <c r="W29" i="45" s="1"/>
  <c r="Y29" i="45" s="1"/>
  <c r="AN46" i="44"/>
  <c r="AP46" i="44" s="1"/>
  <c r="AV46" i="44" s="1"/>
  <c r="AX46" i="44" s="1"/>
  <c r="U46" i="44" s="1"/>
  <c r="W46" i="44" s="1"/>
  <c r="Y46" i="44" s="1"/>
  <c r="AN46" i="45"/>
  <c r="AP46" i="45" s="1"/>
  <c r="AV46" i="45" s="1"/>
  <c r="AX46" i="45" s="1"/>
  <c r="U46" i="45" s="1"/>
  <c r="W46" i="45" s="1"/>
  <c r="Y46" i="45" s="1"/>
  <c r="AN42" i="45"/>
  <c r="AP42" i="45" s="1"/>
  <c r="AV42" i="45" s="1"/>
  <c r="AX42" i="45" s="1"/>
  <c r="U42" i="45" s="1"/>
  <c r="W42" i="45" s="1"/>
  <c r="Y42" i="45" s="1"/>
  <c r="AN42" i="44"/>
  <c r="AP42" i="44" s="1"/>
  <c r="AV42" i="44" s="1"/>
  <c r="AX42" i="44" s="1"/>
  <c r="U42" i="44" s="1"/>
  <c r="W42" i="44" s="1"/>
  <c r="Y42" i="44" s="1"/>
  <c r="AN43" i="44"/>
  <c r="AP43" i="44" s="1"/>
  <c r="AV43" i="44" s="1"/>
  <c r="AX43" i="44" s="1"/>
  <c r="U43" i="44" s="1"/>
  <c r="W43" i="44" s="1"/>
  <c r="Y43" i="44" s="1"/>
  <c r="AN43" i="45"/>
  <c r="AP43" i="45" s="1"/>
  <c r="AV43" i="45" s="1"/>
  <c r="AX43" i="45" s="1"/>
  <c r="U43" i="45" s="1"/>
  <c r="W43" i="45" s="1"/>
  <c r="Y43" i="45" s="1"/>
  <c r="AN50" i="45"/>
  <c r="AP50" i="45" s="1"/>
  <c r="AV50" i="45" s="1"/>
  <c r="AX50" i="45" s="1"/>
  <c r="U50" i="45" s="1"/>
  <c r="W50" i="45" s="1"/>
  <c r="Y50" i="45" s="1"/>
  <c r="AN50" i="44"/>
  <c r="AP50" i="44" s="1"/>
  <c r="AV50" i="44" s="1"/>
  <c r="AX50" i="44" s="1"/>
  <c r="U50" i="44" s="1"/>
  <c r="W50" i="44" s="1"/>
  <c r="Y50" i="44" s="1"/>
  <c r="AN36" i="45"/>
  <c r="AP36" i="45" s="1"/>
  <c r="AV36" i="45" s="1"/>
  <c r="AX36" i="45" s="1"/>
  <c r="U36" i="45" s="1"/>
  <c r="W36" i="45" s="1"/>
  <c r="Y36" i="45" s="1"/>
  <c r="AN36" i="44"/>
  <c r="AP36" i="44" s="1"/>
  <c r="AV36" i="44" s="1"/>
  <c r="AX36" i="44" s="1"/>
  <c r="U36" i="44" s="1"/>
  <c r="W36" i="44" s="1"/>
  <c r="Y36" i="44" s="1"/>
  <c r="AV45" i="24"/>
  <c r="AX45" i="24" s="1"/>
  <c r="U45" i="24" s="1"/>
  <c r="W45" i="24" s="1"/>
  <c r="Y45" i="24" s="1"/>
  <c r="AV40" i="24"/>
  <c r="AX40" i="24" s="1"/>
  <c r="U40" i="24" s="1"/>
  <c r="W40" i="24" s="1"/>
  <c r="Y40" i="24" s="1"/>
  <c r="AV37" i="24"/>
  <c r="AX37" i="24" s="1"/>
  <c r="U37" i="24" s="1"/>
  <c r="AV52" i="24"/>
  <c r="AX52" i="24" s="1"/>
  <c r="U52" i="24" s="1"/>
  <c r="W52" i="24" s="1"/>
  <c r="Y52" i="24" s="1"/>
  <c r="AV48" i="24"/>
  <c r="AX48" i="24" s="1"/>
  <c r="U48" i="24" s="1"/>
  <c r="W48" i="24" s="1"/>
  <c r="Y48" i="24" s="1"/>
  <c r="AV51" i="24"/>
  <c r="AX51" i="24" s="1"/>
  <c r="U51" i="24" s="1"/>
  <c r="W51" i="24" s="1"/>
  <c r="Y51" i="24" s="1"/>
  <c r="AV47" i="24"/>
  <c r="AX47" i="24" s="1"/>
  <c r="U47" i="24" s="1"/>
  <c r="W47" i="24" s="1"/>
  <c r="Y47" i="24" s="1"/>
  <c r="AV44" i="24"/>
  <c r="AX44" i="24" s="1"/>
  <c r="U44" i="24" s="1"/>
  <c r="W44" i="24" s="1"/>
  <c r="Y44" i="24" s="1"/>
  <c r="AP38" i="24"/>
  <c r="AV38" i="24" s="1"/>
  <c r="AX38" i="24" s="1"/>
  <c r="U38" i="24" s="1"/>
  <c r="AP33" i="24"/>
  <c r="AV33" i="24" s="1"/>
  <c r="AX33" i="24" s="1"/>
  <c r="U33" i="24" s="1"/>
  <c r="AP30" i="24"/>
  <c r="AV30" i="24" s="1"/>
  <c r="AX30" i="24" s="1"/>
  <c r="U30" i="24" s="1"/>
  <c r="AP28" i="24"/>
  <c r="AV28" i="24" s="1"/>
  <c r="AX28" i="24" s="1"/>
  <c r="U28" i="24" s="1"/>
  <c r="AV49" i="24"/>
  <c r="AX49" i="24" s="1"/>
  <c r="U49" i="24" s="1"/>
  <c r="W49" i="24" s="1"/>
  <c r="Y49" i="24" s="1"/>
  <c r="AV41" i="24"/>
  <c r="AX41" i="24" s="1"/>
  <c r="U41" i="24" s="1"/>
  <c r="W41" i="24" s="1"/>
  <c r="Y41" i="24" s="1"/>
  <c r="AP34" i="24"/>
  <c r="AV34" i="24" s="1"/>
  <c r="AX34" i="24" s="1"/>
  <c r="U34" i="24" s="1"/>
  <c r="AP29" i="24"/>
  <c r="AV29" i="24" s="1"/>
  <c r="AX29" i="24" s="1"/>
  <c r="U29" i="24" s="1"/>
  <c r="AV46" i="24"/>
  <c r="AX46" i="24" s="1"/>
  <c r="U46" i="24" s="1"/>
  <c r="W46" i="24" s="1"/>
  <c r="Y46" i="24" s="1"/>
  <c r="AV50" i="24"/>
  <c r="AX50" i="24" s="1"/>
  <c r="U50" i="24" s="1"/>
  <c r="W50" i="24" s="1"/>
  <c r="Y50" i="24" s="1"/>
  <c r="AV42" i="24"/>
  <c r="AX42" i="24" s="1"/>
  <c r="U42" i="24" s="1"/>
  <c r="W42" i="24" s="1"/>
  <c r="Y42" i="24" s="1"/>
  <c r="AV43" i="24"/>
  <c r="AX43" i="24" s="1"/>
  <c r="U43" i="24" s="1"/>
  <c r="W43" i="24" s="1"/>
  <c r="Y43" i="24" s="1"/>
  <c r="AP36" i="24"/>
  <c r="AV36" i="24" s="1"/>
  <c r="AX36" i="24" s="1"/>
  <c r="U36" i="24" s="1"/>
  <c r="AJ388" i="5"/>
  <c r="AK389" i="5"/>
  <c r="K31" i="5" a="1"/>
  <c r="K31" i="5" s="1"/>
  <c r="E41" i="5" a="1"/>
  <c r="E41" i="5" s="1"/>
  <c r="D45" i="5" a="1"/>
  <c r="D45" i="5" s="1"/>
  <c r="W35" i="24"/>
  <c r="Y35" i="24" s="1"/>
  <c r="W36" i="24"/>
  <c r="Y36" i="24" s="1"/>
  <c r="W34" i="24"/>
  <c r="Y34" i="24" s="1"/>
  <c r="W37" i="24"/>
  <c r="Y37" i="24" s="1"/>
  <c r="W32" i="24"/>
  <c r="Y32" i="24" s="1"/>
  <c r="W31" i="24"/>
  <c r="Y31" i="24" s="1"/>
  <c r="W29" i="24"/>
  <c r="Y29" i="24" s="1"/>
  <c r="W38" i="24"/>
  <c r="Y38" i="24" s="1"/>
  <c r="W33" i="24"/>
  <c r="Y33" i="24" s="1"/>
  <c r="W30" i="24"/>
  <c r="Y30" i="24" s="1"/>
  <c r="W28" i="24"/>
  <c r="Y28" i="24" s="1"/>
  <c r="W53" i="24"/>
  <c r="Y53" i="24" s="1"/>
  <c r="W55" i="24"/>
  <c r="Y55" i="24" s="1"/>
  <c r="W54" i="24"/>
  <c r="Y54" i="24" s="1"/>
  <c r="W56" i="24"/>
  <c r="Y56" i="24" s="1"/>
  <c r="AP71" i="24"/>
  <c r="AP43" i="19"/>
  <c r="AV43" i="19" s="1"/>
  <c r="AX43" i="19" s="1"/>
  <c r="U43" i="19" s="1"/>
  <c r="W43" i="19" s="1"/>
  <c r="Y43" i="19" s="1"/>
  <c r="AP32" i="19"/>
  <c r="AV32" i="19" s="1"/>
  <c r="AX32" i="19" s="1"/>
  <c r="U32" i="19" s="1"/>
  <c r="W32" i="19" s="1"/>
  <c r="Y32" i="19" s="1"/>
  <c r="AP31" i="19"/>
  <c r="AV31" i="19" s="1"/>
  <c r="AX31" i="19" s="1"/>
  <c r="U31" i="19" s="1"/>
  <c r="W31" i="19" s="1"/>
  <c r="Y31" i="19" s="1"/>
  <c r="K21" i="5"/>
  <c r="K20" i="5" s="1"/>
  <c r="AP44" i="19"/>
  <c r="AV44" i="19" s="1"/>
  <c r="AX44" i="19" s="1"/>
  <c r="U44" i="19" s="1"/>
  <c r="W44" i="19" s="1"/>
  <c r="Y44" i="19" s="1"/>
  <c r="AP50" i="19"/>
  <c r="AV50" i="19" s="1"/>
  <c r="AX50" i="19" s="1"/>
  <c r="U50" i="19" s="1"/>
  <c r="W50" i="19" s="1"/>
  <c r="Y50" i="19" s="1"/>
  <c r="AP47" i="19"/>
  <c r="AV47" i="19" s="1"/>
  <c r="AX47" i="19" s="1"/>
  <c r="U47" i="19" s="1"/>
  <c r="W47" i="19" s="1"/>
  <c r="Y47" i="19" s="1"/>
  <c r="AP48" i="19"/>
  <c r="AV48" i="19" s="1"/>
  <c r="AX48" i="19" s="1"/>
  <c r="U48" i="19" s="1"/>
  <c r="W48" i="19" s="1"/>
  <c r="Y48" i="19" s="1"/>
  <c r="AP41" i="19"/>
  <c r="AV41" i="19" s="1"/>
  <c r="AX41" i="19" s="1"/>
  <c r="U41" i="19" s="1"/>
  <c r="W41" i="19" s="1"/>
  <c r="Y41" i="19" s="1"/>
  <c r="AP34" i="19"/>
  <c r="AV34" i="19" s="1"/>
  <c r="AX34" i="19" s="1"/>
  <c r="U34" i="19" s="1"/>
  <c r="W34" i="19" s="1"/>
  <c r="Y34" i="19" s="1"/>
  <c r="AP51" i="19"/>
  <c r="AV51" i="19" s="1"/>
  <c r="AX51" i="19" s="1"/>
  <c r="U51" i="19" s="1"/>
  <c r="W51" i="19" s="1"/>
  <c r="Y51" i="19" s="1"/>
  <c r="AP46" i="19"/>
  <c r="AV46" i="19" s="1"/>
  <c r="AX46" i="19" s="1"/>
  <c r="U46" i="19" s="1"/>
  <c r="W46" i="19" s="1"/>
  <c r="Y46" i="19" s="1"/>
  <c r="AP39" i="19"/>
  <c r="AV39" i="19" s="1"/>
  <c r="AX39" i="19" s="1"/>
  <c r="U39" i="19" s="1"/>
  <c r="W39" i="19" s="1"/>
  <c r="Y39" i="19" s="1"/>
  <c r="AP35" i="19"/>
  <c r="AV35" i="19" s="1"/>
  <c r="AX35" i="19" s="1"/>
  <c r="U35" i="19" s="1"/>
  <c r="W35" i="19" s="1"/>
  <c r="Y35" i="19" s="1"/>
  <c r="K53" i="5"/>
  <c r="AV57" i="24" s="1"/>
  <c r="AX57" i="24" s="1"/>
  <c r="U57" i="24" s="1"/>
  <c r="AP52" i="19"/>
  <c r="AV52" i="19" s="1"/>
  <c r="AX52" i="19" s="1"/>
  <c r="U52" i="19" s="1"/>
  <c r="W52" i="19" s="1"/>
  <c r="Y52" i="19" s="1"/>
  <c r="AP49" i="19"/>
  <c r="AV49" i="19" s="1"/>
  <c r="AX49" i="19" s="1"/>
  <c r="U49" i="19" s="1"/>
  <c r="W49" i="19" s="1"/>
  <c r="Y49" i="19" s="1"/>
  <c r="AP45" i="19"/>
  <c r="AV45" i="19" s="1"/>
  <c r="AX45" i="19" s="1"/>
  <c r="U45" i="19" s="1"/>
  <c r="W45" i="19" s="1"/>
  <c r="Y45" i="19" s="1"/>
  <c r="AP42" i="19"/>
  <c r="AV42" i="19" s="1"/>
  <c r="AX42" i="19" s="1"/>
  <c r="U42" i="19" s="1"/>
  <c r="W42" i="19" s="1"/>
  <c r="Y42" i="19" s="1"/>
  <c r="AP36" i="19"/>
  <c r="AV36" i="19" s="1"/>
  <c r="AX36" i="19" s="1"/>
  <c r="U36" i="19" s="1"/>
  <c r="W36" i="19" s="1"/>
  <c r="Y36" i="19" s="1"/>
  <c r="AP28" i="74" l="1"/>
  <c r="W36" i="57"/>
  <c r="Y36" i="57" s="1"/>
  <c r="AP28" i="62"/>
  <c r="W34" i="57"/>
  <c r="Y34" i="57" s="1"/>
  <c r="W37" i="57"/>
  <c r="Y37" i="57" s="1"/>
  <c r="AP28" i="63"/>
  <c r="AP28" i="60"/>
  <c r="AN34" i="59"/>
  <c r="AP34" i="59" s="1"/>
  <c r="AV34" i="59" s="1"/>
  <c r="AX34" i="59" s="1"/>
  <c r="U34" i="59" s="1"/>
  <c r="W34" i="59" s="1"/>
  <c r="Y34" i="59" s="1"/>
  <c r="AN34" i="61"/>
  <c r="AP34" i="61" s="1"/>
  <c r="AV34" i="61" s="1"/>
  <c r="AX34" i="61" s="1"/>
  <c r="U34" i="61" s="1"/>
  <c r="AN34" i="63"/>
  <c r="AP34" i="63" s="1"/>
  <c r="AV34" i="63" s="1"/>
  <c r="AX34" i="63" s="1"/>
  <c r="U34" i="63" s="1"/>
  <c r="AN34" i="60"/>
  <c r="AP34" i="60" s="1"/>
  <c r="AV34" i="60" s="1"/>
  <c r="AX34" i="60" s="1"/>
  <c r="U34" i="60" s="1"/>
  <c r="W34" i="60" s="1"/>
  <c r="Y34" i="60" s="1"/>
  <c r="AN34" i="74"/>
  <c r="AP34" i="74" s="1"/>
  <c r="AV34" i="74" s="1"/>
  <c r="AX34" i="74" s="1"/>
  <c r="U34" i="74" s="1"/>
  <c r="W34" i="74" s="1"/>
  <c r="Y34" i="74" s="1"/>
  <c r="AN34" i="58"/>
  <c r="AP34" i="58" s="1"/>
  <c r="AV34" i="58" s="1"/>
  <c r="AX34" i="58" s="1"/>
  <c r="U34" i="58" s="1"/>
  <c r="W34" i="58" s="1"/>
  <c r="Y34" i="58" s="1"/>
  <c r="AN34" i="62"/>
  <c r="AP34" i="62" s="1"/>
  <c r="AV34" i="62" s="1"/>
  <c r="AX34" i="62" s="1"/>
  <c r="U34" i="62" s="1"/>
  <c r="AN36" i="31"/>
  <c r="AP36" i="31" s="1"/>
  <c r="AV36" i="31" s="1"/>
  <c r="AX36" i="31" s="1"/>
  <c r="U36" i="31" s="1"/>
  <c r="W36" i="31" s="1"/>
  <c r="Y36" i="31" s="1"/>
  <c r="AN35" i="57"/>
  <c r="AP35" i="57" s="1"/>
  <c r="AV35" i="57" s="1"/>
  <c r="AX35" i="57" s="1"/>
  <c r="U35" i="57" s="1"/>
  <c r="AP28" i="58"/>
  <c r="AP28" i="57"/>
  <c r="W29" i="57"/>
  <c r="Y29" i="57" s="1"/>
  <c r="Y38" i="57"/>
  <c r="W38" i="57"/>
  <c r="W32" i="57"/>
  <c r="Y32" i="57" s="1"/>
  <c r="AP28" i="59"/>
  <c r="AP28" i="61"/>
  <c r="AV28" i="31"/>
  <c r="AX28" i="31" s="1"/>
  <c r="U28" i="31" s="1"/>
  <c r="W28" i="31" s="1"/>
  <c r="Y28" i="31" s="1"/>
  <c r="AN35" i="45"/>
  <c r="AP35" i="45" s="1"/>
  <c r="AV35" i="45" s="1"/>
  <c r="AX35" i="45" s="1"/>
  <c r="U35" i="45" s="1"/>
  <c r="W35" i="45" s="1"/>
  <c r="Y35" i="45" s="1"/>
  <c r="AN35" i="44"/>
  <c r="AP35" i="44" s="1"/>
  <c r="AV35" i="44" s="1"/>
  <c r="AX35" i="44" s="1"/>
  <c r="U35" i="44" s="1"/>
  <c r="W35" i="44" s="1"/>
  <c r="Y35" i="44" s="1"/>
  <c r="AP28" i="44"/>
  <c r="W52" i="44"/>
  <c r="AP28" i="45"/>
  <c r="AK390" i="5"/>
  <c r="AJ389" i="5"/>
  <c r="W57" i="24"/>
  <c r="Y57" i="24" s="1"/>
  <c r="U39" i="24"/>
  <c r="K54" i="5"/>
  <c r="AP30" i="19"/>
  <c r="AV30" i="19" s="1"/>
  <c r="AX30" i="19" s="1"/>
  <c r="U30" i="19" s="1"/>
  <c r="W30" i="19" s="1"/>
  <c r="Y30" i="19" s="1"/>
  <c r="W35" i="57" l="1"/>
  <c r="Y35" i="57" s="1"/>
  <c r="AV28" i="59"/>
  <c r="AV28" i="63"/>
  <c r="AV28" i="57"/>
  <c r="AX28" i="57" s="1"/>
  <c r="U28" i="57" s="1"/>
  <c r="W28" i="57" s="1"/>
  <c r="Y28" i="57" s="1"/>
  <c r="AN70" i="74"/>
  <c r="AV28" i="61"/>
  <c r="AV28" i="58"/>
  <c r="AX28" i="58" s="1"/>
  <c r="U28" i="58" s="1"/>
  <c r="W28" i="58" s="1"/>
  <c r="Y28" i="58" s="1"/>
  <c r="AV28" i="60"/>
  <c r="AV28" i="62"/>
  <c r="AV28" i="74"/>
  <c r="AP70" i="74"/>
  <c r="AV28" i="45"/>
  <c r="AV28" i="44"/>
  <c r="Y52" i="44"/>
  <c r="AJ390" i="5"/>
  <c r="AK391" i="5"/>
  <c r="W39" i="24"/>
  <c r="Y39" i="24" s="1"/>
  <c r="K55" i="5"/>
  <c r="AP29" i="19"/>
  <c r="AV29" i="19" s="1"/>
  <c r="AX29" i="19" s="1"/>
  <c r="U29" i="19" s="1"/>
  <c r="W29" i="19" s="1"/>
  <c r="Y29" i="19" s="1"/>
  <c r="AP37" i="19"/>
  <c r="AV37" i="19" s="1"/>
  <c r="AX37" i="19" s="1"/>
  <c r="U37" i="19" s="1"/>
  <c r="W37" i="19" s="1"/>
  <c r="Y37" i="19" s="1"/>
  <c r="AP38" i="19"/>
  <c r="AV38" i="19" s="1"/>
  <c r="AX38" i="19" s="1"/>
  <c r="U38" i="19" s="1"/>
  <c r="W38" i="19" s="1"/>
  <c r="Y38" i="19" s="1"/>
  <c r="AP40" i="19"/>
  <c r="AV40" i="19" s="1"/>
  <c r="AX40" i="19" s="1"/>
  <c r="U40" i="19" s="1"/>
  <c r="W40" i="19" s="1"/>
  <c r="Y40" i="19" s="1"/>
  <c r="AX28" i="59" l="1"/>
  <c r="AX28" i="74"/>
  <c r="AV70" i="74"/>
  <c r="AX28" i="60"/>
  <c r="AX28" i="61"/>
  <c r="AX28" i="63"/>
  <c r="AX28" i="62"/>
  <c r="AX28" i="44"/>
  <c r="AX28" i="45"/>
  <c r="AK392" i="5"/>
  <c r="AJ391" i="5"/>
  <c r="AV59" i="24"/>
  <c r="AX59" i="24" s="1"/>
  <c r="U59" i="24" s="1"/>
  <c r="K56" i="5"/>
  <c r="AP28" i="19"/>
  <c r="AP66" i="19" s="1"/>
  <c r="U28" i="62" l="1"/>
  <c r="U28" i="61"/>
  <c r="U28" i="74"/>
  <c r="AX70" i="74"/>
  <c r="U28" i="63"/>
  <c r="U28" i="60"/>
  <c r="U28" i="59"/>
  <c r="U28" i="45"/>
  <c r="U28" i="44"/>
  <c r="AK393" i="5"/>
  <c r="AJ392" i="5"/>
  <c r="W59" i="24"/>
  <c r="Y59" i="24" s="1"/>
  <c r="K57" i="5"/>
  <c r="AV58" i="24"/>
  <c r="AV28" i="19"/>
  <c r="AV66" i="19" s="1"/>
  <c r="W28" i="59" l="1"/>
  <c r="Y28" i="59" s="1"/>
  <c r="W28" i="60"/>
  <c r="Y28" i="60" s="1"/>
  <c r="W28" i="74"/>
  <c r="U70" i="74"/>
  <c r="I43" i="32" s="1"/>
  <c r="W28" i="44"/>
  <c r="W28" i="45"/>
  <c r="AK394" i="5"/>
  <c r="AJ393" i="5"/>
  <c r="K58" i="5"/>
  <c r="AV61" i="24"/>
  <c r="AX61" i="24" s="1"/>
  <c r="U61" i="24" s="1"/>
  <c r="AX58" i="24"/>
  <c r="AX28" i="19"/>
  <c r="AX66" i="19" s="1"/>
  <c r="Y28" i="74" l="1"/>
  <c r="Y70" i="74" s="1"/>
  <c r="M43" i="32" s="1"/>
  <c r="H33" i="23" s="1"/>
  <c r="J33" i="23" s="1"/>
  <c r="W70" i="74"/>
  <c r="K43" i="32" s="1"/>
  <c r="Y28" i="45"/>
  <c r="Y28" i="44"/>
  <c r="AJ394" i="5"/>
  <c r="AK395" i="5"/>
  <c r="W61" i="24"/>
  <c r="Y61" i="24" s="1"/>
  <c r="K59" i="5"/>
  <c r="AV62" i="24"/>
  <c r="AX62" i="24" s="1"/>
  <c r="U62" i="24" s="1"/>
  <c r="AV60" i="24"/>
  <c r="U58" i="24"/>
  <c r="S33" i="23" l="1"/>
  <c r="U33" i="23" s="1"/>
  <c r="I31" i="32"/>
  <c r="AJ395" i="5"/>
  <c r="AK396" i="5"/>
  <c r="W62" i="24"/>
  <c r="Y62" i="24" s="1"/>
  <c r="W58" i="24"/>
  <c r="AX60" i="24"/>
  <c r="K60" i="5"/>
  <c r="W28" i="19"/>
  <c r="K31" i="32" l="1"/>
  <c r="AJ396" i="5"/>
  <c r="AK397" i="5"/>
  <c r="K61" i="5"/>
  <c r="K62" i="5" s="1"/>
  <c r="AV64" i="24"/>
  <c r="AX64" i="24" s="1"/>
  <c r="U64" i="24" s="1"/>
  <c r="U60" i="24"/>
  <c r="Y58" i="24"/>
  <c r="Y28" i="19"/>
  <c r="AK398" i="5" l="1"/>
  <c r="AJ397" i="5"/>
  <c r="W60" i="24"/>
  <c r="W64" i="24"/>
  <c r="Y64" i="24" s="1"/>
  <c r="AV63" i="24"/>
  <c r="Y66" i="19"/>
  <c r="O58" i="14"/>
  <c r="C58" i="14"/>
  <c r="Q58" i="14"/>
  <c r="M58" i="14"/>
  <c r="BD58" i="14"/>
  <c r="AJ58" i="14"/>
  <c r="K58" i="14"/>
  <c r="AH58" i="14"/>
  <c r="AR58" i="14"/>
  <c r="AN58" i="14"/>
  <c r="AP58" i="14"/>
  <c r="BB58" i="14"/>
  <c r="AF58" i="14"/>
  <c r="M31" i="32" l="1"/>
  <c r="H63" i="23" s="1"/>
  <c r="J63" i="23" s="1"/>
  <c r="AJ398" i="5"/>
  <c r="AK399" i="5"/>
  <c r="Y60" i="24"/>
  <c r="K63" i="5"/>
  <c r="AV66" i="24"/>
  <c r="AX66" i="24" s="1"/>
  <c r="U66" i="24" s="1"/>
  <c r="AX63" i="24"/>
  <c r="AF11" i="14"/>
  <c r="S63" i="23" l="1"/>
  <c r="U63" i="23" s="1"/>
  <c r="AK400" i="5"/>
  <c r="AJ399" i="5"/>
  <c r="W66" i="24"/>
  <c r="Y66" i="24" s="1"/>
  <c r="U63" i="24"/>
  <c r="AV65" i="24"/>
  <c r="K64" i="5"/>
  <c r="BD11" i="14"/>
  <c r="AJ400" i="5" l="1"/>
  <c r="AK401" i="5"/>
  <c r="W63" i="24"/>
  <c r="AX65" i="24"/>
  <c r="K65" i="5"/>
  <c r="AV68" i="24"/>
  <c r="AX68" i="24" s="1"/>
  <c r="U68" i="24" s="1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AK402" i="5" l="1"/>
  <c r="AJ401" i="5"/>
  <c r="W68" i="24"/>
  <c r="Y68" i="24" s="1"/>
  <c r="Y63" i="24"/>
  <c r="AV67" i="24"/>
  <c r="K66" i="5"/>
  <c r="K67" i="5" s="1"/>
  <c r="U65" i="24"/>
  <c r="BF58" i="14"/>
  <c r="AN30" i="57" l="1"/>
  <c r="AN29" i="61"/>
  <c r="AN29" i="58"/>
  <c r="AN31" i="57"/>
  <c r="AP31" i="57" s="1"/>
  <c r="AV31" i="57" s="1"/>
  <c r="AX31" i="57" s="1"/>
  <c r="U31" i="57" s="1"/>
  <c r="AN30" i="61"/>
  <c r="AP30" i="61" s="1"/>
  <c r="AV30" i="61" s="1"/>
  <c r="AX30" i="61" s="1"/>
  <c r="U30" i="61" s="1"/>
  <c r="AN30" i="62"/>
  <c r="AN30" i="60"/>
  <c r="AN30" i="63"/>
  <c r="AN32" i="31"/>
  <c r="AN30" i="59"/>
  <c r="AN30" i="58"/>
  <c r="AP30" i="58" s="1"/>
  <c r="AV30" i="58" s="1"/>
  <c r="AX30" i="58" s="1"/>
  <c r="U30" i="58" s="1"/>
  <c r="W30" i="58" s="1"/>
  <c r="Y30" i="58" s="1"/>
  <c r="AN30" i="45"/>
  <c r="AN31" i="45"/>
  <c r="AP31" i="45" s="1"/>
  <c r="AV31" i="45" s="1"/>
  <c r="AX31" i="45" s="1"/>
  <c r="U31" i="45" s="1"/>
  <c r="W31" i="45" s="1"/>
  <c r="Y31" i="45" s="1"/>
  <c r="AN31" i="44"/>
  <c r="AJ402" i="5"/>
  <c r="AK403" i="5"/>
  <c r="W65" i="24"/>
  <c r="AX67" i="24"/>
  <c r="I28" i="14"/>
  <c r="I29" i="14" l="1"/>
  <c r="AP30" i="63"/>
  <c r="AN70" i="63"/>
  <c r="W31" i="57"/>
  <c r="Y31" i="57" s="1"/>
  <c r="AP30" i="60"/>
  <c r="AN70" i="60"/>
  <c r="AP29" i="58"/>
  <c r="AN70" i="58"/>
  <c r="AP30" i="59"/>
  <c r="AN70" i="59"/>
  <c r="AP30" i="62"/>
  <c r="AN70" i="62"/>
  <c r="AP29" i="61"/>
  <c r="AN70" i="61"/>
  <c r="AP32" i="31"/>
  <c r="AN72" i="31"/>
  <c r="AP30" i="57"/>
  <c r="AN71" i="57"/>
  <c r="AP31" i="44"/>
  <c r="AN61" i="44"/>
  <c r="AP30" i="45"/>
  <c r="AN61" i="45"/>
  <c r="AK404" i="5"/>
  <c r="AJ403" i="5"/>
  <c r="U67" i="24"/>
  <c r="AV69" i="24"/>
  <c r="AV71" i="24" s="1"/>
  <c r="Y65" i="24"/>
  <c r="I30" i="14"/>
  <c r="AV32" i="31" l="1"/>
  <c r="AX32" i="31" s="1"/>
  <c r="U32" i="31" s="1"/>
  <c r="W32" i="31" s="1"/>
  <c r="Y32" i="31" s="1"/>
  <c r="AP72" i="31"/>
  <c r="AV30" i="62"/>
  <c r="AP70" i="62"/>
  <c r="AV29" i="58"/>
  <c r="AX29" i="58" s="1"/>
  <c r="U29" i="58" s="1"/>
  <c r="W29" i="58" s="1"/>
  <c r="Y29" i="58" s="1"/>
  <c r="AP70" i="58"/>
  <c r="AV30" i="57"/>
  <c r="AX30" i="57" s="1"/>
  <c r="U30" i="57" s="1"/>
  <c r="AP71" i="57"/>
  <c r="AV29" i="61"/>
  <c r="AP70" i="61"/>
  <c r="AV30" i="59"/>
  <c r="AP70" i="59"/>
  <c r="AV30" i="60"/>
  <c r="AP70" i="60"/>
  <c r="AV30" i="63"/>
  <c r="AP70" i="63"/>
  <c r="AV30" i="45"/>
  <c r="AP61" i="45"/>
  <c r="AV31" i="44"/>
  <c r="AP61" i="44"/>
  <c r="AJ404" i="5"/>
  <c r="AK405" i="5"/>
  <c r="W67" i="24"/>
  <c r="AX69" i="24"/>
  <c r="AX71" i="24" s="1"/>
  <c r="I31" i="14"/>
  <c r="AX30" i="63" l="1"/>
  <c r="AV70" i="63"/>
  <c r="AX30" i="59"/>
  <c r="AV70" i="59"/>
  <c r="W30" i="57"/>
  <c r="AX30" i="62"/>
  <c r="AV70" i="62"/>
  <c r="AX30" i="60"/>
  <c r="AV70" i="60"/>
  <c r="AX29" i="61"/>
  <c r="AV70" i="61"/>
  <c r="AX31" i="44"/>
  <c r="AV61" i="44"/>
  <c r="AX30" i="45"/>
  <c r="AV61" i="45"/>
  <c r="AK406" i="5"/>
  <c r="AJ405" i="5"/>
  <c r="Y67" i="24"/>
  <c r="U69" i="24"/>
  <c r="I32" i="14"/>
  <c r="U29" i="61" l="1"/>
  <c r="U70" i="61" s="1"/>
  <c r="I35" i="32" s="1"/>
  <c r="AX70" i="61"/>
  <c r="U30" i="62"/>
  <c r="U70" i="62" s="1"/>
  <c r="I24" i="32" s="1"/>
  <c r="AX70" i="62"/>
  <c r="U30" i="59"/>
  <c r="AX70" i="59"/>
  <c r="U30" i="60"/>
  <c r="AX70" i="60"/>
  <c r="Y30" i="57"/>
  <c r="U30" i="63"/>
  <c r="U70" i="63" s="1"/>
  <c r="I25" i="32" s="1"/>
  <c r="AX70" i="63"/>
  <c r="U30" i="45"/>
  <c r="AX61" i="45"/>
  <c r="U31" i="44"/>
  <c r="AX61" i="44"/>
  <c r="AJ406" i="5"/>
  <c r="AK407" i="5"/>
  <c r="W69" i="24"/>
  <c r="W71" i="24" s="1"/>
  <c r="U71" i="24"/>
  <c r="I33" i="14"/>
  <c r="W30" i="60" l="1"/>
  <c r="Y30" i="60" s="1"/>
  <c r="U70" i="60"/>
  <c r="I27" i="32" s="1"/>
  <c r="W30" i="59"/>
  <c r="Y30" i="59" s="1"/>
  <c r="U70" i="59"/>
  <c r="I48" i="32" s="1"/>
  <c r="W31" i="44"/>
  <c r="U61" i="44"/>
  <c r="I36" i="32" s="1"/>
  <c r="W30" i="45"/>
  <c r="U61" i="45"/>
  <c r="I37" i="32" s="1"/>
  <c r="Y71" i="24"/>
  <c r="K26" i="32"/>
  <c r="I26" i="32"/>
  <c r="AK408" i="5"/>
  <c r="AJ407" i="5"/>
  <c r="Y69" i="24"/>
  <c r="I34" i="14"/>
  <c r="Y30" i="45" l="1"/>
  <c r="W61" i="45"/>
  <c r="Y31" i="44"/>
  <c r="W61" i="44"/>
  <c r="M26" i="32"/>
  <c r="H22" i="23" s="1"/>
  <c r="J22" i="23" s="1"/>
  <c r="AJ408" i="5"/>
  <c r="AK409" i="5"/>
  <c r="I35" i="14"/>
  <c r="Y61" i="44" l="1"/>
  <c r="M36" i="32" s="1"/>
  <c r="K36" i="32"/>
  <c r="S22" i="23"/>
  <c r="U22" i="23" s="1"/>
  <c r="Y61" i="45"/>
  <c r="M37" i="32" s="1"/>
  <c r="K37" i="32"/>
  <c r="AK410" i="5"/>
  <c r="AJ409" i="5"/>
  <c r="I36" i="14"/>
  <c r="H29" i="23" l="1"/>
  <c r="J29" i="23" s="1"/>
  <c r="S29" i="23"/>
  <c r="U29" i="23" s="1"/>
  <c r="H28" i="23"/>
  <c r="J28" i="23" s="1"/>
  <c r="S28" i="23"/>
  <c r="U28" i="23" s="1"/>
  <c r="AJ410" i="5"/>
  <c r="AK411" i="5"/>
  <c r="I37" i="14"/>
  <c r="AK412" i="5" l="1"/>
  <c r="AJ411" i="5"/>
  <c r="I38" i="14"/>
  <c r="AJ412" i="5" l="1"/>
  <c r="AK413" i="5"/>
  <c r="I39" i="14"/>
  <c r="AK414" i="5" l="1"/>
  <c r="AJ413" i="5"/>
  <c r="I40" i="14"/>
  <c r="AK415" i="5" l="1"/>
  <c r="AJ414" i="5"/>
  <c r="I41" i="14"/>
  <c r="AK416" i="5" l="1"/>
  <c r="AJ415" i="5"/>
  <c r="I42" i="14"/>
  <c r="AJ416" i="5" l="1"/>
  <c r="AK417" i="5"/>
  <c r="I43" i="14"/>
  <c r="AK418" i="5" l="1"/>
  <c r="AJ417" i="5"/>
  <c r="I44" i="14"/>
  <c r="AK419" i="5" l="1"/>
  <c r="AJ418" i="5"/>
  <c r="I45" i="14"/>
  <c r="AK420" i="5" l="1"/>
  <c r="AJ419" i="5"/>
  <c r="I46" i="14"/>
  <c r="AJ420" i="5" l="1"/>
  <c r="AK421" i="5"/>
  <c r="I47" i="14"/>
  <c r="AJ421" i="5" l="1"/>
  <c r="AK422" i="5"/>
  <c r="I48" i="14"/>
  <c r="AJ422" i="5" l="1"/>
  <c r="AK423" i="5"/>
  <c r="I49" i="14"/>
  <c r="AK424" i="5" l="1"/>
  <c r="AJ423" i="5"/>
  <c r="I50" i="14"/>
  <c r="AK425" i="5" l="1"/>
  <c r="AJ424" i="5"/>
  <c r="I51" i="14"/>
  <c r="AK426" i="5" l="1"/>
  <c r="AJ425" i="5"/>
  <c r="G53" i="14"/>
  <c r="AD53" i="14" s="1"/>
  <c r="G40" i="14"/>
  <c r="G54" i="14"/>
  <c r="AD54" i="14" s="1"/>
  <c r="G46" i="14"/>
  <c r="G47" i="14"/>
  <c r="G32" i="14"/>
  <c r="G29" i="14"/>
  <c r="G37" i="14"/>
  <c r="G50" i="14"/>
  <c r="G55" i="14"/>
  <c r="AD55" i="14" s="1"/>
  <c r="G41" i="14"/>
  <c r="G36" i="14"/>
  <c r="AD28" i="14"/>
  <c r="G33" i="14"/>
  <c r="G42" i="14"/>
  <c r="G56" i="14"/>
  <c r="AD56" i="14" s="1"/>
  <c r="G48" i="14"/>
  <c r="G51" i="14"/>
  <c r="AD51" i="14" s="1"/>
  <c r="G30" i="14"/>
  <c r="G38" i="14"/>
  <c r="G45" i="14"/>
  <c r="G35" i="14"/>
  <c r="G49" i="14"/>
  <c r="G52" i="14"/>
  <c r="AD52" i="14" s="1"/>
  <c r="G44" i="14"/>
  <c r="G43" i="14"/>
  <c r="G34" i="14"/>
  <c r="G31" i="14"/>
  <c r="G39" i="14"/>
  <c r="I52" i="14"/>
  <c r="S51" i="14" l="1"/>
  <c r="AJ426" i="5"/>
  <c r="AK427" i="5"/>
  <c r="AV52" i="14"/>
  <c r="AL52" i="14"/>
  <c r="AT52" i="14" s="1"/>
  <c r="AD38" i="14"/>
  <c r="S38" i="14"/>
  <c r="AD36" i="14"/>
  <c r="S36" i="14"/>
  <c r="AD46" i="14"/>
  <c r="S46" i="14"/>
  <c r="S52" i="14"/>
  <c r="I53" i="14"/>
  <c r="AD34" i="14"/>
  <c r="S34" i="14"/>
  <c r="AD49" i="14"/>
  <c r="S49" i="14"/>
  <c r="AD30" i="14"/>
  <c r="S30" i="14"/>
  <c r="AD41" i="14"/>
  <c r="S41" i="14"/>
  <c r="AD29" i="14"/>
  <c r="S29" i="14"/>
  <c r="AV54" i="14"/>
  <c r="AL54" i="14"/>
  <c r="AT54" i="14" s="1"/>
  <c r="G58" i="14"/>
  <c r="AD43" i="14"/>
  <c r="S43" i="14"/>
  <c r="AD35" i="14"/>
  <c r="S35" i="14"/>
  <c r="AV51" i="14"/>
  <c r="AL51" i="14"/>
  <c r="AT51" i="14" s="1"/>
  <c r="AD33" i="14"/>
  <c r="S33" i="14"/>
  <c r="AV55" i="14"/>
  <c r="AL55" i="14"/>
  <c r="AT55" i="14" s="1"/>
  <c r="AD32" i="14"/>
  <c r="S32" i="14"/>
  <c r="AD40" i="14"/>
  <c r="S40" i="14"/>
  <c r="AD31" i="14"/>
  <c r="S31" i="14"/>
  <c r="AV56" i="14"/>
  <c r="AL56" i="14"/>
  <c r="AT56" i="14" s="1"/>
  <c r="AD37" i="14"/>
  <c r="S37" i="14"/>
  <c r="AD42" i="14"/>
  <c r="S42" i="14"/>
  <c r="AD39" i="14"/>
  <c r="S39" i="14"/>
  <c r="AD44" i="14"/>
  <c r="S44" i="14"/>
  <c r="AD45" i="14"/>
  <c r="S45" i="14"/>
  <c r="AD48" i="14"/>
  <c r="S48" i="14"/>
  <c r="AV28" i="14"/>
  <c r="AL28" i="14"/>
  <c r="AD50" i="14"/>
  <c r="S50" i="14"/>
  <c r="AD47" i="14"/>
  <c r="S47" i="14"/>
  <c r="AV53" i="14"/>
  <c r="AL53" i="14"/>
  <c r="AT53" i="14" s="1"/>
  <c r="AK428" i="5" l="1"/>
  <c r="AJ427" i="5"/>
  <c r="AX54" i="14"/>
  <c r="U54" i="14" s="1"/>
  <c r="AX52" i="14"/>
  <c r="U52" i="14" s="1"/>
  <c r="W52" i="14" s="1"/>
  <c r="Y52" i="14" s="1"/>
  <c r="AX53" i="14"/>
  <c r="U53" i="14" s="1"/>
  <c r="AX56" i="14"/>
  <c r="U56" i="14" s="1"/>
  <c r="AX55" i="14"/>
  <c r="U55" i="14" s="1"/>
  <c r="AX51" i="14"/>
  <c r="U51" i="14" s="1"/>
  <c r="W51" i="14" s="1"/>
  <c r="Y51" i="14" s="1"/>
  <c r="AT28" i="14"/>
  <c r="AV48" i="14"/>
  <c r="AL48" i="14"/>
  <c r="AT48" i="14" s="1"/>
  <c r="AV44" i="14"/>
  <c r="AL44" i="14"/>
  <c r="AT44" i="14" s="1"/>
  <c r="AV45" i="14"/>
  <c r="AL45" i="14"/>
  <c r="AT45" i="14" s="1"/>
  <c r="AV39" i="14"/>
  <c r="AL39" i="14"/>
  <c r="AT39" i="14" s="1"/>
  <c r="AV50" i="14"/>
  <c r="AL50" i="14"/>
  <c r="AT50" i="14" s="1"/>
  <c r="AV40" i="14"/>
  <c r="AL40" i="14"/>
  <c r="AT40" i="14" s="1"/>
  <c r="AV43" i="14"/>
  <c r="AL43" i="14"/>
  <c r="AT43" i="14" s="1"/>
  <c r="AV41" i="14"/>
  <c r="AL41" i="14"/>
  <c r="AT41" i="14" s="1"/>
  <c r="AV49" i="14"/>
  <c r="AL49" i="14"/>
  <c r="AT49" i="14" s="1"/>
  <c r="AV46" i="14"/>
  <c r="AL46" i="14"/>
  <c r="AT46" i="14" s="1"/>
  <c r="AV38" i="14"/>
  <c r="AL38" i="14"/>
  <c r="AT38" i="14" s="1"/>
  <c r="I54" i="14"/>
  <c r="S53" i="14"/>
  <c r="AV47" i="14"/>
  <c r="AL47" i="14"/>
  <c r="AT47" i="14" s="1"/>
  <c r="AD58" i="14"/>
  <c r="AF12" i="14" s="1"/>
  <c r="AV42" i="14"/>
  <c r="AL42" i="14"/>
  <c r="AT42" i="14" s="1"/>
  <c r="AV37" i="14"/>
  <c r="AL37" i="14"/>
  <c r="AT37" i="14" s="1"/>
  <c r="AV31" i="14"/>
  <c r="AL31" i="14"/>
  <c r="AT31" i="14" s="1"/>
  <c r="AV32" i="14"/>
  <c r="AL32" i="14"/>
  <c r="AT32" i="14" s="1"/>
  <c r="AV33" i="14"/>
  <c r="AL33" i="14"/>
  <c r="AT33" i="14" s="1"/>
  <c r="AV35" i="14"/>
  <c r="AL35" i="14"/>
  <c r="AT35" i="14" s="1"/>
  <c r="AV29" i="14"/>
  <c r="AL29" i="14"/>
  <c r="AT29" i="14" s="1"/>
  <c r="AV30" i="14"/>
  <c r="AL30" i="14"/>
  <c r="AT30" i="14" s="1"/>
  <c r="AV34" i="14"/>
  <c r="AL34" i="14"/>
  <c r="AT34" i="14" s="1"/>
  <c r="AV36" i="14"/>
  <c r="AL36" i="14"/>
  <c r="AT36" i="14" s="1"/>
  <c r="AJ428" i="5" l="1"/>
  <c r="AK429" i="5"/>
  <c r="AX38" i="14"/>
  <c r="U38" i="14" s="1"/>
  <c r="W38" i="14" s="1"/>
  <c r="Y38" i="14" s="1"/>
  <c r="AX49" i="14"/>
  <c r="U49" i="14" s="1"/>
  <c r="W49" i="14" s="1"/>
  <c r="Y49" i="14" s="1"/>
  <c r="AX50" i="14"/>
  <c r="U50" i="14" s="1"/>
  <c r="W50" i="14" s="1"/>
  <c r="Y50" i="14" s="1"/>
  <c r="AX45" i="14"/>
  <c r="U45" i="14" s="1"/>
  <c r="W45" i="14" s="1"/>
  <c r="Y45" i="14" s="1"/>
  <c r="AX44" i="14"/>
  <c r="U44" i="14" s="1"/>
  <c r="W44" i="14" s="1"/>
  <c r="Y44" i="14" s="1"/>
  <c r="AV58" i="14"/>
  <c r="AX30" i="14"/>
  <c r="U30" i="14" s="1"/>
  <c r="W30" i="14" s="1"/>
  <c r="Y30" i="14" s="1"/>
  <c r="AX35" i="14"/>
  <c r="U35" i="14" s="1"/>
  <c r="W35" i="14" s="1"/>
  <c r="Y35" i="14" s="1"/>
  <c r="AX32" i="14"/>
  <c r="U32" i="14" s="1"/>
  <c r="W32" i="14" s="1"/>
  <c r="Y32" i="14" s="1"/>
  <c r="AX31" i="14"/>
  <c r="U31" i="14" s="1"/>
  <c r="W31" i="14" s="1"/>
  <c r="Y31" i="14" s="1"/>
  <c r="AX42" i="14"/>
  <c r="U42" i="14" s="1"/>
  <c r="W42" i="14" s="1"/>
  <c r="Y42" i="14" s="1"/>
  <c r="AX43" i="14"/>
  <c r="U43" i="14" s="1"/>
  <c r="W43" i="14" s="1"/>
  <c r="Y43" i="14" s="1"/>
  <c r="I55" i="14"/>
  <c r="S54" i="14"/>
  <c r="W54" i="14" s="1"/>
  <c r="AL58" i="14"/>
  <c r="AX34" i="14"/>
  <c r="U34" i="14" s="1"/>
  <c r="W34" i="14" s="1"/>
  <c r="Y34" i="14" s="1"/>
  <c r="AX29" i="14"/>
  <c r="U29" i="14" s="1"/>
  <c r="W29" i="14" s="1"/>
  <c r="Y29" i="14" s="1"/>
  <c r="AX47" i="14"/>
  <c r="U47" i="14" s="1"/>
  <c r="W47" i="14" s="1"/>
  <c r="Y47" i="14" s="1"/>
  <c r="AX40" i="14"/>
  <c r="U40" i="14" s="1"/>
  <c r="W40" i="14" s="1"/>
  <c r="Y40" i="14" s="1"/>
  <c r="AX39" i="14"/>
  <c r="U39" i="14" s="1"/>
  <c r="W39" i="14" s="1"/>
  <c r="Y39" i="14" s="1"/>
  <c r="W53" i="14"/>
  <c r="AX28" i="14"/>
  <c r="AT58" i="14"/>
  <c r="AX36" i="14"/>
  <c r="U36" i="14" s="1"/>
  <c r="W36" i="14" s="1"/>
  <c r="Y36" i="14" s="1"/>
  <c r="AX33" i="14"/>
  <c r="U33" i="14" s="1"/>
  <c r="W33" i="14" s="1"/>
  <c r="Y33" i="14" s="1"/>
  <c r="AX37" i="14"/>
  <c r="U37" i="14" s="1"/>
  <c r="W37" i="14" s="1"/>
  <c r="Y37" i="14" s="1"/>
  <c r="AX46" i="14"/>
  <c r="U46" i="14" s="1"/>
  <c r="W46" i="14" s="1"/>
  <c r="Y46" i="14" s="1"/>
  <c r="AX41" i="14"/>
  <c r="U41" i="14" s="1"/>
  <c r="W41" i="14" s="1"/>
  <c r="Y41" i="14" s="1"/>
  <c r="AX48" i="14"/>
  <c r="U48" i="14" s="1"/>
  <c r="W48" i="14" s="1"/>
  <c r="Y48" i="14" s="1"/>
  <c r="AK430" i="5" l="1"/>
  <c r="AJ429" i="5"/>
  <c r="U28" i="14"/>
  <c r="AX58" i="14"/>
  <c r="I56" i="14"/>
  <c r="S55" i="14"/>
  <c r="W55" i="14" s="1"/>
  <c r="Y55" i="14" s="1"/>
  <c r="AJ430" i="5" l="1"/>
  <c r="AK431" i="5"/>
  <c r="S56" i="14"/>
  <c r="I58" i="14"/>
  <c r="W28" i="14"/>
  <c r="I32" i="32" l="1"/>
  <c r="AK432" i="5"/>
  <c r="AJ431" i="5"/>
  <c r="Y28" i="14"/>
  <c r="W56" i="14"/>
  <c r="Y56" i="14" s="1"/>
  <c r="S58" i="14"/>
  <c r="G32" i="32" l="1"/>
  <c r="AJ432" i="5"/>
  <c r="AK433" i="5"/>
  <c r="M32" i="32" l="1"/>
  <c r="H64" i="23" s="1"/>
  <c r="J64" i="23" s="1"/>
  <c r="K32" i="32"/>
  <c r="AK434" i="5"/>
  <c r="AJ433" i="5"/>
  <c r="S64" i="23" l="1"/>
  <c r="U64" i="23" s="1"/>
  <c r="AJ434" i="5"/>
  <c r="AK435" i="5"/>
  <c r="AK436" i="5" l="1"/>
  <c r="AJ435" i="5"/>
  <c r="AJ436" i="5" l="1"/>
  <c r="AK437" i="5"/>
  <c r="AJ437" i="5" l="1"/>
  <c r="AK438" i="5"/>
  <c r="AJ438" i="5" l="1"/>
  <c r="AK439" i="5"/>
  <c r="AK440" i="5" l="1"/>
  <c r="AJ439" i="5"/>
  <c r="AJ440" i="5" l="1"/>
  <c r="AK441" i="5"/>
  <c r="AJ441" i="5" l="1"/>
  <c r="AK442" i="5"/>
  <c r="AJ442" i="5" l="1"/>
  <c r="AK443" i="5"/>
  <c r="AK444" i="5" l="1"/>
  <c r="AJ443" i="5"/>
  <c r="AJ444" i="5" l="1"/>
  <c r="AK445" i="5"/>
  <c r="AJ445" i="5" l="1"/>
  <c r="AK446" i="5"/>
  <c r="AJ446" i="5" l="1"/>
  <c r="AK447" i="5"/>
  <c r="AJ447" i="5" l="1"/>
  <c r="AK448" i="5"/>
  <c r="AJ448" i="5" l="1"/>
  <c r="AK449" i="5"/>
  <c r="AJ449" i="5" l="1"/>
  <c r="AK450" i="5"/>
  <c r="AJ450" i="5" l="1"/>
  <c r="AK451" i="5"/>
  <c r="AJ451" i="5" l="1"/>
  <c r="AK452" i="5"/>
  <c r="AJ452" i="5" l="1"/>
  <c r="AK453" i="5"/>
  <c r="AJ453" i="5" l="1"/>
  <c r="AK454" i="5"/>
  <c r="AJ454" i="5" l="1"/>
  <c r="AK455" i="5"/>
  <c r="AJ455" i="5" l="1"/>
  <c r="AK456" i="5"/>
  <c r="AJ456" i="5" l="1"/>
  <c r="AK457" i="5"/>
  <c r="AJ457" i="5" l="1"/>
  <c r="AK458" i="5"/>
  <c r="AJ458" i="5" l="1"/>
  <c r="AK459" i="5"/>
  <c r="AJ459" i="5" l="1"/>
  <c r="AK460" i="5"/>
  <c r="AJ460" i="5" l="1"/>
  <c r="AK461" i="5"/>
  <c r="AJ461" i="5" l="1"/>
  <c r="AK462" i="5"/>
  <c r="AJ462" i="5" l="1"/>
  <c r="AK463" i="5"/>
  <c r="AJ463" i="5" l="1"/>
  <c r="AK464" i="5"/>
  <c r="AJ464" i="5" l="1"/>
  <c r="AK465" i="5"/>
  <c r="AJ465" i="5" l="1"/>
  <c r="AK466" i="5"/>
  <c r="AJ466" i="5" l="1"/>
  <c r="AK467" i="5"/>
  <c r="AK468" i="5" l="1"/>
  <c r="AJ467" i="5"/>
  <c r="AJ468" i="5" l="1"/>
  <c r="AK469" i="5"/>
  <c r="AJ469" i="5" l="1"/>
  <c r="AK470" i="5"/>
  <c r="AJ470" i="5" l="1"/>
  <c r="AK471" i="5"/>
  <c r="AJ471" i="5" l="1"/>
  <c r="AK472" i="5"/>
  <c r="AJ472" i="5" l="1"/>
  <c r="AK473" i="5"/>
  <c r="AJ473" i="5" l="1"/>
  <c r="AK474" i="5"/>
  <c r="AJ474" i="5" l="1"/>
  <c r="AK475" i="5"/>
  <c r="AJ475" i="5" l="1"/>
  <c r="AK476" i="5"/>
  <c r="AJ476" i="5" l="1"/>
  <c r="AK477" i="5"/>
  <c r="AJ477" i="5" l="1"/>
  <c r="AK478" i="5"/>
  <c r="AJ478" i="5" l="1"/>
  <c r="AK479" i="5"/>
  <c r="AJ479" i="5" l="1"/>
  <c r="AK480" i="5"/>
  <c r="AJ480" i="5" l="1"/>
  <c r="AK481" i="5"/>
  <c r="AJ481" i="5" l="1"/>
  <c r="AK482" i="5"/>
  <c r="AJ482" i="5" l="1"/>
  <c r="AK483" i="5"/>
  <c r="AJ483" i="5" l="1"/>
  <c r="AK484" i="5"/>
  <c r="AJ484" i="5" l="1"/>
  <c r="AK485" i="5"/>
  <c r="AJ485" i="5" l="1"/>
  <c r="AK486" i="5"/>
  <c r="AJ486" i="5" l="1"/>
  <c r="AK487" i="5"/>
  <c r="AJ487" i="5" l="1"/>
  <c r="AK488" i="5"/>
  <c r="AJ488" i="5" l="1"/>
  <c r="AK489" i="5"/>
  <c r="AJ489" i="5" l="1"/>
  <c r="AK490" i="5"/>
  <c r="AJ490" i="5" l="1"/>
  <c r="AK491" i="5"/>
  <c r="AJ491" i="5" l="1"/>
  <c r="AK492" i="5"/>
  <c r="AJ492" i="5" l="1"/>
  <c r="AK493" i="5"/>
  <c r="AJ493" i="5" l="1"/>
  <c r="AK494" i="5"/>
  <c r="AJ494" i="5" l="1"/>
  <c r="AK495" i="5"/>
  <c r="AJ495" i="5" l="1"/>
  <c r="AK496" i="5"/>
  <c r="AJ496" i="5" l="1"/>
  <c r="AK497" i="5"/>
  <c r="AJ497" i="5" l="1"/>
  <c r="AK498" i="5"/>
  <c r="AJ498" i="5" l="1"/>
  <c r="AK499" i="5"/>
  <c r="AJ499" i="5" l="1"/>
  <c r="AK500" i="5"/>
  <c r="AJ500" i="5" l="1"/>
  <c r="AK501" i="5"/>
  <c r="AJ501" i="5" l="1"/>
  <c r="AK502" i="5"/>
  <c r="AJ502" i="5" l="1"/>
  <c r="AK503" i="5"/>
  <c r="AJ503" i="5" l="1"/>
  <c r="AK504" i="5"/>
  <c r="AJ504" i="5" l="1"/>
  <c r="AK505" i="5"/>
  <c r="AJ505" i="5" l="1"/>
  <c r="AK506" i="5"/>
  <c r="AJ506" i="5" l="1"/>
  <c r="AK507" i="5"/>
  <c r="AJ507" i="5" l="1"/>
  <c r="AK508" i="5"/>
  <c r="AJ508" i="5" l="1"/>
  <c r="AK509" i="5"/>
  <c r="AJ509" i="5" l="1"/>
  <c r="AK510" i="5"/>
  <c r="AJ510" i="5" l="1"/>
  <c r="AK511" i="5"/>
  <c r="AJ511" i="5" l="1"/>
  <c r="AK512" i="5"/>
  <c r="AJ512" i="5" l="1"/>
  <c r="AK513" i="5"/>
  <c r="AJ513" i="5" l="1"/>
  <c r="AK514" i="5"/>
  <c r="AJ514" i="5" l="1"/>
  <c r="AK515" i="5"/>
  <c r="AJ515" i="5" l="1"/>
  <c r="AK516" i="5"/>
  <c r="AJ516" i="5" l="1"/>
  <c r="AK517" i="5"/>
  <c r="AJ517" i="5" l="1"/>
  <c r="AK518" i="5"/>
  <c r="AJ518" i="5" l="1"/>
  <c r="AK519" i="5"/>
  <c r="AJ519" i="5" l="1"/>
  <c r="AK520" i="5"/>
  <c r="AJ520" i="5" l="1"/>
  <c r="AK521" i="5"/>
  <c r="AJ521" i="5" l="1"/>
  <c r="AK522" i="5"/>
  <c r="AJ522" i="5" l="1"/>
  <c r="AK523" i="5"/>
  <c r="AJ523" i="5" l="1"/>
  <c r="AK524" i="5"/>
  <c r="AJ524" i="5" l="1"/>
  <c r="AK525" i="5"/>
  <c r="AJ525" i="5" l="1"/>
  <c r="AK526" i="5"/>
  <c r="AJ526" i="5" l="1"/>
  <c r="AK527" i="5"/>
  <c r="AJ527" i="5" l="1"/>
  <c r="AK528" i="5"/>
  <c r="AJ528" i="5" l="1"/>
  <c r="AK529" i="5"/>
  <c r="AJ529" i="5" l="1"/>
  <c r="AK530" i="5"/>
  <c r="AJ530" i="5" l="1"/>
  <c r="AK531" i="5"/>
  <c r="AJ531" i="5" l="1"/>
  <c r="AK532" i="5"/>
  <c r="AJ532" i="5" l="1"/>
  <c r="AK533" i="5"/>
  <c r="AJ533" i="5" l="1"/>
  <c r="AK534" i="5"/>
  <c r="AJ534" i="5" l="1"/>
  <c r="AK535" i="5"/>
  <c r="AJ535" i="5" l="1"/>
  <c r="AK536" i="5"/>
  <c r="AJ536" i="5" l="1"/>
  <c r="AK537" i="5"/>
  <c r="AJ537" i="5" l="1"/>
  <c r="AK538" i="5"/>
  <c r="AK539" i="5" l="1"/>
  <c r="AJ538" i="5"/>
  <c r="AJ539" i="5" l="1"/>
  <c r="AK540" i="5"/>
  <c r="AJ540" i="5" l="1"/>
  <c r="AK541" i="5"/>
  <c r="AJ541" i="5" l="1"/>
  <c r="AK542" i="5"/>
  <c r="AK543" i="5" l="1"/>
  <c r="AJ542" i="5"/>
  <c r="AJ543" i="5" l="1"/>
  <c r="AK544" i="5"/>
  <c r="AJ544" i="5" l="1"/>
  <c r="AK545" i="5"/>
  <c r="AJ545" i="5" l="1"/>
  <c r="AK546" i="5"/>
  <c r="AJ546" i="5" l="1"/>
  <c r="AK547" i="5"/>
  <c r="AJ547" i="5" l="1"/>
  <c r="AK548" i="5"/>
  <c r="AJ548" i="5" l="1"/>
  <c r="AK549" i="5"/>
  <c r="AJ549" i="5" l="1"/>
  <c r="AK550" i="5"/>
  <c r="AJ550" i="5" l="1"/>
  <c r="AK551" i="5"/>
  <c r="AJ551" i="5" l="1"/>
  <c r="AK552" i="5"/>
  <c r="AJ552" i="5" l="1"/>
  <c r="AK553" i="5"/>
  <c r="AJ553" i="5" l="1"/>
  <c r="AK554" i="5"/>
  <c r="AK555" i="5" l="1"/>
  <c r="AJ554" i="5"/>
  <c r="AJ555" i="5" l="1"/>
  <c r="AK556" i="5"/>
  <c r="AK557" i="5" l="1"/>
  <c r="AJ556" i="5"/>
  <c r="AJ557" i="5" l="1"/>
  <c r="AK558" i="5"/>
  <c r="AJ558" i="5" s="1"/>
  <c r="AD46" i="40" l="1"/>
  <c r="AL46" i="40" s="1"/>
  <c r="AT46" i="40" s="1"/>
  <c r="S46" i="40"/>
  <c r="AD45" i="40"/>
  <c r="AL45" i="40" s="1"/>
  <c r="AT45" i="40" s="1"/>
  <c r="S45" i="40"/>
  <c r="AD44" i="40"/>
  <c r="AL44" i="40" s="1"/>
  <c r="AT44" i="40" s="1"/>
  <c r="S44" i="40"/>
  <c r="AD43" i="40"/>
  <c r="AL43" i="40" s="1"/>
  <c r="AT43" i="40" s="1"/>
  <c r="S43" i="40"/>
  <c r="AD42" i="40"/>
  <c r="AV42" i="40" s="1"/>
  <c r="S42" i="40"/>
  <c r="AD41" i="40"/>
  <c r="AL41" i="40" s="1"/>
  <c r="AT41" i="40" s="1"/>
  <c r="S41" i="40"/>
  <c r="AD40" i="40"/>
  <c r="AL40" i="40" s="1"/>
  <c r="AT40" i="40" s="1"/>
  <c r="AV40" i="40"/>
  <c r="S40" i="40"/>
  <c r="S35" i="40"/>
  <c r="AD39" i="40"/>
  <c r="AL39" i="40" s="1"/>
  <c r="AT39" i="40" s="1"/>
  <c r="S39" i="40"/>
  <c r="AD38" i="40"/>
  <c r="AL38" i="40" s="1"/>
  <c r="AT38" i="40" s="1"/>
  <c r="S38" i="40"/>
  <c r="S33" i="40"/>
  <c r="AD37" i="40"/>
  <c r="AL37" i="40" s="1"/>
  <c r="AT37" i="40" s="1"/>
  <c r="S37" i="40"/>
  <c r="AD35" i="40"/>
  <c r="AV35" i="40" s="1"/>
  <c r="AL35" i="40"/>
  <c r="AT35" i="40" s="1"/>
  <c r="AD36" i="40"/>
  <c r="AL36" i="40" s="1"/>
  <c r="AT36" i="40" s="1"/>
  <c r="S36" i="40"/>
  <c r="AD33" i="40"/>
  <c r="AL33" i="40" s="1"/>
  <c r="AT33" i="40" s="1"/>
  <c r="S31" i="40"/>
  <c r="S34" i="40"/>
  <c r="AD34" i="40"/>
  <c r="AL34" i="40" s="1"/>
  <c r="AT34" i="40" s="1"/>
  <c r="S29" i="40"/>
  <c r="AD31" i="40"/>
  <c r="AL31" i="40" s="1"/>
  <c r="AT31" i="40" s="1"/>
  <c r="AD32" i="40"/>
  <c r="AL32" i="40" s="1"/>
  <c r="AT32" i="40" s="1"/>
  <c r="S32" i="40"/>
  <c r="AD29" i="40"/>
  <c r="AV29" i="40" s="1"/>
  <c r="S30" i="40"/>
  <c r="S28" i="40"/>
  <c r="AD30" i="40"/>
  <c r="AL30" i="40" s="1"/>
  <c r="AT30" i="40" s="1"/>
  <c r="AD28" i="40"/>
  <c r="AV28" i="40"/>
  <c r="G58" i="40"/>
  <c r="AV31" i="40" l="1"/>
  <c r="AL28" i="40"/>
  <c r="AT28" i="40" s="1"/>
  <c r="AD58" i="40"/>
  <c r="AF12" i="40" s="1"/>
  <c r="AL29" i="40"/>
  <c r="AT29" i="40" s="1"/>
  <c r="AX29" i="40" s="1"/>
  <c r="U29" i="40" s="1"/>
  <c r="W29" i="40" s="1"/>
  <c r="Y29" i="40" s="1"/>
  <c r="AX31" i="40"/>
  <c r="U31" i="40" s="1"/>
  <c r="W31" i="40" s="1"/>
  <c r="Y31" i="40" s="1"/>
  <c r="AX35" i="40"/>
  <c r="U35" i="40" s="1"/>
  <c r="W35" i="40" s="1"/>
  <c r="Y35" i="40" s="1"/>
  <c r="AV30" i="40"/>
  <c r="AX30" i="40" s="1"/>
  <c r="U30" i="40" s="1"/>
  <c r="W30" i="40" s="1"/>
  <c r="Y30" i="40" s="1"/>
  <c r="AV34" i="40"/>
  <c r="AX34" i="40" s="1"/>
  <c r="U34" i="40" s="1"/>
  <c r="W34" i="40" s="1"/>
  <c r="Y34" i="40" s="1"/>
  <c r="AV33" i="40"/>
  <c r="AX33" i="40" s="1"/>
  <c r="U33" i="40" s="1"/>
  <c r="W33" i="40" s="1"/>
  <c r="Y33" i="40" s="1"/>
  <c r="AX40" i="40"/>
  <c r="U40" i="40" s="1"/>
  <c r="W40" i="40" s="1"/>
  <c r="Y40" i="40" s="1"/>
  <c r="AV44" i="40"/>
  <c r="AX44" i="40" s="1"/>
  <c r="U44" i="40" s="1"/>
  <c r="W44" i="40" s="1"/>
  <c r="Y44" i="40" s="1"/>
  <c r="AV37" i="40"/>
  <c r="AX37" i="40" s="1"/>
  <c r="U37" i="40" s="1"/>
  <c r="W37" i="40" s="1"/>
  <c r="Y37" i="40" s="1"/>
  <c r="AV38" i="40"/>
  <c r="AX38" i="40" s="1"/>
  <c r="U38" i="40" s="1"/>
  <c r="W38" i="40" s="1"/>
  <c r="Y38" i="40" s="1"/>
  <c r="AL42" i="40"/>
  <c r="AT42" i="40" s="1"/>
  <c r="AX42" i="40" s="1"/>
  <c r="U42" i="40" s="1"/>
  <c r="W42" i="40" s="1"/>
  <c r="Y42" i="40" s="1"/>
  <c r="AV43" i="40"/>
  <c r="AX43" i="40" s="1"/>
  <c r="U43" i="40" s="1"/>
  <c r="W43" i="40" s="1"/>
  <c r="Y43" i="40" s="1"/>
  <c r="S58" i="40"/>
  <c r="G15" i="32" s="1"/>
  <c r="AV32" i="40"/>
  <c r="AV36" i="40"/>
  <c r="AX36" i="40" s="1"/>
  <c r="U36" i="40" s="1"/>
  <c r="W36" i="40" s="1"/>
  <c r="Y36" i="40" s="1"/>
  <c r="AV39" i="40"/>
  <c r="AX39" i="40" s="1"/>
  <c r="U39" i="40" s="1"/>
  <c r="W39" i="40" s="1"/>
  <c r="Y39" i="40" s="1"/>
  <c r="AV41" i="40"/>
  <c r="AX41" i="40" s="1"/>
  <c r="U41" i="40" s="1"/>
  <c r="W41" i="40" s="1"/>
  <c r="Y41" i="40" s="1"/>
  <c r="AV45" i="40"/>
  <c r="AX45" i="40" s="1"/>
  <c r="U45" i="40" s="1"/>
  <c r="W45" i="40" s="1"/>
  <c r="Y45" i="40" s="1"/>
  <c r="AV46" i="40"/>
  <c r="AX46" i="40" s="1"/>
  <c r="U46" i="40" s="1"/>
  <c r="W46" i="40" s="1"/>
  <c r="Y46" i="40" s="1"/>
  <c r="AV58" i="40" l="1"/>
  <c r="AX32" i="40"/>
  <c r="U32" i="40" s="1"/>
  <c r="W32" i="40" s="1"/>
  <c r="Y32" i="40" s="1"/>
  <c r="AX28" i="40"/>
  <c r="AT58" i="40"/>
  <c r="AL58" i="40"/>
  <c r="U28" i="40" l="1"/>
  <c r="AX58" i="40"/>
  <c r="U58" i="40" l="1"/>
  <c r="I15" i="32" s="1"/>
  <c r="W28" i="40"/>
  <c r="Y28" i="40" l="1"/>
  <c r="Y58" i="40" s="1"/>
  <c r="M15" i="32" s="1"/>
  <c r="W58" i="40"/>
  <c r="K15" i="32" s="1"/>
  <c r="S13" i="23" l="1"/>
  <c r="U13" i="23" s="1"/>
  <c r="H13" i="23"/>
  <c r="J13" i="23" s="1"/>
  <c r="AF41" i="30"/>
  <c r="AF42" i="30" s="1"/>
  <c r="AF15" i="43"/>
  <c r="AF28" i="43" s="1"/>
  <c r="AL41" i="30" l="1"/>
  <c r="AT41" i="30" s="1"/>
  <c r="AX41" i="30" s="1"/>
  <c r="AF43" i="30"/>
  <c r="AL42" i="30"/>
  <c r="AT42" i="30" s="1"/>
  <c r="AX42" i="30" s="1"/>
  <c r="U42" i="30" s="1"/>
  <c r="W42" i="30" s="1"/>
  <c r="Y42" i="30" s="1"/>
  <c r="AL28" i="43"/>
  <c r="AF29" i="43"/>
  <c r="AF15" i="42"/>
  <c r="AF28" i="42" s="1"/>
  <c r="AF30" i="43" l="1"/>
  <c r="AL29" i="43"/>
  <c r="AT29" i="43" s="1"/>
  <c r="AX29" i="43" s="1"/>
  <c r="U29" i="43" s="1"/>
  <c r="W29" i="43" s="1"/>
  <c r="Y29" i="43" s="1"/>
  <c r="AT28" i="43"/>
  <c r="AF44" i="30"/>
  <c r="AL43" i="30"/>
  <c r="AL28" i="42"/>
  <c r="AF29" i="42"/>
  <c r="U41" i="30"/>
  <c r="AX28" i="43" l="1"/>
  <c r="AL29" i="42"/>
  <c r="AT29" i="42" s="1"/>
  <c r="AX29" i="42" s="1"/>
  <c r="U29" i="42" s="1"/>
  <c r="W29" i="42" s="1"/>
  <c r="Y29" i="42" s="1"/>
  <c r="AF30" i="42"/>
  <c r="AT28" i="42"/>
  <c r="W41" i="30"/>
  <c r="AT43" i="30"/>
  <c r="AF45" i="30"/>
  <c r="AL44" i="30"/>
  <c r="AT44" i="30" s="1"/>
  <c r="AX44" i="30" s="1"/>
  <c r="U44" i="30" s="1"/>
  <c r="W44" i="30" s="1"/>
  <c r="Y44" i="30" s="1"/>
  <c r="AL30" i="43"/>
  <c r="AF31" i="43"/>
  <c r="AF46" i="30" l="1"/>
  <c r="AL45" i="30"/>
  <c r="AF31" i="42"/>
  <c r="AL30" i="42"/>
  <c r="Y41" i="30"/>
  <c r="AL31" i="43"/>
  <c r="AT31" i="43" s="1"/>
  <c r="AX31" i="43" s="1"/>
  <c r="U31" i="43" s="1"/>
  <c r="W31" i="43" s="1"/>
  <c r="Y31" i="43" s="1"/>
  <c r="AF32" i="43"/>
  <c r="AT30" i="43"/>
  <c r="AX43" i="30"/>
  <c r="AX28" i="42"/>
  <c r="U28" i="43"/>
  <c r="U43" i="30" l="1"/>
  <c r="AF32" i="42"/>
  <c r="AL31" i="42"/>
  <c r="AT31" i="42" s="1"/>
  <c r="AX31" i="42" s="1"/>
  <c r="U31" i="42" s="1"/>
  <c r="W31" i="42" s="1"/>
  <c r="Y31" i="42" s="1"/>
  <c r="U28" i="42"/>
  <c r="AX30" i="43"/>
  <c r="AT45" i="30"/>
  <c r="W28" i="43"/>
  <c r="AF33" i="43"/>
  <c r="AL32" i="43"/>
  <c r="AT30" i="42"/>
  <c r="AF47" i="30"/>
  <c r="AL46" i="30"/>
  <c r="AT46" i="30" s="1"/>
  <c r="AX46" i="30" s="1"/>
  <c r="U46" i="30" s="1"/>
  <c r="W46" i="30" s="1"/>
  <c r="Y46" i="30" s="1"/>
  <c r="U30" i="43" l="1"/>
  <c r="AT32" i="43"/>
  <c r="AF34" i="43"/>
  <c r="AL33" i="43"/>
  <c r="AT33" i="43" s="1"/>
  <c r="AX33" i="43" s="1"/>
  <c r="U33" i="43" s="1"/>
  <c r="W33" i="43" s="1"/>
  <c r="Y33" i="43" s="1"/>
  <c r="AX45" i="30"/>
  <c r="AF33" i="42"/>
  <c r="AL32" i="42"/>
  <c r="AX30" i="42"/>
  <c r="Y28" i="43"/>
  <c r="W28" i="42"/>
  <c r="AF48" i="30"/>
  <c r="AL47" i="30"/>
  <c r="W43" i="30"/>
  <c r="Y28" i="42" l="1"/>
  <c r="U30" i="42"/>
  <c r="U45" i="30"/>
  <c r="AX32" i="43"/>
  <c r="Y43" i="30"/>
  <c r="AT47" i="30"/>
  <c r="AT32" i="42"/>
  <c r="AL48" i="30"/>
  <c r="AT48" i="30" s="1"/>
  <c r="AX48" i="30" s="1"/>
  <c r="U48" i="30" s="1"/>
  <c r="W48" i="30" s="1"/>
  <c r="Y48" i="30" s="1"/>
  <c r="AF49" i="30"/>
  <c r="AL33" i="42"/>
  <c r="AT33" i="42" s="1"/>
  <c r="AX33" i="42" s="1"/>
  <c r="U33" i="42" s="1"/>
  <c r="W33" i="42" s="1"/>
  <c r="Y33" i="42" s="1"/>
  <c r="AF34" i="42"/>
  <c r="AL34" i="43"/>
  <c r="AT34" i="43" s="1"/>
  <c r="AX34" i="43" s="1"/>
  <c r="U34" i="43" s="1"/>
  <c r="W34" i="43" s="1"/>
  <c r="Y34" i="43" s="1"/>
  <c r="AF35" i="43"/>
  <c r="W30" i="43"/>
  <c r="AF35" i="42" l="1"/>
  <c r="AL34" i="42"/>
  <c r="AT34" i="42" s="1"/>
  <c r="AX34" i="42" s="1"/>
  <c r="U34" i="42" s="1"/>
  <c r="W34" i="42" s="1"/>
  <c r="Y34" i="42" s="1"/>
  <c r="AX47" i="30"/>
  <c r="U32" i="43"/>
  <c r="W30" i="42"/>
  <c r="AX32" i="42"/>
  <c r="W45" i="30"/>
  <c r="Y30" i="43"/>
  <c r="AL35" i="43"/>
  <c r="AT35" i="43" s="1"/>
  <c r="AX35" i="43" s="1"/>
  <c r="U35" i="43" s="1"/>
  <c r="W35" i="43" s="1"/>
  <c r="Y35" i="43" s="1"/>
  <c r="AF36" i="43"/>
  <c r="AL49" i="30"/>
  <c r="AF50" i="30"/>
  <c r="AF51" i="30" l="1"/>
  <c r="AL50" i="30"/>
  <c r="AT50" i="30" s="1"/>
  <c r="AX50" i="30" s="1"/>
  <c r="U50" i="30" s="1"/>
  <c r="W50" i="30" s="1"/>
  <c r="Y50" i="30" s="1"/>
  <c r="AL36" i="43"/>
  <c r="AT36" i="43" s="1"/>
  <c r="AX36" i="43" s="1"/>
  <c r="U36" i="43" s="1"/>
  <c r="W36" i="43" s="1"/>
  <c r="Y36" i="43" s="1"/>
  <c r="AF37" i="43"/>
  <c r="Y30" i="42"/>
  <c r="U47" i="30"/>
  <c r="U32" i="42"/>
  <c r="AT49" i="30"/>
  <c r="Y45" i="30"/>
  <c r="W32" i="43"/>
  <c r="AL35" i="42"/>
  <c r="AF36" i="42"/>
  <c r="AT35" i="42" l="1"/>
  <c r="W47" i="30"/>
  <c r="W32" i="42"/>
  <c r="AF37" i="42"/>
  <c r="AL36" i="42"/>
  <c r="AT36" i="42" s="1"/>
  <c r="AX36" i="42" s="1"/>
  <c r="U36" i="42" s="1"/>
  <c r="W36" i="42" s="1"/>
  <c r="Y36" i="42" s="1"/>
  <c r="Y32" i="43"/>
  <c r="AX49" i="30"/>
  <c r="AF38" i="43"/>
  <c r="AL37" i="43"/>
  <c r="AT37" i="43" s="1"/>
  <c r="AX37" i="43" s="1"/>
  <c r="AL51" i="30"/>
  <c r="AT51" i="30" s="1"/>
  <c r="AX51" i="30" s="1"/>
  <c r="U51" i="30" s="1"/>
  <c r="W51" i="30" s="1"/>
  <c r="Y51" i="30" s="1"/>
  <c r="AF52" i="30"/>
  <c r="AL52" i="30" l="1"/>
  <c r="AT52" i="30" s="1"/>
  <c r="AX52" i="30" s="1"/>
  <c r="U52" i="30" s="1"/>
  <c r="W52" i="30" s="1"/>
  <c r="Y52" i="30" s="1"/>
  <c r="AF53" i="30"/>
  <c r="U37" i="43"/>
  <c r="AL38" i="43"/>
  <c r="AT38" i="43" s="1"/>
  <c r="AX38" i="43" s="1"/>
  <c r="U38" i="43" s="1"/>
  <c r="W38" i="43" s="1"/>
  <c r="Y38" i="43" s="1"/>
  <c r="AF39" i="43"/>
  <c r="Y32" i="42"/>
  <c r="Y47" i="30"/>
  <c r="U49" i="30"/>
  <c r="AF38" i="42"/>
  <c r="AL37" i="42"/>
  <c r="AT37" i="42" s="1"/>
  <c r="AX37" i="42" s="1"/>
  <c r="U37" i="42" s="1"/>
  <c r="W37" i="42" s="1"/>
  <c r="Y37" i="42" s="1"/>
  <c r="AX35" i="42"/>
  <c r="U35" i="42" l="1"/>
  <c r="W37" i="43"/>
  <c r="W49" i="30"/>
  <c r="AF39" i="42"/>
  <c r="AL38" i="42"/>
  <c r="AT38" i="42" s="1"/>
  <c r="AL39" i="43"/>
  <c r="AT39" i="43" s="1"/>
  <c r="AX39" i="43" s="1"/>
  <c r="U39" i="43" s="1"/>
  <c r="W39" i="43" s="1"/>
  <c r="Y39" i="43" s="1"/>
  <c r="AF40" i="43"/>
  <c r="AF54" i="30"/>
  <c r="AL53" i="30"/>
  <c r="AT53" i="30" s="1"/>
  <c r="AX53" i="30" s="1"/>
  <c r="U53" i="30" s="1"/>
  <c r="W53" i="30" s="1"/>
  <c r="Y53" i="30" s="1"/>
  <c r="AL54" i="30" l="1"/>
  <c r="AT54" i="30" s="1"/>
  <c r="AX54" i="30" s="1"/>
  <c r="U54" i="30" s="1"/>
  <c r="W54" i="30" s="1"/>
  <c r="Y54" i="30" s="1"/>
  <c r="AF55" i="30"/>
  <c r="AF40" i="42"/>
  <c r="AL39" i="42"/>
  <c r="AT39" i="42" s="1"/>
  <c r="AX39" i="42" s="1"/>
  <c r="U39" i="42" s="1"/>
  <c r="W39" i="42" s="1"/>
  <c r="Y39" i="42" s="1"/>
  <c r="Y37" i="43"/>
  <c r="AF41" i="43"/>
  <c r="AL40" i="43"/>
  <c r="AT40" i="43" s="1"/>
  <c r="AX40" i="43" s="1"/>
  <c r="U40" i="43" s="1"/>
  <c r="W40" i="43" s="1"/>
  <c r="Y40" i="43" s="1"/>
  <c r="Y49" i="30"/>
  <c r="AX38" i="42"/>
  <c r="W35" i="42"/>
  <c r="U38" i="42" l="1"/>
  <c r="AL41" i="43"/>
  <c r="AT41" i="43" s="1"/>
  <c r="AX41" i="43" s="1"/>
  <c r="U41" i="43" s="1"/>
  <c r="W41" i="43" s="1"/>
  <c r="Y41" i="43" s="1"/>
  <c r="AF42" i="43"/>
  <c r="AF41" i="42"/>
  <c r="AL40" i="42"/>
  <c r="AT40" i="42" s="1"/>
  <c r="AX40" i="42" s="1"/>
  <c r="U40" i="42" s="1"/>
  <c r="W40" i="42" s="1"/>
  <c r="Y40" i="42" s="1"/>
  <c r="AF56" i="30"/>
  <c r="AL55" i="30"/>
  <c r="AT55" i="30" s="1"/>
  <c r="AX55" i="30" s="1"/>
  <c r="U55" i="30" s="1"/>
  <c r="W55" i="30" s="1"/>
  <c r="Y55" i="30" s="1"/>
  <c r="Y35" i="42"/>
  <c r="AF57" i="30" l="1"/>
  <c r="AL56" i="30"/>
  <c r="AT56" i="30" s="1"/>
  <c r="AX56" i="30" s="1"/>
  <c r="U56" i="30" s="1"/>
  <c r="W56" i="30" s="1"/>
  <c r="Y56" i="30" s="1"/>
  <c r="AF43" i="43"/>
  <c r="AL42" i="43"/>
  <c r="AT42" i="43" s="1"/>
  <c r="AX42" i="43" s="1"/>
  <c r="U42" i="43" s="1"/>
  <c r="W42" i="43" s="1"/>
  <c r="Y42" i="43" s="1"/>
  <c r="AL41" i="42"/>
  <c r="AT41" i="42" s="1"/>
  <c r="AX41" i="42" s="1"/>
  <c r="U41" i="42" s="1"/>
  <c r="W41" i="42" s="1"/>
  <c r="Y41" i="42" s="1"/>
  <c r="AF42" i="42"/>
  <c r="W38" i="42"/>
  <c r="Y38" i="42" l="1"/>
  <c r="AF44" i="43"/>
  <c r="AL43" i="43"/>
  <c r="AT43" i="43" s="1"/>
  <c r="AX43" i="43" s="1"/>
  <c r="U43" i="43" s="1"/>
  <c r="W43" i="43" s="1"/>
  <c r="Y43" i="43" s="1"/>
  <c r="AL42" i="42"/>
  <c r="AT42" i="42" s="1"/>
  <c r="AX42" i="42" s="1"/>
  <c r="U42" i="42" s="1"/>
  <c r="W42" i="42" s="1"/>
  <c r="Y42" i="42" s="1"/>
  <c r="AF43" i="42"/>
  <c r="AF58" i="30"/>
  <c r="AL57" i="30"/>
  <c r="AT57" i="30" s="1"/>
  <c r="AX57" i="30" s="1"/>
  <c r="U57" i="30" s="1"/>
  <c r="W57" i="30" s="1"/>
  <c r="Y57" i="30" s="1"/>
  <c r="AF59" i="30" l="1"/>
  <c r="AL58" i="30"/>
  <c r="AT58" i="30" s="1"/>
  <c r="AX58" i="30" s="1"/>
  <c r="U58" i="30" s="1"/>
  <c r="W58" i="30" s="1"/>
  <c r="Y58" i="30" s="1"/>
  <c r="AF45" i="43"/>
  <c r="AL44" i="43"/>
  <c r="AT44" i="43" s="1"/>
  <c r="AX44" i="43" s="1"/>
  <c r="U44" i="43" s="1"/>
  <c r="W44" i="43" s="1"/>
  <c r="Y44" i="43" s="1"/>
  <c r="AL43" i="42"/>
  <c r="AT43" i="42" s="1"/>
  <c r="AX43" i="42" s="1"/>
  <c r="U43" i="42" s="1"/>
  <c r="W43" i="42" s="1"/>
  <c r="Y43" i="42" s="1"/>
  <c r="AF44" i="42"/>
  <c r="AF46" i="43" l="1"/>
  <c r="AL45" i="43"/>
  <c r="AT45" i="43" s="1"/>
  <c r="AX45" i="43" s="1"/>
  <c r="U45" i="43" s="1"/>
  <c r="W45" i="43" s="1"/>
  <c r="Y45" i="43" s="1"/>
  <c r="AF45" i="42"/>
  <c r="AL44" i="42"/>
  <c r="AT44" i="42" s="1"/>
  <c r="AX44" i="42" s="1"/>
  <c r="U44" i="42" s="1"/>
  <c r="W44" i="42" s="1"/>
  <c r="Y44" i="42" s="1"/>
  <c r="AL59" i="30"/>
  <c r="AT59" i="30" s="1"/>
  <c r="AX59" i="30" s="1"/>
  <c r="U59" i="30" s="1"/>
  <c r="W59" i="30" s="1"/>
  <c r="Y59" i="30" s="1"/>
  <c r="AF60" i="30"/>
  <c r="AF46" i="42" l="1"/>
  <c r="AL45" i="42"/>
  <c r="AT45" i="42" s="1"/>
  <c r="AX45" i="42" s="1"/>
  <c r="U45" i="42" s="1"/>
  <c r="W45" i="42" s="1"/>
  <c r="Y45" i="42" s="1"/>
  <c r="AF61" i="30"/>
  <c r="AL60" i="30"/>
  <c r="AT60" i="30" s="1"/>
  <c r="AX60" i="30" s="1"/>
  <c r="U60" i="30" s="1"/>
  <c r="W60" i="30" s="1"/>
  <c r="Y60" i="30" s="1"/>
  <c r="AF47" i="43"/>
  <c r="AL46" i="43"/>
  <c r="AT46" i="43" s="1"/>
  <c r="AX46" i="43" s="1"/>
  <c r="U46" i="43" s="1"/>
  <c r="W46" i="43" s="1"/>
  <c r="Y46" i="43" s="1"/>
  <c r="AF62" i="30" l="1"/>
  <c r="AL61" i="30"/>
  <c r="AT61" i="30" s="1"/>
  <c r="AX61" i="30" s="1"/>
  <c r="U61" i="30" s="1"/>
  <c r="W61" i="30" s="1"/>
  <c r="Y61" i="30" s="1"/>
  <c r="AL47" i="43"/>
  <c r="AF58" i="43"/>
  <c r="AL46" i="42"/>
  <c r="AT46" i="42" s="1"/>
  <c r="AX46" i="42" s="1"/>
  <c r="U46" i="42" s="1"/>
  <c r="W46" i="42" s="1"/>
  <c r="Y46" i="42" s="1"/>
  <c r="AF47" i="42"/>
  <c r="AT47" i="43" l="1"/>
  <c r="AL58" i="43"/>
  <c r="AL47" i="42"/>
  <c r="AF58" i="42"/>
  <c r="AF63" i="30"/>
  <c r="AL62" i="30"/>
  <c r="AT62" i="30" s="1"/>
  <c r="AX62" i="30" s="1"/>
  <c r="U62" i="30" s="1"/>
  <c r="W62" i="30" s="1"/>
  <c r="Y62" i="30" s="1"/>
  <c r="AT47" i="42" l="1"/>
  <c r="AL58" i="42"/>
  <c r="AF64" i="30"/>
  <c r="AL63" i="30"/>
  <c r="AT63" i="30" s="1"/>
  <c r="AX63" i="30" s="1"/>
  <c r="U63" i="30" s="1"/>
  <c r="W63" i="30" s="1"/>
  <c r="Y63" i="30" s="1"/>
  <c r="AX47" i="43"/>
  <c r="AT58" i="43"/>
  <c r="AF65" i="30" l="1"/>
  <c r="AL64" i="30"/>
  <c r="AT64" i="30" s="1"/>
  <c r="AX64" i="30" s="1"/>
  <c r="U64" i="30" s="1"/>
  <c r="W64" i="30" s="1"/>
  <c r="Y64" i="30" s="1"/>
  <c r="U47" i="43"/>
  <c r="AX58" i="43"/>
  <c r="AX47" i="42"/>
  <c r="AT58" i="42"/>
  <c r="W47" i="43" l="1"/>
  <c r="U58" i="43"/>
  <c r="I18" i="32" s="1"/>
  <c r="U47" i="42"/>
  <c r="AX58" i="42"/>
  <c r="AF66" i="30"/>
  <c r="AL65" i="30"/>
  <c r="AT65" i="30" s="1"/>
  <c r="AX65" i="30" s="1"/>
  <c r="U65" i="30" s="1"/>
  <c r="W65" i="30" s="1"/>
  <c r="Y65" i="30" s="1"/>
  <c r="W47" i="42" l="1"/>
  <c r="U58" i="42"/>
  <c r="I16" i="32" s="1"/>
  <c r="AF67" i="30"/>
  <c r="AL66" i="30"/>
  <c r="AT66" i="30" s="1"/>
  <c r="AX66" i="30" s="1"/>
  <c r="U66" i="30" s="1"/>
  <c r="W66" i="30" s="1"/>
  <c r="Y66" i="30" s="1"/>
  <c r="Y47" i="43"/>
  <c r="Y58" i="43" s="1"/>
  <c r="M18" i="32" s="1"/>
  <c r="W58" i="43"/>
  <c r="K18" i="32" s="1"/>
  <c r="S16" i="23" l="1"/>
  <c r="U16" i="23" s="1"/>
  <c r="H16" i="23"/>
  <c r="J16" i="23" s="1"/>
  <c r="AF68" i="30"/>
  <c r="AL67" i="30"/>
  <c r="AT67" i="30" s="1"/>
  <c r="AX67" i="30" s="1"/>
  <c r="U67" i="30" s="1"/>
  <c r="W67" i="30" s="1"/>
  <c r="Y67" i="30" s="1"/>
  <c r="Y47" i="42"/>
  <c r="W58" i="42"/>
  <c r="K16" i="32" s="1"/>
  <c r="Y58" i="42" l="1"/>
  <c r="M16" i="32" s="1"/>
  <c r="H14" i="23" s="1"/>
  <c r="J14" i="23" s="1"/>
  <c r="AF69" i="30"/>
  <c r="AL68" i="30"/>
  <c r="AT68" i="30" s="1"/>
  <c r="AX68" i="30" s="1"/>
  <c r="U68" i="30" s="1"/>
  <c r="W68" i="30" s="1"/>
  <c r="Y68" i="30" s="1"/>
  <c r="S14" i="23" l="1"/>
  <c r="U14" i="23" s="1"/>
  <c r="AF70" i="30"/>
  <c r="AL69" i="30"/>
  <c r="AT69" i="30" s="1"/>
  <c r="AX69" i="30" s="1"/>
  <c r="U69" i="30" s="1"/>
  <c r="W69" i="30" s="1"/>
  <c r="Y69" i="30" s="1"/>
  <c r="AF71" i="30" l="1"/>
  <c r="AL70" i="30"/>
  <c r="AT70" i="30" s="1"/>
  <c r="AX70" i="30" s="1"/>
  <c r="U70" i="30" s="1"/>
  <c r="W70" i="30" s="1"/>
  <c r="Y70" i="30" s="1"/>
  <c r="AL71" i="30" l="1"/>
  <c r="AF73" i="30"/>
  <c r="AT71" i="30" l="1"/>
  <c r="AL73" i="30"/>
  <c r="AX71" i="30" l="1"/>
  <c r="AT73" i="30"/>
  <c r="U71" i="30" l="1"/>
  <c r="AX73" i="30"/>
  <c r="W71" i="30" l="1"/>
  <c r="U73" i="30"/>
  <c r="I30" i="32" l="1"/>
  <c r="Y71" i="30"/>
  <c r="Y73" i="30" s="1"/>
  <c r="W73" i="30"/>
  <c r="K30" i="32" l="1"/>
  <c r="M30" i="32"/>
  <c r="H25" i="23" s="1"/>
  <c r="J25" i="23" s="1"/>
  <c r="S25" i="23" l="1"/>
  <c r="U25" i="23" s="1"/>
  <c r="S32" i="66" l="1"/>
  <c r="S33" i="66"/>
  <c r="S34" i="66"/>
  <c r="S35" i="66"/>
  <c r="S36" i="66"/>
  <c r="S37" i="66"/>
  <c r="S38" i="66"/>
  <c r="S39" i="66"/>
  <c r="S40" i="66"/>
  <c r="S41" i="66"/>
  <c r="S42" i="66"/>
  <c r="S43" i="66"/>
  <c r="S44" i="66"/>
  <c r="S45" i="66"/>
  <c r="S46" i="66"/>
  <c r="S47" i="66"/>
  <c r="S48" i="66"/>
  <c r="S49" i="66"/>
  <c r="S50" i="66"/>
  <c r="S51" i="66"/>
  <c r="S52" i="66"/>
  <c r="S53" i="66"/>
  <c r="S54" i="66"/>
  <c r="S55" i="66"/>
  <c r="S56" i="66"/>
  <c r="S57" i="66"/>
  <c r="AF11" i="66"/>
  <c r="S29" i="66"/>
  <c r="S28" i="66"/>
  <c r="S31" i="66" l="1"/>
  <c r="S30" i="66"/>
  <c r="AF11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AL30" i="66"/>
  <c r="AL31" i="66"/>
  <c r="AL32" i="66"/>
  <c r="AL33" i="66"/>
  <c r="AL34" i="66"/>
  <c r="AL35" i="66"/>
  <c r="AL36" i="66"/>
  <c r="AL37" i="66"/>
  <c r="AL38" i="66"/>
  <c r="AL39" i="66"/>
  <c r="AL40" i="66"/>
  <c r="AL41" i="66"/>
  <c r="AL42" i="66"/>
  <c r="AL43" i="66"/>
  <c r="AL44" i="66"/>
  <c r="AL45" i="66"/>
  <c r="AL46" i="66"/>
  <c r="AL47" i="66"/>
  <c r="AL48" i="66"/>
  <c r="AL49" i="66"/>
  <c r="AL50" i="66"/>
  <c r="AL51" i="66"/>
  <c r="AL52" i="66"/>
  <c r="AL53" i="66"/>
  <c r="AL54" i="66"/>
  <c r="AL55" i="66"/>
  <c r="AL56" i="66"/>
  <c r="AL57" i="66"/>
  <c r="S59" i="66"/>
  <c r="G20" i="32" s="1"/>
  <c r="BD11" i="66"/>
  <c r="AL28" i="66"/>
  <c r="AF12" i="66"/>
  <c r="AL29" i="66"/>
  <c r="S59" i="67" l="1"/>
  <c r="G51" i="32" s="1"/>
  <c r="BD11" i="67"/>
  <c r="AL28" i="67"/>
  <c r="AF12" i="67"/>
  <c r="AL29" i="67"/>
  <c r="AL30" i="67"/>
  <c r="AL31" i="67"/>
  <c r="AL32" i="67"/>
  <c r="AL33" i="67"/>
  <c r="AL34" i="67"/>
  <c r="AL35" i="67"/>
  <c r="AL36" i="67"/>
  <c r="AL37" i="67"/>
  <c r="AL38" i="67"/>
  <c r="AL39" i="67"/>
  <c r="AL40" i="67"/>
  <c r="AL41" i="67"/>
  <c r="AL42" i="67"/>
  <c r="AL43" i="67"/>
  <c r="AL44" i="67"/>
  <c r="AL45" i="67"/>
  <c r="AL46" i="67"/>
  <c r="AL47" i="67"/>
  <c r="AL48" i="67"/>
  <c r="AL49" i="67"/>
  <c r="AL50" i="67"/>
  <c r="AL51" i="67"/>
  <c r="AL52" i="67"/>
  <c r="AL53" i="67"/>
  <c r="AL54" i="67"/>
  <c r="AL55" i="67"/>
  <c r="AL56" i="67"/>
  <c r="AL57" i="67"/>
  <c r="BF30" i="66"/>
  <c r="AT30" i="66" s="1"/>
  <c r="AX30" i="66" s="1"/>
  <c r="U30" i="66" s="1"/>
  <c r="W30" i="66" s="1"/>
  <c r="Y30" i="66" s="1"/>
  <c r="BF32" i="66"/>
  <c r="AT32" i="66" s="1"/>
  <c r="AX32" i="66" s="1"/>
  <c r="U32" i="66" s="1"/>
  <c r="W32" i="66" s="1"/>
  <c r="Y32" i="66" s="1"/>
  <c r="BF31" i="66"/>
  <c r="AT31" i="66" s="1"/>
  <c r="AX31" i="66" s="1"/>
  <c r="U31" i="66" s="1"/>
  <c r="W31" i="66" s="1"/>
  <c r="Y31" i="66" s="1"/>
  <c r="BF33" i="66"/>
  <c r="AT33" i="66" s="1"/>
  <c r="AX33" i="66" s="1"/>
  <c r="U33" i="66" s="1"/>
  <c r="W33" i="66" s="1"/>
  <c r="Y33" i="66" s="1"/>
  <c r="BF34" i="66"/>
  <c r="AT34" i="66" s="1"/>
  <c r="AX34" i="66" s="1"/>
  <c r="U34" i="66" s="1"/>
  <c r="W34" i="66" s="1"/>
  <c r="Y34" i="66" s="1"/>
  <c r="BF35" i="66"/>
  <c r="AT35" i="66" s="1"/>
  <c r="AX35" i="66" s="1"/>
  <c r="U35" i="66" s="1"/>
  <c r="W35" i="66" s="1"/>
  <c r="Y35" i="66" s="1"/>
  <c r="BF36" i="66"/>
  <c r="AT36" i="66" s="1"/>
  <c r="AX36" i="66" s="1"/>
  <c r="U36" i="66" s="1"/>
  <c r="W36" i="66" s="1"/>
  <c r="Y36" i="66" s="1"/>
  <c r="BF37" i="66"/>
  <c r="AT37" i="66" s="1"/>
  <c r="AX37" i="66" s="1"/>
  <c r="U37" i="66" s="1"/>
  <c r="W37" i="66" s="1"/>
  <c r="Y37" i="66" s="1"/>
  <c r="BF38" i="66"/>
  <c r="AT38" i="66" s="1"/>
  <c r="AX38" i="66" s="1"/>
  <c r="U38" i="66" s="1"/>
  <c r="W38" i="66" s="1"/>
  <c r="Y38" i="66" s="1"/>
  <c r="BF39" i="66"/>
  <c r="AT39" i="66" s="1"/>
  <c r="AX39" i="66" s="1"/>
  <c r="U39" i="66" s="1"/>
  <c r="W39" i="66" s="1"/>
  <c r="Y39" i="66" s="1"/>
  <c r="BF40" i="66"/>
  <c r="AT40" i="66" s="1"/>
  <c r="AX40" i="66" s="1"/>
  <c r="U40" i="66" s="1"/>
  <c r="W40" i="66" s="1"/>
  <c r="Y40" i="66" s="1"/>
  <c r="BF41" i="66"/>
  <c r="AT41" i="66" s="1"/>
  <c r="AX41" i="66" s="1"/>
  <c r="U41" i="66" s="1"/>
  <c r="W41" i="66" s="1"/>
  <c r="Y41" i="66" s="1"/>
  <c r="BF42" i="66"/>
  <c r="AT42" i="66" s="1"/>
  <c r="AX42" i="66" s="1"/>
  <c r="U42" i="66" s="1"/>
  <c r="W42" i="66" s="1"/>
  <c r="Y42" i="66" s="1"/>
  <c r="BF43" i="66"/>
  <c r="AT43" i="66" s="1"/>
  <c r="AX43" i="66" s="1"/>
  <c r="U43" i="66" s="1"/>
  <c r="W43" i="66" s="1"/>
  <c r="Y43" i="66" s="1"/>
  <c r="BF44" i="66"/>
  <c r="AT44" i="66" s="1"/>
  <c r="AX44" i="66" s="1"/>
  <c r="U44" i="66" s="1"/>
  <c r="W44" i="66" s="1"/>
  <c r="Y44" i="66" s="1"/>
  <c r="BF45" i="66"/>
  <c r="AT45" i="66" s="1"/>
  <c r="AX45" i="66" s="1"/>
  <c r="U45" i="66" s="1"/>
  <c r="W45" i="66" s="1"/>
  <c r="Y45" i="66" s="1"/>
  <c r="BF46" i="66"/>
  <c r="AT46" i="66" s="1"/>
  <c r="AX46" i="66" s="1"/>
  <c r="U46" i="66" s="1"/>
  <c r="W46" i="66" s="1"/>
  <c r="Y46" i="66" s="1"/>
  <c r="BF47" i="66"/>
  <c r="AT47" i="66" s="1"/>
  <c r="AX47" i="66" s="1"/>
  <c r="U47" i="66" s="1"/>
  <c r="W47" i="66" s="1"/>
  <c r="Y47" i="66" s="1"/>
  <c r="BF48" i="66"/>
  <c r="AT48" i="66" s="1"/>
  <c r="AX48" i="66" s="1"/>
  <c r="U48" i="66" s="1"/>
  <c r="W48" i="66" s="1"/>
  <c r="Y48" i="66" s="1"/>
  <c r="BF49" i="66"/>
  <c r="AT49" i="66" s="1"/>
  <c r="AX49" i="66" s="1"/>
  <c r="U49" i="66" s="1"/>
  <c r="W49" i="66" s="1"/>
  <c r="Y49" i="66" s="1"/>
  <c r="BF50" i="66"/>
  <c r="AT50" i="66" s="1"/>
  <c r="AX50" i="66" s="1"/>
  <c r="U50" i="66" s="1"/>
  <c r="W50" i="66" s="1"/>
  <c r="Y50" i="66" s="1"/>
  <c r="BF51" i="66"/>
  <c r="AT51" i="66" s="1"/>
  <c r="AX51" i="66" s="1"/>
  <c r="U51" i="66" s="1"/>
  <c r="W51" i="66" s="1"/>
  <c r="Y51" i="66" s="1"/>
  <c r="BF52" i="66"/>
  <c r="AT52" i="66" s="1"/>
  <c r="AX52" i="66" s="1"/>
  <c r="U52" i="66" s="1"/>
  <c r="W52" i="66" s="1"/>
  <c r="Y52" i="66" s="1"/>
  <c r="BF53" i="66"/>
  <c r="AT53" i="66" s="1"/>
  <c r="AX53" i="66" s="1"/>
  <c r="U53" i="66" s="1"/>
  <c r="W53" i="66" s="1"/>
  <c r="Y53" i="66" s="1"/>
  <c r="BF54" i="66"/>
  <c r="AT54" i="66" s="1"/>
  <c r="AX54" i="66" s="1"/>
  <c r="U54" i="66" s="1"/>
  <c r="W54" i="66" s="1"/>
  <c r="Y54" i="66" s="1"/>
  <c r="BF55" i="66"/>
  <c r="AT55" i="66" s="1"/>
  <c r="AX55" i="66" s="1"/>
  <c r="U55" i="66" s="1"/>
  <c r="W55" i="66" s="1"/>
  <c r="Y55" i="66" s="1"/>
  <c r="BF56" i="66"/>
  <c r="AT56" i="66" s="1"/>
  <c r="AX56" i="66" s="1"/>
  <c r="U56" i="66" s="1"/>
  <c r="W56" i="66" s="1"/>
  <c r="Y56" i="66" s="1"/>
  <c r="BF57" i="66"/>
  <c r="AT57" i="66" s="1"/>
  <c r="AX57" i="66" s="1"/>
  <c r="U57" i="66" s="1"/>
  <c r="W57" i="66" s="1"/>
  <c r="Y57" i="66" s="1"/>
  <c r="BF28" i="66"/>
  <c r="AT28" i="66" s="1"/>
  <c r="BF29" i="66"/>
  <c r="AT29" i="66" s="1"/>
  <c r="AX29" i="66" s="1"/>
  <c r="U29" i="66" s="1"/>
  <c r="W29" i="66" s="1"/>
  <c r="Y29" i="66" s="1"/>
  <c r="AL59" i="66"/>
  <c r="BF28" i="67" l="1"/>
  <c r="BF29" i="67"/>
  <c r="BF30" i="67"/>
  <c r="AT30" i="67" s="1"/>
  <c r="AX30" i="67" s="1"/>
  <c r="U30" i="67" s="1"/>
  <c r="W30" i="67" s="1"/>
  <c r="Y30" i="67" s="1"/>
  <c r="BF31" i="67"/>
  <c r="AT31" i="67" s="1"/>
  <c r="AX31" i="67" s="1"/>
  <c r="U31" i="67" s="1"/>
  <c r="W31" i="67" s="1"/>
  <c r="Y31" i="67" s="1"/>
  <c r="BF32" i="67"/>
  <c r="BF33" i="67"/>
  <c r="BF34" i="67"/>
  <c r="AT34" i="67" s="1"/>
  <c r="AX34" i="67" s="1"/>
  <c r="U34" i="67" s="1"/>
  <c r="W34" i="67" s="1"/>
  <c r="Y34" i="67" s="1"/>
  <c r="BF35" i="67"/>
  <c r="AT35" i="67" s="1"/>
  <c r="AX35" i="67" s="1"/>
  <c r="U35" i="67" s="1"/>
  <c r="W35" i="67" s="1"/>
  <c r="Y35" i="67" s="1"/>
  <c r="BF36" i="67"/>
  <c r="AT36" i="67" s="1"/>
  <c r="AX36" i="67" s="1"/>
  <c r="U36" i="67" s="1"/>
  <c r="W36" i="67" s="1"/>
  <c r="Y36" i="67" s="1"/>
  <c r="BF37" i="67"/>
  <c r="BF38" i="67"/>
  <c r="AT38" i="67" s="1"/>
  <c r="AX38" i="67" s="1"/>
  <c r="U38" i="67" s="1"/>
  <c r="W38" i="67" s="1"/>
  <c r="Y38" i="67" s="1"/>
  <c r="BF39" i="67"/>
  <c r="AT39" i="67" s="1"/>
  <c r="AX39" i="67" s="1"/>
  <c r="U39" i="67" s="1"/>
  <c r="W39" i="67" s="1"/>
  <c r="Y39" i="67" s="1"/>
  <c r="BF40" i="67"/>
  <c r="AT40" i="67" s="1"/>
  <c r="AX40" i="67" s="1"/>
  <c r="U40" i="67" s="1"/>
  <c r="W40" i="67" s="1"/>
  <c r="Y40" i="67" s="1"/>
  <c r="BF41" i="67"/>
  <c r="BF42" i="67"/>
  <c r="AT42" i="67" s="1"/>
  <c r="AX42" i="67" s="1"/>
  <c r="U42" i="67" s="1"/>
  <c r="W42" i="67" s="1"/>
  <c r="Y42" i="67" s="1"/>
  <c r="BF43" i="67"/>
  <c r="AT43" i="67" s="1"/>
  <c r="AX43" i="67" s="1"/>
  <c r="U43" i="67" s="1"/>
  <c r="W43" i="67" s="1"/>
  <c r="Y43" i="67" s="1"/>
  <c r="BF44" i="67"/>
  <c r="AT44" i="67" s="1"/>
  <c r="AX44" i="67" s="1"/>
  <c r="U44" i="67" s="1"/>
  <c r="W44" i="67" s="1"/>
  <c r="Y44" i="67" s="1"/>
  <c r="BF45" i="67"/>
  <c r="AT45" i="67" s="1"/>
  <c r="AX45" i="67" s="1"/>
  <c r="U45" i="67" s="1"/>
  <c r="W45" i="67" s="1"/>
  <c r="Y45" i="67" s="1"/>
  <c r="BF46" i="67"/>
  <c r="AT46" i="67" s="1"/>
  <c r="AX46" i="67" s="1"/>
  <c r="U46" i="67" s="1"/>
  <c r="W46" i="67" s="1"/>
  <c r="Y46" i="67" s="1"/>
  <c r="BF47" i="67"/>
  <c r="AT47" i="67" s="1"/>
  <c r="AX47" i="67" s="1"/>
  <c r="U47" i="67" s="1"/>
  <c r="W47" i="67" s="1"/>
  <c r="Y47" i="67" s="1"/>
  <c r="BF48" i="67"/>
  <c r="AT48" i="67" s="1"/>
  <c r="AX48" i="67" s="1"/>
  <c r="U48" i="67" s="1"/>
  <c r="W48" i="67" s="1"/>
  <c r="Y48" i="67" s="1"/>
  <c r="BF49" i="67"/>
  <c r="BF50" i="67"/>
  <c r="AT50" i="67" s="1"/>
  <c r="AX50" i="67" s="1"/>
  <c r="U50" i="67" s="1"/>
  <c r="W50" i="67" s="1"/>
  <c r="Y50" i="67" s="1"/>
  <c r="BF51" i="67"/>
  <c r="AT51" i="67" s="1"/>
  <c r="AX51" i="67" s="1"/>
  <c r="U51" i="67" s="1"/>
  <c r="W51" i="67" s="1"/>
  <c r="Y51" i="67" s="1"/>
  <c r="BF52" i="67"/>
  <c r="AT52" i="67" s="1"/>
  <c r="AX52" i="67" s="1"/>
  <c r="U52" i="67" s="1"/>
  <c r="W52" i="67" s="1"/>
  <c r="Y52" i="67" s="1"/>
  <c r="BF53" i="67"/>
  <c r="BF54" i="67"/>
  <c r="AT54" i="67" s="1"/>
  <c r="AX54" i="67" s="1"/>
  <c r="U54" i="67" s="1"/>
  <c r="W54" i="67" s="1"/>
  <c r="Y54" i="67" s="1"/>
  <c r="BF55" i="67"/>
  <c r="AT55" i="67" s="1"/>
  <c r="AX55" i="67" s="1"/>
  <c r="U55" i="67" s="1"/>
  <c r="W55" i="67" s="1"/>
  <c r="Y55" i="67" s="1"/>
  <c r="BF56" i="67"/>
  <c r="AT56" i="67" s="1"/>
  <c r="AX56" i="67" s="1"/>
  <c r="U56" i="67" s="1"/>
  <c r="W56" i="67" s="1"/>
  <c r="Y56" i="67" s="1"/>
  <c r="BF57" i="67"/>
  <c r="AT57" i="67" s="1"/>
  <c r="AX57" i="67" s="1"/>
  <c r="U57" i="67" s="1"/>
  <c r="W57" i="67" s="1"/>
  <c r="Y57" i="67" s="1"/>
  <c r="AT53" i="67"/>
  <c r="AX53" i="67" s="1"/>
  <c r="U53" i="67" s="1"/>
  <c r="W53" i="67" s="1"/>
  <c r="Y53" i="67" s="1"/>
  <c r="AT49" i="67"/>
  <c r="AX49" i="67" s="1"/>
  <c r="U49" i="67" s="1"/>
  <c r="W49" i="67" s="1"/>
  <c r="Y49" i="67" s="1"/>
  <c r="AT41" i="67"/>
  <c r="AX41" i="67" s="1"/>
  <c r="U41" i="67" s="1"/>
  <c r="W41" i="67" s="1"/>
  <c r="Y41" i="67" s="1"/>
  <c r="AT37" i="67"/>
  <c r="AX37" i="67" s="1"/>
  <c r="U37" i="67" s="1"/>
  <c r="W37" i="67" s="1"/>
  <c r="Y37" i="67" s="1"/>
  <c r="AT33" i="67"/>
  <c r="AX33" i="67" s="1"/>
  <c r="U33" i="67" s="1"/>
  <c r="W33" i="67" s="1"/>
  <c r="Y33" i="67" s="1"/>
  <c r="AT29" i="67"/>
  <c r="AX29" i="67" s="1"/>
  <c r="U29" i="67" s="1"/>
  <c r="W29" i="67" s="1"/>
  <c r="Y29" i="67" s="1"/>
  <c r="AT32" i="67"/>
  <c r="AX32" i="67" s="1"/>
  <c r="U32" i="67" s="1"/>
  <c r="W32" i="67" s="1"/>
  <c r="Y32" i="67" s="1"/>
  <c r="AT28" i="67"/>
  <c r="AL59" i="67"/>
  <c r="BF59" i="66"/>
  <c r="AX28" i="66"/>
  <c r="AX28" i="67" l="1"/>
  <c r="AT59" i="67"/>
  <c r="BF59" i="67"/>
  <c r="AT59" i="66"/>
  <c r="U28" i="66"/>
  <c r="AX59" i="66"/>
  <c r="U28" i="67" l="1"/>
  <c r="AX59" i="67"/>
  <c r="U59" i="66"/>
  <c r="I20" i="32" s="1"/>
  <c r="W28" i="66"/>
  <c r="U59" i="67" l="1"/>
  <c r="I51" i="32" s="1"/>
  <c r="W28" i="67"/>
  <c r="Y28" i="66"/>
  <c r="Y59" i="66" s="1"/>
  <c r="M20" i="32" s="1"/>
  <c r="W59" i="66"/>
  <c r="K20" i="32" s="1"/>
  <c r="S18" i="23" l="1"/>
  <c r="U18" i="23" s="1"/>
  <c r="H18" i="23"/>
  <c r="J18" i="23" s="1"/>
  <c r="Y28" i="67"/>
  <c r="Y59" i="67" s="1"/>
  <c r="M51" i="32" s="1"/>
  <c r="W59" i="67"/>
  <c r="K51" i="32" s="1"/>
  <c r="H37" i="23" l="1"/>
  <c r="J37" i="23" s="1"/>
  <c r="S37" i="23"/>
  <c r="U37" i="23" s="1"/>
  <c r="I28" i="61"/>
  <c r="I28" i="62"/>
  <c r="I29" i="61" l="1"/>
  <c r="S28" i="61"/>
  <c r="I28" i="69"/>
  <c r="S28" i="62"/>
  <c r="I29" i="62"/>
  <c r="I28" i="63"/>
  <c r="I28" i="65" l="1"/>
  <c r="S29" i="62"/>
  <c r="W29" i="62" s="1"/>
  <c r="Y29" i="62" s="1"/>
  <c r="I30" i="62"/>
  <c r="W28" i="62"/>
  <c r="W28" i="61"/>
  <c r="S28" i="63"/>
  <c r="I29" i="63"/>
  <c r="I29" i="69"/>
  <c r="S28" i="69"/>
  <c r="I30" i="61"/>
  <c r="S29" i="61"/>
  <c r="W29" i="61" s="1"/>
  <c r="Y29" i="61" s="1"/>
  <c r="W28" i="63" l="1"/>
  <c r="Y28" i="62"/>
  <c r="I30" i="69"/>
  <c r="S29" i="69"/>
  <c r="W29" i="69" s="1"/>
  <c r="Y29" i="69" s="1"/>
  <c r="S30" i="62"/>
  <c r="I31" i="62"/>
  <c r="I29" i="65"/>
  <c r="S28" i="65"/>
  <c r="W28" i="69"/>
  <c r="I31" i="61"/>
  <c r="S30" i="61"/>
  <c r="W30" i="61" s="1"/>
  <c r="Y30" i="61" s="1"/>
  <c r="Y28" i="61"/>
  <c r="S29" i="63"/>
  <c r="W29" i="63" s="1"/>
  <c r="Y29" i="63" s="1"/>
  <c r="I30" i="63"/>
  <c r="W28" i="65" l="1"/>
  <c r="I32" i="61"/>
  <c r="S31" i="61"/>
  <c r="W31" i="61" s="1"/>
  <c r="I30" i="65"/>
  <c r="S29" i="65"/>
  <c r="W29" i="65" s="1"/>
  <c r="Y29" i="65" s="1"/>
  <c r="S31" i="62"/>
  <c r="W31" i="62" s="1"/>
  <c r="Y31" i="62" s="1"/>
  <c r="I32" i="62"/>
  <c r="S30" i="69"/>
  <c r="W30" i="69" s="1"/>
  <c r="Y30" i="69" s="1"/>
  <c r="I31" i="69"/>
  <c r="Y28" i="63"/>
  <c r="S30" i="63"/>
  <c r="W30" i="63" s="1"/>
  <c r="Y30" i="63" s="1"/>
  <c r="I31" i="63"/>
  <c r="Y28" i="69"/>
  <c r="W30" i="62"/>
  <c r="Y30" i="62" l="1"/>
  <c r="I32" i="63"/>
  <c r="S31" i="63"/>
  <c r="W31" i="63" s="1"/>
  <c r="Y31" i="63" s="1"/>
  <c r="S31" i="69"/>
  <c r="W31" i="69" s="1"/>
  <c r="I32" i="69"/>
  <c r="I31" i="65"/>
  <c r="S30" i="65"/>
  <c r="W30" i="65" s="1"/>
  <c r="Y30" i="65" s="1"/>
  <c r="Y31" i="61"/>
  <c r="S32" i="62"/>
  <c r="I33" i="62"/>
  <c r="S32" i="61"/>
  <c r="I33" i="61"/>
  <c r="Y28" i="65"/>
  <c r="S33" i="61" l="1"/>
  <c r="W33" i="61" s="1"/>
  <c r="Y33" i="61" s="1"/>
  <c r="I34" i="61"/>
  <c r="I34" i="62"/>
  <c r="S33" i="62"/>
  <c r="W33" i="62" s="1"/>
  <c r="Y33" i="62" s="1"/>
  <c r="S31" i="65"/>
  <c r="I32" i="65"/>
  <c r="W32" i="62"/>
  <c r="S32" i="63"/>
  <c r="I33" i="63"/>
  <c r="W32" i="61"/>
  <c r="S32" i="69"/>
  <c r="I33" i="69"/>
  <c r="Y31" i="69"/>
  <c r="I34" i="69" l="1"/>
  <c r="S33" i="69"/>
  <c r="W33" i="69" s="1"/>
  <c r="Y33" i="69" s="1"/>
  <c r="W32" i="63"/>
  <c r="S32" i="65"/>
  <c r="W32" i="65" s="1"/>
  <c r="Y32" i="65" s="1"/>
  <c r="I33" i="65"/>
  <c r="W31" i="65"/>
  <c r="I35" i="61"/>
  <c r="S34" i="61"/>
  <c r="Y32" i="61"/>
  <c r="W32" i="69"/>
  <c r="S33" i="63"/>
  <c r="W33" i="63" s="1"/>
  <c r="Y33" i="63" s="1"/>
  <c r="I34" i="63"/>
  <c r="Y32" i="62"/>
  <c r="S34" i="62"/>
  <c r="I35" i="62"/>
  <c r="W34" i="62" l="1"/>
  <c r="Y31" i="65"/>
  <c r="Y32" i="63"/>
  <c r="W34" i="61"/>
  <c r="I34" i="65"/>
  <c r="S33" i="65"/>
  <c r="Y32" i="69"/>
  <c r="I36" i="61"/>
  <c r="S35" i="61"/>
  <c r="W35" i="61" s="1"/>
  <c r="Y35" i="61" s="1"/>
  <c r="S34" i="69"/>
  <c r="I35" i="69"/>
  <c r="S35" i="62"/>
  <c r="W35" i="62" s="1"/>
  <c r="Y35" i="62" s="1"/>
  <c r="I36" i="62"/>
  <c r="S34" i="63"/>
  <c r="I35" i="63"/>
  <c r="I36" i="69" l="1"/>
  <c r="S35" i="69"/>
  <c r="W35" i="69" s="1"/>
  <c r="Y35" i="69" s="1"/>
  <c r="S36" i="62"/>
  <c r="W36" i="62" s="1"/>
  <c r="Y36" i="62" s="1"/>
  <c r="I37" i="62"/>
  <c r="W34" i="69"/>
  <c r="Y34" i="61"/>
  <c r="W33" i="65"/>
  <c r="W34" i="63"/>
  <c r="S35" i="63"/>
  <c r="W35" i="63" s="1"/>
  <c r="Y35" i="63" s="1"/>
  <c r="I36" i="63"/>
  <c r="I37" i="61"/>
  <c r="S36" i="61"/>
  <c r="W36" i="61" s="1"/>
  <c r="Y36" i="61" s="1"/>
  <c r="I35" i="65"/>
  <c r="S34" i="65"/>
  <c r="W34" i="65" s="1"/>
  <c r="Y34" i="65" s="1"/>
  <c r="Y34" i="62"/>
  <c r="I36" i="65" l="1"/>
  <c r="S35" i="65"/>
  <c r="W35" i="65" s="1"/>
  <c r="Y35" i="65" s="1"/>
  <c r="I37" i="63"/>
  <c r="S36" i="63"/>
  <c r="W36" i="63" s="1"/>
  <c r="Y36" i="63" s="1"/>
  <c r="S37" i="62"/>
  <c r="I70" i="62"/>
  <c r="S37" i="61"/>
  <c r="I70" i="61"/>
  <c r="Y33" i="65"/>
  <c r="Y34" i="63"/>
  <c r="Y34" i="69"/>
  <c r="S36" i="69"/>
  <c r="W36" i="69" s="1"/>
  <c r="Y36" i="69" s="1"/>
  <c r="I37" i="69"/>
  <c r="W37" i="61" l="1"/>
  <c r="S70" i="61"/>
  <c r="G35" i="32" s="1"/>
  <c r="S37" i="63"/>
  <c r="I70" i="63"/>
  <c r="W37" i="62"/>
  <c r="S70" i="62"/>
  <c r="G24" i="32" s="1"/>
  <c r="I38" i="69"/>
  <c r="S37" i="69"/>
  <c r="W37" i="69" s="1"/>
  <c r="S36" i="65"/>
  <c r="W36" i="65" s="1"/>
  <c r="I37" i="65"/>
  <c r="Y37" i="69" l="1"/>
  <c r="I39" i="69"/>
  <c r="S38" i="69"/>
  <c r="W38" i="69" s="1"/>
  <c r="Y38" i="69" s="1"/>
  <c r="W37" i="63"/>
  <c r="S70" i="63"/>
  <c r="G25" i="32" s="1"/>
  <c r="I75" i="65"/>
  <c r="S37" i="65"/>
  <c r="Y36" i="65"/>
  <c r="Y37" i="62"/>
  <c r="Y70" i="62" s="1"/>
  <c r="M24" i="32" s="1"/>
  <c r="W70" i="62"/>
  <c r="K24" i="32" s="1"/>
  <c r="Y37" i="61"/>
  <c r="Y70" i="61" s="1"/>
  <c r="M35" i="32" s="1"/>
  <c r="W70" i="61"/>
  <c r="K35" i="32" s="1"/>
  <c r="S30" i="23" l="1"/>
  <c r="U30" i="23" s="1"/>
  <c r="H30" i="23"/>
  <c r="J30" i="23" s="1"/>
  <c r="S20" i="23"/>
  <c r="U20" i="23" s="1"/>
  <c r="H20" i="23"/>
  <c r="J20" i="23" s="1"/>
  <c r="W37" i="65"/>
  <c r="S75" i="65"/>
  <c r="G19" i="32" s="1"/>
  <c r="I40" i="69"/>
  <c r="S39" i="69"/>
  <c r="W39" i="69" s="1"/>
  <c r="Y39" i="69" s="1"/>
  <c r="Y37" i="63"/>
  <c r="Y70" i="63" s="1"/>
  <c r="M25" i="32" s="1"/>
  <c r="W70" i="63"/>
  <c r="K25" i="32" s="1"/>
  <c r="S21" i="23" l="1"/>
  <c r="U21" i="23" s="1"/>
  <c r="H21" i="23"/>
  <c r="J21" i="23" s="1"/>
  <c r="S40" i="69"/>
  <c r="W40" i="69" s="1"/>
  <c r="Y40" i="69" s="1"/>
  <c r="I41" i="69"/>
  <c r="Y37" i="65"/>
  <c r="Y75" i="65" s="1"/>
  <c r="M19" i="32" s="1"/>
  <c r="W75" i="65"/>
  <c r="K19" i="32" s="1"/>
  <c r="S17" i="23" l="1"/>
  <c r="U17" i="23" s="1"/>
  <c r="H17" i="23"/>
  <c r="J17" i="23" s="1"/>
  <c r="S41" i="69"/>
  <c r="W41" i="69" s="1"/>
  <c r="Y41" i="69" s="1"/>
  <c r="I42" i="69"/>
  <c r="S42" i="69" l="1"/>
  <c r="W42" i="69" s="1"/>
  <c r="Y42" i="69" s="1"/>
  <c r="I43" i="69"/>
  <c r="I44" i="69" l="1"/>
  <c r="I45" i="69" s="1"/>
  <c r="I46" i="69" s="1"/>
  <c r="I47" i="69" s="1"/>
  <c r="I48" i="69" s="1"/>
  <c r="I49" i="69" s="1"/>
  <c r="I50" i="69" s="1"/>
  <c r="I51" i="69" s="1"/>
  <c r="I52" i="69" s="1"/>
  <c r="I53" i="69" s="1"/>
  <c r="S43" i="69"/>
  <c r="W43" i="69" s="1"/>
  <c r="Y43" i="69" s="1"/>
  <c r="S44" i="69" l="1"/>
  <c r="W44" i="69" s="1"/>
  <c r="Y44" i="69" s="1"/>
  <c r="S45" i="69" l="1"/>
  <c r="W45" i="69" s="1"/>
  <c r="Y45" i="69" s="1"/>
  <c r="S49" i="69" l="1"/>
  <c r="W49" i="69" s="1"/>
  <c r="Y49" i="69" s="1"/>
  <c r="S46" i="69"/>
  <c r="W46" i="69" s="1"/>
  <c r="Y46" i="69" s="1"/>
  <c r="S47" i="69" l="1"/>
  <c r="W47" i="69" s="1"/>
  <c r="Y47" i="69" s="1"/>
  <c r="S48" i="69"/>
  <c r="W48" i="69" s="1"/>
  <c r="Y48" i="69" s="1"/>
  <c r="S50" i="69"/>
  <c r="W50" i="69" s="1"/>
  <c r="Y50" i="69" s="1"/>
  <c r="S53" i="69"/>
  <c r="S51" i="69" l="1"/>
  <c r="W51" i="69" s="1"/>
  <c r="Y51" i="69" s="1"/>
  <c r="W53" i="69"/>
  <c r="S52" i="69" l="1"/>
  <c r="I64" i="69"/>
  <c r="Y53" i="69"/>
  <c r="W52" i="69" l="1"/>
  <c r="S64" i="69"/>
  <c r="G13" i="32" s="1"/>
  <c r="Y52" i="69" l="1"/>
  <c r="Y64" i="69" s="1"/>
  <c r="M13" i="32" s="1"/>
  <c r="W64" i="69"/>
  <c r="K13" i="32" s="1"/>
  <c r="S44" i="23" l="1"/>
  <c r="U44" i="23" s="1"/>
  <c r="U45" i="23" s="1"/>
  <c r="H44" i="23"/>
  <c r="J44" i="23" s="1"/>
  <c r="J45" i="23" s="1"/>
  <c r="AD46" i="31"/>
  <c r="AD53" i="31"/>
  <c r="AD61" i="31"/>
  <c r="AD67" i="31"/>
  <c r="AD46" i="57"/>
  <c r="AD49" i="58"/>
  <c r="AD42" i="58"/>
  <c r="AD53" i="58"/>
  <c r="AD65" i="58"/>
  <c r="AL46" i="57" l="1"/>
  <c r="AT46" i="57" s="1"/>
  <c r="AV46" i="57"/>
  <c r="S45" i="60"/>
  <c r="W45" i="60" s="1"/>
  <c r="Y45" i="60" s="1"/>
  <c r="AL67" i="31"/>
  <c r="AT67" i="31" s="1"/>
  <c r="AV67" i="31"/>
  <c r="AL61" i="31"/>
  <c r="AT61" i="31" s="1"/>
  <c r="AV61" i="31"/>
  <c r="AL53" i="31"/>
  <c r="AT53" i="31" s="1"/>
  <c r="AV53" i="31"/>
  <c r="AL46" i="31"/>
  <c r="AT46" i="31" s="1"/>
  <c r="AV46" i="31"/>
  <c r="AD40" i="31"/>
  <c r="AD61" i="58"/>
  <c r="AD41" i="58"/>
  <c r="AD66" i="31"/>
  <c r="AD58" i="31"/>
  <c r="AD51" i="31"/>
  <c r="AD45" i="31"/>
  <c r="S53" i="60"/>
  <c r="W53" i="60" s="1"/>
  <c r="Y53" i="60" s="1"/>
  <c r="S53" i="58"/>
  <c r="AL65" i="58"/>
  <c r="AT65" i="58" s="1"/>
  <c r="AV65" i="58"/>
  <c r="AF12" i="58"/>
  <c r="AL53" i="58"/>
  <c r="AT53" i="58" s="1"/>
  <c r="AV53" i="58"/>
  <c r="AL49" i="58"/>
  <c r="AT49" i="58" s="1"/>
  <c r="AV49" i="58"/>
  <c r="AD54" i="57"/>
  <c r="AD63" i="31"/>
  <c r="AD57" i="31"/>
  <c r="AD50" i="31"/>
  <c r="AD42" i="31"/>
  <c r="S51" i="31"/>
  <c r="S62" i="60"/>
  <c r="W62" i="60" s="1"/>
  <c r="Y62" i="60" s="1"/>
  <c r="S46" i="60"/>
  <c r="W46" i="60" s="1"/>
  <c r="Y46" i="60" s="1"/>
  <c r="AL42" i="58"/>
  <c r="AT42" i="58" s="1"/>
  <c r="AV42" i="58"/>
  <c r="AX42" i="58" s="1"/>
  <c r="U42" i="58" s="1"/>
  <c r="AD50" i="58"/>
  <c r="AD69" i="31"/>
  <c r="AD62" i="31"/>
  <c r="AD55" i="31"/>
  <c r="AD47" i="31"/>
  <c r="AD41" i="31"/>
  <c r="S63" i="31"/>
  <c r="AD58" i="58"/>
  <c r="AD40" i="57"/>
  <c r="AD47" i="57"/>
  <c r="AD55" i="57"/>
  <c r="AD63" i="57"/>
  <c r="AD42" i="57"/>
  <c r="AD50" i="57"/>
  <c r="AD58" i="57"/>
  <c r="AD66" i="57"/>
  <c r="AD43" i="57"/>
  <c r="AD51" i="57"/>
  <c r="AD59" i="57"/>
  <c r="AD67" i="57"/>
  <c r="S54" i="57"/>
  <c r="AD39" i="58"/>
  <c r="AD46" i="58"/>
  <c r="AD54" i="58"/>
  <c r="AD62" i="58"/>
  <c r="AD66" i="58"/>
  <c r="AD57" i="58"/>
  <c r="AD45" i="58"/>
  <c r="AD62" i="57"/>
  <c r="S45" i="58"/>
  <c r="S46" i="58"/>
  <c r="S62" i="58"/>
  <c r="AD70" i="31"/>
  <c r="AD65" i="31"/>
  <c r="AD59" i="31"/>
  <c r="AD54" i="31"/>
  <c r="AD49" i="31"/>
  <c r="AD43" i="31"/>
  <c r="S67" i="31"/>
  <c r="AD68" i="58"/>
  <c r="AD64" i="58"/>
  <c r="AD60" i="58"/>
  <c r="AD56" i="58"/>
  <c r="AD52" i="58"/>
  <c r="AD48" i="58"/>
  <c r="AD44" i="58"/>
  <c r="AD40" i="58"/>
  <c r="AD69" i="57"/>
  <c r="AD65" i="57"/>
  <c r="AD61" i="57"/>
  <c r="AD57" i="57"/>
  <c r="AD53" i="57"/>
  <c r="AD49" i="57"/>
  <c r="AD45" i="57"/>
  <c r="AD41" i="57"/>
  <c r="AD68" i="31"/>
  <c r="AD64" i="31"/>
  <c r="AD60" i="31"/>
  <c r="AD56" i="31"/>
  <c r="AD52" i="31"/>
  <c r="AD48" i="31"/>
  <c r="AD44" i="31"/>
  <c r="S46" i="57"/>
  <c r="S40" i="31"/>
  <c r="AD67" i="58"/>
  <c r="AD63" i="58"/>
  <c r="AD59" i="58"/>
  <c r="AD55" i="58"/>
  <c r="AD51" i="58"/>
  <c r="AD47" i="58"/>
  <c r="AD43" i="58"/>
  <c r="AD68" i="57"/>
  <c r="AD64" i="57"/>
  <c r="AD60" i="57"/>
  <c r="AD56" i="57"/>
  <c r="AD52" i="57"/>
  <c r="AD48" i="57"/>
  <c r="AD44" i="57"/>
  <c r="AR11" i="31"/>
  <c r="BK11" i="31" s="1"/>
  <c r="S56" i="31" l="1"/>
  <c r="S49" i="31"/>
  <c r="S65" i="31"/>
  <c r="S48" i="31"/>
  <c r="AX46" i="57"/>
  <c r="U46" i="57" s="1"/>
  <c r="W46" i="57" s="1"/>
  <c r="Y46" i="57" s="1"/>
  <c r="K70" i="58"/>
  <c r="S47" i="31"/>
  <c r="I72" i="31"/>
  <c r="K72" i="31"/>
  <c r="AX49" i="58"/>
  <c r="U49" i="58" s="1"/>
  <c r="AX46" i="31"/>
  <c r="U46" i="31" s="1"/>
  <c r="AX61" i="31"/>
  <c r="U61" i="31" s="1"/>
  <c r="S49" i="60"/>
  <c r="W49" i="60" s="1"/>
  <c r="Y49" i="60" s="1"/>
  <c r="S57" i="31"/>
  <c r="AL44" i="57"/>
  <c r="AT44" i="57" s="1"/>
  <c r="AV44" i="57"/>
  <c r="AL60" i="57"/>
  <c r="AT60" i="57" s="1"/>
  <c r="AV60" i="57"/>
  <c r="AL51" i="58"/>
  <c r="AT51" i="58" s="1"/>
  <c r="AV51" i="58"/>
  <c r="AL67" i="58"/>
  <c r="AT67" i="58" s="1"/>
  <c r="AV67" i="58"/>
  <c r="S58" i="60"/>
  <c r="W58" i="60" s="1"/>
  <c r="Y58" i="60" s="1"/>
  <c r="S46" i="31"/>
  <c r="S62" i="31"/>
  <c r="AL48" i="31"/>
  <c r="AT48" i="31" s="1"/>
  <c r="AV48" i="31"/>
  <c r="AL64" i="31"/>
  <c r="AT64" i="31" s="1"/>
  <c r="AV64" i="31"/>
  <c r="AL49" i="57"/>
  <c r="AT49" i="57" s="1"/>
  <c r="AV49" i="57"/>
  <c r="AL65" i="57"/>
  <c r="AT65" i="57" s="1"/>
  <c r="AV65" i="57"/>
  <c r="AL40" i="58"/>
  <c r="AT40" i="58" s="1"/>
  <c r="AV40" i="58"/>
  <c r="AL56" i="58"/>
  <c r="AT56" i="58" s="1"/>
  <c r="AV56" i="58"/>
  <c r="S68" i="60"/>
  <c r="W68" i="60" s="1"/>
  <c r="Y68" i="60" s="1"/>
  <c r="S52" i="60"/>
  <c r="W52" i="60" s="1"/>
  <c r="Y52" i="60" s="1"/>
  <c r="S53" i="57"/>
  <c r="S67" i="60"/>
  <c r="W67" i="60" s="1"/>
  <c r="Y67" i="60" s="1"/>
  <c r="S51" i="60"/>
  <c r="W51" i="60" s="1"/>
  <c r="Y51" i="60" s="1"/>
  <c r="S44" i="31"/>
  <c r="AL43" i="31"/>
  <c r="AT43" i="31" s="1"/>
  <c r="AV43" i="31"/>
  <c r="AL65" i="31"/>
  <c r="AT65" i="31" s="1"/>
  <c r="AV65" i="31"/>
  <c r="AL62" i="57"/>
  <c r="AT62" i="57" s="1"/>
  <c r="AV62" i="57"/>
  <c r="AL45" i="58"/>
  <c r="AT45" i="58" s="1"/>
  <c r="AV45" i="58"/>
  <c r="AL54" i="58"/>
  <c r="AT54" i="58" s="1"/>
  <c r="AV54" i="58"/>
  <c r="S69" i="57"/>
  <c r="S50" i="57"/>
  <c r="AL67" i="57"/>
  <c r="AT67" i="57" s="1"/>
  <c r="AV67" i="57"/>
  <c r="AL66" i="57"/>
  <c r="AT66" i="57" s="1"/>
  <c r="AV66" i="57"/>
  <c r="AL63" i="57"/>
  <c r="AT63" i="57" s="1"/>
  <c r="AV63" i="57"/>
  <c r="AL40" i="57"/>
  <c r="AT40" i="57" s="1"/>
  <c r="AV40" i="57"/>
  <c r="S59" i="31"/>
  <c r="AL62" i="31"/>
  <c r="AT62" i="31" s="1"/>
  <c r="AV62" i="31"/>
  <c r="AL42" i="31"/>
  <c r="AT42" i="31" s="1"/>
  <c r="AV42" i="31"/>
  <c r="AX42" i="31" s="1"/>
  <c r="U42" i="31" s="1"/>
  <c r="AX65" i="58"/>
  <c r="U65" i="58" s="1"/>
  <c r="AL45" i="31"/>
  <c r="AT45" i="31" s="1"/>
  <c r="AV45" i="31"/>
  <c r="AL61" i="58"/>
  <c r="AT61" i="58" s="1"/>
  <c r="AV61" i="58"/>
  <c r="G72" i="31"/>
  <c r="S57" i="60"/>
  <c r="W57" i="60" s="1"/>
  <c r="Y57" i="60" s="1"/>
  <c r="S57" i="58"/>
  <c r="S45" i="31"/>
  <c r="S61" i="31"/>
  <c r="AL48" i="57"/>
  <c r="AT48" i="57" s="1"/>
  <c r="AV48" i="57"/>
  <c r="AL64" i="57"/>
  <c r="AT64" i="57" s="1"/>
  <c r="AV64" i="57"/>
  <c r="AL55" i="58"/>
  <c r="AT55" i="58" s="1"/>
  <c r="AV55" i="58"/>
  <c r="S66" i="60"/>
  <c r="W66" i="60" s="1"/>
  <c r="Y66" i="60" s="1"/>
  <c r="S66" i="58"/>
  <c r="S66" i="31"/>
  <c r="AL52" i="31"/>
  <c r="AT52" i="31" s="1"/>
  <c r="AV52" i="31"/>
  <c r="AL68" i="31"/>
  <c r="AT68" i="31" s="1"/>
  <c r="AV68" i="31"/>
  <c r="AL53" i="57"/>
  <c r="AT53" i="57" s="1"/>
  <c r="AV53" i="57"/>
  <c r="AL69" i="57"/>
  <c r="AV69" i="57"/>
  <c r="AL44" i="58"/>
  <c r="AT44" i="58" s="1"/>
  <c r="AV44" i="58"/>
  <c r="AL60" i="58"/>
  <c r="AT60" i="58" s="1"/>
  <c r="AV60" i="58"/>
  <c r="S64" i="60"/>
  <c r="W64" i="60" s="1"/>
  <c r="Y64" i="60" s="1"/>
  <c r="S64" i="58"/>
  <c r="S65" i="57"/>
  <c r="S48" i="60"/>
  <c r="W48" i="60" s="1"/>
  <c r="Y48" i="60" s="1"/>
  <c r="S48" i="58"/>
  <c r="S63" i="60"/>
  <c r="W63" i="60" s="1"/>
  <c r="Y63" i="60" s="1"/>
  <c r="S63" i="58"/>
  <c r="S47" i="60"/>
  <c r="W47" i="60" s="1"/>
  <c r="Y47" i="60" s="1"/>
  <c r="S47" i="58"/>
  <c r="S48" i="57"/>
  <c r="S52" i="31"/>
  <c r="AL49" i="31"/>
  <c r="AT49" i="31" s="1"/>
  <c r="AV49" i="31"/>
  <c r="AL70" i="31"/>
  <c r="AT70" i="31" s="1"/>
  <c r="AV70" i="31"/>
  <c r="AL57" i="58"/>
  <c r="AT57" i="58" s="1"/>
  <c r="AV57" i="58"/>
  <c r="AX57" i="58" s="1"/>
  <c r="U57" i="58" s="1"/>
  <c r="AL46" i="58"/>
  <c r="AT46" i="58" s="1"/>
  <c r="AV46" i="58"/>
  <c r="S59" i="57"/>
  <c r="S63" i="57"/>
  <c r="S67" i="57"/>
  <c r="AL59" i="57"/>
  <c r="AT59" i="57" s="1"/>
  <c r="AV59" i="57"/>
  <c r="AL58" i="57"/>
  <c r="AT58" i="57" s="1"/>
  <c r="AV58" i="57"/>
  <c r="AL55" i="57"/>
  <c r="AT55" i="57" s="1"/>
  <c r="AV55" i="57"/>
  <c r="AL58" i="58"/>
  <c r="AT58" i="58" s="1"/>
  <c r="AV58" i="58"/>
  <c r="AL41" i="31"/>
  <c r="AT41" i="31" s="1"/>
  <c r="AV41" i="31"/>
  <c r="AL69" i="31"/>
  <c r="AT69" i="31" s="1"/>
  <c r="AV69" i="31"/>
  <c r="AL50" i="58"/>
  <c r="AT50" i="58" s="1"/>
  <c r="AV50" i="58"/>
  <c r="AL50" i="31"/>
  <c r="AT50" i="31" s="1"/>
  <c r="AV50" i="31"/>
  <c r="S43" i="31"/>
  <c r="AL51" i="31"/>
  <c r="AT51" i="31" s="1"/>
  <c r="AV51" i="31"/>
  <c r="AX51" i="31" s="1"/>
  <c r="U51" i="31" s="1"/>
  <c r="W51" i="31" s="1"/>
  <c r="Y51" i="31" s="1"/>
  <c r="O72" i="31"/>
  <c r="S65" i="60"/>
  <c r="W65" i="60" s="1"/>
  <c r="Y65" i="60" s="1"/>
  <c r="S65" i="58"/>
  <c r="S66" i="57"/>
  <c r="AL52" i="57"/>
  <c r="AT52" i="57" s="1"/>
  <c r="AV52" i="57"/>
  <c r="AL68" i="57"/>
  <c r="AT68" i="57" s="1"/>
  <c r="AV68" i="57"/>
  <c r="AL43" i="58"/>
  <c r="AT43" i="58" s="1"/>
  <c r="AV43" i="58"/>
  <c r="AL59" i="58"/>
  <c r="AT59" i="58" s="1"/>
  <c r="AV59" i="58"/>
  <c r="S42" i="60"/>
  <c r="W42" i="60" s="1"/>
  <c r="Y42" i="60" s="1"/>
  <c r="S42" i="58"/>
  <c r="W42" i="58" s="1"/>
  <c r="Y42" i="58" s="1"/>
  <c r="S64" i="57"/>
  <c r="S54" i="31"/>
  <c r="S70" i="31"/>
  <c r="AL56" i="31"/>
  <c r="AT56" i="31" s="1"/>
  <c r="AV56" i="31"/>
  <c r="AL41" i="57"/>
  <c r="AT41" i="57" s="1"/>
  <c r="AV41" i="57"/>
  <c r="AL57" i="57"/>
  <c r="AT57" i="57" s="1"/>
  <c r="AV57" i="57"/>
  <c r="AL48" i="58"/>
  <c r="AT48" i="58" s="1"/>
  <c r="AV48" i="58"/>
  <c r="AL64" i="58"/>
  <c r="AT64" i="58" s="1"/>
  <c r="AV64" i="58"/>
  <c r="S60" i="60"/>
  <c r="W60" i="60" s="1"/>
  <c r="Y60" i="60" s="1"/>
  <c r="S60" i="58"/>
  <c r="S61" i="57"/>
  <c r="S44" i="60"/>
  <c r="W44" i="60" s="1"/>
  <c r="Y44" i="60" s="1"/>
  <c r="S44" i="58"/>
  <c r="S45" i="57"/>
  <c r="S59" i="60"/>
  <c r="W59" i="60" s="1"/>
  <c r="Y59" i="60" s="1"/>
  <c r="S59" i="58"/>
  <c r="S60" i="57"/>
  <c r="S43" i="60"/>
  <c r="W43" i="60" s="1"/>
  <c r="Y43" i="60" s="1"/>
  <c r="S44" i="57"/>
  <c r="S43" i="58"/>
  <c r="S60" i="31"/>
  <c r="AL54" i="31"/>
  <c r="AT54" i="31" s="1"/>
  <c r="AV54" i="31"/>
  <c r="AL66" i="58"/>
  <c r="AT66" i="58" s="1"/>
  <c r="AV66" i="58"/>
  <c r="G70" i="58"/>
  <c r="AD38" i="58"/>
  <c r="K71" i="57"/>
  <c r="S58" i="57"/>
  <c r="S43" i="57"/>
  <c r="AL51" i="57"/>
  <c r="AT51" i="57" s="1"/>
  <c r="AV51" i="57"/>
  <c r="AL50" i="57"/>
  <c r="AT50" i="57" s="1"/>
  <c r="AV50" i="57"/>
  <c r="AL47" i="57"/>
  <c r="AT47" i="57" s="1"/>
  <c r="AV47" i="57"/>
  <c r="S61" i="60"/>
  <c r="W61" i="60" s="1"/>
  <c r="Y61" i="60" s="1"/>
  <c r="S61" i="58"/>
  <c r="S62" i="57"/>
  <c r="S41" i="31"/>
  <c r="AL47" i="31"/>
  <c r="AT47" i="31" s="1"/>
  <c r="AV47" i="31"/>
  <c r="AL57" i="31"/>
  <c r="AT57" i="31" s="1"/>
  <c r="AV57" i="31"/>
  <c r="S55" i="31"/>
  <c r="AL58" i="31"/>
  <c r="AT58" i="31" s="1"/>
  <c r="AV58" i="31"/>
  <c r="S54" i="60"/>
  <c r="W54" i="60" s="1"/>
  <c r="Y54" i="60" s="1"/>
  <c r="S54" i="58"/>
  <c r="S55" i="57"/>
  <c r="S49" i="58"/>
  <c r="W49" i="58" s="1"/>
  <c r="Y49" i="58" s="1"/>
  <c r="S41" i="60"/>
  <c r="W41" i="60" s="1"/>
  <c r="Y41" i="60" s="1"/>
  <c r="S42" i="57"/>
  <c r="S41" i="58"/>
  <c r="S53" i="31"/>
  <c r="S69" i="31"/>
  <c r="AL56" i="57"/>
  <c r="AT56" i="57" s="1"/>
  <c r="AV56" i="57"/>
  <c r="AL47" i="58"/>
  <c r="AT47" i="58" s="1"/>
  <c r="AV47" i="58"/>
  <c r="AL63" i="58"/>
  <c r="AT63" i="58" s="1"/>
  <c r="AV63" i="58"/>
  <c r="S58" i="58"/>
  <c r="S50" i="60"/>
  <c r="W50" i="60" s="1"/>
  <c r="Y50" i="60" s="1"/>
  <c r="S50" i="58"/>
  <c r="S51" i="57"/>
  <c r="S68" i="57"/>
  <c r="S42" i="31"/>
  <c r="S58" i="31"/>
  <c r="AL44" i="31"/>
  <c r="AT44" i="31" s="1"/>
  <c r="AV44" i="31"/>
  <c r="AL60" i="31"/>
  <c r="AT60" i="31" s="1"/>
  <c r="AV60" i="31"/>
  <c r="AL45" i="57"/>
  <c r="AT45" i="57" s="1"/>
  <c r="AV45" i="57"/>
  <c r="AL61" i="57"/>
  <c r="AT61" i="57" s="1"/>
  <c r="AV61" i="57"/>
  <c r="AL52" i="58"/>
  <c r="AT52" i="58" s="1"/>
  <c r="AV52" i="58"/>
  <c r="AL68" i="58"/>
  <c r="AT68" i="58" s="1"/>
  <c r="AV68" i="58"/>
  <c r="S68" i="58"/>
  <c r="S52" i="58"/>
  <c r="S67" i="58"/>
  <c r="S51" i="58"/>
  <c r="S56" i="60"/>
  <c r="W56" i="60" s="1"/>
  <c r="Y56" i="60" s="1"/>
  <c r="S56" i="58"/>
  <c r="S57" i="57"/>
  <c r="S40" i="60"/>
  <c r="W40" i="60" s="1"/>
  <c r="Y40" i="60" s="1"/>
  <c r="S40" i="58"/>
  <c r="S41" i="57"/>
  <c r="S55" i="60"/>
  <c r="W55" i="60" s="1"/>
  <c r="Y55" i="60" s="1"/>
  <c r="S55" i="58"/>
  <c r="S56" i="57"/>
  <c r="S39" i="58"/>
  <c r="S40" i="57"/>
  <c r="S68" i="31"/>
  <c r="AL59" i="31"/>
  <c r="AT59" i="31" s="1"/>
  <c r="AV59" i="31"/>
  <c r="AL62" i="58"/>
  <c r="AT62" i="58" s="1"/>
  <c r="AV62" i="58"/>
  <c r="AL39" i="58"/>
  <c r="AT39" i="58" s="1"/>
  <c r="AV39" i="58"/>
  <c r="S47" i="57"/>
  <c r="S52" i="57"/>
  <c r="I71" i="57"/>
  <c r="S39" i="57"/>
  <c r="AL43" i="57"/>
  <c r="AT43" i="57" s="1"/>
  <c r="AV43" i="57"/>
  <c r="AL42" i="57"/>
  <c r="AT42" i="57" s="1"/>
  <c r="AV42" i="57"/>
  <c r="AD39" i="57"/>
  <c r="G71" i="57"/>
  <c r="AL55" i="31"/>
  <c r="AT55" i="31" s="1"/>
  <c r="AV55" i="31"/>
  <c r="S38" i="58"/>
  <c r="AL63" i="31"/>
  <c r="AT63" i="31" s="1"/>
  <c r="AV63" i="31"/>
  <c r="AL54" i="57"/>
  <c r="AT54" i="57" s="1"/>
  <c r="AV54" i="57"/>
  <c r="AX53" i="58"/>
  <c r="U53" i="58" s="1"/>
  <c r="W53" i="58" s="1"/>
  <c r="Y53" i="58" s="1"/>
  <c r="S64" i="31"/>
  <c r="AL66" i="31"/>
  <c r="AT66" i="31" s="1"/>
  <c r="AV66" i="31"/>
  <c r="AL41" i="58"/>
  <c r="AT41" i="58" s="1"/>
  <c r="AV41" i="58"/>
  <c r="AD72" i="31"/>
  <c r="AR12" i="31" s="1"/>
  <c r="AL40" i="31"/>
  <c r="AV40" i="31"/>
  <c r="AX53" i="31"/>
  <c r="U53" i="31" s="1"/>
  <c r="AX67" i="31"/>
  <c r="U67" i="31" s="1"/>
  <c r="W67" i="31" s="1"/>
  <c r="Y67" i="31" s="1"/>
  <c r="Q71" i="57"/>
  <c r="S50" i="31"/>
  <c r="AR11" i="57"/>
  <c r="BK11" i="57" s="1"/>
  <c r="AX49" i="31" l="1"/>
  <c r="U49" i="31" s="1"/>
  <c r="W49" i="31" s="1"/>
  <c r="Y49" i="31" s="1"/>
  <c r="AX46" i="58"/>
  <c r="U46" i="58" s="1"/>
  <c r="W46" i="58" s="1"/>
  <c r="Y46" i="58" s="1"/>
  <c r="AX62" i="31"/>
  <c r="U62" i="31" s="1"/>
  <c r="W62" i="31" s="1"/>
  <c r="Y62" i="31" s="1"/>
  <c r="W61" i="31"/>
  <c r="Y61" i="31" s="1"/>
  <c r="AX44" i="58"/>
  <c r="U44" i="58" s="1"/>
  <c r="AX53" i="57"/>
  <c r="U53" i="57" s="1"/>
  <c r="W53" i="57" s="1"/>
  <c r="Y53" i="57" s="1"/>
  <c r="AX52" i="31"/>
  <c r="U52" i="31" s="1"/>
  <c r="W52" i="31" s="1"/>
  <c r="Y52" i="31" s="1"/>
  <c r="AX60" i="58"/>
  <c r="U60" i="58" s="1"/>
  <c r="W60" i="58" s="1"/>
  <c r="Y60" i="58" s="1"/>
  <c r="AX68" i="31"/>
  <c r="U68" i="31" s="1"/>
  <c r="AX47" i="31"/>
  <c r="U47" i="31" s="1"/>
  <c r="W47" i="31" s="1"/>
  <c r="Y47" i="31" s="1"/>
  <c r="AX50" i="57"/>
  <c r="U50" i="57" s="1"/>
  <c r="W50" i="57" s="1"/>
  <c r="Y50" i="57" s="1"/>
  <c r="AX59" i="58"/>
  <c r="U59" i="58" s="1"/>
  <c r="W59" i="58" s="1"/>
  <c r="Y59" i="58" s="1"/>
  <c r="AX68" i="57"/>
  <c r="U68" i="57" s="1"/>
  <c r="W68" i="57" s="1"/>
  <c r="Y68" i="57" s="1"/>
  <c r="AX45" i="58"/>
  <c r="U45" i="58" s="1"/>
  <c r="W45" i="58" s="1"/>
  <c r="Y45" i="58" s="1"/>
  <c r="AX40" i="58"/>
  <c r="U40" i="58" s="1"/>
  <c r="AX49" i="57"/>
  <c r="U49" i="57" s="1"/>
  <c r="AX48" i="31"/>
  <c r="U48" i="31" s="1"/>
  <c r="W48" i="31" s="1"/>
  <c r="Y48" i="31" s="1"/>
  <c r="W46" i="31"/>
  <c r="Y46" i="31" s="1"/>
  <c r="AX66" i="31"/>
  <c r="U66" i="31" s="1"/>
  <c r="W66" i="31" s="1"/>
  <c r="Y66" i="31" s="1"/>
  <c r="AX54" i="57"/>
  <c r="U54" i="57" s="1"/>
  <c r="AX62" i="58"/>
  <c r="U62" i="58" s="1"/>
  <c r="W62" i="58" s="1"/>
  <c r="Y62" i="58" s="1"/>
  <c r="AX57" i="31"/>
  <c r="U57" i="31" s="1"/>
  <c r="W57" i="31" s="1"/>
  <c r="Y57" i="31" s="1"/>
  <c r="S49" i="57"/>
  <c r="W53" i="31"/>
  <c r="Y53" i="31" s="1"/>
  <c r="AX64" i="58"/>
  <c r="U64" i="58" s="1"/>
  <c r="AX57" i="57"/>
  <c r="U57" i="57" s="1"/>
  <c r="W57" i="57" s="1"/>
  <c r="Y57" i="57" s="1"/>
  <c r="AX56" i="31"/>
  <c r="U56" i="31" s="1"/>
  <c r="W56" i="31" s="1"/>
  <c r="Y56" i="31" s="1"/>
  <c r="AX41" i="58"/>
  <c r="U41" i="58" s="1"/>
  <c r="W41" i="58" s="1"/>
  <c r="Y41" i="58" s="1"/>
  <c r="AX43" i="57"/>
  <c r="U43" i="57" s="1"/>
  <c r="AX52" i="58"/>
  <c r="U52" i="58" s="1"/>
  <c r="W52" i="58" s="1"/>
  <c r="Y52" i="58" s="1"/>
  <c r="AX45" i="57"/>
  <c r="U45" i="57" s="1"/>
  <c r="AX44" i="31"/>
  <c r="U44" i="31" s="1"/>
  <c r="W44" i="31" s="1"/>
  <c r="Y44" i="31" s="1"/>
  <c r="AX47" i="58"/>
  <c r="U47" i="58" s="1"/>
  <c r="AX41" i="57"/>
  <c r="U41" i="57" s="1"/>
  <c r="W41" i="57" s="1"/>
  <c r="Y41" i="57" s="1"/>
  <c r="AX50" i="31"/>
  <c r="U50" i="31" s="1"/>
  <c r="W50" i="31" s="1"/>
  <c r="Y50" i="31" s="1"/>
  <c r="AX69" i="31"/>
  <c r="U69" i="31" s="1"/>
  <c r="W69" i="31" s="1"/>
  <c r="Y69" i="31" s="1"/>
  <c r="AX58" i="58"/>
  <c r="U58" i="58" s="1"/>
  <c r="AX58" i="57"/>
  <c r="U58" i="57" s="1"/>
  <c r="W58" i="57" s="1"/>
  <c r="Y58" i="57" s="1"/>
  <c r="AX55" i="31"/>
  <c r="U55" i="31" s="1"/>
  <c r="W55" i="31" s="1"/>
  <c r="Y55" i="31" s="1"/>
  <c r="AX61" i="57"/>
  <c r="U61" i="57" s="1"/>
  <c r="W61" i="57" s="1"/>
  <c r="Y61" i="57" s="1"/>
  <c r="AX60" i="31"/>
  <c r="U60" i="31" s="1"/>
  <c r="W60" i="31" s="1"/>
  <c r="Y60" i="31" s="1"/>
  <c r="AX63" i="58"/>
  <c r="U63" i="58" s="1"/>
  <c r="W63" i="58" s="1"/>
  <c r="Y63" i="58" s="1"/>
  <c r="AX56" i="57"/>
  <c r="U56" i="57" s="1"/>
  <c r="AX54" i="31"/>
  <c r="U54" i="31" s="1"/>
  <c r="W54" i="31" s="1"/>
  <c r="Y54" i="31" s="1"/>
  <c r="AX50" i="58"/>
  <c r="U50" i="58" s="1"/>
  <c r="W50" i="58" s="1"/>
  <c r="Y50" i="58" s="1"/>
  <c r="AX41" i="31"/>
  <c r="U41" i="31" s="1"/>
  <c r="W41" i="31" s="1"/>
  <c r="Y41" i="31" s="1"/>
  <c r="AX55" i="57"/>
  <c r="U55" i="57" s="1"/>
  <c r="AX59" i="57"/>
  <c r="U59" i="57" s="1"/>
  <c r="W59" i="57" s="1"/>
  <c r="AX51" i="58"/>
  <c r="U51" i="58" s="1"/>
  <c r="W51" i="58" s="1"/>
  <c r="Y51" i="58" s="1"/>
  <c r="AX39" i="58"/>
  <c r="U39" i="58" s="1"/>
  <c r="W39" i="58" s="1"/>
  <c r="Y39" i="58" s="1"/>
  <c r="AX47" i="57"/>
  <c r="U47" i="57" s="1"/>
  <c r="AX43" i="58"/>
  <c r="U43" i="58" s="1"/>
  <c r="W43" i="58" s="1"/>
  <c r="Y43" i="58" s="1"/>
  <c r="W47" i="58"/>
  <c r="Y47" i="58" s="1"/>
  <c r="W64" i="58"/>
  <c r="Y64" i="58" s="1"/>
  <c r="W57" i="58"/>
  <c r="Y57" i="58" s="1"/>
  <c r="W44" i="58"/>
  <c r="Y44" i="58" s="1"/>
  <c r="S70" i="58"/>
  <c r="G47" i="32" s="1"/>
  <c r="AL39" i="57"/>
  <c r="AT39" i="57" s="1"/>
  <c r="AD71" i="57"/>
  <c r="AR12" i="57" s="1"/>
  <c r="AV39" i="57"/>
  <c r="AV71" i="57" s="1"/>
  <c r="S72" i="31"/>
  <c r="G33" i="32" s="1"/>
  <c r="AV38" i="58"/>
  <c r="AV70" i="58" s="1"/>
  <c r="AL38" i="58"/>
  <c r="AD70" i="58"/>
  <c r="AR12" i="58" s="1"/>
  <c r="O71" i="57"/>
  <c r="AX70" i="31"/>
  <c r="U70" i="31" s="1"/>
  <c r="W70" i="31" s="1"/>
  <c r="Y70" i="31" s="1"/>
  <c r="AX64" i="57"/>
  <c r="U64" i="57" s="1"/>
  <c r="AX61" i="58"/>
  <c r="U61" i="58" s="1"/>
  <c r="W61" i="58" s="1"/>
  <c r="Y61" i="58" s="1"/>
  <c r="W65" i="58"/>
  <c r="Y65" i="58" s="1"/>
  <c r="AX63" i="57"/>
  <c r="U63" i="57" s="1"/>
  <c r="AX67" i="57"/>
  <c r="U67" i="57" s="1"/>
  <c r="AX65" i="31"/>
  <c r="U65" i="31" s="1"/>
  <c r="W65" i="31" s="1"/>
  <c r="Y65" i="31" s="1"/>
  <c r="O70" i="59"/>
  <c r="S68" i="59"/>
  <c r="W40" i="58"/>
  <c r="Y40" i="58" s="1"/>
  <c r="AX44" i="57"/>
  <c r="U44" i="57" s="1"/>
  <c r="W44" i="57" s="1"/>
  <c r="AV72" i="31"/>
  <c r="S71" i="57"/>
  <c r="G34" i="32" s="1"/>
  <c r="W58" i="58"/>
  <c r="Y58" i="58" s="1"/>
  <c r="W68" i="31"/>
  <c r="Y68" i="31" s="1"/>
  <c r="Q72" i="31"/>
  <c r="W42" i="31"/>
  <c r="Y42" i="31" s="1"/>
  <c r="AX67" i="58"/>
  <c r="U67" i="58" s="1"/>
  <c r="W67" i="58" s="1"/>
  <c r="Y67" i="58" s="1"/>
  <c r="AX60" i="57"/>
  <c r="U60" i="57" s="1"/>
  <c r="O70" i="60"/>
  <c r="S39" i="60"/>
  <c r="AT40" i="31"/>
  <c r="AT72" i="31" s="1"/>
  <c r="AL72" i="31"/>
  <c r="AX63" i="31"/>
  <c r="U63" i="31" s="1"/>
  <c r="W63" i="31" s="1"/>
  <c r="Y63" i="31" s="1"/>
  <c r="AX42" i="57"/>
  <c r="U42" i="57" s="1"/>
  <c r="AX59" i="31"/>
  <c r="U59" i="31" s="1"/>
  <c r="W59" i="31" s="1"/>
  <c r="Y59" i="31" s="1"/>
  <c r="O70" i="58"/>
  <c r="AX68" i="58"/>
  <c r="U68" i="58" s="1"/>
  <c r="W68" i="58" s="1"/>
  <c r="Y68" i="58" s="1"/>
  <c r="AX58" i="31"/>
  <c r="U58" i="31" s="1"/>
  <c r="W58" i="31" s="1"/>
  <c r="Y58" i="31" s="1"/>
  <c r="AX51" i="57"/>
  <c r="U51" i="57" s="1"/>
  <c r="W51" i="57" s="1"/>
  <c r="AX66" i="58"/>
  <c r="U66" i="58" s="1"/>
  <c r="W66" i="58" s="1"/>
  <c r="Y66" i="58" s="1"/>
  <c r="AX48" i="58"/>
  <c r="U48" i="58" s="1"/>
  <c r="W48" i="58" s="1"/>
  <c r="Y48" i="58" s="1"/>
  <c r="AX52" i="57"/>
  <c r="U52" i="57" s="1"/>
  <c r="W52" i="57" s="1"/>
  <c r="AL71" i="57"/>
  <c r="AT69" i="57"/>
  <c r="AX69" i="57" s="1"/>
  <c r="U69" i="57" s="1"/>
  <c r="W69" i="57" s="1"/>
  <c r="AX55" i="58"/>
  <c r="U55" i="58" s="1"/>
  <c r="W55" i="58" s="1"/>
  <c r="Y55" i="58" s="1"/>
  <c r="AX48" i="57"/>
  <c r="U48" i="57" s="1"/>
  <c r="AX45" i="31"/>
  <c r="U45" i="31" s="1"/>
  <c r="W45" i="31" s="1"/>
  <c r="Y45" i="31" s="1"/>
  <c r="AX40" i="57"/>
  <c r="U40" i="57" s="1"/>
  <c r="AX66" i="57"/>
  <c r="U66" i="57" s="1"/>
  <c r="W66" i="57" s="1"/>
  <c r="AX54" i="58"/>
  <c r="U54" i="58" s="1"/>
  <c r="W54" i="58" s="1"/>
  <c r="Y54" i="58" s="1"/>
  <c r="AX62" i="57"/>
  <c r="U62" i="57" s="1"/>
  <c r="W62" i="57" s="1"/>
  <c r="AX43" i="31"/>
  <c r="U43" i="31" s="1"/>
  <c r="W43" i="31" s="1"/>
  <c r="Y43" i="31" s="1"/>
  <c r="AX56" i="58"/>
  <c r="U56" i="58" s="1"/>
  <c r="W56" i="58" s="1"/>
  <c r="Y56" i="58" s="1"/>
  <c r="AX65" i="57"/>
  <c r="U65" i="57" s="1"/>
  <c r="W65" i="57" s="1"/>
  <c r="AX64" i="31"/>
  <c r="U64" i="31" s="1"/>
  <c r="W64" i="31" s="1"/>
  <c r="Y64" i="31" s="1"/>
  <c r="W49" i="57" l="1"/>
  <c r="Y49" i="57" s="1"/>
  <c r="W55" i="57"/>
  <c r="Y55" i="57" s="1"/>
  <c r="W42" i="57"/>
  <c r="Y42" i="57" s="1"/>
  <c r="W64" i="57"/>
  <c r="Y64" i="57" s="1"/>
  <c r="Y52" i="57"/>
  <c r="Y66" i="57"/>
  <c r="Y44" i="57"/>
  <c r="W45" i="57"/>
  <c r="Y45" i="57" s="1"/>
  <c r="W40" i="57"/>
  <c r="Y40" i="57" s="1"/>
  <c r="W63" i="57"/>
  <c r="Y63" i="57" s="1"/>
  <c r="W48" i="57"/>
  <c r="Y48" i="57" s="1"/>
  <c r="W60" i="57"/>
  <c r="Y60" i="57" s="1"/>
  <c r="Y62" i="57"/>
  <c r="Y69" i="57"/>
  <c r="Y65" i="57"/>
  <c r="Y51" i="57"/>
  <c r="Y59" i="57"/>
  <c r="W54" i="57"/>
  <c r="Y54" i="57" s="1"/>
  <c r="W43" i="57"/>
  <c r="Y43" i="57" s="1"/>
  <c r="W47" i="57"/>
  <c r="Y47" i="57" s="1"/>
  <c r="W56" i="57"/>
  <c r="Y56" i="57" s="1"/>
  <c r="W67" i="57"/>
  <c r="Y67" i="57" s="1"/>
  <c r="AL70" i="58"/>
  <c r="AT38" i="58"/>
  <c r="AT71" i="57"/>
  <c r="AX39" i="57"/>
  <c r="W39" i="60"/>
  <c r="S70" i="60"/>
  <c r="G27" i="32" s="1"/>
  <c r="AX40" i="31"/>
  <c r="S70" i="59"/>
  <c r="G48" i="32" s="1"/>
  <c r="W68" i="59"/>
  <c r="AT70" i="58" l="1"/>
  <c r="AX38" i="58"/>
  <c r="W70" i="59"/>
  <c r="K48" i="32" s="1"/>
  <c r="Y68" i="59"/>
  <c r="Y70" i="59" s="1"/>
  <c r="M48" i="32" s="1"/>
  <c r="Y39" i="60"/>
  <c r="Y70" i="60" s="1"/>
  <c r="M27" i="32" s="1"/>
  <c r="H23" i="23" s="1"/>
  <c r="J23" i="23" s="1"/>
  <c r="W70" i="60"/>
  <c r="K27" i="32" s="1"/>
  <c r="U39" i="57"/>
  <c r="W39" i="57" s="1"/>
  <c r="W71" i="57" s="1"/>
  <c r="AX71" i="57"/>
  <c r="U40" i="31"/>
  <c r="AX72" i="31"/>
  <c r="S35" i="23" l="1"/>
  <c r="U35" i="23" s="1"/>
  <c r="H35" i="23"/>
  <c r="J35" i="23" s="1"/>
  <c r="S23" i="23"/>
  <c r="U23" i="23" s="1"/>
  <c r="U71" i="57"/>
  <c r="I34" i="32" s="1"/>
  <c r="U38" i="58"/>
  <c r="AX70" i="58"/>
  <c r="W40" i="31"/>
  <c r="U72" i="31"/>
  <c r="I33" i="32" s="1"/>
  <c r="U70" i="58" l="1"/>
  <c r="I47" i="32" s="1"/>
  <c r="W38" i="58"/>
  <c r="Y39" i="57"/>
  <c r="Y71" i="57" s="1"/>
  <c r="M34" i="32" s="1"/>
  <c r="H27" i="23" s="1"/>
  <c r="J27" i="23" s="1"/>
  <c r="K34" i="32"/>
  <c r="Y40" i="31"/>
  <c r="Y72" i="31" s="1"/>
  <c r="M33" i="32" s="1"/>
  <c r="H26" i="23" s="1"/>
  <c r="J26" i="23" s="1"/>
  <c r="W72" i="31"/>
  <c r="K33" i="32" s="1"/>
  <c r="S27" i="23" l="1"/>
  <c r="U27" i="23" s="1"/>
  <c r="S26" i="23"/>
  <c r="U26" i="23" s="1"/>
  <c r="Y38" i="58"/>
  <c r="Y70" i="58" s="1"/>
  <c r="M47" i="32" s="1"/>
  <c r="W70" i="58"/>
  <c r="K47" i="32" s="1"/>
  <c r="S34" i="23" l="1"/>
  <c r="U34" i="23" s="1"/>
  <c r="U40" i="23" s="1"/>
  <c r="H34" i="23"/>
  <c r="J34" i="23" s="1"/>
  <c r="J40" i="23" s="1"/>
  <c r="BD11" i="75"/>
  <c r="U38" i="75" l="1"/>
  <c r="W38" i="75" s="1"/>
  <c r="Y38" i="75" s="1"/>
  <c r="U48" i="75"/>
  <c r="W48" i="75" s="1"/>
  <c r="Y48" i="75" s="1"/>
  <c r="U49" i="75"/>
  <c r="W49" i="75" s="1"/>
  <c r="Y49" i="75" s="1"/>
  <c r="U39" i="75"/>
  <c r="W39" i="75" s="1"/>
  <c r="Y39" i="75" s="1"/>
  <c r="U50" i="75"/>
  <c r="W50" i="75" s="1"/>
  <c r="Y50" i="75" s="1"/>
  <c r="U40" i="75"/>
  <c r="W40" i="75" s="1"/>
  <c r="Y40" i="75" s="1"/>
  <c r="U51" i="75"/>
  <c r="W51" i="75" s="1"/>
  <c r="Y51" i="75" s="1"/>
  <c r="U41" i="75"/>
  <c r="W41" i="75" s="1"/>
  <c r="Y41" i="75" s="1"/>
  <c r="U42" i="75"/>
  <c r="W42" i="75" s="1"/>
  <c r="Y42" i="75" s="1"/>
  <c r="U52" i="75"/>
  <c r="W52" i="75" s="1"/>
  <c r="Y52" i="75" s="1"/>
  <c r="U53" i="75"/>
  <c r="W53" i="75" s="1"/>
  <c r="Y53" i="75" s="1"/>
  <c r="U43" i="75"/>
  <c r="W43" i="75" s="1"/>
  <c r="Y43" i="75" s="1"/>
  <c r="U54" i="75"/>
  <c r="W54" i="75" s="1"/>
  <c r="Y54" i="75" s="1"/>
  <c r="U44" i="75"/>
  <c r="W44" i="75" s="1"/>
  <c r="Y44" i="75" s="1"/>
  <c r="U55" i="75"/>
  <c r="W55" i="75" s="1"/>
  <c r="Y55" i="75" s="1"/>
  <c r="U45" i="75"/>
  <c r="W45" i="75" s="1"/>
  <c r="Y45" i="75" s="1"/>
  <c r="U46" i="75"/>
  <c r="W46" i="75" s="1"/>
  <c r="Y46" i="75" s="1"/>
  <c r="U56" i="75"/>
  <c r="W56" i="75" s="1"/>
  <c r="Y56" i="75" s="1"/>
  <c r="U57" i="75"/>
  <c r="W57" i="75" s="1"/>
  <c r="Y57" i="75" s="1"/>
  <c r="U47" i="75"/>
  <c r="W47" i="75" s="1"/>
  <c r="Y47" i="75" s="1"/>
  <c r="BF28" i="75"/>
  <c r="BF29" i="75"/>
  <c r="AT29" i="75" s="1"/>
  <c r="AX29" i="75" s="1"/>
  <c r="BF30" i="75"/>
  <c r="AT30" i="75" s="1"/>
  <c r="AX30" i="75" s="1"/>
  <c r="U30" i="75" s="1"/>
  <c r="W30" i="75" s="1"/>
  <c r="Y30" i="75" s="1"/>
  <c r="BF31" i="75"/>
  <c r="AT31" i="75" s="1"/>
  <c r="AX31" i="75" s="1"/>
  <c r="U31" i="75" s="1"/>
  <c r="W31" i="75" s="1"/>
  <c r="Y31" i="75" s="1"/>
  <c r="BF32" i="75"/>
  <c r="AT32" i="75" s="1"/>
  <c r="AX32" i="75" s="1"/>
  <c r="U32" i="75" s="1"/>
  <c r="W32" i="75" s="1"/>
  <c r="Y32" i="75" s="1"/>
  <c r="BF33" i="75"/>
  <c r="AT33" i="75" s="1"/>
  <c r="AX33" i="75" s="1"/>
  <c r="U33" i="75" s="1"/>
  <c r="W33" i="75" s="1"/>
  <c r="Y33" i="75" s="1"/>
  <c r="BF34" i="75"/>
  <c r="AT34" i="75" s="1"/>
  <c r="AX34" i="75" s="1"/>
  <c r="U34" i="75" s="1"/>
  <c r="W34" i="75" s="1"/>
  <c r="Y34" i="75" s="1"/>
  <c r="BF35" i="75"/>
  <c r="AT35" i="75" s="1"/>
  <c r="AX35" i="75" s="1"/>
  <c r="U35" i="75" s="1"/>
  <c r="W35" i="75" s="1"/>
  <c r="Y35" i="75" s="1"/>
  <c r="BF36" i="75"/>
  <c r="AT36" i="75" s="1"/>
  <c r="AX36" i="75" s="1"/>
  <c r="U36" i="75" s="1"/>
  <c r="W36" i="75" s="1"/>
  <c r="Y36" i="75" s="1"/>
  <c r="BF37" i="75"/>
  <c r="AT37" i="75" s="1"/>
  <c r="AX37" i="75" s="1"/>
  <c r="U37" i="75" s="1"/>
  <c r="W37" i="75" s="1"/>
  <c r="Y37" i="75" s="1"/>
  <c r="BF59" i="75" l="1"/>
  <c r="U29" i="75"/>
  <c r="W29" i="75" s="1"/>
  <c r="Y29" i="75" s="1"/>
  <c r="AT28" i="75"/>
  <c r="AT59" i="75" s="1"/>
  <c r="AX28" i="75" l="1"/>
  <c r="AX59" i="75" l="1"/>
  <c r="U28" i="75"/>
  <c r="U59" i="75" l="1"/>
  <c r="W28" i="75"/>
  <c r="Y28" i="75" l="1"/>
  <c r="Y59" i="75" s="1"/>
  <c r="W59" i="75"/>
  <c r="I11" i="32"/>
  <c r="M11" i="32" l="1"/>
  <c r="H66" i="23" s="1"/>
  <c r="J66" i="23" s="1"/>
  <c r="J68" i="23" s="1"/>
  <c r="J70" i="23" s="1"/>
  <c r="J74" i="23" s="1"/>
  <c r="K11" i="32"/>
  <c r="S66" i="23" l="1"/>
  <c r="U66" i="23" s="1"/>
  <c r="U68" i="23" s="1"/>
  <c r="U70" i="23" s="1"/>
  <c r="U74" i="23" s="1"/>
</calcChain>
</file>

<file path=xl/sharedStrings.xml><?xml version="1.0" encoding="utf-8"?>
<sst xmlns="http://schemas.openxmlformats.org/spreadsheetml/2006/main" count="5145" uniqueCount="393">
  <si>
    <t>PACIFICORP</t>
  </si>
  <si>
    <t>EVALUATION OF RENEWABLE RESOURCE COST</t>
  </si>
  <si>
    <t>WORKPAPER INDEX</t>
  </si>
  <si>
    <t>SUMMARY</t>
  </si>
  <si>
    <t>TOTAL RESOURCE COST TO WASHINGTON REVENUE REQUIREMENT</t>
  </si>
  <si>
    <t>LEVELIZED RESOURCE COST SUMMARY</t>
  </si>
  <si>
    <t>INPUT DATA</t>
  </si>
  <si>
    <t>FORWARD PRICE CURVE</t>
  </si>
  <si>
    <t>RESOURCE COST CALCULATIONS</t>
  </si>
  <si>
    <t>DOLLARS PER REC / MWH</t>
  </si>
  <si>
    <t>TOTAL DOLLARS</t>
  </si>
  <si>
    <t>WIND</t>
  </si>
  <si>
    <t>Goodnoe Hills</t>
  </si>
  <si>
    <t>Leaning Juniper</t>
  </si>
  <si>
    <t>|</t>
  </si>
  <si>
    <t>Marengo I</t>
  </si>
  <si>
    <t>Marengo II</t>
  </si>
  <si>
    <t>Top of the World</t>
  </si>
  <si>
    <t>Subtotal Wind Resource Cost</t>
  </si>
  <si>
    <t>Prospect 2 (Upgrade 1999)</t>
  </si>
  <si>
    <t>Lemolo 1 (Upgrade 2003)</t>
  </si>
  <si>
    <t>Lemolo 2 (Upgrade 2009)</t>
  </si>
  <si>
    <t>Subtotal Hydro Resource Cost</t>
  </si>
  <si>
    <t>TOTAL RESOURCE COST</t>
  </si>
  <si>
    <t>WASHINGTON REVENUE REQUIREMENT</t>
  </si>
  <si>
    <t>Nominal Levelized Cost Over Renewable Resource Life</t>
  </si>
  <si>
    <t>Marengo</t>
  </si>
  <si>
    <t>Renewable Resource Cost ($000)</t>
  </si>
  <si>
    <t>Least-cost Substitute Resource Cost ($000)</t>
  </si>
  <si>
    <t>Cost Differential ($000)</t>
  </si>
  <si>
    <t>Cost Differential ($/MWh)</t>
  </si>
  <si>
    <t>NAMEPLATE CAPACITY (MW)</t>
  </si>
  <si>
    <t>CAPACITY FACTOR</t>
  </si>
  <si>
    <t>IN-SERVICE</t>
  </si>
  <si>
    <t>LIFE/TERM YEARS</t>
  </si>
  <si>
    <t>-</t>
  </si>
  <si>
    <t>Plant Details</t>
  </si>
  <si>
    <t>Capital Costs</t>
  </si>
  <si>
    <t>Fixed Costs</t>
  </si>
  <si>
    <t xml:space="preserve">   Variable Costs</t>
  </si>
  <si>
    <t xml:space="preserve">Fixed O&amp;M </t>
  </si>
  <si>
    <t>Description</t>
  </si>
  <si>
    <t>Capacity Factor</t>
  </si>
  <si>
    <t>Availability 
Factor</t>
  </si>
  <si>
    <t>In-Service Year</t>
  </si>
  <si>
    <t>Average Capacity (MW)</t>
  </si>
  <si>
    <t>Annual Heat Rate (BTU/kWh)</t>
  </si>
  <si>
    <t>Calculated (MWh/yr)</t>
  </si>
  <si>
    <t>Total Capital Cost 
($/kW)</t>
  </si>
  <si>
    <t>Payment Factor</t>
  </si>
  <si>
    <t>O&amp;M 
($/kW-Yr)</t>
  </si>
  <si>
    <t>Other 
($/kW-Yr)</t>
  </si>
  <si>
    <t>Total FOM + other fixed
($/kW-Yr)</t>
  </si>
  <si>
    <t>Variable O&amp;M input 
($/MWh)</t>
  </si>
  <si>
    <t>West Side</t>
  </si>
  <si>
    <t>CCCT (Wet "F" 2x1) *</t>
  </si>
  <si>
    <t>CCCT Duct Firing (Wet "F" 2x1)</t>
  </si>
  <si>
    <t>Yearly MWh weighted average</t>
  </si>
  <si>
    <t>SCCT Frame (2 Frame "F")</t>
  </si>
  <si>
    <t>Source: Tables 5.1-Table 5.4 2007 IRP Vol 1</t>
  </si>
  <si>
    <t>2007 IRP Vol 2 appendix A page 16</t>
  </si>
  <si>
    <t>Extrapolated</t>
  </si>
  <si>
    <t>Gas Price Forecasts</t>
  </si>
  <si>
    <t>Forecast</t>
  </si>
  <si>
    <t>As described in the Market Fundamental Forecast section, natural gas prices for the first six</t>
  </si>
  <si>
    <t>years are from the market on August 31, 2006 and for the next year are a blend of market prices</t>
  </si>
  <si>
    <t>and the gas prices used in MIDAS or PIRA. Starting in year seven, PIRA’s natural gas price</t>
  </si>
  <si>
    <t>forecast is used exclusively.</t>
  </si>
  <si>
    <t>Natural gas price assumptions in MIDAS are based on PIRA Energy’s July 25, 2006 short-term</t>
  </si>
  <si>
    <t>Monthly Forward Price Curve</t>
  </si>
  <si>
    <t>forecast, the August 3, 2006 probabilistic weighted long-term gas forecast, and the August 22,</t>
  </si>
  <si>
    <t>2006 long-term gas basis differentials. PIRA gas price projections are used in MIDAS through</t>
  </si>
  <si>
    <t>MidC</t>
  </si>
  <si>
    <t xml:space="preserve">2007 IRP Base Case Fuel Prices </t>
  </si>
  <si>
    <t xml:space="preserve">Fuel Price for Non-Eligible Resource </t>
  </si>
  <si>
    <t>2020. All prices are adjusted to be consistent with PacifiCorp's official inflation curve issued in</t>
  </si>
  <si>
    <t>Year</t>
  </si>
  <si>
    <t>HLH</t>
  </si>
  <si>
    <t>LLH</t>
  </si>
  <si>
    <t>Flat</t>
  </si>
  <si>
    <t>Cost</t>
  </si>
  <si>
    <t>Period</t>
  </si>
  <si>
    <t>HLH Hours</t>
  </si>
  <si>
    <t>LLH Hours</t>
  </si>
  <si>
    <t>HLH Ratio</t>
  </si>
  <si>
    <t>LLH Ratio</t>
  </si>
  <si>
    <t>2007 IRP Base Case Fuel Prices</t>
  </si>
  <si>
    <t>IRP West Gas</t>
  </si>
  <si>
    <t>June 2006. Gas prices beyond 2020 are escalated using PacifiCorp’s inflation curve, which was</t>
  </si>
  <si>
    <t>updated on June 6, 2006.</t>
  </si>
  <si>
    <t>IRP west side natural gas prices are an average of prices at the Sumas, Stanfield and Opal delivery</t>
  </si>
  <si>
    <t>points. Natural gas prices on the east side are based on the Opal delivery point prices. Figure</t>
  </si>
  <si>
    <t>A.2 shows the natural gas price forecasts used in the 2007 IRP.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</si>
  <si>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: Integration cost of $5.10 per MWh is from 2007 IRP Appendix J, Page 195. </t>
    </r>
  </si>
  <si>
    <t xml:space="preserve">    Includes cost associated with incremental Operational Reserve requirements and system balancing costs</t>
  </si>
  <si>
    <t>ELIGIBLE RESOURCE</t>
  </si>
  <si>
    <t>NON ELIGIBLE RESOURCE (CCCT)</t>
  </si>
  <si>
    <t>NON ELIGIBLE RESOURCE (SCCT)</t>
  </si>
  <si>
    <t>RESOURCE NAME</t>
  </si>
  <si>
    <t>NAMEPLATE (MW)</t>
  </si>
  <si>
    <t>FOM ($/KW-YR)</t>
  </si>
  <si>
    <t>FOM YEAR$</t>
  </si>
  <si>
    <t>CAPACITY CONTRIBUTION</t>
  </si>
  <si>
    <t>VOM ($/MWH)</t>
  </si>
  <si>
    <t>HEAT RATE (BTU/kWh)</t>
  </si>
  <si>
    <t>CAPITAL $/KW ($ 2006)</t>
  </si>
  <si>
    <t>2007 $</t>
  </si>
  <si>
    <t>CAPITAL COST $/kW-Yr</t>
  </si>
  <si>
    <t>CAPITAL RECOVERY FACTOR</t>
  </si>
  <si>
    <t>O&amp;M COST $/MWH</t>
  </si>
  <si>
    <t>EXPECTED CF</t>
  </si>
  <si>
    <t>TRANSMISSION COST</t>
  </si>
  <si>
    <t>DISCOUNT RATE</t>
  </si>
  <si>
    <t>per Table 7.29 of 2007 IRP Main document</t>
  </si>
  <si>
    <t>ELIGIBLE RESOURCE COST</t>
  </si>
  <si>
    <t>GENERATION</t>
  </si>
  <si>
    <t>CAPITAL COST</t>
  </si>
  <si>
    <t xml:space="preserve"> O&amp;M COST</t>
  </si>
  <si>
    <t>INTEGRATION COST</t>
  </si>
  <si>
    <t>PRODUCTION TAX CREDIT</t>
  </si>
  <si>
    <t>TOTAL NON_ELIGIBLE RESOURCE COST</t>
  </si>
  <si>
    <t>TOTAL INCREMENTAL COST</t>
  </si>
  <si>
    <t>CAPITAL</t>
  </si>
  <si>
    <t>FIXED O&amp;M</t>
  </si>
  <si>
    <t>VARIABLE O&amp;M</t>
  </si>
  <si>
    <t>CAPITAL COSTS</t>
  </si>
  <si>
    <t>FUEL COST</t>
  </si>
  <si>
    <t>NON ELIGIBLE RESOURCE CAPACITY COST</t>
  </si>
  <si>
    <t>NON ELIGIBLE RESOURCE ENERGY COST</t>
  </si>
  <si>
    <t>TOTAL NON ELIGIBLE RESOURCE COST</t>
  </si>
  <si>
    <t>YEAR</t>
  </si>
  <si>
    <t>INFLATION FORECAST</t>
  </si>
  <si>
    <t>(MWH)</t>
  </si>
  <si>
    <t>($/KW-YR)</t>
  </si>
  <si>
    <t>($/MWh)</t>
  </si>
  <si>
    <t>($/MWH)</t>
  </si>
  <si>
    <t>($ 000)</t>
  </si>
  <si>
    <t>($/MMBTU)</t>
  </si>
  <si>
    <t>2008 $</t>
  </si>
  <si>
    <t>2006 $</t>
  </si>
  <si>
    <t>2.2 - FORWARD PRICE CURVE</t>
  </si>
  <si>
    <t>SO2, NOx, Hg EMISSION COST</t>
  </si>
  <si>
    <r>
      <t>SO</t>
    </r>
    <r>
      <rPr>
        <vertAlign val="subscript"/>
        <sz val="8"/>
        <rFont val="Times New Roman"/>
        <family val="1"/>
      </rPr>
      <t>2</t>
    </r>
    <r>
      <rPr>
        <sz val="10"/>
        <rFont val="Times New Roman"/>
        <family val="1"/>
      </rPr>
      <t>, NOx, HG Emission Cost ($/MWh)</t>
    </r>
  </si>
  <si>
    <t xml:space="preserve">WASHINGTON JUNE, 1 2016 RENEWABLES REPORT </t>
  </si>
  <si>
    <t>Lemolo 1 Upgrade</t>
  </si>
  <si>
    <t>ENVIRONMENTAL ($/MWH)</t>
  </si>
  <si>
    <t>Lemolo 2 Upgrade</t>
  </si>
  <si>
    <t>Emissions</t>
  </si>
  <si>
    <t>Gas Transport Cost ($/MWh)</t>
  </si>
  <si>
    <t>SO2 
lbs/MMBtu</t>
  </si>
  <si>
    <t>NOx 
lbs/ MMBtu</t>
  </si>
  <si>
    <t>Hg 
lbs/TBtu</t>
  </si>
  <si>
    <t>CO2 
lbs/MMBtu</t>
  </si>
  <si>
    <t>CCCT (Wet "F" 2x1)</t>
  </si>
  <si>
    <t>2007 IRP Proxy Resource</t>
  </si>
  <si>
    <t>SO2, NOx, HG Emission Cost ($/MWh)</t>
  </si>
  <si>
    <t>2003 IRP Proxy Resource</t>
  </si>
  <si>
    <t>CCCT 2x1</t>
  </si>
  <si>
    <t>CCCT Duct Firing 2x1</t>
  </si>
  <si>
    <t>SCCT Frame</t>
  </si>
  <si>
    <t>$/ton</t>
  </si>
  <si>
    <t>$/MWh</t>
  </si>
  <si>
    <t>levelized in CY 2002 $</t>
  </si>
  <si>
    <t>2004 IRP Proxy Resource</t>
  </si>
  <si>
    <t>Fiscal Year Mid C Utah</t>
  </si>
  <si>
    <t>2003 IRP Appendic C</t>
  </si>
  <si>
    <t>Mid C</t>
  </si>
  <si>
    <t>Utah</t>
  </si>
  <si>
    <t>INFLATION</t>
  </si>
  <si>
    <t>Where price forecasts were not established by external sources, the simulations were performed</t>
  </si>
  <si>
    <t>with an inflation rate of 2.5%, consistent with the PacifiCorp Business Planning assumptions.</t>
  </si>
  <si>
    <t>2003 IRP</t>
  </si>
  <si>
    <t>$/MMBtu)</t>
  </si>
  <si>
    <t>Table c.12</t>
  </si>
  <si>
    <t>Stanfield</t>
  </si>
  <si>
    <t>Sumas</t>
  </si>
  <si>
    <t>2004 IRP</t>
  </si>
  <si>
    <t>Table C.1 – Inflation Table</t>
  </si>
  <si>
    <t>Calendar Year Annual Rate</t>
  </si>
  <si>
    <t>2004-2010</t>
  </si>
  <si>
    <t>2011-2020</t>
  </si>
  <si>
    <t>2020-2030</t>
  </si>
  <si>
    <t>2004 IRP Base Case Fuel Prices</t>
  </si>
  <si>
    <t>2008 IRP Base Case Fuel Prices</t>
  </si>
  <si>
    <t>2008 IRP</t>
  </si>
  <si>
    <t>August 01, 2002 dated OFPC</t>
  </si>
  <si>
    <t>June 2008 dated OFPC</t>
  </si>
  <si>
    <t>June 30, 2004 dated OFPC curve</t>
  </si>
  <si>
    <r>
      <t xml:space="preserve">2007 IRP Integration Cost </t>
    </r>
    <r>
      <rPr>
        <vertAlign val="superscript"/>
        <sz val="8"/>
        <color theme="1"/>
        <rFont val="Arial"/>
        <family val="2"/>
      </rPr>
      <t>1</t>
    </r>
  </si>
  <si>
    <t>West Gas Price</t>
  </si>
  <si>
    <t>Inflation Forecast</t>
  </si>
  <si>
    <t>2007 IRP</t>
  </si>
  <si>
    <t>CAPITAL $/KW ($ 2008)</t>
  </si>
  <si>
    <t>2010 $</t>
  </si>
  <si>
    <t>FUEL COST (incl Gas Transport)</t>
  </si>
  <si>
    <t>Progress 2 Upgrade</t>
  </si>
  <si>
    <t>1999 $</t>
  </si>
  <si>
    <t>CAPITAL $/KW ($ 2002)</t>
  </si>
  <si>
    <t>2003 $</t>
  </si>
  <si>
    <t>2005 $</t>
  </si>
  <si>
    <t>CAPITAL $/KW ($ 2004)</t>
  </si>
  <si>
    <t>JC Boyle (Upgrade 2005)</t>
  </si>
  <si>
    <t>JC BOYLE Upgrade</t>
  </si>
  <si>
    <t>Dunlap I</t>
  </si>
  <si>
    <t>Glenrock I</t>
  </si>
  <si>
    <t>INCREMENTAL HYDRO</t>
  </si>
  <si>
    <t>Note 1:  REC contract price</t>
  </si>
  <si>
    <t>Greenfield CCCT 2x1</t>
  </si>
  <si>
    <t>Source: Tables C.18, C.19, C20, 2003 IRP Appendix C</t>
  </si>
  <si>
    <t>Greenfield CCCT Duct Firing 2x1</t>
  </si>
  <si>
    <t>Source: 2004 IRP, Appendix C, Tables C.27, C28</t>
  </si>
  <si>
    <t>East Side</t>
  </si>
  <si>
    <t>Seven Mile Hill I</t>
  </si>
  <si>
    <t>SOLAR</t>
  </si>
  <si>
    <t>Pavant</t>
  </si>
  <si>
    <t>Enterprise</t>
  </si>
  <si>
    <t>Note1</t>
  </si>
  <si>
    <t>Subtotal Solar Resource Cost</t>
  </si>
  <si>
    <t>Adams Solar</t>
  </si>
  <si>
    <t>Bear Creek Solar</t>
  </si>
  <si>
    <t>Bly Solar</t>
  </si>
  <si>
    <t>Elbe Solar</t>
  </si>
  <si>
    <t>Campbell Hill</t>
  </si>
  <si>
    <t>2019 IRP Proxy Resource</t>
  </si>
  <si>
    <t>CCCT Dry "G/H", 1x1</t>
  </si>
  <si>
    <t>CCCT Dry "G/H", DF, 1x1</t>
  </si>
  <si>
    <t>SCCT Frame "F" x1 - West Side Option (1500')</t>
  </si>
  <si>
    <t>Repower</t>
  </si>
  <si>
    <t>Total Life</t>
  </si>
  <si>
    <t>2017 IRP Update</t>
  </si>
  <si>
    <t>CAPITAL $/KW (2016)</t>
  </si>
  <si>
    <t>CAPITAL $/KW ($ 2016)</t>
  </si>
  <si>
    <t>2017 IRP Base Case Fuel Prices</t>
  </si>
  <si>
    <t>2017 IRP Update Base Case Fule Prices</t>
  </si>
  <si>
    <t>44 year Nominal Levelized at 6.570%</t>
  </si>
  <si>
    <t xml:space="preserve">Source: 2017 IRP Volume I, Chapter 6,  Table 6.1 and 6.2 </t>
  </si>
  <si>
    <t>Proxy Resource (Willamette Valley) 2019 IRP</t>
  </si>
  <si>
    <t>Proxy Resource (Willamette Valley) 2017 IRP Update</t>
  </si>
  <si>
    <t>2017 IRP Update Proxy Resource</t>
  </si>
  <si>
    <t xml:space="preserve">Source: 2019 IRP Volume I, Chapter 6,  Table 6.1 and 6.2 </t>
  </si>
  <si>
    <t>October 12, 2016 dated OFPC</t>
  </si>
  <si>
    <t>2018$</t>
  </si>
  <si>
    <t>2019 IRP Update</t>
  </si>
  <si>
    <t>CAPITAL $/KW (2018)</t>
  </si>
  <si>
    <t>CAPITAL $/KW ($ 2018)</t>
  </si>
  <si>
    <t>CCCT Dry "J/HA.02", 1x1</t>
  </si>
  <si>
    <t>CCCT Dry "J/HA.02", DF, 1x1</t>
  </si>
  <si>
    <t>2019 IRP Base Case Fuel Prices</t>
  </si>
  <si>
    <t>2019 IRP</t>
  </si>
  <si>
    <t>2019 IRP Base Case Fule Prices</t>
  </si>
  <si>
    <t>CALENDAR YEAR 2021 - TOTAL RESOURCE COST TO WASHINGTON REVENUE REQUIREMENT</t>
  </si>
  <si>
    <t>2021 RECs / MWH</t>
  </si>
  <si>
    <t>Ekola Flats Wind</t>
  </si>
  <si>
    <t>Foote Creek I (co-own w. EWEB, sold to BPA)</t>
  </si>
  <si>
    <t>Glenrock III</t>
  </si>
  <si>
    <t>High Plains</t>
  </si>
  <si>
    <t>Latigo Wind</t>
  </si>
  <si>
    <t>McFadden Ridge</t>
  </si>
  <si>
    <t>Mountain Wind 1</t>
  </si>
  <si>
    <t>Mountain Wind 2</t>
  </si>
  <si>
    <t>Pioneer Wind Park I LLC</t>
  </si>
  <si>
    <t xml:space="preserve">Rock River I </t>
  </si>
  <si>
    <t xml:space="preserve">Wolverine Creek </t>
  </si>
  <si>
    <t>Cedar Springs Wind III</t>
  </si>
  <si>
    <t>Cedar Springs Wind II</t>
  </si>
  <si>
    <t>Pavant Solar II LLC</t>
  </si>
  <si>
    <t>Sage Solar I, LLC</t>
  </si>
  <si>
    <t>Sage Solar II, LLC</t>
  </si>
  <si>
    <t>Sage Solar III, LLC</t>
  </si>
  <si>
    <t>Sweetwater Solar, LLC</t>
  </si>
  <si>
    <t>Bigfork</t>
  </si>
  <si>
    <t>43 year Nominal Levelized at 6.570%</t>
  </si>
  <si>
    <t>Resource</t>
  </si>
  <si>
    <t>Blundell</t>
  </si>
  <si>
    <t>Blundell II</t>
  </si>
  <si>
    <t>QF</t>
  </si>
  <si>
    <t>Resource Type</t>
  </si>
  <si>
    <t>Solar</t>
  </si>
  <si>
    <t>Geothermal</t>
  </si>
  <si>
    <t>Wind</t>
  </si>
  <si>
    <t>Incr Hydro</t>
  </si>
  <si>
    <t>Cedar Springs Wind I</t>
  </si>
  <si>
    <t>Repowered</t>
  </si>
  <si>
    <t>2018 $</t>
  </si>
  <si>
    <t>Wind integration ($/MWh)</t>
  </si>
  <si>
    <t>Solar Integration Fixed</t>
  </si>
  <si>
    <t>Solar Integration Tracking</t>
  </si>
  <si>
    <t>2017 IRP</t>
  </si>
  <si>
    <t>2016 $</t>
  </si>
  <si>
    <t>Rolling Hills</t>
  </si>
  <si>
    <t>TB Flats I</t>
  </si>
  <si>
    <t>TB Flats II</t>
  </si>
  <si>
    <t>IRP</t>
  </si>
  <si>
    <t>2007/2019</t>
  </si>
  <si>
    <t>2007/2017</t>
  </si>
  <si>
    <t>2008/2017</t>
  </si>
  <si>
    <r>
      <t>2017 &amp; 2019 IRP Flex Reserve Study (2018$)</t>
    </r>
    <r>
      <rPr>
        <vertAlign val="superscript"/>
        <sz val="6.8"/>
        <color theme="1"/>
        <rFont val="Arial"/>
        <family val="2"/>
      </rPr>
      <t>2</t>
    </r>
  </si>
  <si>
    <t>2: Used for resources acquisitions prior to 2014. 2014 Wind Integration Study published in 2015 IRP</t>
  </si>
  <si>
    <r>
      <t>2014 Wind Integration Study for 2015 IRP</t>
    </r>
    <r>
      <rPr>
        <vertAlign val="superscript"/>
        <sz val="6.8"/>
        <color theme="1"/>
        <rFont val="Arial"/>
        <family val="2"/>
      </rPr>
      <t>2</t>
    </r>
  </si>
  <si>
    <t>`</t>
  </si>
  <si>
    <t xml:space="preserve">Discount Rate - 2017 IRP Page 168 </t>
  </si>
  <si>
    <t>Discount Rate - 2015 IRP Page 141</t>
  </si>
  <si>
    <t>Discount Rate - 2019 IRP (post tax change)</t>
  </si>
  <si>
    <t>Cedar Springs III</t>
  </si>
  <si>
    <t>Mountain Wind</t>
  </si>
  <si>
    <t>Mountain Wind II</t>
  </si>
  <si>
    <t>2007 IRP Proxy</t>
  </si>
  <si>
    <t>2017 IRP Proxy</t>
  </si>
  <si>
    <t>2015 IRP</t>
  </si>
  <si>
    <t>Sage Solar I</t>
  </si>
  <si>
    <t>OFPC Analysis ----&gt;&gt;&gt;</t>
  </si>
  <si>
    <t>2019 IRP Proxy</t>
  </si>
  <si>
    <t>Sage Solar II</t>
  </si>
  <si>
    <t>Sage Solar III</t>
  </si>
  <si>
    <t>Top of World</t>
  </si>
  <si>
    <t>2008IRP</t>
  </si>
  <si>
    <t>Brownfield Site</t>
  </si>
  <si>
    <t>Proxy Resource (Dave Johnston) 2015 IRP</t>
  </si>
  <si>
    <t>CCCT Dry "J", Adv 1x1</t>
  </si>
  <si>
    <t>CCCT Dry "J", DF, Adv 1x1</t>
  </si>
  <si>
    <t xml:space="preserve">*: Proxy Plant is based on a CCCT Dry "J", Adv 1x1, from 2015 IRP </t>
  </si>
  <si>
    <t xml:space="preserve">Source: 2015 IRP Volume I, Chapter 6,  Table 6.1 and 6.2 </t>
  </si>
  <si>
    <t>n/a</t>
  </si>
  <si>
    <t>Sweetwater PPA</t>
  </si>
  <si>
    <t>Latigo</t>
  </si>
  <si>
    <t>2014 $</t>
  </si>
  <si>
    <t>Gas Transport</t>
  </si>
  <si>
    <t>Pavant Solar II</t>
  </si>
  <si>
    <t>Wind Capacity Contribution_East</t>
  </si>
  <si>
    <t>Appendix N page 316 Table N.1</t>
  </si>
  <si>
    <t>Wind Capacity Contribution_West</t>
  </si>
  <si>
    <t>Solar Fixed Capacity Contribution_East</t>
  </si>
  <si>
    <t>Solar Fixed Capacity Contribution_West</t>
  </si>
  <si>
    <t>Solar Tracking Capacity Contribution_East</t>
  </si>
  <si>
    <t>Solar Tracking Capacity Contribution_West</t>
  </si>
  <si>
    <t>2017 IRP / 2019 IRP</t>
  </si>
  <si>
    <t>2007 IRP Main document</t>
  </si>
  <si>
    <t xml:space="preserve">per Table 7.29 of </t>
  </si>
  <si>
    <t>Pioneer Wind Park I QF</t>
  </si>
  <si>
    <t xml:space="preserve">3: Integration cost based on 2017 IRP Appendix F, Table F.2 of $1.11 Wind, $0.85 per Solar  </t>
  </si>
  <si>
    <t>Seven Mile Hill II</t>
  </si>
  <si>
    <t>42 year Nominal Levelized at 6.570%</t>
  </si>
  <si>
    <t>41 year Nominal Levelized at 6.570%</t>
  </si>
  <si>
    <t>z</t>
  </si>
  <si>
    <t>Dunlap</t>
  </si>
  <si>
    <t>Total Plant Life after repowering</t>
  </si>
  <si>
    <t>Cedar Springs II</t>
  </si>
  <si>
    <t>Wolverine Creek</t>
  </si>
  <si>
    <t>Rock River</t>
  </si>
  <si>
    <t>GOETHERMAL</t>
  </si>
  <si>
    <t>Subtotal Geothermal Resource Cost</t>
  </si>
  <si>
    <t>2.1 - PROXY RESOURCE ATTRIBUTES</t>
  </si>
  <si>
    <t>PROXY RESOURCE ATTRIBUTES</t>
  </si>
  <si>
    <t>(a) Annual Forward Price Curve</t>
  </si>
  <si>
    <t>(b) Inflation Forecast</t>
  </si>
  <si>
    <t>(d) Integration Costs</t>
  </si>
  <si>
    <t>(c) Discount Rate</t>
  </si>
  <si>
    <t>Rock River I</t>
  </si>
  <si>
    <t>Dunlap I - Repowered</t>
  </si>
  <si>
    <t>Glenrock I - Repowered</t>
  </si>
  <si>
    <t>Glenrock III - Repowered</t>
  </si>
  <si>
    <t>Goodnoe Hills - Repowered</t>
  </si>
  <si>
    <t>High Plains - Repowered</t>
  </si>
  <si>
    <t>Leaning Juniper - Repowered</t>
  </si>
  <si>
    <t>Marengo I - Repowered</t>
  </si>
  <si>
    <t>Marengo II - Repowered</t>
  </si>
  <si>
    <t>McFadden Ridge - Repowered</t>
  </si>
  <si>
    <t>Rolling Hills - Repowered</t>
  </si>
  <si>
    <t>Seven Mile Hill I - Repowered</t>
  </si>
  <si>
    <t>Seven Mile Hill II - Repowered</t>
  </si>
  <si>
    <t>2.2(b)</t>
  </si>
  <si>
    <t>2.2(a)</t>
  </si>
  <si>
    <t>2.2(c)</t>
  </si>
  <si>
    <t>2.2(d)</t>
  </si>
  <si>
    <t>Big Fork</t>
  </si>
  <si>
    <t>Capital Recovery Factor</t>
  </si>
  <si>
    <t>Reference Columns CC and CD for 2003 and 2004 IRP Inflation Values</t>
  </si>
  <si>
    <t>Note:</t>
  </si>
  <si>
    <t>PTC Revenue Req.</t>
  </si>
  <si>
    <t>PTC Forecast</t>
  </si>
  <si>
    <t>(e) PTC Calc</t>
  </si>
  <si>
    <t xml:space="preserve">2018 Tax Law Change - effective tax rate </t>
  </si>
  <si>
    <t>.</t>
  </si>
  <si>
    <t>2005-2007</t>
  </si>
  <si>
    <t>2.2e)</t>
  </si>
  <si>
    <t xml:space="preserve">PTC </t>
  </si>
  <si>
    <t>REC Purchase</t>
  </si>
  <si>
    <t>Cedar Springs Wind III - PPA</t>
  </si>
  <si>
    <t>Cedar Springs Wind I - PPA</t>
  </si>
  <si>
    <t>Cedar Springs Wind II - owned</t>
  </si>
  <si>
    <t>CALENDAR YEAR 2022 - TOTAL RESOURCE COST TO WASHINGTON REVENUE REQUIREMENT</t>
  </si>
  <si>
    <t>2022 RECs / MWH</t>
  </si>
  <si>
    <t xml:space="preserve">WASHINGTON JUNE, 1 2022 RENEWABLES REPORT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</si>
</sst>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-* #,##0\ &quot;F&quot;_-;\-* #,##0\ &quot;F&quot;_-;_-* &quot;-&quot;\ &quot;F&quot;_-;_-@_-"/>
    <numFmt numFmtId="166" formatCode="&quot;$&quot;###0;[Red]\(&quot;$&quot;###0\)"/>
    <numFmt numFmtId="167" formatCode="&quot;$&quot;#,##0\ ;\(&quot;$&quot;#,##0\)"/>
    <numFmt numFmtId="168" formatCode="mmmm\ d\,\ yyyy"/>
    <numFmt numFmtId="169" formatCode="0.0"/>
    <numFmt numFmtId="170" formatCode="#,##0.000;[Red]\-#,##0.000"/>
    <numFmt numFmtId="171" formatCode="_(* #,##0_);[Red]_(* \(#,##0\);_(* &quot;-&quot;_);_(@_)"/>
    <numFmt numFmtId="172" formatCode="#,##0.0_);\(#,##0.0\);\-\ ;"/>
    <numFmt numFmtId="173" formatCode="#,##0.0000"/>
    <numFmt numFmtId="174" formatCode="General_)"/>
    <numFmt numFmtId="175" formatCode="_(&quot;$&quot;\ #,##0.00_);_(&quot;$&quot;\ \(#,##0.00\);_(&quot;$&quot;* &quot;-&quot;??_);_(@_)"/>
    <numFmt numFmtId="176" formatCode="_(&quot;$&quot;\ #,##0_);_(&quot;$&quot;\ \(#,##0\);_(&quot;$&quot;* &quot;-&quot;??_);_(@_)"/>
    <numFmt numFmtId="177" formatCode="_(* #,##0.00_);_(* \(#,##0.00\);_(* &quot;-&quot;_);_(@_)"/>
    <numFmt numFmtId="178" formatCode="0.0000"/>
    <numFmt numFmtId="179" formatCode="_(* #,##0_);_(* \(#,##0\);_(* &quot;-&quot;??_);_(@_)"/>
    <numFmt numFmtId="180" formatCode="&quot;$&quot;#,##0.00"/>
    <numFmt numFmtId="181" formatCode="_(&quot;$&quot;* #,##0.00_);_(&quot;$&quot;* \(#,##0.00\);_(* &quot;-&quot;??_);_(@_)"/>
    <numFmt numFmtId="182" formatCode="_(&quot;$&quot;* #,##0_);_(&quot;$&quot;* \(#,##0\);_(&quot;$&quot;* &quot;-&quot;??_);_(@_)"/>
    <numFmt numFmtId="183" formatCode="_(* #,##0.000_);_(* \(#,##0.000\);_(* &quot;-&quot;??_);_(@_)"/>
    <numFmt numFmtId="184" formatCode="0.0%"/>
    <numFmt numFmtId="185" formatCode="_(* #,##0.0_);_(* \(#,##0.0\);_(* &quot;-&quot;??_);_(@_)"/>
    <numFmt numFmtId="186" formatCode="0&quot;$&quot;"/>
    <numFmt numFmtId="187" formatCode="_(* #,##0.0000_);_(* \(#,##0.0000\);_(* &quot;-&quot;??_);_(@_)"/>
    <numFmt numFmtId="188" formatCode="_(&quot;$&quot;\ #,##0.00;_(&quot;$&quot;\ \(#,##0.00\);_(&quot;$&quot;\ &quot;-&quot;??_);_(@_)"/>
    <numFmt numFmtId="189" formatCode="_(&quot;$&quot;\ #,##0;_(&quot;$&quot;\ \(#,##0\);_(&quot;$&quot;\ &quot;-&quot;??_);_(@_)"/>
    <numFmt numFmtId="190" formatCode="#,##0.0"/>
    <numFmt numFmtId="191" formatCode="0.000"/>
    <numFmt numFmtId="192" formatCode="mmm\ yyyy&quot;   &quot;"/>
    <numFmt numFmtId="193" formatCode="0.000%"/>
    <numFmt numFmtId="194" formatCode="0.00_)"/>
    <numFmt numFmtId="195" formatCode="0.000000"/>
    <numFmt numFmtId="196" formatCode="_-* #,##0_-;\-* #,##0_-;_-* &quot;-&quot;_-;_-@_-"/>
    <numFmt numFmtId="197" formatCode="_-* #,##0.00_-;\-* #,##0.00_-;_-* &quot;-&quot;??_-;_-@_-"/>
    <numFmt numFmtId="198" formatCode="_-&quot;$&quot;* #,##0_-;\-&quot;$&quot;* #,##0_-;_-&quot;$&quot;* &quot;-&quot;_-;_-@_-"/>
    <numFmt numFmtId="199" formatCode="_-&quot;$&quot;* #,##0.00_-;\-&quot;$&quot;* #,##0.00_-;_-&quot;$&quot;* &quot;-&quot;??_-;_-@_-"/>
    <numFmt numFmtId="200" formatCode="_*\ #,##0;_(* \(#,##0\);_(* &quot;-&quot;\);_(@_)"/>
    <numFmt numFmtId="201" formatCode="_(&quot;$&quot;\ #,##0_);_(&quot;$&quot;\ \(#,##0\);_(&quot;$&quot;\ &quot;-&quot;??_);_(@_)"/>
    <numFmt numFmtId="202" formatCode="_*\ #,##0.0;_(* \(#,##0.0\);_(* &quot;-&quot;\);_(@_)"/>
    <numFmt numFmtId="203" formatCode="&quot;@&quot;\ 0.00%\ &quot;MTR&quot;"/>
    <numFmt numFmtId="204" formatCode="#,##0.000"/>
  </numFmts>
  <fonts count="98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0"/>
      <color indexed="8"/>
      <name val="Helv"/>
    </font>
    <font>
      <sz val="12"/>
      <name val="Times New Roman"/>
      <family val="1"/>
    </font>
    <font>
      <sz val="10"/>
      <color indexed="24"/>
      <name val="Courier New"/>
      <family val="3"/>
    </font>
    <font>
      <sz val="10"/>
      <name val="Helv"/>
    </font>
    <font>
      <sz val="8"/>
      <name val="Helv"/>
    </font>
    <font>
      <b/>
      <sz val="16"/>
      <name val="Times New Roman"/>
      <family val="1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8"/>
      <name val="Times New Roman"/>
      <family val="1"/>
    </font>
    <font>
      <b/>
      <sz val="8"/>
      <name val="Arial"/>
      <family val="2"/>
    </font>
    <font>
      <sz val="11"/>
      <color indexed="8"/>
      <name val="TimesNewRomanPS"/>
    </font>
    <font>
      <sz val="10"/>
      <name val="Geneva"/>
      <family val="2"/>
    </font>
    <font>
      <sz val="10"/>
      <color indexed="11"/>
      <name val="Geneva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name val="Arial MT"/>
    </font>
    <font>
      <sz val="10"/>
      <name val="LinePrinter"/>
    </font>
    <font>
      <sz val="10"/>
      <color indexed="8"/>
      <name val="Arial"/>
      <family val="2"/>
    </font>
    <font>
      <sz val="8"/>
      <color indexed="12"/>
      <name val="Arial"/>
      <family val="2"/>
    </font>
    <font>
      <sz val="6"/>
      <color rgb="FF2C62A4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rgb="FF0000FF"/>
      <name val="Times New Roman"/>
      <family val="1"/>
    </font>
    <font>
      <sz val="9"/>
      <color rgb="FF0000FF"/>
      <name val="Times New Roman"/>
      <family val="1"/>
    </font>
    <font>
      <sz val="9"/>
      <name val="Times New Roman"/>
      <family val="1"/>
    </font>
    <font>
      <b/>
      <sz val="8"/>
      <color indexed="8"/>
      <name val="Arial"/>
      <family val="2"/>
    </font>
    <font>
      <vertAlign val="superscript"/>
      <sz val="8"/>
      <color theme="1"/>
      <name val="Arial"/>
      <family val="2"/>
    </font>
    <font>
      <i/>
      <sz val="8"/>
      <color theme="1"/>
      <name val="Arial"/>
      <family val="2"/>
    </font>
    <font>
      <sz val="8"/>
      <name val="Arial monospaced for SAP"/>
      <family val="3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Arial"/>
      <family val="2"/>
    </font>
    <font>
      <sz val="6"/>
      <name val="Calibri"/>
      <family val="2"/>
      <scheme val="minor"/>
    </font>
    <font>
      <sz val="8"/>
      <color rgb="FF00B0F0"/>
      <name val="Arial"/>
      <family val="2"/>
    </font>
    <font>
      <sz val="9"/>
      <color rgb="FF0070C0"/>
      <name val="Calibri"/>
      <family val="2"/>
      <scheme val="minor"/>
    </font>
    <font>
      <sz val="7"/>
      <color rgb="FF2C62A4"/>
      <name val="Arial"/>
      <family val="2"/>
    </font>
    <font>
      <vertAlign val="subscript"/>
      <sz val="8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indexed="8"/>
      <name val="Arial"/>
      <family val="2"/>
    </font>
    <font>
      <i/>
      <sz val="9"/>
      <name val="Calibri"/>
      <family val="2"/>
      <scheme val="minor"/>
    </font>
    <font>
      <b/>
      <sz val="6"/>
      <color rgb="FF2C62A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Tms Rmn"/>
    </font>
    <font>
      <b/>
      <sz val="11"/>
      <color indexed="9"/>
      <name val="Calibri"/>
      <family val="2"/>
    </font>
    <font>
      <sz val="12"/>
      <color theme="1"/>
      <name val="Times New Roman"/>
      <family val="2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8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name val="Calibri"/>
      <family val="2"/>
      <scheme val="minor"/>
    </font>
    <font>
      <i/>
      <sz val="9"/>
      <name val="Calibri"/>
      <family val="2"/>
    </font>
    <font>
      <sz val="9"/>
      <name val="Calibri"/>
      <family val="2"/>
    </font>
    <font>
      <b/>
      <sz val="8"/>
      <color rgb="FF000000"/>
      <name val="Arial"/>
      <family val="2"/>
    </font>
    <font>
      <sz val="8"/>
      <name val="Calibri"/>
      <family val="2"/>
    </font>
    <font>
      <b/>
      <sz val="8"/>
      <name val="Calibri"/>
      <family val="2"/>
    </font>
    <font>
      <b/>
      <sz val="9"/>
      <name val="Calibri"/>
      <family val="2"/>
    </font>
    <font>
      <sz val="6"/>
      <name val="Calibri"/>
      <family val="2"/>
    </font>
    <font>
      <b/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vertAlign val="superscript"/>
      <sz val="6.8"/>
      <color theme="1"/>
      <name val="Arial"/>
      <family val="2"/>
    </font>
    <font>
      <b/>
      <sz val="16"/>
      <color theme="1"/>
      <name val="Arial"/>
      <family val="2"/>
    </font>
    <font>
      <sz val="10"/>
      <color indexed="12"/>
      <name val="Times New Roman"/>
      <family val="1"/>
    </font>
    <font>
      <b/>
      <sz val="9"/>
      <color theme="1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solid">
        <fgColor indexed="55"/>
        <bgColor indexed="64"/>
      </patternFill>
    </fill>
    <fill>
      <patternFill patternType="mediumGray">
        <fgColor indexed="22"/>
      </patternFill>
    </fill>
    <fill>
      <patternFill patternType="lightGray"/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D8DBE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8"/>
      </patternFill>
    </fill>
    <fill>
      <patternFill patternType="solid">
        <fgColor indexed="1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18">
    <xf numFmtId="0" fontId="0" fillId="0" borderId="0"/>
    <xf numFmtId="0" fontId="7" fillId="3" borderId="9" applyNumberFormat="0" applyBorder="0" applyAlignment="0" applyProtection="0"/>
    <xf numFmtId="164" fontId="7" fillId="3" borderId="9" applyNumberFormat="0" applyBorder="0" applyAlignment="0" applyProtection="0"/>
    <xf numFmtId="0" fontId="8" fillId="4" borderId="0" applyNumberFormat="0" applyBorder="0" applyAlignment="0" applyProtection="0"/>
    <xf numFmtId="164" fontId="8" fillId="4" borderId="0" applyNumberFormat="0" applyBorder="0" applyAlignment="0" applyProtection="0"/>
    <xf numFmtId="0" fontId="9" fillId="0" borderId="0"/>
    <xf numFmtId="164" fontId="9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" fontId="11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3" fillId="0" borderId="0" applyFont="0" applyFill="0" applyBorder="0" applyAlignment="0" applyProtection="0"/>
    <xf numFmtId="0" fontId="14" fillId="0" borderId="0"/>
    <xf numFmtId="164" fontId="14" fillId="0" borderId="0"/>
    <xf numFmtId="0" fontId="14" fillId="0" borderId="0"/>
    <xf numFmtId="164" fontId="14" fillId="0" borderId="0"/>
    <xf numFmtId="37" fontId="10" fillId="0" borderId="0" applyFill="0" applyBorder="0" applyAlignment="0" applyProtection="0"/>
    <xf numFmtId="0" fontId="14" fillId="0" borderId="0"/>
    <xf numFmtId="164" fontId="14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5" fillId="0" borderId="0" applyFont="0" applyFill="0" applyBorder="0" applyProtection="0">
      <alignment horizontal="right"/>
    </xf>
    <xf numFmtId="5" fontId="14" fillId="0" borderId="0"/>
    <xf numFmtId="167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4" fillId="0" borderId="0"/>
    <xf numFmtId="164" fontId="1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10" fillId="0" borderId="0" applyFill="0" applyBorder="0" applyAlignment="0" applyProtection="0"/>
    <xf numFmtId="2" fontId="13" fillId="0" borderId="0" applyFont="0" applyFill="0" applyBorder="0" applyAlignment="0" applyProtection="0"/>
    <xf numFmtId="38" fontId="6" fillId="5" borderId="0" applyNumberFormat="0" applyBorder="0" applyAlignment="0" applyProtection="0"/>
    <xf numFmtId="0" fontId="16" fillId="0" borderId="0"/>
    <xf numFmtId="164" fontId="16" fillId="0" borderId="0"/>
    <xf numFmtId="0" fontId="17" fillId="0" borderId="10" applyNumberFormat="0" applyAlignment="0" applyProtection="0">
      <alignment horizontal="left" vertical="center"/>
    </xf>
    <xf numFmtId="164" fontId="17" fillId="0" borderId="10" applyNumberFormat="0" applyAlignment="0" applyProtection="0">
      <alignment horizontal="left" vertical="center"/>
    </xf>
    <xf numFmtId="0" fontId="17" fillId="0" borderId="11">
      <alignment horizontal="left" vertical="center"/>
    </xf>
    <xf numFmtId="164" fontId="17" fillId="0" borderId="11">
      <alignment horizontal="left" vertical="center"/>
    </xf>
    <xf numFmtId="0" fontId="18" fillId="0" borderId="0" applyNumberFormat="0" applyFill="0" applyBorder="0" applyAlignment="0" applyProtection="0"/>
    <xf numFmtId="10" fontId="6" fillId="6" borderId="9" applyNumberFormat="0" applyBorder="0" applyAlignment="0" applyProtection="0"/>
    <xf numFmtId="0" fontId="19" fillId="7" borderId="0"/>
    <xf numFmtId="164" fontId="19" fillId="7" borderId="0"/>
    <xf numFmtId="0" fontId="19" fillId="8" borderId="0"/>
    <xf numFmtId="164" fontId="19" fillId="8" borderId="0"/>
    <xf numFmtId="0" fontId="8" fillId="9" borderId="5" applyBorder="0"/>
    <xf numFmtId="0" fontId="10" fillId="10" borderId="4" applyNumberFormat="0" applyFont="0" applyBorder="0" applyAlignment="0" applyProtection="0"/>
    <xf numFmtId="164" fontId="10" fillId="10" borderId="4" applyNumberFormat="0" applyFont="0" applyBorder="0" applyAlignment="0" applyProtection="0"/>
    <xf numFmtId="169" fontId="20" fillId="0" borderId="0" applyNumberFormat="0" applyFill="0" applyBorder="0" applyAlignment="0" applyProtection="0"/>
    <xf numFmtId="37" fontId="21" fillId="0" borderId="0" applyNumberFormat="0" applyFill="0" applyBorder="0"/>
    <xf numFmtId="0" fontId="6" fillId="0" borderId="12" applyNumberFormat="0" applyBorder="0" applyAlignment="0"/>
    <xf numFmtId="164" fontId="6" fillId="0" borderId="12" applyNumberFormat="0" applyBorder="0" applyAlignment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/>
    <xf numFmtId="164" fontId="10" fillId="0" borderId="0"/>
    <xf numFmtId="171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1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10" fillId="0" borderId="0"/>
    <xf numFmtId="164" fontId="3" fillId="0" borderId="0"/>
    <xf numFmtId="164" fontId="3" fillId="0" borderId="0"/>
    <xf numFmtId="0" fontId="10" fillId="0" borderId="0"/>
    <xf numFmtId="0" fontId="10" fillId="0" borderId="0"/>
    <xf numFmtId="0" fontId="10" fillId="0" borderId="0"/>
    <xf numFmtId="37" fontId="14" fillId="0" borderId="0"/>
    <xf numFmtId="0" fontId="22" fillId="0" borderId="0"/>
    <xf numFmtId="172" fontId="12" fillId="0" borderId="0" applyFont="0" applyFill="0" applyBorder="0" applyProtection="0"/>
    <xf numFmtId="12" fontId="17" fillId="11" borderId="13">
      <alignment horizontal="left"/>
    </xf>
    <xf numFmtId="0" fontId="14" fillId="0" borderId="0"/>
    <xf numFmtId="164" fontId="14" fillId="0" borderId="0"/>
    <xf numFmtId="0" fontId="14" fillId="0" borderId="0"/>
    <xf numFmtId="164" fontId="14" fillId="0" borderId="0"/>
    <xf numFmtId="10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/>
    <xf numFmtId="0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4" fontId="24" fillId="0" borderId="0" applyFont="0" applyFill="0" applyBorder="0" applyAlignment="0" applyProtection="0"/>
    <xf numFmtId="0" fontId="25" fillId="0" borderId="13">
      <alignment horizontal="center"/>
    </xf>
    <xf numFmtId="3" fontId="24" fillId="0" borderId="0" applyFont="0" applyFill="0" applyBorder="0" applyAlignment="0" applyProtection="0"/>
    <xf numFmtId="0" fontId="24" fillId="12" borderId="0" applyNumberFormat="0" applyFont="0" applyBorder="0" applyAlignment="0" applyProtection="0"/>
    <xf numFmtId="37" fontId="26" fillId="13" borderId="0" applyNumberFormat="0" applyFont="0" applyBorder="0" applyAlignment="0" applyProtection="0"/>
    <xf numFmtId="173" fontId="10" fillId="0" borderId="14">
      <alignment horizontal="justify" vertical="top" wrapText="1"/>
    </xf>
    <xf numFmtId="0" fontId="10" fillId="0" borderId="0">
      <alignment horizontal="left" wrapText="1"/>
    </xf>
    <xf numFmtId="164" fontId="10" fillId="0" borderId="0">
      <alignment horizontal="left" wrapText="1"/>
    </xf>
    <xf numFmtId="0" fontId="8" fillId="0" borderId="9">
      <alignment horizontal="center" vertical="center" wrapText="1"/>
    </xf>
    <xf numFmtId="164" fontId="8" fillId="0" borderId="9">
      <alignment horizontal="center" vertical="center" wrapText="1"/>
    </xf>
    <xf numFmtId="0" fontId="14" fillId="0" borderId="15"/>
    <xf numFmtId="164" fontId="14" fillId="0" borderId="15"/>
    <xf numFmtId="174" fontId="27" fillId="0" borderId="0">
      <alignment horizontal="left"/>
    </xf>
    <xf numFmtId="0" fontId="14" fillId="0" borderId="16"/>
    <xf numFmtId="164" fontId="14" fillId="0" borderId="16"/>
    <xf numFmtId="38" fontId="28" fillId="0" borderId="17" applyFill="0" applyBorder="0" applyAlignment="0" applyProtection="0">
      <protection locked="0"/>
    </xf>
    <xf numFmtId="37" fontId="6" fillId="14" borderId="0" applyNumberFormat="0" applyBorder="0" applyAlignment="0" applyProtection="0"/>
    <xf numFmtId="37" fontId="6" fillId="0" borderId="0"/>
    <xf numFmtId="3" fontId="29" fillId="15" borderId="18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6" fillId="39" borderId="42" applyNumberFormat="0" applyAlignment="0" applyProtection="0"/>
    <xf numFmtId="0" fontId="56" fillId="39" borderId="42" applyNumberFormat="0" applyAlignment="0" applyProtection="0"/>
    <xf numFmtId="0" fontId="57" fillId="0" borderId="0"/>
    <xf numFmtId="0" fontId="58" fillId="40" borderId="43" applyNumberFormat="0" applyAlignment="0" applyProtection="0"/>
    <xf numFmtId="0" fontId="58" fillId="40" borderId="4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3" fontId="10" fillId="0" borderId="0" applyFont="0" applyFill="0" applyBorder="0" applyAlignment="0" applyProtection="0"/>
    <xf numFmtId="0" fontId="14" fillId="0" borderId="0"/>
    <xf numFmtId="0" fontId="14" fillId="0" borderId="0"/>
    <xf numFmtId="5" fontId="10" fillId="0" borderId="0" applyFont="0" applyFill="0" applyBorder="0" applyAlignment="0" applyProtection="0"/>
    <xf numFmtId="0" fontId="60" fillId="0" borderId="0"/>
    <xf numFmtId="0" fontId="60" fillId="0" borderId="44"/>
    <xf numFmtId="0" fontId="14" fillId="0" borderId="0"/>
    <xf numFmtId="14" fontId="10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" fontId="10" fillId="0" borderId="0" applyFont="0" applyFill="0" applyBorder="0" applyAlignment="0" applyProtection="0"/>
    <xf numFmtId="0" fontId="14" fillId="0" borderId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3" fillId="0" borderId="45" applyNumberFormat="0" applyFill="0" applyAlignment="0" applyProtection="0"/>
    <xf numFmtId="0" fontId="63" fillId="0" borderId="45" applyNumberFormat="0" applyFill="0" applyAlignment="0" applyProtection="0"/>
    <xf numFmtId="0" fontId="64" fillId="0" borderId="46" applyNumberFormat="0" applyFill="0" applyAlignment="0" applyProtection="0"/>
    <xf numFmtId="0" fontId="64" fillId="0" borderId="46" applyNumberFormat="0" applyFill="0" applyAlignment="0" applyProtection="0"/>
    <xf numFmtId="0" fontId="65" fillId="0" borderId="47" applyNumberFormat="0" applyFill="0" applyAlignment="0" applyProtection="0"/>
    <xf numFmtId="0" fontId="65" fillId="0" borderId="47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3" fontId="10" fillId="0" borderId="0">
      <protection locked="0"/>
    </xf>
    <xf numFmtId="193" fontId="10" fillId="0" borderId="0">
      <protection locked="0"/>
    </xf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38" fontId="67" fillId="0" borderId="0">
      <alignment horizontal="left" wrapText="1"/>
    </xf>
    <xf numFmtId="38" fontId="68" fillId="0" borderId="0">
      <alignment horizontal="left" wrapText="1"/>
    </xf>
    <xf numFmtId="0" fontId="69" fillId="41" borderId="44"/>
    <xf numFmtId="0" fontId="70" fillId="0" borderId="48" applyNumberFormat="0" applyFill="0" applyAlignment="0" applyProtection="0"/>
    <xf numFmtId="0" fontId="70" fillId="0" borderId="48" applyNumberFormat="0" applyFill="0" applyAlignment="0" applyProtection="0"/>
    <xf numFmtId="0" fontId="71" fillId="42" borderId="0" applyNumberFormat="0" applyBorder="0" applyAlignment="0" applyProtection="0"/>
    <xf numFmtId="0" fontId="71" fillId="42" borderId="0" applyNumberFormat="0" applyBorder="0" applyAlignment="0" applyProtection="0"/>
    <xf numFmtId="194" fontId="7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59" fillId="0" borderId="0"/>
    <xf numFmtId="0" fontId="59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59" fillId="0" borderId="0"/>
    <xf numFmtId="0" fontId="10" fillId="0" borderId="0"/>
    <xf numFmtId="0" fontId="10" fillId="0" borderId="0"/>
    <xf numFmtId="0" fontId="59" fillId="0" borderId="0"/>
    <xf numFmtId="0" fontId="5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43" borderId="49" applyNumberFormat="0" applyFont="0" applyAlignment="0" applyProtection="0"/>
    <xf numFmtId="0" fontId="10" fillId="43" borderId="49" applyNumberFormat="0" applyFont="0" applyAlignment="0" applyProtection="0"/>
    <xf numFmtId="0" fontId="2" fillId="19" borderId="41" applyNumberFormat="0" applyFont="0" applyAlignment="0" applyProtection="0"/>
    <xf numFmtId="0" fontId="73" fillId="39" borderId="50" applyNumberFormat="0" applyAlignment="0" applyProtection="0"/>
    <xf numFmtId="0" fontId="73" fillId="39" borderId="50" applyNumberFormat="0" applyAlignment="0" applyProtection="0"/>
    <xf numFmtId="40" fontId="28" fillId="18" borderId="0">
      <alignment horizontal="right"/>
    </xf>
    <xf numFmtId="0" fontId="50" fillId="18" borderId="0">
      <alignment horizontal="left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3" fillId="0" borderId="0"/>
    <xf numFmtId="0" fontId="60" fillId="0" borderId="0"/>
    <xf numFmtId="4" fontId="50" fillId="42" borderId="51" applyNumberFormat="0" applyProtection="0">
      <alignment vertical="center"/>
    </xf>
    <xf numFmtId="4" fontId="74" fillId="14" borderId="51" applyNumberFormat="0" applyProtection="0">
      <alignment vertical="center"/>
    </xf>
    <xf numFmtId="4" fontId="50" fillId="14" borderId="51" applyNumberFormat="0" applyProtection="0">
      <alignment horizontal="left" vertical="center" indent="1"/>
    </xf>
    <xf numFmtId="0" fontId="50" fillId="14" borderId="51" applyNumberFormat="0" applyProtection="0">
      <alignment horizontal="left" vertical="top" indent="1"/>
    </xf>
    <xf numFmtId="4" fontId="50" fillId="44" borderId="0" applyNumberFormat="0" applyProtection="0">
      <alignment horizontal="left" vertical="center" indent="1"/>
    </xf>
    <xf numFmtId="4" fontId="28" fillId="22" borderId="51" applyNumberFormat="0" applyProtection="0">
      <alignment horizontal="right" vertical="center"/>
    </xf>
    <xf numFmtId="4" fontId="28" fillId="28" borderId="51" applyNumberFormat="0" applyProtection="0">
      <alignment horizontal="right" vertical="center"/>
    </xf>
    <xf numFmtId="4" fontId="28" fillId="36" borderId="51" applyNumberFormat="0" applyProtection="0">
      <alignment horizontal="right" vertical="center"/>
    </xf>
    <xf numFmtId="4" fontId="28" fillId="30" borderId="51" applyNumberFormat="0" applyProtection="0">
      <alignment horizontal="right" vertical="center"/>
    </xf>
    <xf numFmtId="4" fontId="28" fillId="34" borderId="51" applyNumberFormat="0" applyProtection="0">
      <alignment horizontal="right" vertical="center"/>
    </xf>
    <xf numFmtId="4" fontId="28" fillId="38" borderId="51" applyNumberFormat="0" applyProtection="0">
      <alignment horizontal="right" vertical="center"/>
    </xf>
    <xf numFmtId="4" fontId="28" fillId="37" borderId="51" applyNumberFormat="0" applyProtection="0">
      <alignment horizontal="right" vertical="center"/>
    </xf>
    <xf numFmtId="4" fontId="28" fillId="45" borderId="51" applyNumberFormat="0" applyProtection="0">
      <alignment horizontal="right" vertical="center"/>
    </xf>
    <xf numFmtId="4" fontId="28" fillId="29" borderId="51" applyNumberFormat="0" applyProtection="0">
      <alignment horizontal="right" vertical="center"/>
    </xf>
    <xf numFmtId="4" fontId="50" fillId="46" borderId="52" applyNumberFormat="0" applyProtection="0">
      <alignment horizontal="left" vertical="center" indent="1"/>
    </xf>
    <xf numFmtId="4" fontId="28" fillId="47" borderId="0" applyNumberFormat="0" applyProtection="0">
      <alignment horizontal="left" vertical="center" indent="1"/>
    </xf>
    <xf numFmtId="4" fontId="75" fillId="48" borderId="0" applyNumberFormat="0" applyProtection="0">
      <alignment horizontal="left" vertical="center" indent="1"/>
    </xf>
    <xf numFmtId="4" fontId="28" fillId="49" borderId="51" applyNumberFormat="0" applyProtection="0">
      <alignment horizontal="right" vertical="center"/>
    </xf>
    <xf numFmtId="4" fontId="28" fillId="47" borderId="0" applyNumberFormat="0" applyProtection="0">
      <alignment horizontal="left" vertical="center" indent="1"/>
    </xf>
    <xf numFmtId="4" fontId="28" fillId="44" borderId="0" applyNumberFormat="0" applyProtection="0">
      <alignment horizontal="left" vertical="center" indent="1"/>
    </xf>
    <xf numFmtId="0" fontId="10" fillId="48" borderId="51" applyNumberFormat="0" applyProtection="0">
      <alignment horizontal="left" vertical="center" indent="1"/>
    </xf>
    <xf numFmtId="0" fontId="10" fillId="48" borderId="51" applyNumberFormat="0" applyProtection="0">
      <alignment horizontal="left" vertical="top" indent="1"/>
    </xf>
    <xf numFmtId="0" fontId="10" fillId="44" borderId="51" applyNumberFormat="0" applyProtection="0">
      <alignment horizontal="left" vertical="center" indent="1"/>
    </xf>
    <xf numFmtId="0" fontId="10" fillId="44" borderId="51" applyNumberFormat="0" applyProtection="0">
      <alignment horizontal="left" vertical="top" indent="1"/>
    </xf>
    <xf numFmtId="0" fontId="10" fillId="50" borderId="51" applyNumberFormat="0" applyProtection="0">
      <alignment horizontal="left" vertical="center" indent="1"/>
    </xf>
    <xf numFmtId="0" fontId="10" fillId="50" borderId="51" applyNumberFormat="0" applyProtection="0">
      <alignment horizontal="left" vertical="top" indent="1"/>
    </xf>
    <xf numFmtId="0" fontId="10" fillId="51" borderId="51" applyNumberFormat="0" applyProtection="0">
      <alignment horizontal="left" vertical="center" indent="1"/>
    </xf>
    <xf numFmtId="0" fontId="10" fillId="51" borderId="51" applyNumberFormat="0" applyProtection="0">
      <alignment horizontal="left" vertical="top" indent="1"/>
    </xf>
    <xf numFmtId="4" fontId="28" fillId="6" borderId="51" applyNumberFormat="0" applyProtection="0">
      <alignment vertical="center"/>
    </xf>
    <xf numFmtId="4" fontId="76" fillId="6" borderId="51" applyNumberFormat="0" applyProtection="0">
      <alignment vertical="center"/>
    </xf>
    <xf numFmtId="4" fontId="28" fillId="6" borderId="51" applyNumberFormat="0" applyProtection="0">
      <alignment horizontal="left" vertical="center" indent="1"/>
    </xf>
    <xf numFmtId="0" fontId="28" fillId="6" borderId="51" applyNumberFormat="0" applyProtection="0">
      <alignment horizontal="left" vertical="top" indent="1"/>
    </xf>
    <xf numFmtId="4" fontId="28" fillId="0" borderId="51" applyNumberFormat="0" applyProtection="0">
      <alignment horizontal="right" vertical="center"/>
    </xf>
    <xf numFmtId="4" fontId="76" fillId="47" borderId="51" applyNumberFormat="0" applyProtection="0">
      <alignment horizontal="right" vertical="center"/>
    </xf>
    <xf numFmtId="4" fontId="28" fillId="0" borderId="51" applyNumberFormat="0" applyProtection="0">
      <alignment horizontal="left" vertical="center" indent="1"/>
    </xf>
    <xf numFmtId="0" fontId="28" fillId="44" borderId="51" applyNumberFormat="0" applyProtection="0">
      <alignment horizontal="left" vertical="top"/>
    </xf>
    <xf numFmtId="4" fontId="77" fillId="0" borderId="0" applyNumberFormat="0" applyProtection="0">
      <alignment horizontal="left" vertical="center"/>
    </xf>
    <xf numFmtId="4" fontId="78" fillId="47" borderId="51" applyNumberFormat="0" applyProtection="0">
      <alignment horizontal="right" vertical="center"/>
    </xf>
    <xf numFmtId="0" fontId="79" fillId="52" borderId="53"/>
    <xf numFmtId="195" fontId="10" fillId="0" borderId="0">
      <alignment horizontal="left" wrapText="1"/>
    </xf>
    <xf numFmtId="0" fontId="60" fillId="0" borderId="44"/>
    <xf numFmtId="38" fontId="10" fillId="0" borderId="0">
      <alignment horizontal="left" wrapText="1"/>
    </xf>
    <xf numFmtId="0" fontId="80" fillId="53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54" applyNumberFormat="0" applyFill="0" applyAlignment="0" applyProtection="0"/>
    <xf numFmtId="0" fontId="82" fillId="0" borderId="54" applyNumberFormat="0" applyFill="0" applyAlignment="0" applyProtection="0"/>
    <xf numFmtId="0" fontId="69" fillId="0" borderId="55"/>
    <xf numFmtId="0" fontId="69" fillId="0" borderId="44"/>
    <xf numFmtId="196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9" fontId="1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" fillId="0" borderId="0"/>
  </cellStyleXfs>
  <cellXfs count="785">
    <xf numFmtId="0" fontId="0" fillId="0" borderId="0" xfId="0"/>
    <xf numFmtId="0" fontId="5" fillId="2" borderId="0" xfId="0" applyFont="1" applyFill="1" applyBorder="1"/>
    <xf numFmtId="0" fontId="0" fillId="0" borderId="4" xfId="0" applyFill="1" applyBorder="1"/>
    <xf numFmtId="0" fontId="0" fillId="0" borderId="0" xfId="0" applyFill="1" applyBorder="1"/>
    <xf numFmtId="0" fontId="6" fillId="2" borderId="0" xfId="0" applyFont="1" applyFill="1" applyBorder="1"/>
    <xf numFmtId="0" fontId="5" fillId="0" borderId="0" xfId="0" applyFont="1"/>
    <xf numFmtId="0" fontId="0" fillId="0" borderId="0" xfId="0" applyFont="1" applyFill="1" applyBorder="1"/>
    <xf numFmtId="0" fontId="5" fillId="16" borderId="19" xfId="0" applyFont="1" applyFill="1" applyBorder="1" applyAlignment="1">
      <alignment horizontal="centerContinuous" vertical="center" wrapText="1"/>
    </xf>
    <xf numFmtId="0" fontId="0" fillId="16" borderId="11" xfId="0" applyFont="1" applyFill="1" applyBorder="1" applyAlignment="1">
      <alignment horizontal="centerContinuous" vertical="center" wrapText="1"/>
    </xf>
    <xf numFmtId="0" fontId="0" fillId="16" borderId="20" xfId="0" applyFont="1" applyFill="1" applyBorder="1" applyAlignment="1">
      <alignment horizontal="centerContinuous" vertical="center" wrapText="1"/>
    </xf>
    <xf numFmtId="0" fontId="0" fillId="2" borderId="4" xfId="0" applyFont="1" applyFill="1" applyBorder="1"/>
    <xf numFmtId="0" fontId="0" fillId="2" borderId="0" xfId="0" applyFont="1" applyFill="1" applyBorder="1"/>
    <xf numFmtId="0" fontId="0" fillId="2" borderId="5" xfId="0" applyFont="1" applyFill="1" applyBorder="1"/>
    <xf numFmtId="0" fontId="6" fillId="2" borderId="7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0" fillId="2" borderId="7" xfId="0" applyFont="1" applyFill="1" applyBorder="1" applyAlignment="1">
      <alignment horizontal="centerContinuous" wrapText="1"/>
    </xf>
    <xf numFmtId="0" fontId="30" fillId="2" borderId="0" xfId="0" applyFont="1" applyFill="1" applyBorder="1" applyAlignment="1">
      <alignment horizontal="right"/>
    </xf>
    <xf numFmtId="0" fontId="30" fillId="2" borderId="0" xfId="0" applyFont="1" applyFill="1" applyBorder="1" applyAlignment="1">
      <alignment horizontal="center"/>
    </xf>
    <xf numFmtId="0" fontId="0" fillId="0" borderId="21" xfId="0" applyFont="1" applyFill="1" applyBorder="1"/>
    <xf numFmtId="0" fontId="0" fillId="2" borderId="0" xfId="0" applyFont="1" applyFill="1" applyBorder="1" applyAlignment="1">
      <alignment horizontal="left" indent="1"/>
    </xf>
    <xf numFmtId="41" fontId="0" fillId="0" borderId="0" xfId="0" applyNumberFormat="1" applyFont="1" applyFill="1" applyBorder="1"/>
    <xf numFmtId="0" fontId="30" fillId="0" borderId="25" xfId="0" applyFont="1" applyFill="1" applyBorder="1" applyAlignment="1">
      <alignment horizontal="right"/>
    </xf>
    <xf numFmtId="0" fontId="30" fillId="0" borderId="28" xfId="0" applyFont="1" applyFill="1" applyBorder="1" applyAlignment="1">
      <alignment horizontal="right"/>
    </xf>
    <xf numFmtId="177" fontId="0" fillId="2" borderId="0" xfId="0" applyNumberFormat="1" applyFont="1" applyFill="1" applyBorder="1"/>
    <xf numFmtId="177" fontId="0" fillId="0" borderId="23" xfId="0" applyNumberFormat="1" applyFont="1" applyFill="1" applyBorder="1"/>
    <xf numFmtId="177" fontId="0" fillId="2" borderId="7" xfId="0" applyNumberFormat="1" applyFont="1" applyFill="1" applyBorder="1"/>
    <xf numFmtId="177" fontId="0" fillId="0" borderId="26" xfId="0" applyNumberFormat="1" applyFont="1" applyFill="1" applyBorder="1"/>
    <xf numFmtId="41" fontId="5" fillId="2" borderId="0" xfId="0" applyNumberFormat="1" applyFont="1" applyFill="1" applyBorder="1"/>
    <xf numFmtId="177" fontId="5" fillId="2" borderId="0" xfId="0" applyNumberFormat="1" applyFont="1" applyFill="1" applyBorder="1"/>
    <xf numFmtId="177" fontId="5" fillId="0" borderId="23" xfId="0" applyNumberFormat="1" applyFont="1" applyFill="1" applyBorder="1"/>
    <xf numFmtId="177" fontId="0" fillId="0" borderId="0" xfId="0" applyNumberFormat="1" applyFont="1" applyFill="1" applyBorder="1"/>
    <xf numFmtId="0" fontId="0" fillId="2" borderId="29" xfId="0" applyFont="1" applyFill="1" applyBorder="1"/>
    <xf numFmtId="0" fontId="0" fillId="2" borderId="31" xfId="0" applyFont="1" applyFill="1" applyBorder="1"/>
    <xf numFmtId="177" fontId="0" fillId="0" borderId="7" xfId="0" applyNumberFormat="1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8" xfId="0" applyFont="1" applyFill="1" applyBorder="1"/>
    <xf numFmtId="0" fontId="0" fillId="0" borderId="0" xfId="0" applyFont="1"/>
    <xf numFmtId="179" fontId="5" fillId="0" borderId="0" xfId="0" applyNumberFormat="1" applyFont="1"/>
    <xf numFmtId="0" fontId="10" fillId="0" borderId="0" xfId="89"/>
    <xf numFmtId="0" fontId="8" fillId="0" borderId="0" xfId="89" applyFont="1"/>
    <xf numFmtId="0" fontId="10" fillId="0" borderId="0" xfId="89" applyBorder="1"/>
    <xf numFmtId="0" fontId="31" fillId="0" borderId="1" xfId="124" applyFont="1" applyFill="1" applyBorder="1" applyAlignment="1">
      <alignment horizontal="centerContinuous"/>
    </xf>
    <xf numFmtId="0" fontId="32" fillId="0" borderId="2" xfId="124" applyFont="1" applyFill="1" applyBorder="1" applyAlignment="1">
      <alignment horizontal="centerContinuous"/>
    </xf>
    <xf numFmtId="0" fontId="31" fillId="0" borderId="2" xfId="124" applyFont="1" applyFill="1" applyBorder="1" applyAlignment="1">
      <alignment horizontal="centerContinuous"/>
    </xf>
    <xf numFmtId="179" fontId="31" fillId="0" borderId="2" xfId="124" applyNumberFormat="1" applyFont="1" applyFill="1" applyBorder="1" applyAlignment="1">
      <alignment horizontal="centerContinuous"/>
    </xf>
    <xf numFmtId="0" fontId="32" fillId="0" borderId="9" xfId="124" applyFont="1" applyFill="1" applyBorder="1" applyAlignment="1">
      <alignment horizontal="centerContinuous"/>
    </xf>
    <xf numFmtId="0" fontId="31" fillId="0" borderId="9" xfId="124" applyFont="1" applyFill="1" applyBorder="1" applyAlignment="1">
      <alignment horizontal="centerContinuous"/>
    </xf>
    <xf numFmtId="181" fontId="32" fillId="0" borderId="9" xfId="124" applyNumberFormat="1" applyFont="1" applyFill="1" applyBorder="1" applyAlignment="1">
      <alignment horizontal="centerContinuous"/>
    </xf>
    <xf numFmtId="181" fontId="31" fillId="0" borderId="11" xfId="124" applyNumberFormat="1" applyFont="1" applyFill="1" applyBorder="1" applyAlignment="1">
      <alignment horizontal="centerContinuous"/>
    </xf>
    <xf numFmtId="181" fontId="31" fillId="0" borderId="20" xfId="124" applyNumberFormat="1" applyFont="1" applyFill="1" applyBorder="1" applyAlignment="1">
      <alignment horizontal="centerContinuous"/>
    </xf>
    <xf numFmtId="43" fontId="32" fillId="0" borderId="9" xfId="124" applyNumberFormat="1" applyFont="1" applyFill="1" applyBorder="1" applyAlignment="1">
      <alignment horizontal="left" vertical="top"/>
    </xf>
    <xf numFmtId="43" fontId="32" fillId="0" borderId="20" xfId="124" applyNumberFormat="1" applyFont="1" applyFill="1" applyBorder="1" applyAlignment="1">
      <alignment horizontal="centerContinuous"/>
    </xf>
    <xf numFmtId="43" fontId="31" fillId="0" borderId="0" xfId="124" applyNumberFormat="1" applyFont="1" applyFill="1" applyBorder="1" applyAlignment="1">
      <alignment horizontal="centerContinuous"/>
    </xf>
    <xf numFmtId="0" fontId="31" fillId="0" borderId="6" xfId="124" applyFont="1" applyFill="1" applyBorder="1" applyAlignment="1">
      <alignment horizontal="center"/>
    </xf>
    <xf numFmtId="0" fontId="31" fillId="0" borderId="7" xfId="89" applyFont="1" applyBorder="1"/>
    <xf numFmtId="179" fontId="31" fillId="0" borderId="7" xfId="124" applyNumberFormat="1" applyFont="1" applyFill="1" applyBorder="1" applyAlignment="1">
      <alignment horizontal="center"/>
    </xf>
    <xf numFmtId="182" fontId="31" fillId="0" borderId="3" xfId="124" applyNumberFormat="1" applyFont="1" applyFill="1" applyBorder="1" applyAlignment="1">
      <alignment horizontal="center"/>
    </xf>
    <xf numFmtId="0" fontId="31" fillId="0" borderId="32" xfId="124" applyFont="1" applyFill="1" applyBorder="1" applyAlignment="1">
      <alignment horizontal="center"/>
    </xf>
    <xf numFmtId="181" fontId="31" fillId="0" borderId="4" xfId="124" applyNumberFormat="1" applyFont="1" applyFill="1" applyBorder="1" applyAlignment="1">
      <alignment horizontal="centerContinuous"/>
    </xf>
    <xf numFmtId="181" fontId="31" fillId="0" borderId="0" xfId="124" applyNumberFormat="1" applyFont="1" applyFill="1" applyBorder="1" applyAlignment="1">
      <alignment horizontal="centerContinuous"/>
    </xf>
    <xf numFmtId="181" fontId="31" fillId="0" borderId="5" xfId="124" applyNumberFormat="1" applyFont="1" applyFill="1" applyBorder="1" applyAlignment="1">
      <alignment horizontal="centerContinuous"/>
    </xf>
    <xf numFmtId="43" fontId="31" fillId="0" borderId="17" xfId="124" applyNumberFormat="1" applyFont="1" applyFill="1" applyBorder="1" applyAlignment="1"/>
    <xf numFmtId="183" fontId="32" fillId="0" borderId="17" xfId="124" applyNumberFormat="1" applyFont="1" applyFill="1" applyBorder="1" applyAlignment="1">
      <alignment horizontal="centerContinuous"/>
    </xf>
    <xf numFmtId="0" fontId="31" fillId="0" borderId="4" xfId="124" applyFont="1" applyFill="1" applyBorder="1" applyAlignment="1">
      <alignment horizontal="left"/>
    </xf>
    <xf numFmtId="0" fontId="31" fillId="0" borderId="17" xfId="124" applyFont="1" applyFill="1" applyBorder="1" applyAlignment="1">
      <alignment horizontal="center" wrapText="1"/>
    </xf>
    <xf numFmtId="182" fontId="31" fillId="0" borderId="32" xfId="124" applyNumberFormat="1" applyFont="1" applyFill="1" applyBorder="1" applyAlignment="1">
      <alignment horizontal="center" wrapText="1"/>
    </xf>
    <xf numFmtId="0" fontId="31" fillId="0" borderId="32" xfId="124" applyFont="1" applyFill="1" applyBorder="1" applyAlignment="1">
      <alignment horizontal="center" wrapText="1"/>
    </xf>
    <xf numFmtId="181" fontId="31" fillId="0" borderId="32" xfId="124" applyNumberFormat="1" applyFont="1" applyFill="1" applyBorder="1" applyAlignment="1">
      <alignment horizontal="center" wrapText="1"/>
    </xf>
    <xf numFmtId="181" fontId="31" fillId="0" borderId="32" xfId="124" applyNumberFormat="1" applyFont="1" applyFill="1" applyBorder="1" applyAlignment="1">
      <alignment horizontal="centerContinuous" wrapText="1"/>
    </xf>
    <xf numFmtId="43" fontId="31" fillId="0" borderId="32" xfId="124" applyNumberFormat="1" applyFont="1" applyFill="1" applyBorder="1" applyAlignment="1">
      <alignment horizontal="center" wrapText="1"/>
    </xf>
    <xf numFmtId="0" fontId="31" fillId="0" borderId="0" xfId="89" applyFont="1" applyFill="1"/>
    <xf numFmtId="0" fontId="33" fillId="0" borderId="19" xfId="89" applyFont="1" applyFill="1" applyBorder="1"/>
    <xf numFmtId="184" fontId="31" fillId="0" borderId="19" xfId="124" applyNumberFormat="1" applyFont="1" applyFill="1" applyBorder="1" applyAlignment="1">
      <alignment horizontal="center"/>
    </xf>
    <xf numFmtId="184" fontId="31" fillId="0" borderId="11" xfId="124" applyNumberFormat="1" applyFont="1" applyFill="1" applyBorder="1" applyAlignment="1">
      <alignment horizontal="center"/>
    </xf>
    <xf numFmtId="0" fontId="34" fillId="0" borderId="11" xfId="124" applyNumberFormat="1" applyFont="1" applyFill="1" applyBorder="1" applyAlignment="1">
      <alignment horizontal="center"/>
    </xf>
    <xf numFmtId="185" fontId="31" fillId="0" borderId="11" xfId="17" applyNumberFormat="1" applyFont="1" applyFill="1" applyBorder="1"/>
    <xf numFmtId="179" fontId="35" fillId="0" borderId="11" xfId="124" applyNumberFormat="1" applyFont="1" applyFill="1" applyBorder="1" applyAlignment="1">
      <alignment horizontal="center"/>
    </xf>
    <xf numFmtId="0" fontId="31" fillId="0" borderId="11" xfId="89" applyFont="1" applyFill="1" applyBorder="1"/>
    <xf numFmtId="186" fontId="31" fillId="0" borderId="11" xfId="89" applyNumberFormat="1" applyFont="1" applyFill="1" applyBorder="1" applyAlignment="1">
      <alignment horizontal="center"/>
    </xf>
    <xf numFmtId="10" fontId="31" fillId="0" borderId="11" xfId="124" applyNumberFormat="1" applyFont="1" applyFill="1" applyBorder="1"/>
    <xf numFmtId="181" fontId="31" fillId="0" borderId="11" xfId="124" applyNumberFormat="1" applyFont="1" applyFill="1" applyBorder="1" applyAlignment="1">
      <alignment horizontal="right"/>
    </xf>
    <xf numFmtId="183" fontId="35" fillId="0" borderId="20" xfId="124" applyNumberFormat="1" applyFont="1" applyFill="1" applyBorder="1" applyAlignment="1">
      <alignment horizontal="center"/>
    </xf>
    <xf numFmtId="0" fontId="31" fillId="0" borderId="0" xfId="89" applyFont="1" applyFill="1" applyBorder="1"/>
    <xf numFmtId="0" fontId="31" fillId="0" borderId="0" xfId="89" applyFont="1"/>
    <xf numFmtId="0" fontId="32" fillId="0" borderId="19" xfId="124" applyFont="1" applyFill="1" applyBorder="1" applyAlignment="1"/>
    <xf numFmtId="0" fontId="31" fillId="0" borderId="19" xfId="89" applyFont="1" applyBorder="1"/>
    <xf numFmtId="0" fontId="31" fillId="0" borderId="11" xfId="89" applyFont="1" applyBorder="1" applyAlignment="1">
      <alignment horizontal="center"/>
    </xf>
    <xf numFmtId="0" fontId="31" fillId="0" borderId="11" xfId="89" applyFont="1" applyBorder="1"/>
    <xf numFmtId="43" fontId="31" fillId="0" borderId="11" xfId="17" applyFont="1" applyBorder="1"/>
    <xf numFmtId="0" fontId="32" fillId="0" borderId="11" xfId="89" applyFont="1" applyBorder="1" applyAlignment="1">
      <alignment horizontal="center"/>
    </xf>
    <xf numFmtId="186" fontId="31" fillId="17" borderId="9" xfId="89" applyNumberFormat="1" applyFont="1" applyFill="1" applyBorder="1" applyAlignment="1">
      <alignment horizontal="center"/>
    </xf>
    <xf numFmtId="187" fontId="31" fillId="0" borderId="20" xfId="17" applyNumberFormat="1" applyFont="1" applyBorder="1"/>
    <xf numFmtId="0" fontId="31" fillId="0" borderId="0" xfId="89" applyFont="1" applyBorder="1"/>
    <xf numFmtId="0" fontId="31" fillId="0" borderId="4" xfId="89" applyFont="1" applyBorder="1"/>
    <xf numFmtId="184" fontId="31" fillId="17" borderId="14" xfId="124" applyNumberFormat="1" applyFont="1" applyFill="1" applyBorder="1" applyAlignment="1">
      <alignment horizontal="center"/>
    </xf>
    <xf numFmtId="0" fontId="31" fillId="0" borderId="14" xfId="89" applyFont="1" applyBorder="1"/>
    <xf numFmtId="1" fontId="31" fillId="17" borderId="14" xfId="124" applyNumberFormat="1" applyFont="1" applyFill="1" applyBorder="1" applyAlignment="1"/>
    <xf numFmtId="185" fontId="31" fillId="17" borderId="14" xfId="17" applyNumberFormat="1" applyFont="1" applyFill="1" applyBorder="1" applyAlignment="1"/>
    <xf numFmtId="179" fontId="31" fillId="0" borderId="14" xfId="17" applyNumberFormat="1" applyFont="1" applyBorder="1"/>
    <xf numFmtId="10" fontId="31" fillId="17" borderId="14" xfId="124" applyNumberFormat="1" applyFont="1" applyFill="1" applyBorder="1" applyAlignment="1"/>
    <xf numFmtId="2" fontId="31" fillId="17" borderId="14" xfId="124" applyNumberFormat="1" applyFont="1" applyFill="1" applyBorder="1" applyAlignment="1"/>
    <xf numFmtId="43" fontId="31" fillId="0" borderId="14" xfId="17" applyFont="1" applyFill="1" applyBorder="1" applyAlignment="1">
      <alignment horizontal="right"/>
    </xf>
    <xf numFmtId="43" fontId="31" fillId="17" borderId="14" xfId="17" applyFont="1" applyFill="1" applyBorder="1" applyAlignment="1"/>
    <xf numFmtId="184" fontId="31" fillId="17" borderId="9" xfId="124" applyNumberFormat="1" applyFont="1" applyFill="1" applyBorder="1" applyAlignment="1">
      <alignment horizontal="center"/>
    </xf>
    <xf numFmtId="0" fontId="31" fillId="0" borderId="9" xfId="89" applyFont="1" applyBorder="1"/>
    <xf numFmtId="1" fontId="31" fillId="17" borderId="9" xfId="124" applyNumberFormat="1" applyFont="1" applyFill="1" applyBorder="1" applyAlignment="1"/>
    <xf numFmtId="185" fontId="31" fillId="17" borderId="32" xfId="17" applyNumberFormat="1" applyFont="1" applyFill="1" applyBorder="1" applyAlignment="1"/>
    <xf numFmtId="179" fontId="31" fillId="0" borderId="9" xfId="17" applyNumberFormat="1" applyFont="1" applyBorder="1"/>
    <xf numFmtId="10" fontId="31" fillId="17" borderId="9" xfId="124" applyNumberFormat="1" applyFont="1" applyFill="1" applyBorder="1" applyAlignment="1"/>
    <xf numFmtId="2" fontId="31" fillId="17" borderId="9" xfId="124" applyNumberFormat="1" applyFont="1" applyFill="1" applyBorder="1" applyAlignment="1"/>
    <xf numFmtId="43" fontId="31" fillId="0" borderId="9" xfId="17" applyFont="1" applyFill="1" applyBorder="1" applyAlignment="1">
      <alignment horizontal="right"/>
    </xf>
    <xf numFmtId="43" fontId="31" fillId="17" borderId="9" xfId="17" applyFont="1" applyFill="1" applyBorder="1" applyAlignment="1"/>
    <xf numFmtId="0" fontId="31" fillId="0" borderId="6" xfId="89" applyFont="1" applyBorder="1"/>
    <xf numFmtId="184" fontId="31" fillId="0" borderId="9" xfId="124" applyNumberFormat="1" applyFont="1" applyFill="1" applyBorder="1" applyAlignment="1">
      <alignment horizontal="center"/>
    </xf>
    <xf numFmtId="1" fontId="31" fillId="0" borderId="9" xfId="89" applyNumberFormat="1" applyFont="1" applyBorder="1"/>
    <xf numFmtId="185" fontId="31" fillId="0" borderId="9" xfId="17" applyNumberFormat="1" applyFont="1" applyFill="1" applyBorder="1" applyAlignment="1">
      <alignment horizontal="right"/>
    </xf>
    <xf numFmtId="179" fontId="31" fillId="0" borderId="9" xfId="17" applyNumberFormat="1" applyFont="1" applyFill="1" applyBorder="1" applyAlignment="1">
      <alignment horizontal="right"/>
    </xf>
    <xf numFmtId="10" fontId="31" fillId="0" borderId="9" xfId="124" applyNumberFormat="1" applyFont="1" applyFill="1" applyBorder="1"/>
    <xf numFmtId="0" fontId="31" fillId="0" borderId="33" xfId="89" applyFont="1" applyBorder="1"/>
    <xf numFmtId="1" fontId="0" fillId="0" borderId="0" xfId="0" applyNumberFormat="1" applyFont="1"/>
    <xf numFmtId="43" fontId="39" fillId="0" borderId="0" xfId="0" applyNumberFormat="1" applyFont="1" applyFill="1" applyBorder="1"/>
    <xf numFmtId="2" fontId="0" fillId="0" borderId="0" xfId="0" applyNumberFormat="1" applyFill="1" applyBorder="1"/>
    <xf numFmtId="0" fontId="40" fillId="0" borderId="4" xfId="0" applyFont="1" applyFill="1" applyBorder="1"/>
    <xf numFmtId="0" fontId="40" fillId="0" borderId="0" xfId="0" applyFont="1" applyFill="1" applyBorder="1"/>
    <xf numFmtId="0" fontId="41" fillId="0" borderId="0" xfId="0" applyFont="1" applyFill="1" applyBorder="1"/>
    <xf numFmtId="0" fontId="42" fillId="0" borderId="0" xfId="0" applyFont="1" applyFill="1" applyBorder="1"/>
    <xf numFmtId="0" fontId="42" fillId="0" borderId="5" xfId="0" applyFont="1" applyFill="1" applyBorder="1"/>
    <xf numFmtId="0" fontId="40" fillId="0" borderId="5" xfId="0" applyFont="1" applyFill="1" applyBorder="1"/>
    <xf numFmtId="0" fontId="40" fillId="0" borderId="4" xfId="0" applyFont="1" applyFill="1" applyBorder="1" applyAlignment="1">
      <alignment vertical="top"/>
    </xf>
    <xf numFmtId="0" fontId="40" fillId="0" borderId="0" xfId="0" applyFont="1" applyFill="1" applyBorder="1" applyAlignment="1">
      <alignment vertical="top"/>
    </xf>
    <xf numFmtId="0" fontId="41" fillId="0" borderId="0" xfId="0" applyFont="1" applyFill="1" applyBorder="1" applyAlignment="1">
      <alignment vertical="top"/>
    </xf>
    <xf numFmtId="0" fontId="40" fillId="0" borderId="0" xfId="0" applyFont="1" applyFill="1" applyBorder="1" applyAlignment="1">
      <alignment horizontal="right" vertical="top"/>
    </xf>
    <xf numFmtId="0" fontId="44" fillId="0" borderId="0" xfId="0" applyFont="1" applyFill="1" applyBorder="1" applyAlignment="1">
      <alignment horizontal="right" vertical="top"/>
    </xf>
    <xf numFmtId="0" fontId="44" fillId="0" borderId="0" xfId="0" applyFont="1" applyFill="1" applyBorder="1" applyAlignment="1">
      <alignment vertical="top"/>
    </xf>
    <xf numFmtId="0" fontId="44" fillId="0" borderId="5" xfId="0" applyFont="1" applyFill="1" applyBorder="1" applyAlignment="1">
      <alignment vertical="top"/>
    </xf>
    <xf numFmtId="188" fontId="40" fillId="0" borderId="0" xfId="156" applyNumberFormat="1" applyFont="1" applyFill="1" applyBorder="1" applyAlignment="1">
      <alignment vertical="top"/>
    </xf>
    <xf numFmtId="0" fontId="41" fillId="0" borderId="5" xfId="0" applyFont="1" applyFill="1" applyBorder="1" applyAlignment="1">
      <alignment vertical="top"/>
    </xf>
    <xf numFmtId="184" fontId="40" fillId="0" borderId="0" xfId="0" applyNumberFormat="1" applyFont="1" applyFill="1" applyBorder="1" applyAlignment="1">
      <alignment vertical="top"/>
    </xf>
    <xf numFmtId="0" fontId="41" fillId="0" borderId="5" xfId="0" applyFont="1" applyFill="1" applyBorder="1"/>
    <xf numFmtId="9" fontId="40" fillId="0" borderId="0" xfId="0" applyNumberFormat="1" applyFont="1" applyFill="1" applyBorder="1" applyAlignment="1">
      <alignment vertical="top"/>
    </xf>
    <xf numFmtId="3" fontId="40" fillId="0" borderId="0" xfId="0" applyNumberFormat="1" applyFont="1" applyFill="1" applyBorder="1"/>
    <xf numFmtId="189" fontId="40" fillId="0" borderId="0" xfId="156" applyNumberFormat="1" applyFont="1" applyFill="1" applyBorder="1" applyAlignment="1">
      <alignment vertical="top"/>
    </xf>
    <xf numFmtId="0" fontId="0" fillId="0" borderId="0" xfId="0" applyFill="1"/>
    <xf numFmtId="10" fontId="40" fillId="0" borderId="0" xfId="0" applyNumberFormat="1" applyFont="1" applyFill="1" applyBorder="1" applyAlignment="1">
      <alignment vertical="top"/>
    </xf>
    <xf numFmtId="184" fontId="40" fillId="0" borderId="0" xfId="0" applyNumberFormat="1" applyFont="1" applyFill="1" applyBorder="1"/>
    <xf numFmtId="0" fontId="40" fillId="0" borderId="6" xfId="0" applyFont="1" applyFill="1" applyBorder="1" applyAlignment="1">
      <alignment vertical="top"/>
    </xf>
    <xf numFmtId="0" fontId="40" fillId="0" borderId="7" xfId="0" applyFont="1" applyFill="1" applyBorder="1" applyAlignment="1">
      <alignment vertical="top"/>
    </xf>
    <xf numFmtId="0" fontId="41" fillId="0" borderId="8" xfId="0" applyFont="1" applyFill="1" applyBorder="1" applyAlignment="1">
      <alignment vertical="top"/>
    </xf>
    <xf numFmtId="0" fontId="40" fillId="0" borderId="8" xfId="0" applyFont="1" applyFill="1" applyBorder="1" applyAlignment="1">
      <alignment vertical="top"/>
    </xf>
    <xf numFmtId="0" fontId="41" fillId="0" borderId="4" xfId="0" applyFont="1" applyFill="1" applyBorder="1"/>
    <xf numFmtId="0" fontId="41" fillId="0" borderId="0" xfId="0" applyFont="1" applyFill="1" applyBorder="1" applyAlignment="1">
      <alignment horizontal="centerContinuous" wrapText="1"/>
    </xf>
    <xf numFmtId="0" fontId="41" fillId="0" borderId="0" xfId="0" applyFont="1" applyFill="1" applyBorder="1" applyAlignment="1">
      <alignment horizontal="centerContinuous"/>
    </xf>
    <xf numFmtId="0" fontId="41" fillId="0" borderId="5" xfId="0" applyFont="1" applyFill="1" applyBorder="1" applyAlignment="1">
      <alignment horizontal="centerContinuous" wrapText="1"/>
    </xf>
    <xf numFmtId="0" fontId="41" fillId="0" borderId="4" xfId="0" applyFont="1" applyFill="1" applyBorder="1" applyAlignment="1">
      <alignment horizontal="center"/>
    </xf>
    <xf numFmtId="0" fontId="41" fillId="0" borderId="5" xfId="0" applyFont="1" applyFill="1" applyBorder="1" applyAlignment="1">
      <alignment horizontal="centerContinuous"/>
    </xf>
    <xf numFmtId="0" fontId="41" fillId="0" borderId="4" xfId="0" applyFont="1" applyFill="1" applyBorder="1" applyAlignment="1">
      <alignment horizontal="fill"/>
    </xf>
    <xf numFmtId="0" fontId="41" fillId="0" borderId="0" xfId="0" applyFont="1" applyFill="1" applyBorder="1" applyAlignment="1">
      <alignment horizontal="fill"/>
    </xf>
    <xf numFmtId="0" fontId="41" fillId="0" borderId="5" xfId="0" applyFont="1" applyFill="1" applyBorder="1" applyAlignment="1">
      <alignment horizontal="fill"/>
    </xf>
    <xf numFmtId="41" fontId="40" fillId="0" borderId="0" xfId="0" applyNumberFormat="1" applyFont="1" applyFill="1" applyBorder="1"/>
    <xf numFmtId="4" fontId="46" fillId="0" borderId="0" xfId="0" applyNumberFormat="1" applyFont="1" applyFill="1" applyBorder="1"/>
    <xf numFmtId="3" fontId="41" fillId="0" borderId="0" xfId="0" applyNumberFormat="1" applyFont="1" applyFill="1" applyBorder="1"/>
    <xf numFmtId="4" fontId="41" fillId="0" borderId="0" xfId="0" applyNumberFormat="1" applyFont="1" applyFill="1" applyBorder="1"/>
    <xf numFmtId="3" fontId="41" fillId="0" borderId="5" xfId="0" applyNumberFormat="1" applyFont="1" applyFill="1" applyBorder="1"/>
    <xf numFmtId="44" fontId="46" fillId="0" borderId="5" xfId="0" applyNumberFormat="1" applyFont="1" applyFill="1" applyBorder="1"/>
    <xf numFmtId="44" fontId="41" fillId="0" borderId="5" xfId="0" applyNumberFormat="1" applyFont="1" applyFill="1" applyBorder="1"/>
    <xf numFmtId="0" fontId="47" fillId="2" borderId="0" xfId="0" applyFont="1" applyFill="1" applyBorder="1" applyAlignment="1">
      <alignment horizontal="left"/>
    </xf>
    <xf numFmtId="176" fontId="0" fillId="2" borderId="0" xfId="160" applyNumberFormat="1" applyFont="1" applyFill="1" applyBorder="1"/>
    <xf numFmtId="177" fontId="0" fillId="2" borderId="0" xfId="161" applyNumberFormat="1" applyFont="1" applyFill="1" applyBorder="1" applyAlignment="1">
      <alignment horizontal="center"/>
    </xf>
    <xf numFmtId="177" fontId="0" fillId="2" borderId="7" xfId="161" applyNumberFormat="1" applyFont="1" applyFill="1" applyBorder="1" applyAlignment="1">
      <alignment horizontal="right"/>
    </xf>
    <xf numFmtId="177" fontId="5" fillId="2" borderId="0" xfId="161" applyNumberFormat="1" applyFont="1" applyFill="1" applyBorder="1" applyAlignment="1">
      <alignment horizontal="center"/>
    </xf>
    <xf numFmtId="176" fontId="5" fillId="2" borderId="0" xfId="160" applyNumberFormat="1" applyFont="1" applyFill="1" applyBorder="1" applyAlignment="1">
      <alignment horizontal="right"/>
    </xf>
    <xf numFmtId="177" fontId="0" fillId="2" borderId="0" xfId="161" applyNumberFormat="1" applyFont="1" applyFill="1" applyBorder="1" applyAlignment="1">
      <alignment horizontal="right"/>
    </xf>
    <xf numFmtId="177" fontId="5" fillId="0" borderId="0" xfId="0" applyNumberFormat="1" applyFont="1" applyFill="1" applyBorder="1"/>
    <xf numFmtId="188" fontId="40" fillId="0" borderId="0" xfId="160" applyNumberFormat="1" applyFont="1" applyFill="1" applyBorder="1" applyAlignment="1">
      <alignment vertical="top"/>
    </xf>
    <xf numFmtId="189" fontId="40" fillId="0" borderId="0" xfId="160" applyNumberFormat="1" applyFont="1" applyFill="1" applyBorder="1" applyAlignment="1">
      <alignment vertical="top"/>
    </xf>
    <xf numFmtId="10" fontId="43" fillId="0" borderId="7" xfId="161" applyNumberFormat="1" applyFont="1" applyFill="1" applyBorder="1"/>
    <xf numFmtId="177" fontId="0" fillId="0" borderId="0" xfId="0" applyNumberFormat="1" applyFill="1" applyBorder="1"/>
    <xf numFmtId="10" fontId="0" fillId="0" borderId="0" xfId="0" applyNumberFormat="1" applyFill="1" applyBorder="1"/>
    <xf numFmtId="0" fontId="8" fillId="0" borderId="0" xfId="89" applyFont="1" applyFill="1"/>
    <xf numFmtId="0" fontId="10" fillId="0" borderId="0" xfId="89" applyFont="1" applyFill="1"/>
    <xf numFmtId="0" fontId="31" fillId="0" borderId="17" xfId="89" applyFont="1" applyFill="1" applyBorder="1"/>
    <xf numFmtId="0" fontId="31" fillId="0" borderId="32" xfId="89" applyFont="1" applyFill="1" applyBorder="1"/>
    <xf numFmtId="179" fontId="31" fillId="0" borderId="32" xfId="124" applyNumberFormat="1" applyFont="1" applyFill="1" applyBorder="1" applyAlignment="1">
      <alignment horizontal="center"/>
    </xf>
    <xf numFmtId="0" fontId="31" fillId="0" borderId="17" xfId="124" applyFont="1" applyFill="1" applyBorder="1" applyAlignment="1">
      <alignment horizontal="center"/>
    </xf>
    <xf numFmtId="182" fontId="31" fillId="0" borderId="17" xfId="124" applyNumberFormat="1" applyFont="1" applyFill="1" applyBorder="1" applyAlignment="1">
      <alignment horizontal="center"/>
    </xf>
    <xf numFmtId="181" fontId="31" fillId="0" borderId="19" xfId="124" applyNumberFormat="1" applyFont="1" applyFill="1" applyBorder="1" applyAlignment="1">
      <alignment horizontal="centerContinuous"/>
    </xf>
    <xf numFmtId="43" fontId="31" fillId="0" borderId="32" xfId="124" applyNumberFormat="1" applyFont="1" applyFill="1" applyBorder="1" applyAlignment="1"/>
    <xf numFmtId="44" fontId="31" fillId="0" borderId="9" xfId="31" applyFont="1" applyFill="1" applyBorder="1"/>
    <xf numFmtId="183" fontId="32" fillId="0" borderId="19" xfId="124" applyNumberFormat="1" applyFont="1" applyFill="1" applyBorder="1" applyAlignment="1">
      <alignment horizontal="centerContinuous"/>
    </xf>
    <xf numFmtId="183" fontId="32" fillId="0" borderId="11" xfId="124" applyNumberFormat="1" applyFont="1" applyFill="1" applyBorder="1" applyAlignment="1">
      <alignment horizontal="centerContinuous"/>
    </xf>
    <xf numFmtId="183" fontId="32" fillId="0" borderId="34" xfId="124" applyNumberFormat="1" applyFont="1" applyFill="1" applyBorder="1" applyAlignment="1">
      <alignment horizontal="centerContinuous"/>
    </xf>
    <xf numFmtId="0" fontId="31" fillId="0" borderId="5" xfId="124" applyFont="1" applyFill="1" applyBorder="1" applyAlignment="1">
      <alignment horizontal="center" wrapText="1"/>
    </xf>
    <xf numFmtId="182" fontId="31" fillId="0" borderId="17" xfId="124" applyNumberFormat="1" applyFont="1" applyFill="1" applyBorder="1" applyAlignment="1">
      <alignment horizontal="center" wrapText="1"/>
    </xf>
    <xf numFmtId="181" fontId="31" fillId="0" borderId="17" xfId="124" applyNumberFormat="1" applyFont="1" applyFill="1" applyBorder="1" applyAlignment="1">
      <alignment horizontal="center" wrapText="1"/>
    </xf>
    <xf numFmtId="181" fontId="31" fillId="0" borderId="17" xfId="124" applyNumberFormat="1" applyFont="1" applyFill="1" applyBorder="1" applyAlignment="1">
      <alignment horizontal="centerContinuous" wrapText="1"/>
    </xf>
    <xf numFmtId="43" fontId="31" fillId="0" borderId="17" xfId="124" applyNumberFormat="1" applyFont="1" applyFill="1" applyBorder="1" applyAlignment="1">
      <alignment horizontal="center" wrapText="1"/>
    </xf>
    <xf numFmtId="0" fontId="31" fillId="0" borderId="35" xfId="124" applyFont="1" applyFill="1" applyBorder="1" applyAlignment="1">
      <alignment horizontal="center" wrapText="1"/>
    </xf>
    <xf numFmtId="0" fontId="35" fillId="0" borderId="11" xfId="124" applyNumberFormat="1" applyFont="1" applyFill="1" applyBorder="1" applyAlignment="1">
      <alignment horizontal="center"/>
    </xf>
    <xf numFmtId="183" fontId="35" fillId="0" borderId="11" xfId="124" applyNumberFormat="1" applyFont="1" applyFill="1" applyBorder="1" applyAlignment="1">
      <alignment horizontal="center"/>
    </xf>
    <xf numFmtId="183" fontId="35" fillId="0" borderId="34" xfId="124" applyNumberFormat="1" applyFont="1" applyFill="1" applyBorder="1" applyAlignment="1">
      <alignment horizontal="center"/>
    </xf>
    <xf numFmtId="0" fontId="31" fillId="0" borderId="11" xfId="89" applyFont="1" applyFill="1" applyBorder="1" applyAlignment="1">
      <alignment horizontal="center"/>
    </xf>
    <xf numFmtId="43" fontId="31" fillId="0" borderId="11" xfId="17" applyFont="1" applyFill="1" applyBorder="1"/>
    <xf numFmtId="0" fontId="32" fillId="0" borderId="11" xfId="89" applyFont="1" applyFill="1" applyBorder="1" applyAlignment="1">
      <alignment horizontal="center"/>
    </xf>
    <xf numFmtId="186" fontId="31" fillId="0" borderId="9" xfId="89" applyNumberFormat="1" applyFont="1" applyFill="1" applyBorder="1" applyAlignment="1">
      <alignment horizontal="center"/>
    </xf>
    <xf numFmtId="187" fontId="31" fillId="0" borderId="11" xfId="17" applyNumberFormat="1" applyFont="1" applyFill="1" applyBorder="1"/>
    <xf numFmtId="43" fontId="31" fillId="0" borderId="34" xfId="17" applyFont="1" applyFill="1" applyBorder="1"/>
    <xf numFmtId="184" fontId="31" fillId="0" borderId="14" xfId="124" applyNumberFormat="1" applyFont="1" applyFill="1" applyBorder="1" applyAlignment="1">
      <alignment horizontal="center"/>
    </xf>
    <xf numFmtId="0" fontId="31" fillId="0" borderId="14" xfId="89" applyFont="1" applyFill="1" applyBorder="1"/>
    <xf numFmtId="2" fontId="31" fillId="0" borderId="14" xfId="124" applyNumberFormat="1" applyFont="1" applyFill="1" applyBorder="1" applyAlignment="1"/>
    <xf numFmtId="185" fontId="31" fillId="0" borderId="14" xfId="17" applyNumberFormat="1" applyFont="1" applyFill="1" applyBorder="1" applyAlignment="1"/>
    <xf numFmtId="179" fontId="31" fillId="0" borderId="14" xfId="17" applyNumberFormat="1" applyFont="1" applyFill="1" applyBorder="1"/>
    <xf numFmtId="1" fontId="31" fillId="0" borderId="14" xfId="124" applyNumberFormat="1" applyFont="1" applyFill="1" applyBorder="1" applyAlignment="1"/>
    <xf numFmtId="10" fontId="31" fillId="0" borderId="14" xfId="124" applyNumberFormat="1" applyFont="1" applyFill="1" applyBorder="1" applyAlignment="1"/>
    <xf numFmtId="43" fontId="31" fillId="0" borderId="14" xfId="17" applyFont="1" applyFill="1" applyBorder="1" applyAlignment="1"/>
    <xf numFmtId="187" fontId="31" fillId="0" borderId="14" xfId="17" applyNumberFormat="1" applyFont="1" applyFill="1" applyBorder="1" applyAlignment="1"/>
    <xf numFmtId="43" fontId="31" fillId="0" borderId="37" xfId="17" applyFont="1" applyFill="1" applyBorder="1" applyAlignment="1"/>
    <xf numFmtId="0" fontId="31" fillId="0" borderId="9" xfId="89" applyFont="1" applyFill="1" applyBorder="1"/>
    <xf numFmtId="2" fontId="31" fillId="0" borderId="9" xfId="124" applyNumberFormat="1" applyFont="1" applyFill="1" applyBorder="1" applyAlignment="1"/>
    <xf numFmtId="185" fontId="31" fillId="0" borderId="32" xfId="17" applyNumberFormat="1" applyFont="1" applyFill="1" applyBorder="1" applyAlignment="1"/>
    <xf numFmtId="179" fontId="31" fillId="0" borderId="9" xfId="17" applyNumberFormat="1" applyFont="1" applyFill="1" applyBorder="1"/>
    <xf numFmtId="1" fontId="31" fillId="0" borderId="9" xfId="124" applyNumberFormat="1" applyFont="1" applyFill="1" applyBorder="1" applyAlignment="1"/>
    <xf numFmtId="10" fontId="31" fillId="0" borderId="9" xfId="124" applyNumberFormat="1" applyFont="1" applyFill="1" applyBorder="1" applyAlignment="1"/>
    <xf numFmtId="43" fontId="31" fillId="0" borderId="9" xfId="17" applyFont="1" applyFill="1" applyBorder="1" applyAlignment="1"/>
    <xf numFmtId="187" fontId="31" fillId="0" borderId="9" xfId="17" applyNumberFormat="1" applyFont="1" applyFill="1" applyBorder="1" applyAlignment="1"/>
    <xf numFmtId="43" fontId="31" fillId="0" borderId="38" xfId="17" applyFont="1" applyFill="1" applyBorder="1" applyAlignment="1"/>
    <xf numFmtId="187" fontId="31" fillId="0" borderId="39" xfId="17" applyNumberFormat="1" applyFont="1" applyFill="1" applyBorder="1" applyAlignment="1">
      <alignment horizontal="right"/>
    </xf>
    <xf numFmtId="43" fontId="31" fillId="0" borderId="39" xfId="17" applyNumberFormat="1" applyFont="1" applyFill="1" applyBorder="1" applyAlignment="1">
      <alignment horizontal="right"/>
    </xf>
    <xf numFmtId="43" fontId="31" fillId="0" borderId="40" xfId="17" applyNumberFormat="1" applyFont="1" applyFill="1" applyBorder="1" applyAlignment="1">
      <alignment horizontal="right"/>
    </xf>
    <xf numFmtId="185" fontId="49" fillId="0" borderId="0" xfId="159" applyNumberFormat="1" applyFont="1" applyFill="1" applyBorder="1" applyAlignment="1">
      <alignment horizontal="center"/>
    </xf>
    <xf numFmtId="10" fontId="0" fillId="0" borderId="0" xfId="161" applyNumberFormat="1" applyFont="1" applyFill="1" applyBorder="1"/>
    <xf numFmtId="179" fontId="0" fillId="0" borderId="0" xfId="159" applyNumberFormat="1" applyFont="1"/>
    <xf numFmtId="178" fontId="0" fillId="0" borderId="0" xfId="0" applyNumberFormat="1" applyFont="1"/>
    <xf numFmtId="191" fontId="0" fillId="0" borderId="0" xfId="0" applyNumberFormat="1" applyFont="1"/>
    <xf numFmtId="0" fontId="0" fillId="0" borderId="0" xfId="0" applyFont="1" applyBorder="1"/>
    <xf numFmtId="183" fontId="32" fillId="0" borderId="0" xfId="124" applyNumberFormat="1" applyFont="1" applyFill="1" applyBorder="1" applyAlignment="1">
      <alignment horizontal="centerContinuous"/>
    </xf>
    <xf numFmtId="0" fontId="31" fillId="0" borderId="0" xfId="124" applyFont="1" applyFill="1" applyBorder="1" applyAlignment="1">
      <alignment horizontal="center" wrapText="1"/>
    </xf>
    <xf numFmtId="187" fontId="31" fillId="0" borderId="0" xfId="17" applyNumberFormat="1" applyFont="1" applyFill="1" applyBorder="1"/>
    <xf numFmtId="43" fontId="31" fillId="0" borderId="0" xfId="17" applyFont="1" applyFill="1" applyBorder="1"/>
    <xf numFmtId="187" fontId="31" fillId="0" borderId="0" xfId="17" applyNumberFormat="1" applyFont="1" applyFill="1" applyBorder="1" applyAlignment="1"/>
    <xf numFmtId="183" fontId="31" fillId="0" borderId="0" xfId="17" applyNumberFormat="1" applyFont="1" applyFill="1" applyBorder="1" applyAlignment="1"/>
    <xf numFmtId="43" fontId="31" fillId="0" borderId="0" xfId="17" applyFont="1" applyFill="1" applyBorder="1" applyAlignment="1"/>
    <xf numFmtId="179" fontId="0" fillId="0" borderId="0" xfId="159" applyNumberFormat="1" applyFont="1" applyBorder="1"/>
    <xf numFmtId="2" fontId="0" fillId="0" borderId="0" xfId="0" applyNumberFormat="1" applyFill="1" applyBorder="1" applyAlignment="1">
      <alignment horizontal="right" wrapText="1"/>
    </xf>
    <xf numFmtId="43" fontId="31" fillId="0" borderId="32" xfId="17" applyFont="1" applyFill="1" applyBorder="1" applyAlignment="1">
      <alignment horizontal="right"/>
    </xf>
    <xf numFmtId="0" fontId="31" fillId="0" borderId="6" xfId="89" applyFont="1" applyFill="1" applyBorder="1"/>
    <xf numFmtId="0" fontId="31" fillId="0" borderId="33" xfId="89" applyFont="1" applyFill="1" applyBorder="1"/>
    <xf numFmtId="4" fontId="51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>
      <alignment horizontal="right" wrapText="1"/>
    </xf>
    <xf numFmtId="0" fontId="36" fillId="0" borderId="0" xfId="0" applyFont="1" applyFill="1"/>
    <xf numFmtId="0" fontId="0" fillId="0" borderId="1" xfId="0" applyFill="1" applyBorder="1"/>
    <xf numFmtId="0" fontId="0" fillId="0" borderId="2" xfId="0" applyFill="1" applyBorder="1"/>
    <xf numFmtId="0" fontId="0" fillId="0" borderId="3" xfId="0" applyFill="1" applyBorder="1"/>
    <xf numFmtId="0" fontId="5" fillId="0" borderId="0" xfId="0" applyFont="1" applyFill="1" applyBorder="1"/>
    <xf numFmtId="0" fontId="0" fillId="0" borderId="5" xfId="0" applyFill="1" applyBorder="1"/>
    <xf numFmtId="0" fontId="0" fillId="0" borderId="0" xfId="0" applyFill="1" applyBorder="1" applyAlignment="1">
      <alignment horizontal="right"/>
    </xf>
    <xf numFmtId="0" fontId="6" fillId="0" borderId="0" xfId="0" applyFont="1" applyFill="1" applyBorder="1"/>
    <xf numFmtId="0" fontId="0" fillId="0" borderId="6" xfId="0" applyFill="1" applyBorder="1"/>
    <xf numFmtId="0" fontId="0" fillId="0" borderId="8" xfId="0" applyFill="1" applyBorder="1"/>
    <xf numFmtId="0" fontId="10" fillId="0" borderId="0" xfId="89" applyFont="1" applyFill="1" applyBorder="1"/>
    <xf numFmtId="0" fontId="5" fillId="0" borderId="19" xfId="0" applyFont="1" applyFill="1" applyBorder="1" applyAlignment="1">
      <alignment horizontal="centerContinuous" vertical="center" wrapText="1"/>
    </xf>
    <xf numFmtId="0" fontId="5" fillId="0" borderId="11" xfId="0" applyFont="1" applyFill="1" applyBorder="1" applyAlignment="1">
      <alignment horizontal="centerContinuous" vertical="center" wrapText="1"/>
    </xf>
    <xf numFmtId="0" fontId="0" fillId="0" borderId="11" xfId="0" applyFill="1" applyBorder="1"/>
    <xf numFmtId="0" fontId="5" fillId="0" borderId="20" xfId="0" applyFont="1" applyFill="1" applyBorder="1" applyAlignment="1">
      <alignment horizontal="centerContinuous" vertical="center" wrapText="1"/>
    </xf>
    <xf numFmtId="0" fontId="5" fillId="0" borderId="19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20" xfId="0" applyFont="1" applyFill="1" applyBorder="1" applyAlignment="1">
      <alignment horizontal="left" vertical="center"/>
    </xf>
    <xf numFmtId="0" fontId="36" fillId="0" borderId="1" xfId="0" applyFont="1" applyFill="1" applyBorder="1"/>
    <xf numFmtId="0" fontId="36" fillId="0" borderId="2" xfId="0" applyFont="1" applyFill="1" applyBorder="1"/>
    <xf numFmtId="0" fontId="36" fillId="0" borderId="3" xfId="0" applyFont="1" applyFill="1" applyBorder="1"/>
    <xf numFmtId="0" fontId="5" fillId="0" borderId="0" xfId="0" applyFont="1" applyFill="1"/>
    <xf numFmtId="0" fontId="36" fillId="0" borderId="4" xfId="0" applyFont="1" applyFill="1" applyBorder="1"/>
    <xf numFmtId="0" fontId="36" fillId="0" borderId="0" xfId="0" applyFont="1" applyFill="1" applyBorder="1"/>
    <xf numFmtId="0" fontId="43" fillId="0" borderId="0" xfId="0" applyFont="1" applyFill="1" applyBorder="1"/>
    <xf numFmtId="0" fontId="36" fillId="0" borderId="5" xfId="0" applyFont="1" applyFill="1" applyBorder="1"/>
    <xf numFmtId="179" fontId="0" fillId="0" borderId="0" xfId="158" applyNumberFormat="1" applyFont="1" applyFill="1"/>
    <xf numFmtId="10" fontId="43" fillId="0" borderId="0" xfId="157" applyNumberFormat="1" applyFont="1" applyFill="1" applyBorder="1"/>
    <xf numFmtId="43" fontId="43" fillId="0" borderId="0" xfId="158" applyNumberFormat="1" applyFont="1" applyFill="1" applyBorder="1"/>
    <xf numFmtId="0" fontId="36" fillId="0" borderId="6" xfId="0" applyFont="1" applyFill="1" applyBorder="1"/>
    <xf numFmtId="0" fontId="36" fillId="0" borderId="7" xfId="0" applyFont="1" applyFill="1" applyBorder="1"/>
    <xf numFmtId="10" fontId="43" fillId="0" borderId="7" xfId="157" applyNumberFormat="1" applyFont="1" applyFill="1" applyBorder="1"/>
    <xf numFmtId="0" fontId="36" fillId="0" borderId="8" xfId="0" applyFont="1" applyFill="1" applyBorder="1"/>
    <xf numFmtId="0" fontId="0" fillId="0" borderId="11" xfId="0" applyFill="1" applyBorder="1" applyAlignment="1">
      <alignment horizontal="centerContinuous" vertical="center" wrapText="1"/>
    </xf>
    <xf numFmtId="0" fontId="0" fillId="0" borderId="20" xfId="0" applyFill="1" applyBorder="1" applyAlignment="1">
      <alignment horizontal="centerContinuous" vertical="center" wrapText="1"/>
    </xf>
    <xf numFmtId="0" fontId="0" fillId="0" borderId="0" xfId="0" applyFill="1" applyBorder="1" applyAlignment="1">
      <alignment horizontal="centerContinuous"/>
    </xf>
    <xf numFmtId="0" fontId="0" fillId="0" borderId="0" xfId="0" applyFill="1" applyBorder="1" applyAlignment="1">
      <alignment horizontal="centerContinuous" wrapText="1"/>
    </xf>
    <xf numFmtId="0" fontId="0" fillId="0" borderId="0" xfId="0" applyFill="1" applyBorder="1" applyAlignment="1">
      <alignment wrapText="1"/>
    </xf>
    <xf numFmtId="0" fontId="0" fillId="0" borderId="5" xfId="0" applyFill="1" applyBorder="1" applyAlignment="1">
      <alignment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fill"/>
    </xf>
    <xf numFmtId="0" fontId="0" fillId="0" borderId="0" xfId="0" applyFill="1" applyBorder="1" applyAlignment="1"/>
    <xf numFmtId="10" fontId="0" fillId="0" borderId="0" xfId="0" applyNumberFormat="1" applyFont="1" applyFill="1" applyBorder="1"/>
    <xf numFmtId="177" fontId="45" fillId="0" borderId="0" xfId="0" applyNumberFormat="1" applyFont="1" applyFill="1" applyBorder="1"/>
    <xf numFmtId="0" fontId="45" fillId="0" borderId="0" xfId="0" applyFont="1" applyFill="1" applyBorder="1"/>
    <xf numFmtId="177" fontId="0" fillId="0" borderId="0" xfId="0" applyNumberFormat="1" applyFont="1" applyFill="1" applyBorder="1" applyAlignment="1">
      <alignment horizontal="centerContinuous"/>
    </xf>
    <xf numFmtId="43" fontId="0" fillId="0" borderId="0" xfId="0" applyNumberFormat="1" applyFont="1" applyFill="1" applyBorder="1"/>
    <xf numFmtId="44" fontId="0" fillId="0" borderId="0" xfId="0" applyNumberFormat="1" applyFont="1" applyFill="1" applyBorder="1"/>
    <xf numFmtId="44" fontId="0" fillId="0" borderId="0" xfId="0" applyNumberFormat="1" applyFill="1" applyBorder="1"/>
    <xf numFmtId="3" fontId="0" fillId="0" borderId="0" xfId="0" applyNumberFormat="1" applyFill="1" applyBorder="1"/>
    <xf numFmtId="0" fontId="0" fillId="0" borderId="0" xfId="0" applyFont="1" applyFill="1" applyBorder="1" applyAlignment="1">
      <alignment horizontal="fill"/>
    </xf>
    <xf numFmtId="4" fontId="0" fillId="0" borderId="0" xfId="0" applyNumberFormat="1" applyFill="1" applyBorder="1"/>
    <xf numFmtId="3" fontId="0" fillId="0" borderId="5" xfId="0" applyNumberFormat="1" applyFill="1" applyBorder="1"/>
    <xf numFmtId="0" fontId="5" fillId="0" borderId="0" xfId="0" applyFont="1" applyFill="1" applyBorder="1" applyAlignment="1">
      <alignment horizontal="left" indent="5"/>
    </xf>
    <xf numFmtId="41" fontId="0" fillId="0" borderId="0" xfId="0" applyNumberFormat="1" applyFill="1" applyBorder="1"/>
    <xf numFmtId="43" fontId="0" fillId="0" borderId="0" xfId="0" applyNumberFormat="1" applyFill="1" applyBorder="1"/>
    <xf numFmtId="0" fontId="0" fillId="0" borderId="7" xfId="0" applyFill="1" applyBorder="1"/>
    <xf numFmtId="10" fontId="0" fillId="0" borderId="7" xfId="0" applyNumberFormat="1" applyFill="1" applyBorder="1"/>
    <xf numFmtId="10" fontId="0" fillId="0" borderId="0" xfId="0" applyNumberFormat="1" applyFill="1"/>
    <xf numFmtId="41" fontId="0" fillId="0" borderId="0" xfId="0" applyNumberFormat="1" applyFill="1"/>
    <xf numFmtId="44" fontId="6" fillId="0" borderId="0" xfId="0" applyNumberFormat="1" applyFont="1" applyFill="1" applyBorder="1"/>
    <xf numFmtId="2" fontId="43" fillId="0" borderId="0" xfId="0" applyNumberFormat="1" applyFont="1" applyFill="1" applyBorder="1"/>
    <xf numFmtId="190" fontId="40" fillId="0" borderId="0" xfId="0" applyNumberFormat="1" applyFont="1" applyFill="1" applyBorder="1"/>
    <xf numFmtId="10" fontId="43" fillId="0" borderId="0" xfId="161" applyNumberFormat="1" applyFont="1" applyFill="1" applyBorder="1"/>
    <xf numFmtId="43" fontId="43" fillId="0" borderId="0" xfId="159" applyNumberFormat="1" applyFont="1" applyFill="1" applyBorder="1"/>
    <xf numFmtId="43" fontId="0" fillId="0" borderId="0" xfId="0" applyNumberFormat="1" applyFill="1"/>
    <xf numFmtId="177" fontId="6" fillId="0" borderId="0" xfId="0" applyNumberFormat="1" applyFont="1" applyFill="1" applyBorder="1"/>
    <xf numFmtId="8" fontId="0" fillId="0" borderId="0" xfId="0" applyNumberFormat="1" applyFont="1" applyFill="1" applyBorder="1"/>
    <xf numFmtId="192" fontId="6" fillId="0" borderId="0" xfId="159" applyNumberFormat="1" applyFont="1" applyFill="1" applyBorder="1" applyAlignment="1">
      <alignment horizontal="right"/>
    </xf>
    <xf numFmtId="177" fontId="38" fillId="0" borderId="0" xfId="0" applyNumberFormat="1" applyFont="1" applyFill="1" applyBorder="1"/>
    <xf numFmtId="0" fontId="0" fillId="0" borderId="0" xfId="0" applyAlignment="1">
      <alignment horizontal="center"/>
    </xf>
    <xf numFmtId="0" fontId="0" fillId="2" borderId="0" xfId="0" applyFont="1" applyFill="1" applyBorder="1" applyAlignment="1">
      <alignment horizontal="center"/>
    </xf>
    <xf numFmtId="175" fontId="0" fillId="2" borderId="0" xfId="160" applyNumberFormat="1" applyFont="1" applyFill="1" applyBorder="1" applyAlignment="1">
      <alignment horizontal="left"/>
    </xf>
    <xf numFmtId="0" fontId="0" fillId="0" borderId="30" xfId="0" applyFont="1" applyFill="1" applyBorder="1"/>
    <xf numFmtId="41" fontId="5" fillId="0" borderId="2" xfId="0" applyNumberFormat="1" applyFont="1" applyFill="1" applyBorder="1"/>
    <xf numFmtId="177" fontId="5" fillId="2" borderId="21" xfId="161" applyNumberFormat="1" applyFont="1" applyFill="1" applyBorder="1" applyAlignment="1">
      <alignment horizontal="left"/>
    </xf>
    <xf numFmtId="0" fontId="0" fillId="2" borderId="22" xfId="0" applyFont="1" applyFill="1" applyBorder="1"/>
    <xf numFmtId="177" fontId="0" fillId="2" borderId="21" xfId="161" applyNumberFormat="1" applyFont="1" applyFill="1" applyBorder="1" applyAlignment="1">
      <alignment horizontal="left"/>
    </xf>
    <xf numFmtId="176" fontId="0" fillId="2" borderId="0" xfId="161" applyNumberFormat="1" applyFont="1" applyFill="1" applyBorder="1" applyAlignment="1">
      <alignment horizontal="right"/>
    </xf>
    <xf numFmtId="0" fontId="0" fillId="0" borderId="5" xfId="0" applyFont="1" applyFill="1" applyBorder="1"/>
    <xf numFmtId="0" fontId="5" fillId="0" borderId="21" xfId="0" applyFont="1" applyFill="1" applyBorder="1"/>
    <xf numFmtId="177" fontId="0" fillId="2" borderId="0" xfId="161" applyNumberFormat="1" applyFont="1" applyFill="1" applyBorder="1" applyAlignment="1">
      <alignment horizontal="left"/>
    </xf>
    <xf numFmtId="176" fontId="0" fillId="2" borderId="0" xfId="160" applyNumberFormat="1" applyFont="1" applyFill="1" applyBorder="1" applyAlignment="1">
      <alignment horizontal="right"/>
    </xf>
    <xf numFmtId="41" fontId="5" fillId="0" borderId="26" xfId="0" applyNumberFormat="1" applyFont="1" applyFill="1" applyBorder="1"/>
    <xf numFmtId="176" fontId="0" fillId="2" borderId="7" xfId="161" applyNumberFormat="1" applyFont="1" applyFill="1" applyBorder="1" applyAlignment="1">
      <alignment horizontal="right"/>
    </xf>
    <xf numFmtId="41" fontId="5" fillId="0" borderId="57" xfId="0" applyNumberFormat="1" applyFont="1" applyFill="1" applyBorder="1"/>
    <xf numFmtId="10" fontId="5" fillId="2" borderId="0" xfId="161" applyNumberFormat="1" applyFont="1" applyFill="1" applyBorder="1" applyAlignment="1">
      <alignment horizontal="right"/>
    </xf>
    <xf numFmtId="0" fontId="0" fillId="0" borderId="5" xfId="0" applyFont="1" applyBorder="1"/>
    <xf numFmtId="0" fontId="5" fillId="0" borderId="0" xfId="0" applyFont="1" applyFill="1" applyBorder="1" applyAlignment="1">
      <alignment horizontal="centerContinuous" vertical="center" wrapText="1"/>
    </xf>
    <xf numFmtId="0" fontId="0" fillId="0" borderId="0" xfId="0" applyFill="1" applyBorder="1" applyAlignment="1">
      <alignment horizontal="centerContinuous" vertical="center" wrapText="1"/>
    </xf>
    <xf numFmtId="0" fontId="20" fillId="0" borderId="0" xfId="0" applyFont="1" applyFill="1" applyBorder="1" applyAlignment="1">
      <alignment horizontal="centerContinuous" vertical="center" wrapText="1"/>
    </xf>
    <xf numFmtId="0" fontId="0" fillId="0" borderId="0" xfId="0" applyFill="1" applyBorder="1" applyAlignment="1">
      <alignment horizontal="center" wrapText="1"/>
    </xf>
    <xf numFmtId="0" fontId="50" fillId="0" borderId="0" xfId="0" applyFont="1" applyFill="1" applyBorder="1" applyAlignment="1">
      <alignment horizontal="center"/>
    </xf>
    <xf numFmtId="14" fontId="39" fillId="0" borderId="0" xfId="0" applyNumberFormat="1" applyFont="1" applyFill="1" applyBorder="1" applyAlignment="1">
      <alignment horizontal="center"/>
    </xf>
    <xf numFmtId="8" fontId="0" fillId="0" borderId="0" xfId="0" applyNumberFormat="1" applyFill="1" applyBorder="1"/>
    <xf numFmtId="14" fontId="0" fillId="0" borderId="0" xfId="0" applyNumberFormat="1" applyFill="1" applyBorder="1" applyAlignment="1">
      <alignment horizontal="center"/>
    </xf>
    <xf numFmtId="2" fontId="38" fillId="0" borderId="0" xfId="0" applyNumberFormat="1" applyFont="1" applyFill="1" applyBorder="1"/>
    <xf numFmtId="10" fontId="0" fillId="0" borderId="0" xfId="157" applyNumberFormat="1" applyFont="1" applyFill="1" applyBorder="1"/>
    <xf numFmtId="0" fontId="0" fillId="0" borderId="0" xfId="0" applyFill="1" applyBorder="1" applyAlignment="1">
      <alignment horizontal="left" vertical="top"/>
    </xf>
    <xf numFmtId="0" fontId="0" fillId="0" borderId="17" xfId="0" applyFill="1" applyBorder="1"/>
    <xf numFmtId="191" fontId="0" fillId="0" borderId="0" xfId="0" applyNumberFormat="1" applyFont="1" applyBorder="1"/>
    <xf numFmtId="0" fontId="31" fillId="0" borderId="3" xfId="124" applyFont="1" applyFill="1" applyBorder="1" applyAlignment="1">
      <alignment horizontal="center" wrapText="1"/>
    </xf>
    <xf numFmtId="186" fontId="31" fillId="0" borderId="20" xfId="89" applyNumberFormat="1" applyFont="1" applyFill="1" applyBorder="1" applyAlignment="1">
      <alignment horizontal="center"/>
    </xf>
    <xf numFmtId="43" fontId="31" fillId="0" borderId="8" xfId="17" applyFont="1" applyFill="1" applyBorder="1" applyAlignment="1"/>
    <xf numFmtId="43" fontId="31" fillId="0" borderId="20" xfId="17" applyFont="1" applyFill="1" applyBorder="1" applyAlignment="1"/>
    <xf numFmtId="43" fontId="31" fillId="0" borderId="3" xfId="17" applyFont="1" applyFill="1" applyBorder="1" applyAlignment="1">
      <alignment horizontal="right"/>
    </xf>
    <xf numFmtId="0" fontId="31" fillId="0" borderId="32" xfId="124" applyFont="1" applyFill="1" applyBorder="1" applyAlignment="1">
      <alignment horizontal="centerContinuous"/>
    </xf>
    <xf numFmtId="0" fontId="32" fillId="0" borderId="19" xfId="124" applyFont="1" applyFill="1" applyBorder="1" applyAlignment="1">
      <alignment horizontal="centerContinuous"/>
    </xf>
    <xf numFmtId="0" fontId="31" fillId="0" borderId="11" xfId="124" applyFont="1" applyFill="1" applyBorder="1" applyAlignment="1">
      <alignment horizontal="centerContinuous"/>
    </xf>
    <xf numFmtId="179" fontId="31" fillId="0" borderId="11" xfId="124" applyNumberFormat="1" applyFont="1" applyFill="1" applyBorder="1" applyAlignment="1">
      <alignment horizontal="centerContinuous"/>
    </xf>
    <xf numFmtId="181" fontId="31" fillId="0" borderId="2" xfId="124" applyNumberFormat="1" applyFont="1" applyFill="1" applyBorder="1" applyAlignment="1">
      <alignment horizontal="centerContinuous"/>
    </xf>
    <xf numFmtId="181" fontId="31" fillId="0" borderId="3" xfId="124" applyNumberFormat="1" applyFont="1" applyFill="1" applyBorder="1" applyAlignment="1">
      <alignment horizontal="centerContinuous"/>
    </xf>
    <xf numFmtId="0" fontId="31" fillId="0" borderId="19" xfId="89" applyFont="1" applyFill="1" applyBorder="1"/>
    <xf numFmtId="0" fontId="31" fillId="0" borderId="4" xfId="89" applyFont="1" applyFill="1" applyBorder="1"/>
    <xf numFmtId="0" fontId="32" fillId="0" borderId="6" xfId="89" applyFont="1" applyFill="1" applyBorder="1" applyAlignment="1">
      <alignment horizontal="left" indent="1"/>
    </xf>
    <xf numFmtId="0" fontId="31" fillId="0" borderId="7" xfId="89" applyFont="1" applyFill="1" applyBorder="1"/>
    <xf numFmtId="0" fontId="31" fillId="0" borderId="6" xfId="124" applyFont="1" applyFill="1" applyBorder="1" applyAlignment="1">
      <alignment horizontal="left"/>
    </xf>
    <xf numFmtId="0" fontId="31" fillId="0" borderId="5" xfId="89" applyFont="1" applyFill="1" applyBorder="1"/>
    <xf numFmtId="0" fontId="31" fillId="0" borderId="4" xfId="124" applyFont="1" applyFill="1" applyBorder="1" applyAlignment="1">
      <alignment horizontal="center"/>
    </xf>
    <xf numFmtId="0" fontId="31" fillId="0" borderId="1" xfId="124" applyFont="1" applyFill="1" applyBorder="1" applyAlignment="1">
      <alignment horizontal="left"/>
    </xf>
    <xf numFmtId="0" fontId="31" fillId="0" borderId="6" xfId="89" applyFont="1" applyBorder="1" applyAlignment="1">
      <alignment horizontal="left" indent="1"/>
    </xf>
    <xf numFmtId="0" fontId="31" fillId="0" borderId="4" xfId="89" applyFont="1" applyBorder="1" applyAlignment="1">
      <alignment horizontal="left" indent="1"/>
    </xf>
    <xf numFmtId="184" fontId="31" fillId="0" borderId="32" xfId="124" applyNumberFormat="1" applyFont="1" applyFill="1" applyBorder="1" applyAlignment="1">
      <alignment horizontal="center"/>
    </xf>
    <xf numFmtId="0" fontId="31" fillId="0" borderId="32" xfId="89" applyFont="1" applyBorder="1"/>
    <xf numFmtId="1" fontId="31" fillId="0" borderId="32" xfId="89" applyNumberFormat="1" applyFont="1" applyBorder="1"/>
    <xf numFmtId="185" fontId="31" fillId="0" borderId="32" xfId="17" applyNumberFormat="1" applyFont="1" applyFill="1" applyBorder="1" applyAlignment="1">
      <alignment horizontal="right"/>
    </xf>
    <xf numFmtId="179" fontId="31" fillId="0" borderId="32" xfId="17" applyNumberFormat="1" applyFont="1" applyFill="1" applyBorder="1" applyAlignment="1">
      <alignment horizontal="right"/>
    </xf>
    <xf numFmtId="10" fontId="31" fillId="0" borderId="32" xfId="124" applyNumberFormat="1" applyFont="1" applyFill="1" applyBorder="1"/>
    <xf numFmtId="0" fontId="31" fillId="0" borderId="36" xfId="89" applyFont="1" applyBorder="1"/>
    <xf numFmtId="185" fontId="31" fillId="17" borderId="9" xfId="17" applyNumberFormat="1" applyFont="1" applyFill="1" applyBorder="1" applyAlignment="1"/>
    <xf numFmtId="0" fontId="31" fillId="0" borderId="59" xfId="89" applyFont="1" applyBorder="1"/>
    <xf numFmtId="0" fontId="52" fillId="0" borderId="25" xfId="0" applyFont="1" applyFill="1" applyBorder="1" applyAlignment="1">
      <alignment horizontal="right"/>
    </xf>
    <xf numFmtId="0" fontId="52" fillId="0" borderId="28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left"/>
    </xf>
    <xf numFmtId="177" fontId="0" fillId="2" borderId="7" xfId="16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47" fillId="2" borderId="7" xfId="0" applyFont="1" applyFill="1" applyBorder="1" applyAlignment="1">
      <alignment horizontal="left"/>
    </xf>
    <xf numFmtId="41" fontId="5" fillId="0" borderId="60" xfId="0" applyNumberFormat="1" applyFont="1" applyFill="1" applyBorder="1"/>
    <xf numFmtId="0" fontId="5" fillId="2" borderId="2" xfId="0" applyFont="1" applyFill="1" applyBorder="1"/>
    <xf numFmtId="0" fontId="5" fillId="2" borderId="56" xfId="0" applyFont="1" applyFill="1" applyBorder="1"/>
    <xf numFmtId="0" fontId="0" fillId="0" borderId="23" xfId="0" applyFont="1" applyBorder="1"/>
    <xf numFmtId="0" fontId="84" fillId="0" borderId="0" xfId="0" applyFont="1" applyFill="1" applyBorder="1" applyAlignment="1">
      <alignment horizontal="right" vertical="top"/>
    </xf>
    <xf numFmtId="200" fontId="41" fillId="55" borderId="0" xfId="0" applyNumberFormat="1" applyFont="1" applyFill="1" applyBorder="1" applyAlignment="1">
      <alignment vertical="top"/>
    </xf>
    <xf numFmtId="184" fontId="41" fillId="55" borderId="0" xfId="0" applyNumberFormat="1" applyFont="1" applyFill="1" applyBorder="1" applyAlignment="1">
      <alignment vertical="top"/>
    </xf>
    <xf numFmtId="0" fontId="41" fillId="55" borderId="0" xfId="0" applyFont="1" applyFill="1" applyBorder="1" applyAlignment="1">
      <alignment vertical="top"/>
    </xf>
    <xf numFmtId="41" fontId="41" fillId="55" borderId="0" xfId="0" applyNumberFormat="1" applyFont="1" applyFill="1" applyBorder="1" applyAlignment="1">
      <alignment vertical="top"/>
    </xf>
    <xf numFmtId="10" fontId="41" fillId="55" borderId="0" xfId="0" applyNumberFormat="1" applyFont="1" applyFill="1" applyBorder="1" applyAlignment="1">
      <alignment horizontal="right" vertical="top"/>
    </xf>
    <xf numFmtId="1" fontId="41" fillId="54" borderId="0" xfId="0" applyNumberFormat="1" applyFont="1" applyFill="1" applyBorder="1"/>
    <xf numFmtId="1" fontId="41" fillId="55" borderId="0" xfId="0" applyNumberFormat="1" applyFont="1" applyFill="1" applyBorder="1"/>
    <xf numFmtId="10" fontId="41" fillId="54" borderId="0" xfId="161" applyNumberFormat="1" applyFont="1" applyFill="1" applyBorder="1"/>
    <xf numFmtId="10" fontId="41" fillId="55" borderId="0" xfId="161" applyNumberFormat="1" applyFont="1" applyFill="1" applyBorder="1"/>
    <xf numFmtId="41" fontId="41" fillId="54" borderId="0" xfId="0" applyNumberFormat="1" applyFont="1" applyFill="1" applyBorder="1"/>
    <xf numFmtId="0" fontId="36" fillId="17" borderId="0" xfId="0" applyFont="1" applyFill="1"/>
    <xf numFmtId="0" fontId="36" fillId="55" borderId="0" xfId="0" applyFont="1" applyFill="1"/>
    <xf numFmtId="177" fontId="85" fillId="57" borderId="0" xfId="0" applyNumberFormat="1" applyFont="1" applyFill="1" applyBorder="1"/>
    <xf numFmtId="7" fontId="86" fillId="56" borderId="0" xfId="0" applyNumberFormat="1" applyFont="1" applyFill="1" applyBorder="1"/>
    <xf numFmtId="7" fontId="86" fillId="57" borderId="0" xfId="0" applyNumberFormat="1" applyFont="1" applyFill="1" applyBorder="1"/>
    <xf numFmtId="8" fontId="0" fillId="0" borderId="0" xfId="159" applyNumberFormat="1" applyFont="1" applyFill="1" applyBorder="1"/>
    <xf numFmtId="0" fontId="0" fillId="55" borderId="0" xfId="0" applyFill="1"/>
    <xf numFmtId="0" fontId="5" fillId="55" borderId="19" xfId="0" applyFont="1" applyFill="1" applyBorder="1" applyAlignment="1">
      <alignment horizontal="left" vertical="center"/>
    </xf>
    <xf numFmtId="0" fontId="5" fillId="55" borderId="11" xfId="0" applyFont="1" applyFill="1" applyBorder="1" applyAlignment="1">
      <alignment horizontal="left" vertical="center"/>
    </xf>
    <xf numFmtId="0" fontId="5" fillId="55" borderId="20" xfId="0" applyFont="1" applyFill="1" applyBorder="1" applyAlignment="1">
      <alignment horizontal="left" vertical="center"/>
    </xf>
    <xf numFmtId="0" fontId="0" fillId="55" borderId="0" xfId="0" applyFill="1" applyBorder="1"/>
    <xf numFmtId="3" fontId="40" fillId="55" borderId="0" xfId="0" applyNumberFormat="1" applyFont="1" applyFill="1" applyBorder="1"/>
    <xf numFmtId="188" fontId="40" fillId="55" borderId="0" xfId="156" applyNumberFormat="1" applyFont="1" applyFill="1" applyBorder="1" applyAlignment="1">
      <alignment vertical="top"/>
    </xf>
    <xf numFmtId="184" fontId="40" fillId="55" borderId="0" xfId="0" applyNumberFormat="1" applyFont="1" applyFill="1" applyBorder="1" applyAlignment="1">
      <alignment vertical="top"/>
    </xf>
    <xf numFmtId="0" fontId="40" fillId="55" borderId="0" xfId="0" applyFont="1" applyFill="1" applyBorder="1"/>
    <xf numFmtId="9" fontId="40" fillId="55" borderId="0" xfId="0" applyNumberFormat="1" applyFont="1" applyFill="1" applyBorder="1" applyAlignment="1">
      <alignment vertical="top"/>
    </xf>
    <xf numFmtId="189" fontId="40" fillId="55" borderId="0" xfId="156" applyNumberFormat="1" applyFont="1" applyFill="1" applyBorder="1" applyAlignment="1">
      <alignment vertical="top"/>
    </xf>
    <xf numFmtId="10" fontId="40" fillId="55" borderId="0" xfId="0" applyNumberFormat="1" applyFont="1" applyFill="1" applyBorder="1" applyAlignment="1">
      <alignment vertical="top"/>
    </xf>
    <xf numFmtId="184" fontId="40" fillId="55" borderId="0" xfId="0" applyNumberFormat="1" applyFont="1" applyFill="1" applyBorder="1"/>
    <xf numFmtId="0" fontId="44" fillId="55" borderId="5" xfId="0" applyFont="1" applyFill="1" applyBorder="1" applyAlignment="1">
      <alignment vertical="top"/>
    </xf>
    <xf numFmtId="1" fontId="41" fillId="54" borderId="4" xfId="0" applyNumberFormat="1" applyFont="1" applyFill="1" applyBorder="1"/>
    <xf numFmtId="1" fontId="41" fillId="55" borderId="4" xfId="0" applyNumberFormat="1" applyFont="1" applyFill="1" applyBorder="1"/>
    <xf numFmtId="0" fontId="36" fillId="55" borderId="0" xfId="0" applyFont="1" applyFill="1" applyBorder="1"/>
    <xf numFmtId="0" fontId="5" fillId="55" borderId="0" xfId="0" applyFont="1" applyFill="1" applyBorder="1"/>
    <xf numFmtId="0" fontId="50" fillId="55" borderId="0" xfId="0" applyFont="1" applyFill="1" applyBorder="1" applyAlignment="1">
      <alignment horizontal="center"/>
    </xf>
    <xf numFmtId="192" fontId="6" fillId="55" borderId="0" xfId="159" applyNumberFormat="1" applyFont="1" applyFill="1" applyBorder="1" applyAlignment="1">
      <alignment horizontal="right"/>
    </xf>
    <xf numFmtId="201" fontId="41" fillId="55" borderId="0" xfId="160" applyNumberFormat="1" applyFont="1" applyFill="1" applyBorder="1" applyAlignment="1">
      <alignment vertical="top"/>
    </xf>
    <xf numFmtId="1" fontId="41" fillId="54" borderId="4" xfId="0" applyNumberFormat="1" applyFont="1" applyFill="1" applyBorder="1" applyAlignment="1">
      <alignment horizontal="center"/>
    </xf>
    <xf numFmtId="1" fontId="41" fillId="55" borderId="4" xfId="0" applyNumberFormat="1" applyFont="1" applyFill="1" applyBorder="1" applyAlignment="1">
      <alignment horizontal="center"/>
    </xf>
    <xf numFmtId="0" fontId="87" fillId="57" borderId="19" xfId="0" applyFont="1" applyFill="1" applyBorder="1" applyAlignment="1">
      <alignment horizontal="left" vertical="center"/>
    </xf>
    <xf numFmtId="0" fontId="87" fillId="57" borderId="11" xfId="0" applyFont="1" applyFill="1" applyBorder="1" applyAlignment="1">
      <alignment horizontal="left" vertical="center"/>
    </xf>
    <xf numFmtId="0" fontId="87" fillId="57" borderId="20" xfId="0" applyFont="1" applyFill="1" applyBorder="1" applyAlignment="1">
      <alignment horizontal="left" vertical="center"/>
    </xf>
    <xf numFmtId="0" fontId="90" fillId="57" borderId="4" xfId="0" applyFont="1" applyFill="1" applyBorder="1" applyAlignment="1">
      <alignment vertical="top"/>
    </xf>
    <xf numFmtId="0" fontId="88" fillId="57" borderId="0" xfId="0" applyFont="1" applyFill="1" applyBorder="1" applyAlignment="1">
      <alignment vertical="top"/>
    </xf>
    <xf numFmtId="0" fontId="86" fillId="57" borderId="0" xfId="0" applyFont="1" applyFill="1" applyBorder="1" applyAlignment="1">
      <alignment vertical="top"/>
    </xf>
    <xf numFmtId="0" fontId="88" fillId="57" borderId="0" xfId="0" applyFont="1" applyFill="1" applyBorder="1" applyAlignment="1">
      <alignment horizontal="right" vertical="top"/>
    </xf>
    <xf numFmtId="0" fontId="91" fillId="57" borderId="0" xfId="0" applyFont="1" applyFill="1" applyBorder="1" applyAlignment="1">
      <alignment horizontal="right" vertical="top"/>
    </xf>
    <xf numFmtId="0" fontId="91" fillId="57" borderId="0" xfId="0" applyFont="1" applyFill="1" applyBorder="1" applyAlignment="1">
      <alignment vertical="top"/>
    </xf>
    <xf numFmtId="0" fontId="0" fillId="57" borderId="0" xfId="0" applyFont="1" applyFill="1" applyBorder="1"/>
    <xf numFmtId="0" fontId="0" fillId="57" borderId="5" xfId="0" applyFont="1" applyFill="1" applyBorder="1"/>
    <xf numFmtId="188" fontId="88" fillId="57" borderId="0" xfId="156" applyNumberFormat="1" applyFont="1" applyFill="1" applyBorder="1" applyAlignment="1">
      <alignment vertical="top"/>
    </xf>
    <xf numFmtId="189" fontId="88" fillId="57" borderId="0" xfId="156" applyNumberFormat="1" applyFont="1" applyFill="1" applyBorder="1" applyAlignment="1">
      <alignment vertical="top"/>
    </xf>
    <xf numFmtId="0" fontId="91" fillId="57" borderId="5" xfId="0" applyFont="1" applyFill="1" applyBorder="1" applyAlignment="1">
      <alignment vertical="top"/>
    </xf>
    <xf numFmtId="4" fontId="41" fillId="55" borderId="9" xfId="0" applyNumberFormat="1" applyFont="1" applyFill="1" applyBorder="1"/>
    <xf numFmtId="0" fontId="8" fillId="0" borderId="0" xfId="89" applyFont="1" applyAlignment="1">
      <alignment horizontal="right"/>
    </xf>
    <xf numFmtId="184" fontId="31" fillId="0" borderId="39" xfId="124" applyNumberFormat="1" applyFont="1" applyFill="1" applyBorder="1" applyAlignment="1">
      <alignment horizontal="center"/>
    </xf>
    <xf numFmtId="0" fontId="31" fillId="0" borderId="39" xfId="89" applyFont="1" applyFill="1" applyBorder="1"/>
    <xf numFmtId="179" fontId="31" fillId="0" borderId="39" xfId="17" applyNumberFormat="1" applyFont="1" applyFill="1" applyBorder="1" applyAlignment="1">
      <alignment horizontal="right"/>
    </xf>
    <xf numFmtId="43" fontId="31" fillId="0" borderId="39" xfId="17" applyFont="1" applyFill="1" applyBorder="1" applyAlignment="1">
      <alignment horizontal="right"/>
    </xf>
    <xf numFmtId="179" fontId="31" fillId="17" borderId="14" xfId="17" applyNumberFormat="1" applyFont="1" applyFill="1" applyBorder="1" applyAlignment="1"/>
    <xf numFmtId="179" fontId="31" fillId="17" borderId="14" xfId="17" applyNumberFormat="1" applyFont="1" applyFill="1" applyBorder="1"/>
    <xf numFmtId="193" fontId="31" fillId="17" borderId="14" xfId="124" applyNumberFormat="1" applyFont="1" applyFill="1" applyBorder="1" applyAlignment="1"/>
    <xf numFmtId="43" fontId="31" fillId="17" borderId="14" xfId="17" applyFont="1" applyFill="1" applyBorder="1" applyAlignment="1">
      <alignment horizontal="right"/>
    </xf>
    <xf numFmtId="179" fontId="31" fillId="17" borderId="9" xfId="17" applyNumberFormat="1" applyFont="1" applyFill="1" applyBorder="1"/>
    <xf numFmtId="43" fontId="31" fillId="17" borderId="9" xfId="17" applyFont="1" applyFill="1" applyBorder="1" applyAlignment="1">
      <alignment horizontal="right"/>
    </xf>
    <xf numFmtId="43" fontId="31" fillId="17" borderId="39" xfId="17" applyFont="1" applyFill="1" applyBorder="1" applyAlignment="1">
      <alignment horizontal="right"/>
    </xf>
    <xf numFmtId="40" fontId="0" fillId="55" borderId="0" xfId="0" applyNumberFormat="1" applyFill="1" applyBorder="1"/>
    <xf numFmtId="8" fontId="40" fillId="0" borderId="0" xfId="0" applyNumberFormat="1" applyFont="1" applyFill="1" applyBorder="1"/>
    <xf numFmtId="3" fontId="41" fillId="55" borderId="9" xfId="0" applyNumberFormat="1" applyFont="1" applyFill="1" applyBorder="1"/>
    <xf numFmtId="37" fontId="41" fillId="55" borderId="0" xfId="0" applyNumberFormat="1" applyFont="1" applyFill="1" applyBorder="1"/>
    <xf numFmtId="1" fontId="31" fillId="0" borderId="14" xfId="89" applyNumberFormat="1" applyFont="1" applyFill="1" applyBorder="1"/>
    <xf numFmtId="193" fontId="31" fillId="0" borderId="14" xfId="124" applyNumberFormat="1" applyFont="1" applyFill="1" applyBorder="1" applyAlignment="1"/>
    <xf numFmtId="0" fontId="84" fillId="55" borderId="4" xfId="0" applyFont="1" applyFill="1" applyBorder="1" applyAlignment="1">
      <alignment vertical="top"/>
    </xf>
    <xf numFmtId="0" fontId="40" fillId="55" borderId="0" xfId="0" applyFont="1" applyFill="1" applyBorder="1" applyAlignment="1">
      <alignment vertical="top"/>
    </xf>
    <xf numFmtId="177" fontId="86" fillId="57" borderId="0" xfId="0" applyNumberFormat="1" applyFont="1" applyFill="1" applyBorder="1"/>
    <xf numFmtId="177" fontId="86" fillId="56" borderId="0" xfId="0" applyNumberFormat="1" applyFont="1" applyFill="1" applyBorder="1"/>
    <xf numFmtId="0" fontId="31" fillId="0" borderId="61" xfId="89" applyFont="1" applyBorder="1"/>
    <xf numFmtId="0" fontId="0" fillId="17" borderId="0" xfId="0" applyFill="1" applyBorder="1"/>
    <xf numFmtId="0" fontId="36" fillId="17" borderId="0" xfId="0" applyFont="1" applyFill="1" applyBorder="1"/>
    <xf numFmtId="0" fontId="5" fillId="17" borderId="0" xfId="0" applyFont="1" applyFill="1" applyBorder="1"/>
    <xf numFmtId="0" fontId="50" fillId="17" borderId="0" xfId="0" applyFont="1" applyFill="1" applyBorder="1" applyAlignment="1">
      <alignment horizontal="center"/>
    </xf>
    <xf numFmtId="192" fontId="6" fillId="17" borderId="0" xfId="159" applyNumberFormat="1" applyFont="1" applyFill="1" applyBorder="1" applyAlignment="1">
      <alignment horizontal="right"/>
    </xf>
    <xf numFmtId="40" fontId="0" fillId="17" borderId="0" xfId="0" applyNumberFormat="1" applyFill="1" applyBorder="1"/>
    <xf numFmtId="41" fontId="0" fillId="0" borderId="0" xfId="0" applyNumberFormat="1"/>
    <xf numFmtId="41" fontId="6" fillId="0" borderId="23" xfId="0" applyNumberFormat="1" applyFont="1" applyBorder="1"/>
    <xf numFmtId="41" fontId="6" fillId="0" borderId="27" xfId="0" applyNumberFormat="1" applyFont="1" applyBorder="1"/>
    <xf numFmtId="41" fontId="6" fillId="0" borderId="26" xfId="0" applyNumberFormat="1" applyFont="1" applyBorder="1"/>
    <xf numFmtId="41" fontId="0" fillId="0" borderId="26" xfId="0" applyNumberFormat="1" applyBorder="1"/>
    <xf numFmtId="41" fontId="0" fillId="0" borderId="27" xfId="0" applyNumberFormat="1" applyBorder="1"/>
    <xf numFmtId="41" fontId="0" fillId="0" borderId="23" xfId="0" applyNumberFormat="1" applyBorder="1"/>
    <xf numFmtId="175" fontId="5" fillId="2" borderId="24" xfId="160" applyNumberFormat="1" applyFont="1" applyFill="1" applyBorder="1" applyAlignment="1">
      <alignment horizontal="left"/>
    </xf>
    <xf numFmtId="176" fontId="5" fillId="2" borderId="58" xfId="0" applyNumberFormat="1" applyFont="1" applyFill="1" applyBorder="1"/>
    <xf numFmtId="0" fontId="0" fillId="2" borderId="30" xfId="0" applyFont="1" applyFill="1" applyBorder="1"/>
    <xf numFmtId="176" fontId="5" fillId="2" borderId="2" xfId="160" applyNumberFormat="1" applyFont="1" applyFill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5" fillId="2" borderId="30" xfId="0" applyFont="1" applyFill="1" applyBorder="1"/>
    <xf numFmtId="41" fontId="40" fillId="0" borderId="0" xfId="0" applyNumberFormat="1" applyFont="1"/>
    <xf numFmtId="0" fontId="41" fillId="0" borderId="0" xfId="0" applyFont="1" applyAlignment="1">
      <alignment horizontal="fill"/>
    </xf>
    <xf numFmtId="0" fontId="41" fillId="0" borderId="0" xfId="0" applyFont="1" applyAlignment="1">
      <alignment vertical="top"/>
    </xf>
    <xf numFmtId="0" fontId="36" fillId="0" borderId="0" xfId="0" applyFont="1"/>
    <xf numFmtId="0" fontId="5" fillId="0" borderId="19" xfId="0" applyFont="1" applyBorder="1" applyAlignment="1">
      <alignment horizontal="centerContinuous" vertical="center" wrapText="1"/>
    </xf>
    <xf numFmtId="0" fontId="5" fillId="0" borderId="11" xfId="0" applyFont="1" applyBorder="1" applyAlignment="1">
      <alignment horizontal="centerContinuous" vertical="center" wrapText="1"/>
    </xf>
    <xf numFmtId="0" fontId="0" fillId="0" borderId="11" xfId="0" applyBorder="1"/>
    <xf numFmtId="0" fontId="5" fillId="0" borderId="20" xfId="0" applyFont="1" applyBorder="1" applyAlignment="1">
      <alignment horizontal="centerContinuous" vertical="center" wrapText="1"/>
    </xf>
    <xf numFmtId="0" fontId="5" fillId="0" borderId="19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36" fillId="0" borderId="1" xfId="0" applyFont="1" applyBorder="1"/>
    <xf numFmtId="0" fontId="36" fillId="0" borderId="2" xfId="0" applyFont="1" applyBorder="1"/>
    <xf numFmtId="0" fontId="36" fillId="0" borderId="3" xfId="0" applyFont="1" applyBorder="1"/>
    <xf numFmtId="0" fontId="40" fillId="0" borderId="4" xfId="0" applyFont="1" applyBorder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2" fillId="0" borderId="5" xfId="0" applyFont="1" applyBorder="1"/>
    <xf numFmtId="0" fontId="40" fillId="0" borderId="5" xfId="0" applyFont="1" applyBorder="1"/>
    <xf numFmtId="0" fontId="36" fillId="0" borderId="4" xfId="0" applyFont="1" applyBorder="1"/>
    <xf numFmtId="0" fontId="43" fillId="0" borderId="0" xfId="0" applyFont="1"/>
    <xf numFmtId="0" fontId="36" fillId="0" borderId="5" xfId="0" applyFont="1" applyBorder="1"/>
    <xf numFmtId="0" fontId="40" fillId="0" borderId="4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0" xfId="0" applyFont="1" applyAlignment="1">
      <alignment horizontal="right" vertical="top"/>
    </xf>
    <xf numFmtId="0" fontId="44" fillId="0" borderId="0" xfId="0" applyFont="1" applyAlignment="1">
      <alignment horizontal="right" vertical="top"/>
    </xf>
    <xf numFmtId="0" fontId="44" fillId="0" borderId="0" xfId="0" applyFont="1" applyAlignment="1">
      <alignment vertical="top"/>
    </xf>
    <xf numFmtId="0" fontId="0" fillId="0" borderId="5" xfId="0" applyBorder="1"/>
    <xf numFmtId="0" fontId="44" fillId="0" borderId="5" xfId="0" applyFont="1" applyBorder="1" applyAlignment="1">
      <alignment vertical="top"/>
    </xf>
    <xf numFmtId="3" fontId="40" fillId="0" borderId="0" xfId="0" applyNumberFormat="1" applyFont="1"/>
    <xf numFmtId="0" fontId="41" fillId="0" borderId="5" xfId="0" applyFont="1" applyBorder="1" applyAlignment="1">
      <alignment vertical="top"/>
    </xf>
    <xf numFmtId="184" fontId="40" fillId="0" borderId="0" xfId="0" applyNumberFormat="1" applyFont="1" applyAlignment="1">
      <alignment vertical="top"/>
    </xf>
    <xf numFmtId="0" fontId="41" fillId="0" borderId="5" xfId="0" applyFont="1" applyBorder="1"/>
    <xf numFmtId="9" fontId="40" fillId="0" borderId="0" xfId="0" applyNumberFormat="1" applyFont="1" applyAlignment="1">
      <alignment vertical="top"/>
    </xf>
    <xf numFmtId="43" fontId="43" fillId="0" borderId="0" xfId="158" applyFont="1" applyFill="1" applyBorder="1"/>
    <xf numFmtId="10" fontId="40" fillId="0" borderId="0" xfId="0" applyNumberFormat="1" applyFont="1" applyAlignment="1">
      <alignment vertical="top"/>
    </xf>
    <xf numFmtId="184" fontId="40" fillId="0" borderId="0" xfId="0" applyNumberFormat="1" applyFont="1"/>
    <xf numFmtId="0" fontId="0" fillId="0" borderId="4" xfId="0" applyBorder="1"/>
    <xf numFmtId="0" fontId="40" fillId="0" borderId="6" xfId="0" applyFont="1" applyBorder="1" applyAlignment="1">
      <alignment vertical="top"/>
    </xf>
    <xf numFmtId="0" fontId="40" fillId="0" borderId="7" xfId="0" applyFont="1" applyBorder="1" applyAlignment="1">
      <alignment vertical="top"/>
    </xf>
    <xf numFmtId="0" fontId="41" fillId="0" borderId="8" xfId="0" applyFont="1" applyBorder="1" applyAlignment="1">
      <alignment vertical="top"/>
    </xf>
    <xf numFmtId="0" fontId="40" fillId="0" borderId="8" xfId="0" applyFont="1" applyBorder="1" applyAlignment="1">
      <alignment vertical="top"/>
    </xf>
    <xf numFmtId="0" fontId="36" fillId="0" borderId="6" xfId="0" applyFont="1" applyBorder="1"/>
    <xf numFmtId="0" fontId="36" fillId="0" borderId="7" xfId="0" applyFont="1" applyBorder="1"/>
    <xf numFmtId="0" fontId="36" fillId="0" borderId="8" xfId="0" applyFont="1" applyBorder="1"/>
    <xf numFmtId="0" fontId="0" fillId="0" borderId="11" xfId="0" applyBorder="1" applyAlignment="1">
      <alignment horizontal="centerContinuous" vertical="center" wrapText="1"/>
    </xf>
    <xf numFmtId="0" fontId="0" fillId="0" borderId="20" xfId="0" applyBorder="1" applyAlignment="1">
      <alignment horizontal="centerContinuous" vertical="center" wrapText="1"/>
    </xf>
    <xf numFmtId="0" fontId="0" fillId="0" borderId="0" xfId="0" applyAlignment="1">
      <alignment horizontal="centerContinuous"/>
    </xf>
    <xf numFmtId="0" fontId="0" fillId="0" borderId="0" xfId="0" applyAlignment="1">
      <alignment horizontal="centerContinuous" wrapText="1"/>
    </xf>
    <xf numFmtId="0" fontId="41" fillId="0" borderId="4" xfId="0" applyFont="1" applyBorder="1"/>
    <xf numFmtId="0" fontId="0" fillId="0" borderId="0" xfId="0" applyAlignment="1">
      <alignment wrapText="1"/>
    </xf>
    <xf numFmtId="0" fontId="41" fillId="0" borderId="0" xfId="0" applyFont="1" applyAlignment="1">
      <alignment horizontal="centerContinuous" wrapText="1"/>
    </xf>
    <xf numFmtId="0" fontId="41" fillId="0" borderId="0" xfId="0" applyFont="1" applyAlignment="1">
      <alignment horizontal="centerContinuous"/>
    </xf>
    <xf numFmtId="0" fontId="0" fillId="0" borderId="5" xfId="0" applyBorder="1" applyAlignment="1">
      <alignment wrapText="1"/>
    </xf>
    <xf numFmtId="0" fontId="41" fillId="0" borderId="5" xfId="0" applyFont="1" applyBorder="1" applyAlignment="1">
      <alignment horizontal="centerContinuous" wrapText="1"/>
    </xf>
    <xf numFmtId="0" fontId="41" fillId="0" borderId="4" xfId="0" applyFont="1" applyBorder="1" applyAlignment="1">
      <alignment horizontal="center"/>
    </xf>
    <xf numFmtId="0" fontId="41" fillId="0" borderId="5" xfId="0" applyFont="1" applyBorder="1" applyAlignment="1">
      <alignment horizontal="centerContinuous"/>
    </xf>
    <xf numFmtId="0" fontId="0" fillId="0" borderId="0" xfId="0" applyAlignment="1">
      <alignment horizontal="fill"/>
    </xf>
    <xf numFmtId="0" fontId="41" fillId="0" borderId="4" xfId="0" applyFont="1" applyBorder="1" applyAlignment="1">
      <alignment horizontal="fill"/>
    </xf>
    <xf numFmtId="0" fontId="41" fillId="0" borderId="5" xfId="0" applyFont="1" applyBorder="1" applyAlignment="1">
      <alignment horizontal="fill"/>
    </xf>
    <xf numFmtId="10" fontId="0" fillId="0" borderId="0" xfId="0" applyNumberFormat="1"/>
    <xf numFmtId="177" fontId="45" fillId="0" borderId="0" xfId="0" applyNumberFormat="1" applyFont="1"/>
    <xf numFmtId="0" fontId="45" fillId="0" borderId="0" xfId="0" applyFont="1"/>
    <xf numFmtId="177" fontId="0" fillId="0" borderId="0" xfId="0" applyNumberFormat="1" applyAlignment="1">
      <alignment horizontal="centerContinuous"/>
    </xf>
    <xf numFmtId="177" fontId="0" fillId="0" borderId="0" xfId="0" applyNumberFormat="1"/>
    <xf numFmtId="43" fontId="0" fillId="0" borderId="0" xfId="0" applyNumberFormat="1"/>
    <xf numFmtId="4" fontId="41" fillId="0" borderId="0" xfId="0" applyNumberFormat="1" applyFont="1"/>
    <xf numFmtId="44" fontId="6" fillId="0" borderId="0" xfId="0" applyNumberFormat="1" applyFont="1"/>
    <xf numFmtId="44" fontId="0" fillId="0" borderId="0" xfId="0" applyNumberFormat="1"/>
    <xf numFmtId="3" fontId="41" fillId="0" borderId="0" xfId="0" applyNumberFormat="1" applyFont="1"/>
    <xf numFmtId="4" fontId="46" fillId="0" borderId="0" xfId="0" applyNumberFormat="1" applyFont="1"/>
    <xf numFmtId="3" fontId="0" fillId="0" borderId="0" xfId="0" applyNumberFormat="1"/>
    <xf numFmtId="3" fontId="41" fillId="0" borderId="5" xfId="0" applyNumberFormat="1" applyFont="1" applyBorder="1"/>
    <xf numFmtId="44" fontId="46" fillId="0" borderId="5" xfId="0" applyNumberFormat="1" applyFont="1" applyBorder="1"/>
    <xf numFmtId="44" fontId="41" fillId="0" borderId="5" xfId="0" applyNumberFormat="1" applyFont="1" applyBorder="1"/>
    <xf numFmtId="4" fontId="0" fillId="0" borderId="0" xfId="0" applyNumberFormat="1"/>
    <xf numFmtId="3" fontId="0" fillId="0" borderId="5" xfId="0" applyNumberFormat="1" applyBorder="1"/>
    <xf numFmtId="0" fontId="0" fillId="0" borderId="6" xfId="0" applyBorder="1"/>
    <xf numFmtId="0" fontId="0" fillId="0" borderId="7" xfId="0" applyBorder="1"/>
    <xf numFmtId="10" fontId="0" fillId="0" borderId="7" xfId="0" applyNumberFormat="1" applyBorder="1"/>
    <xf numFmtId="0" fontId="0" fillId="0" borderId="8" xfId="0" applyBorder="1"/>
    <xf numFmtId="0" fontId="88" fillId="0" borderId="4" xfId="0" applyFont="1" applyBorder="1"/>
    <xf numFmtId="0" fontId="88" fillId="0" borderId="0" xfId="0" applyFont="1"/>
    <xf numFmtId="0" fontId="86" fillId="0" borderId="0" xfId="0" applyFont="1"/>
    <xf numFmtId="0" fontId="89" fillId="0" borderId="0" xfId="0" applyFont="1"/>
    <xf numFmtId="0" fontId="89" fillId="0" borderId="5" xfId="0" applyFont="1" applyBorder="1"/>
    <xf numFmtId="0" fontId="88" fillId="0" borderId="5" xfId="0" applyFont="1" applyBorder="1"/>
    <xf numFmtId="0" fontId="84" fillId="0" borderId="0" xfId="0" applyFont="1" applyAlignment="1">
      <alignment horizontal="right" vertical="top"/>
    </xf>
    <xf numFmtId="0" fontId="88" fillId="57" borderId="0" xfId="0" applyFont="1" applyFill="1" applyAlignment="1">
      <alignment vertical="top"/>
    </xf>
    <xf numFmtId="0" fontId="86" fillId="57" borderId="0" xfId="0" applyFont="1" applyFill="1" applyAlignment="1">
      <alignment vertical="top"/>
    </xf>
    <xf numFmtId="0" fontId="88" fillId="57" borderId="0" xfId="0" applyFont="1" applyFill="1" applyAlignment="1">
      <alignment horizontal="right" vertical="top"/>
    </xf>
    <xf numFmtId="0" fontId="91" fillId="57" borderId="0" xfId="0" applyFont="1" applyFill="1" applyAlignment="1">
      <alignment horizontal="right" vertical="top"/>
    </xf>
    <xf numFmtId="0" fontId="91" fillId="57" borderId="0" xfId="0" applyFont="1" applyFill="1" applyAlignment="1">
      <alignment vertical="top"/>
    </xf>
    <xf numFmtId="0" fontId="0" fillId="57" borderId="0" xfId="0" applyFill="1"/>
    <xf numFmtId="0" fontId="0" fillId="57" borderId="5" xfId="0" applyFill="1" applyBorder="1"/>
    <xf numFmtId="202" fontId="41" fillId="55" borderId="0" xfId="0" applyNumberFormat="1" applyFont="1" applyFill="1" applyAlignment="1">
      <alignment vertical="top"/>
    </xf>
    <xf numFmtId="1" fontId="40" fillId="0" borderId="0" xfId="0" applyNumberFormat="1" applyFont="1"/>
    <xf numFmtId="0" fontId="88" fillId="0" borderId="4" xfId="0" applyFont="1" applyBorder="1" applyAlignment="1">
      <alignment vertical="top"/>
    </xf>
    <xf numFmtId="0" fontId="88" fillId="0" borderId="0" xfId="0" applyFont="1" applyAlignment="1">
      <alignment vertical="top"/>
    </xf>
    <xf numFmtId="3" fontId="40" fillId="17" borderId="0" xfId="0" applyNumberFormat="1" applyFont="1" applyFill="1"/>
    <xf numFmtId="0" fontId="91" fillId="0" borderId="0" xfId="0" applyFont="1" applyAlignment="1">
      <alignment vertical="top"/>
    </xf>
    <xf numFmtId="0" fontId="86" fillId="0" borderId="0" xfId="0" applyFont="1" applyAlignment="1">
      <alignment vertical="top"/>
    </xf>
    <xf numFmtId="3" fontId="40" fillId="55" borderId="0" xfId="0" applyNumberFormat="1" applyFont="1" applyFill="1"/>
    <xf numFmtId="0" fontId="86" fillId="0" borderId="5" xfId="0" applyFont="1" applyBorder="1" applyAlignment="1">
      <alignment vertical="top"/>
    </xf>
    <xf numFmtId="184" fontId="41" fillId="55" borderId="0" xfId="0" applyNumberFormat="1" applyFont="1" applyFill="1" applyAlignment="1">
      <alignment vertical="top"/>
    </xf>
    <xf numFmtId="0" fontId="88" fillId="57" borderId="0" xfId="0" applyFont="1" applyFill="1"/>
    <xf numFmtId="184" fontId="88" fillId="57" borderId="0" xfId="0" applyNumberFormat="1" applyFont="1" applyFill="1" applyAlignment="1">
      <alignment vertical="top"/>
    </xf>
    <xf numFmtId="0" fontId="86" fillId="0" borderId="5" xfId="0" applyFont="1" applyBorder="1"/>
    <xf numFmtId="0" fontId="41" fillId="55" borderId="0" xfId="0" applyFont="1" applyFill="1" applyAlignment="1">
      <alignment vertical="top"/>
    </xf>
    <xf numFmtId="9" fontId="88" fillId="57" borderId="0" xfId="0" applyNumberFormat="1" applyFont="1" applyFill="1" applyAlignment="1">
      <alignment vertical="top"/>
    </xf>
    <xf numFmtId="41" fontId="41" fillId="55" borderId="0" xfId="0" applyNumberFormat="1" applyFont="1" applyFill="1" applyAlignment="1">
      <alignment vertical="top"/>
    </xf>
    <xf numFmtId="3" fontId="88" fillId="57" borderId="0" xfId="0" applyNumberFormat="1" applyFont="1" applyFill="1"/>
    <xf numFmtId="10" fontId="88" fillId="57" borderId="0" xfId="0" applyNumberFormat="1" applyFont="1" applyFill="1" applyAlignment="1">
      <alignment vertical="top"/>
    </xf>
    <xf numFmtId="184" fontId="88" fillId="57" borderId="0" xfId="0" applyNumberFormat="1" applyFont="1" applyFill="1"/>
    <xf numFmtId="0" fontId="91" fillId="0" borderId="5" xfId="0" applyFont="1" applyBorder="1" applyAlignment="1">
      <alignment vertical="top"/>
    </xf>
    <xf numFmtId="10" fontId="41" fillId="55" borderId="0" xfId="0" applyNumberFormat="1" applyFont="1" applyFill="1" applyAlignment="1">
      <alignment vertical="top"/>
    </xf>
    <xf numFmtId="0" fontId="88" fillId="0" borderId="6" xfId="0" applyFont="1" applyBorder="1" applyAlignment="1">
      <alignment vertical="top"/>
    </xf>
    <xf numFmtId="0" fontId="88" fillId="0" borderId="7" xfId="0" applyFont="1" applyBorder="1" applyAlignment="1">
      <alignment vertical="top"/>
    </xf>
    <xf numFmtId="0" fontId="86" fillId="0" borderId="8" xfId="0" applyFont="1" applyBorder="1" applyAlignment="1">
      <alignment vertical="top"/>
    </xf>
    <xf numFmtId="0" fontId="88" fillId="0" borderId="8" xfId="0" applyFont="1" applyBorder="1" applyAlignment="1">
      <alignment vertical="top"/>
    </xf>
    <xf numFmtId="0" fontId="0" fillId="0" borderId="0" xfId="0" applyAlignment="1">
      <alignment horizontal="centerContinuous" vertical="center" wrapText="1"/>
    </xf>
    <xf numFmtId="1" fontId="41" fillId="54" borderId="0" xfId="0" applyNumberFormat="1" applyFont="1" applyFill="1"/>
    <xf numFmtId="41" fontId="41" fillId="54" borderId="0" xfId="0" applyNumberFormat="1" applyFont="1" applyFill="1"/>
    <xf numFmtId="177" fontId="51" fillId="54" borderId="0" xfId="0" applyNumberFormat="1" applyFont="1" applyFill="1"/>
    <xf numFmtId="177" fontId="41" fillId="54" borderId="0" xfId="0" applyNumberFormat="1" applyFont="1" applyFill="1"/>
    <xf numFmtId="1" fontId="41" fillId="55" borderId="0" xfId="0" applyNumberFormat="1" applyFont="1" applyFill="1"/>
    <xf numFmtId="37" fontId="41" fillId="55" borderId="0" xfId="0" applyNumberFormat="1" applyFont="1" applyFill="1"/>
    <xf numFmtId="177" fontId="41" fillId="55" borderId="0" xfId="0" applyNumberFormat="1" applyFont="1" applyFill="1"/>
    <xf numFmtId="177" fontId="41" fillId="0" borderId="0" xfId="0" applyNumberFormat="1" applyFont="1"/>
    <xf numFmtId="8" fontId="41" fillId="0" borderId="0" xfId="0" applyNumberFormat="1" applyFont="1"/>
    <xf numFmtId="41" fontId="41" fillId="0" borderId="0" xfId="0" applyNumberFormat="1" applyFont="1"/>
    <xf numFmtId="0" fontId="0" fillId="0" borderId="17" xfId="0" applyBorder="1"/>
    <xf numFmtId="200" fontId="41" fillId="55" borderId="0" xfId="0" applyNumberFormat="1" applyFont="1" applyFill="1" applyAlignment="1">
      <alignment vertical="top"/>
    </xf>
    <xf numFmtId="10" fontId="41" fillId="55" borderId="0" xfId="0" applyNumberFormat="1" applyFont="1" applyFill="1" applyAlignment="1">
      <alignment horizontal="right" vertical="top"/>
    </xf>
    <xf numFmtId="7" fontId="0" fillId="0" borderId="0" xfId="0" applyNumberFormat="1"/>
    <xf numFmtId="37" fontId="51" fillId="55" borderId="0" xfId="0" applyNumberFormat="1" applyFont="1" applyFill="1"/>
    <xf numFmtId="177" fontId="51" fillId="55" borderId="0" xfId="0" applyNumberFormat="1" applyFont="1" applyFill="1"/>
    <xf numFmtId="8" fontId="0" fillId="0" borderId="0" xfId="0" applyNumberFormat="1"/>
    <xf numFmtId="0" fontId="92" fillId="54" borderId="9" xfId="0" applyFont="1" applyFill="1" applyBorder="1"/>
    <xf numFmtId="0" fontId="5" fillId="54" borderId="9" xfId="0" applyFont="1" applyFill="1" applyBorder="1" applyAlignment="1">
      <alignment wrapText="1"/>
    </xf>
    <xf numFmtId="0" fontId="5" fillId="54" borderId="9" xfId="0" applyFont="1" applyFill="1" applyBorder="1"/>
    <xf numFmtId="10" fontId="43" fillId="0" borderId="0" xfId="0" applyNumberFormat="1" applyFont="1" applyFill="1" applyBorder="1"/>
    <xf numFmtId="0" fontId="36" fillId="58" borderId="0" xfId="0" applyFont="1" applyFill="1" applyBorder="1"/>
    <xf numFmtId="0" fontId="0" fillId="58" borderId="0" xfId="0" applyFill="1" applyBorder="1"/>
    <xf numFmtId="0" fontId="20" fillId="58" borderId="0" xfId="0" applyFont="1" applyFill="1" applyBorder="1" applyAlignment="1">
      <alignment horizontal="centerContinuous" vertical="center" wrapText="1"/>
    </xf>
    <xf numFmtId="0" fontId="0" fillId="58" borderId="0" xfId="0" applyFill="1" applyBorder="1" applyAlignment="1">
      <alignment horizontal="center"/>
    </xf>
    <xf numFmtId="0" fontId="0" fillId="58" borderId="0" xfId="0" applyFill="1" applyBorder="1" applyAlignment="1">
      <alignment horizontal="right"/>
    </xf>
    <xf numFmtId="0" fontId="95" fillId="0" borderId="0" xfId="0" applyFont="1" applyFill="1" applyBorder="1"/>
    <xf numFmtId="0" fontId="0" fillId="58" borderId="0" xfId="0" applyFill="1" applyBorder="1" applyAlignment="1">
      <alignment horizontal="centerContinuous" vertical="center" wrapText="1"/>
    </xf>
    <xf numFmtId="0" fontId="0" fillId="58" borderId="0" xfId="0" applyFill="1" applyBorder="1" applyAlignment="1">
      <alignment horizontal="center" wrapText="1"/>
    </xf>
    <xf numFmtId="2" fontId="0" fillId="58" borderId="0" xfId="0" applyNumberFormat="1" applyFill="1" applyBorder="1" applyAlignment="1">
      <alignment horizontal="right" wrapText="1"/>
    </xf>
    <xf numFmtId="177" fontId="0" fillId="58" borderId="0" xfId="0" applyNumberFormat="1" applyFill="1" applyBorder="1"/>
    <xf numFmtId="10" fontId="0" fillId="58" borderId="0" xfId="0" applyNumberFormat="1" applyFill="1" applyBorder="1"/>
    <xf numFmtId="0" fontId="43" fillId="58" borderId="0" xfId="0" applyFont="1" applyFill="1" applyBorder="1"/>
    <xf numFmtId="193" fontId="43" fillId="58" borderId="0" xfId="161" applyNumberFormat="1" applyFont="1" applyFill="1"/>
    <xf numFmtId="0" fontId="32" fillId="0" borderId="0" xfId="89" applyFont="1"/>
    <xf numFmtId="0" fontId="31" fillId="0" borderId="62" xfId="124" applyFont="1" applyBorder="1" applyAlignment="1">
      <alignment horizontal="centerContinuous"/>
    </xf>
    <xf numFmtId="0" fontId="32" fillId="0" borderId="63" xfId="124" applyFont="1" applyBorder="1" applyAlignment="1">
      <alignment horizontal="centerContinuous"/>
    </xf>
    <xf numFmtId="0" fontId="31" fillId="0" borderId="64" xfId="124" applyFont="1" applyBorder="1" applyAlignment="1">
      <alignment horizontal="centerContinuous"/>
    </xf>
    <xf numFmtId="179" fontId="31" fillId="0" borderId="64" xfId="124" applyNumberFormat="1" applyFont="1" applyBorder="1" applyAlignment="1">
      <alignment horizontal="centerContinuous"/>
    </xf>
    <xf numFmtId="0" fontId="32" fillId="0" borderId="65" xfId="124" applyFont="1" applyBorder="1" applyAlignment="1">
      <alignment horizontal="centerContinuous"/>
    </xf>
    <xf numFmtId="0" fontId="31" fillId="0" borderId="65" xfId="124" applyFont="1" applyBorder="1" applyAlignment="1">
      <alignment horizontal="centerContinuous"/>
    </xf>
    <xf numFmtId="181" fontId="32" fillId="0" borderId="65" xfId="124" applyNumberFormat="1" applyFont="1" applyBorder="1" applyAlignment="1">
      <alignment horizontal="centerContinuous"/>
    </xf>
    <xf numFmtId="181" fontId="31" fillId="0" borderId="66" xfId="124" applyNumberFormat="1" applyFont="1" applyBorder="1" applyAlignment="1">
      <alignment horizontal="centerContinuous"/>
    </xf>
    <xf numFmtId="181" fontId="31" fillId="0" borderId="67" xfId="124" applyNumberFormat="1" applyFont="1" applyBorder="1" applyAlignment="1">
      <alignment horizontal="centerContinuous"/>
    </xf>
    <xf numFmtId="43" fontId="32" fillId="0" borderId="68" xfId="124" applyNumberFormat="1" applyFont="1" applyBorder="1" applyAlignment="1">
      <alignment horizontal="centerContinuous"/>
    </xf>
    <xf numFmtId="43" fontId="31" fillId="0" borderId="66" xfId="124" applyNumberFormat="1" applyFont="1" applyBorder="1" applyAlignment="1">
      <alignment horizontal="centerContinuous"/>
    </xf>
    <xf numFmtId="183" fontId="32" fillId="0" borderId="69" xfId="124" applyNumberFormat="1" applyFont="1" applyBorder="1" applyAlignment="1">
      <alignment horizontal="centerContinuous"/>
    </xf>
    <xf numFmtId="183" fontId="32" fillId="0" borderId="66" xfId="124" applyNumberFormat="1" applyFont="1" applyBorder="1" applyAlignment="1">
      <alignment horizontal="centerContinuous"/>
    </xf>
    <xf numFmtId="183" fontId="32" fillId="0" borderId="70" xfId="124" applyNumberFormat="1" applyFont="1" applyBorder="1" applyAlignment="1">
      <alignment horizontal="centerContinuous"/>
    </xf>
    <xf numFmtId="0" fontId="31" fillId="0" borderId="71" xfId="124" applyFont="1" applyBorder="1" applyAlignment="1">
      <alignment horizontal="center"/>
    </xf>
    <xf numFmtId="0" fontId="31" fillId="0" borderId="17" xfId="89" applyFont="1" applyBorder="1"/>
    <xf numFmtId="179" fontId="31" fillId="0" borderId="32" xfId="124" applyNumberFormat="1" applyFont="1" applyBorder="1" applyAlignment="1">
      <alignment horizontal="center"/>
    </xf>
    <xf numFmtId="0" fontId="31" fillId="0" borderId="17" xfId="124" applyFont="1" applyBorder="1" applyAlignment="1">
      <alignment horizontal="center"/>
    </xf>
    <xf numFmtId="182" fontId="31" fillId="0" borderId="17" xfId="124" applyNumberFormat="1" applyFont="1" applyBorder="1" applyAlignment="1">
      <alignment horizontal="center"/>
    </xf>
    <xf numFmtId="181" fontId="31" fillId="0" borderId="19" xfId="124" applyNumberFormat="1" applyFont="1" applyBorder="1" applyAlignment="1">
      <alignment horizontal="centerContinuous"/>
    </xf>
    <xf numFmtId="181" fontId="31" fillId="0" borderId="11" xfId="124" applyNumberFormat="1" applyFont="1" applyBorder="1" applyAlignment="1">
      <alignment horizontal="centerContinuous"/>
    </xf>
    <xf numFmtId="181" fontId="31" fillId="0" borderId="20" xfId="124" applyNumberFormat="1" applyFont="1" applyBorder="1" applyAlignment="1">
      <alignment horizontal="centerContinuous"/>
    </xf>
    <xf numFmtId="43" fontId="31" fillId="0" borderId="32" xfId="124" applyNumberFormat="1" applyFont="1" applyBorder="1"/>
    <xf numFmtId="44" fontId="96" fillId="0" borderId="9" xfId="31" applyFont="1" applyFill="1" applyBorder="1"/>
    <xf numFmtId="183" fontId="32" fillId="0" borderId="19" xfId="124" applyNumberFormat="1" applyFont="1" applyBorder="1" applyAlignment="1">
      <alignment horizontal="centerContinuous"/>
    </xf>
    <xf numFmtId="183" fontId="32" fillId="0" borderId="11" xfId="124" applyNumberFormat="1" applyFont="1" applyBorder="1" applyAlignment="1">
      <alignment horizontal="centerContinuous"/>
    </xf>
    <xf numFmtId="183" fontId="32" fillId="0" borderId="34" xfId="124" applyNumberFormat="1" applyFont="1" applyBorder="1" applyAlignment="1">
      <alignment horizontal="centerContinuous"/>
    </xf>
    <xf numFmtId="0" fontId="31" fillId="0" borderId="71" xfId="124" applyFont="1" applyBorder="1" applyAlignment="1">
      <alignment horizontal="left"/>
    </xf>
    <xf numFmtId="0" fontId="31" fillId="0" borderId="5" xfId="124" applyFont="1" applyBorder="1" applyAlignment="1">
      <alignment horizontal="center" wrapText="1"/>
    </xf>
    <xf numFmtId="0" fontId="31" fillId="0" borderId="17" xfId="124" applyFont="1" applyBorder="1" applyAlignment="1">
      <alignment horizontal="center" wrapText="1"/>
    </xf>
    <xf numFmtId="182" fontId="31" fillId="0" borderId="17" xfId="124" applyNumberFormat="1" applyFont="1" applyBorder="1" applyAlignment="1">
      <alignment horizontal="center" wrapText="1"/>
    </xf>
    <xf numFmtId="181" fontId="31" fillId="0" borderId="17" xfId="124" applyNumberFormat="1" applyFont="1" applyBorder="1" applyAlignment="1">
      <alignment horizontal="center" wrapText="1"/>
    </xf>
    <xf numFmtId="181" fontId="31" fillId="0" borderId="17" xfId="124" applyNumberFormat="1" applyFont="1" applyBorder="1" applyAlignment="1">
      <alignment horizontal="centerContinuous" wrapText="1"/>
    </xf>
    <xf numFmtId="43" fontId="31" fillId="0" borderId="17" xfId="124" applyNumberFormat="1" applyFont="1" applyBorder="1" applyAlignment="1">
      <alignment horizontal="center" wrapText="1"/>
    </xf>
    <xf numFmtId="0" fontId="31" fillId="0" borderId="35" xfId="124" applyFont="1" applyBorder="1" applyAlignment="1">
      <alignment horizontal="center" wrapText="1"/>
    </xf>
    <xf numFmtId="0" fontId="33" fillId="0" borderId="36" xfId="89" applyFont="1" applyBorder="1"/>
    <xf numFmtId="184" fontId="31" fillId="0" borderId="11" xfId="124" applyNumberFormat="1" applyFont="1" applyBorder="1" applyAlignment="1">
      <alignment horizontal="center"/>
    </xf>
    <xf numFmtId="0" fontId="34" fillId="0" borderId="11" xfId="124" applyFont="1" applyBorder="1" applyAlignment="1">
      <alignment horizontal="center"/>
    </xf>
    <xf numFmtId="179" fontId="35" fillId="0" borderId="11" xfId="124" applyNumberFormat="1" applyFont="1" applyBorder="1" applyAlignment="1">
      <alignment horizontal="center"/>
    </xf>
    <xf numFmtId="186" fontId="31" fillId="0" borderId="11" xfId="89" applyNumberFormat="1" applyFont="1" applyBorder="1" applyAlignment="1">
      <alignment horizontal="center"/>
    </xf>
    <xf numFmtId="10" fontId="31" fillId="0" borderId="11" xfId="124" applyNumberFormat="1" applyFont="1" applyBorder="1"/>
    <xf numFmtId="181" fontId="31" fillId="0" borderId="11" xfId="124" applyNumberFormat="1" applyFont="1" applyBorder="1" applyAlignment="1">
      <alignment horizontal="right"/>
    </xf>
    <xf numFmtId="183" fontId="35" fillId="0" borderId="11" xfId="124" applyNumberFormat="1" applyFont="1" applyBorder="1" applyAlignment="1">
      <alignment horizontal="center"/>
    </xf>
    <xf numFmtId="183" fontId="35" fillId="0" borderId="34" xfId="124" applyNumberFormat="1" applyFont="1" applyBorder="1" applyAlignment="1">
      <alignment horizontal="center"/>
    </xf>
    <xf numFmtId="0" fontId="32" fillId="0" borderId="36" xfId="124" applyFont="1" applyBorder="1"/>
    <xf numFmtId="186" fontId="31" fillId="0" borderId="9" xfId="89" applyNumberFormat="1" applyFont="1" applyBorder="1" applyAlignment="1">
      <alignment horizontal="center"/>
    </xf>
    <xf numFmtId="187" fontId="31" fillId="0" borderId="11" xfId="17" applyNumberFormat="1" applyFont="1" applyBorder="1"/>
    <xf numFmtId="43" fontId="31" fillId="0" borderId="34" xfId="17" applyFont="1" applyBorder="1"/>
    <xf numFmtId="184" fontId="31" fillId="20" borderId="14" xfId="124" applyNumberFormat="1" applyFont="1" applyFill="1" applyBorder="1" applyAlignment="1">
      <alignment horizontal="center"/>
    </xf>
    <xf numFmtId="1" fontId="31" fillId="20" borderId="14" xfId="89" applyNumberFormat="1" applyFont="1" applyFill="1" applyBorder="1"/>
    <xf numFmtId="2" fontId="31" fillId="20" borderId="14" xfId="124" applyNumberFormat="1" applyFont="1" applyFill="1" applyBorder="1"/>
    <xf numFmtId="185" fontId="31" fillId="20" borderId="14" xfId="17" applyNumberFormat="1" applyFont="1" applyFill="1" applyBorder="1" applyAlignment="1"/>
    <xf numFmtId="179" fontId="31" fillId="20" borderId="14" xfId="17" applyNumberFormat="1" applyFont="1" applyFill="1" applyBorder="1"/>
    <xf numFmtId="1" fontId="31" fillId="20" borderId="14" xfId="124" applyNumberFormat="1" applyFont="1" applyFill="1" applyBorder="1"/>
    <xf numFmtId="193" fontId="31" fillId="20" borderId="14" xfId="124" applyNumberFormat="1" applyFont="1" applyFill="1" applyBorder="1"/>
    <xf numFmtId="43" fontId="31" fillId="20" borderId="14" xfId="17" applyFont="1" applyFill="1" applyBorder="1" applyAlignment="1">
      <alignment horizontal="right"/>
    </xf>
    <xf numFmtId="43" fontId="31" fillId="20" borderId="14" xfId="17" applyFont="1" applyFill="1" applyBorder="1" applyAlignment="1"/>
    <xf numFmtId="187" fontId="31" fillId="20" borderId="14" xfId="17" applyNumberFormat="1" applyFont="1" applyFill="1" applyBorder="1" applyAlignment="1"/>
    <xf numFmtId="183" fontId="31" fillId="20" borderId="14" xfId="17" applyNumberFormat="1" applyFont="1" applyFill="1" applyBorder="1" applyAlignment="1"/>
    <xf numFmtId="43" fontId="31" fillId="20" borderId="37" xfId="17" applyFont="1" applyFill="1" applyBorder="1" applyAlignment="1"/>
    <xf numFmtId="184" fontId="31" fillId="20" borderId="9" xfId="124" applyNumberFormat="1" applyFont="1" applyFill="1" applyBorder="1" applyAlignment="1">
      <alignment horizontal="center"/>
    </xf>
    <xf numFmtId="179" fontId="31" fillId="20" borderId="9" xfId="17" applyNumberFormat="1" applyFont="1" applyFill="1" applyBorder="1"/>
    <xf numFmtId="2" fontId="31" fillId="20" borderId="9" xfId="124" applyNumberFormat="1" applyFont="1" applyFill="1" applyBorder="1"/>
    <xf numFmtId="43" fontId="31" fillId="20" borderId="9" xfId="17" applyFont="1" applyFill="1" applyBorder="1" applyAlignment="1">
      <alignment horizontal="right"/>
    </xf>
    <xf numFmtId="183" fontId="31" fillId="20" borderId="9" xfId="17" applyNumberFormat="1" applyFont="1" applyFill="1" applyBorder="1" applyAlignment="1"/>
    <xf numFmtId="0" fontId="32" fillId="0" borderId="72" xfId="89" applyFont="1" applyBorder="1" applyAlignment="1">
      <alignment horizontal="left" indent="1"/>
    </xf>
    <xf numFmtId="0" fontId="31" fillId="0" borderId="13" xfId="89" applyFont="1" applyBorder="1"/>
    <xf numFmtId="184" fontId="31" fillId="0" borderId="39" xfId="124" applyNumberFormat="1" applyFont="1" applyBorder="1" applyAlignment="1">
      <alignment horizontal="center"/>
    </xf>
    <xf numFmtId="0" fontId="31" fillId="0" borderId="39" xfId="89" applyFont="1" applyBorder="1"/>
    <xf numFmtId="185" fontId="31" fillId="0" borderId="39" xfId="17" applyNumberFormat="1" applyFont="1" applyFill="1" applyBorder="1" applyAlignment="1">
      <alignment horizontal="right"/>
    </xf>
    <xf numFmtId="10" fontId="31" fillId="0" borderId="39" xfId="124" applyNumberFormat="1" applyFont="1" applyBorder="1"/>
    <xf numFmtId="43" fontId="31" fillId="0" borderId="40" xfId="17" applyFont="1" applyFill="1" applyBorder="1" applyAlignment="1">
      <alignment horizontal="right"/>
    </xf>
    <xf numFmtId="0" fontId="33" fillId="0" borderId="0" xfId="89" applyFont="1"/>
    <xf numFmtId="0" fontId="31" fillId="0" borderId="63" xfId="89" applyFont="1" applyBorder="1"/>
    <xf numFmtId="0" fontId="97" fillId="0" borderId="65" xfId="0" applyFont="1" applyBorder="1" applyAlignment="1">
      <alignment horizontal="centerContinuous" vertical="center" wrapText="1"/>
    </xf>
    <xf numFmtId="0" fontId="6" fillId="0" borderId="0" xfId="0" applyFont="1"/>
    <xf numFmtId="184" fontId="0" fillId="0" borderId="0" xfId="0" applyNumberFormat="1"/>
    <xf numFmtId="0" fontId="0" fillId="59" borderId="0" xfId="0" applyFill="1" applyBorder="1"/>
    <xf numFmtId="1" fontId="0" fillId="0" borderId="0" xfId="0" applyNumberFormat="1"/>
    <xf numFmtId="4" fontId="41" fillId="0" borderId="0" xfId="0" applyNumberFormat="1" applyFont="1" applyFill="1"/>
    <xf numFmtId="177" fontId="85" fillId="56" borderId="0" xfId="0" applyNumberFormat="1" applyFont="1" applyFill="1"/>
    <xf numFmtId="177" fontId="85" fillId="57" borderId="0" xfId="0" applyNumberFormat="1" applyFont="1" applyFill="1"/>
    <xf numFmtId="3" fontId="40" fillId="0" borderId="0" xfId="0" applyNumberFormat="1" applyFont="1" applyFill="1"/>
    <xf numFmtId="184" fontId="88" fillId="0" borderId="0" xfId="0" applyNumberFormat="1" applyFont="1" applyFill="1" applyAlignment="1">
      <alignment vertical="top"/>
    </xf>
    <xf numFmtId="9" fontId="88" fillId="0" borderId="0" xfId="0" applyNumberFormat="1" applyFont="1" applyFill="1" applyAlignment="1">
      <alignment vertical="top"/>
    </xf>
    <xf numFmtId="10" fontId="88" fillId="0" borderId="0" xfId="0" applyNumberFormat="1" applyFont="1" applyFill="1" applyAlignment="1">
      <alignment vertical="top"/>
    </xf>
    <xf numFmtId="184" fontId="43" fillId="0" borderId="0" xfId="157" applyNumberFormat="1" applyFont="1" applyFill="1" applyBorder="1"/>
    <xf numFmtId="0" fontId="36" fillId="0" borderId="0" xfId="0" applyFont="1" applyFill="1" applyBorder="1" applyAlignment="1">
      <alignment horizontal="center"/>
    </xf>
    <xf numFmtId="41" fontId="86" fillId="56" borderId="0" xfId="0" applyNumberFormat="1" applyFont="1" applyFill="1"/>
    <xf numFmtId="37" fontId="85" fillId="57" borderId="0" xfId="0" applyNumberFormat="1" applyFont="1" applyFill="1"/>
    <xf numFmtId="177" fontId="86" fillId="56" borderId="0" xfId="0" applyNumberFormat="1" applyFont="1" applyFill="1"/>
    <xf numFmtId="2" fontId="86" fillId="56" borderId="0" xfId="0" applyNumberFormat="1" applyFont="1" applyFill="1"/>
    <xf numFmtId="2" fontId="86" fillId="57" borderId="0" xfId="0" applyNumberFormat="1" applyFont="1" applyFill="1"/>
    <xf numFmtId="7" fontId="41" fillId="55" borderId="0" xfId="0" applyNumberFormat="1" applyFont="1" applyFill="1"/>
    <xf numFmtId="180" fontId="86" fillId="56" borderId="0" xfId="0" applyNumberFormat="1" applyFont="1" applyFill="1"/>
    <xf numFmtId="0" fontId="0" fillId="0" borderId="0" xfId="0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41" fontId="85" fillId="57" borderId="0" xfId="0" applyNumberFormat="1" applyFont="1" applyFill="1"/>
    <xf numFmtId="0" fontId="43" fillId="0" borderId="0" xfId="0" applyFont="1" applyFill="1"/>
    <xf numFmtId="177" fontId="0" fillId="0" borderId="0" xfId="0" applyNumberFormat="1" applyFill="1" applyAlignment="1">
      <alignment horizontal="centerContinuous"/>
    </xf>
    <xf numFmtId="0" fontId="0" fillId="2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2" xfId="0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quotePrefix="1" applyFill="1" applyBorder="1" applyAlignment="1">
      <alignment horizontal="left"/>
    </xf>
    <xf numFmtId="0" fontId="0" fillId="0" borderId="7" xfId="0" applyFill="1" applyBorder="1" applyAlignment="1">
      <alignment horizontal="left"/>
    </xf>
    <xf numFmtId="177" fontId="45" fillId="0" borderId="0" xfId="0" applyNumberFormat="1" applyFont="1" applyFill="1"/>
    <xf numFmtId="177" fontId="0" fillId="0" borderId="0" xfId="0" applyNumberFormat="1" applyFill="1"/>
    <xf numFmtId="179" fontId="43" fillId="0" borderId="0" xfId="158" applyNumberFormat="1" applyFont="1" applyFill="1" applyBorder="1"/>
    <xf numFmtId="0" fontId="45" fillId="0" borderId="0" xfId="0" applyFont="1" applyFill="1"/>
    <xf numFmtId="44" fontId="0" fillId="0" borderId="0" xfId="160" applyFont="1" applyFill="1" applyBorder="1"/>
    <xf numFmtId="0" fontId="6" fillId="0" borderId="0" xfId="416" applyFont="1" applyFill="1"/>
    <xf numFmtId="0" fontId="39" fillId="0" borderId="0" xfId="0" applyFont="1" applyAlignment="1">
      <alignment horizontal="center"/>
    </xf>
    <xf numFmtId="0" fontId="39" fillId="0" borderId="7" xfId="0" applyFont="1" applyBorder="1" applyAlignment="1">
      <alignment horizontal="center" wrapText="1"/>
    </xf>
    <xf numFmtId="203" fontId="39" fillId="0" borderId="7" xfId="0" applyNumberFormat="1" applyFont="1" applyBorder="1" applyAlignment="1">
      <alignment horizontal="center"/>
    </xf>
    <xf numFmtId="177" fontId="39" fillId="0" borderId="0" xfId="0" applyNumberFormat="1" applyFont="1"/>
    <xf numFmtId="0" fontId="39" fillId="0" borderId="7" xfId="0" applyFont="1" applyBorder="1" applyAlignment="1">
      <alignment horizontal="center"/>
    </xf>
    <xf numFmtId="0" fontId="5" fillId="0" borderId="0" xfId="0" applyFont="1" applyFill="1" applyBorder="1" applyAlignment="1"/>
    <xf numFmtId="10" fontId="43" fillId="0" borderId="0" xfId="161" applyNumberFormat="1" applyFont="1" applyFill="1"/>
    <xf numFmtId="0" fontId="0" fillId="0" borderId="0" xfId="0" applyFill="1" applyBorder="1" applyAlignment="1">
      <alignment horizontal="right" indent="1"/>
    </xf>
    <xf numFmtId="0" fontId="0" fillId="0" borderId="0" xfId="0" applyAlignment="1"/>
    <xf numFmtId="44" fontId="46" fillId="0" borderId="0" xfId="160" applyFont="1" applyFill="1" applyBorder="1"/>
    <xf numFmtId="44" fontId="41" fillId="0" borderId="0" xfId="160" applyFont="1" applyFill="1" applyBorder="1"/>
    <xf numFmtId="204" fontId="40" fillId="0" borderId="0" xfId="0" applyNumberFormat="1" applyFont="1" applyFill="1" applyBorder="1"/>
    <xf numFmtId="9" fontId="36" fillId="0" borderId="0" xfId="0" applyNumberFormat="1" applyFont="1" applyFill="1"/>
    <xf numFmtId="0" fontId="0" fillId="2" borderId="0" xfId="0" applyFont="1" applyFill="1"/>
    <xf numFmtId="44" fontId="0" fillId="2" borderId="0" xfId="160" applyFont="1" applyFill="1"/>
    <xf numFmtId="175" fontId="0" fillId="0" borderId="0" xfId="160" applyNumberFormat="1" applyFont="1" applyFill="1" applyBorder="1" applyAlignment="1">
      <alignment horizontal="left"/>
    </xf>
    <xf numFmtId="176" fontId="0" fillId="0" borderId="0" xfId="160" applyNumberFormat="1" applyFont="1" applyFill="1" applyBorder="1" applyAlignment="1">
      <alignment horizontal="right"/>
    </xf>
    <xf numFmtId="0" fontId="0" fillId="0" borderId="0" xfId="0" applyFont="1" applyFill="1"/>
    <xf numFmtId="44" fontId="0" fillId="0" borderId="0" xfId="160" applyFont="1" applyFill="1"/>
    <xf numFmtId="0" fontId="0" fillId="0" borderId="0" xfId="0" applyFont="1" applyFill="1" applyBorder="1" applyAlignment="1">
      <alignment horizontal="left"/>
    </xf>
    <xf numFmtId="41" fontId="6" fillId="0" borderId="0" xfId="0" applyNumberFormat="1" applyFont="1" applyBorder="1"/>
    <xf numFmtId="0" fontId="6" fillId="0" borderId="7" xfId="0" applyFont="1" applyFill="1" applyBorder="1"/>
    <xf numFmtId="0" fontId="5" fillId="2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</cellXfs>
  <cellStyles count="418">
    <cellStyle name="20% - Accent1 2" xfId="162" xr:uid="{00000000-0005-0000-0000-000000000000}"/>
    <cellStyle name="20% - Accent1 3" xfId="163" xr:uid="{00000000-0005-0000-0000-000001000000}"/>
    <cellStyle name="20% - Accent2 2" xfId="164" xr:uid="{00000000-0005-0000-0000-000002000000}"/>
    <cellStyle name="20% - Accent2 3" xfId="165" xr:uid="{00000000-0005-0000-0000-000003000000}"/>
    <cellStyle name="20% - Accent3 2" xfId="166" xr:uid="{00000000-0005-0000-0000-000004000000}"/>
    <cellStyle name="20% - Accent3 3" xfId="167" xr:uid="{00000000-0005-0000-0000-000005000000}"/>
    <cellStyle name="20% - Accent4 2" xfId="168" xr:uid="{00000000-0005-0000-0000-000006000000}"/>
    <cellStyle name="20% - Accent4 3" xfId="169" xr:uid="{00000000-0005-0000-0000-000007000000}"/>
    <cellStyle name="20% - Accent5 2" xfId="170" xr:uid="{00000000-0005-0000-0000-000008000000}"/>
    <cellStyle name="20% - Accent5 3" xfId="171" xr:uid="{00000000-0005-0000-0000-000009000000}"/>
    <cellStyle name="20% - Accent6 2" xfId="172" xr:uid="{00000000-0005-0000-0000-00000A000000}"/>
    <cellStyle name="20% - Accent6 3" xfId="173" xr:uid="{00000000-0005-0000-0000-00000B000000}"/>
    <cellStyle name="40% - Accent1 2" xfId="174" xr:uid="{00000000-0005-0000-0000-00000C000000}"/>
    <cellStyle name="40% - Accent1 3" xfId="175" xr:uid="{00000000-0005-0000-0000-00000D000000}"/>
    <cellStyle name="40% - Accent2 2" xfId="176" xr:uid="{00000000-0005-0000-0000-00000E000000}"/>
    <cellStyle name="40% - Accent2 3" xfId="177" xr:uid="{00000000-0005-0000-0000-00000F000000}"/>
    <cellStyle name="40% - Accent3 2" xfId="178" xr:uid="{00000000-0005-0000-0000-000010000000}"/>
    <cellStyle name="40% - Accent3 3" xfId="179" xr:uid="{00000000-0005-0000-0000-000011000000}"/>
    <cellStyle name="40% - Accent4 2" xfId="180" xr:uid="{00000000-0005-0000-0000-000012000000}"/>
    <cellStyle name="40% - Accent4 3" xfId="181" xr:uid="{00000000-0005-0000-0000-000013000000}"/>
    <cellStyle name="40% - Accent5 2" xfId="182" xr:uid="{00000000-0005-0000-0000-000014000000}"/>
    <cellStyle name="40% - Accent5 3" xfId="183" xr:uid="{00000000-0005-0000-0000-000015000000}"/>
    <cellStyle name="40% - Accent6 2" xfId="184" xr:uid="{00000000-0005-0000-0000-000016000000}"/>
    <cellStyle name="40% - Accent6 3" xfId="185" xr:uid="{00000000-0005-0000-0000-000017000000}"/>
    <cellStyle name="60% - Accent1 2" xfId="186" xr:uid="{00000000-0005-0000-0000-000018000000}"/>
    <cellStyle name="60% - Accent1 3" xfId="187" xr:uid="{00000000-0005-0000-0000-000019000000}"/>
    <cellStyle name="60% - Accent2 2" xfId="188" xr:uid="{00000000-0005-0000-0000-00001A000000}"/>
    <cellStyle name="60% - Accent2 3" xfId="189" xr:uid="{00000000-0005-0000-0000-00001B000000}"/>
    <cellStyle name="60% - Accent3 2" xfId="190" xr:uid="{00000000-0005-0000-0000-00001C000000}"/>
    <cellStyle name="60% - Accent3 3" xfId="191" xr:uid="{00000000-0005-0000-0000-00001D000000}"/>
    <cellStyle name="60% - Accent4 2" xfId="192" xr:uid="{00000000-0005-0000-0000-00001E000000}"/>
    <cellStyle name="60% - Accent4 3" xfId="193" xr:uid="{00000000-0005-0000-0000-00001F000000}"/>
    <cellStyle name="60% - Accent5 2" xfId="194" xr:uid="{00000000-0005-0000-0000-000020000000}"/>
    <cellStyle name="60% - Accent5 3" xfId="195" xr:uid="{00000000-0005-0000-0000-000021000000}"/>
    <cellStyle name="60% - Accent6 2" xfId="196" xr:uid="{00000000-0005-0000-0000-000022000000}"/>
    <cellStyle name="60% - Accent6 3" xfId="197" xr:uid="{00000000-0005-0000-0000-000023000000}"/>
    <cellStyle name="Accent1 2" xfId="198" xr:uid="{00000000-0005-0000-0000-000024000000}"/>
    <cellStyle name="Accent1 3" xfId="199" xr:uid="{00000000-0005-0000-0000-000025000000}"/>
    <cellStyle name="Accent2 2" xfId="200" xr:uid="{00000000-0005-0000-0000-000026000000}"/>
    <cellStyle name="Accent2 3" xfId="201" xr:uid="{00000000-0005-0000-0000-000027000000}"/>
    <cellStyle name="Accent3 2" xfId="202" xr:uid="{00000000-0005-0000-0000-000028000000}"/>
    <cellStyle name="Accent3 3" xfId="203" xr:uid="{00000000-0005-0000-0000-000029000000}"/>
    <cellStyle name="Accent4 2" xfId="204" xr:uid="{00000000-0005-0000-0000-00002A000000}"/>
    <cellStyle name="Accent4 3" xfId="205" xr:uid="{00000000-0005-0000-0000-00002B000000}"/>
    <cellStyle name="Accent5 2" xfId="206" xr:uid="{00000000-0005-0000-0000-00002C000000}"/>
    <cellStyle name="Accent5 3" xfId="207" xr:uid="{00000000-0005-0000-0000-00002D000000}"/>
    <cellStyle name="Accent6 2" xfId="208" xr:uid="{00000000-0005-0000-0000-00002E000000}"/>
    <cellStyle name="Accent6 3" xfId="209" xr:uid="{00000000-0005-0000-0000-00002F000000}"/>
    <cellStyle name="ArrayHeading" xfId="1" xr:uid="{00000000-0005-0000-0000-000030000000}"/>
    <cellStyle name="ArrayHeading 2" xfId="2" xr:uid="{00000000-0005-0000-0000-000031000000}"/>
    <cellStyle name="Bad 2" xfId="210" xr:uid="{00000000-0005-0000-0000-000032000000}"/>
    <cellStyle name="Bad 3" xfId="211" xr:uid="{00000000-0005-0000-0000-000033000000}"/>
    <cellStyle name="BetweenMacros" xfId="3" xr:uid="{00000000-0005-0000-0000-000034000000}"/>
    <cellStyle name="BetweenMacros 2" xfId="4" xr:uid="{00000000-0005-0000-0000-000035000000}"/>
    <cellStyle name="Calculation 2" xfId="212" xr:uid="{00000000-0005-0000-0000-000036000000}"/>
    <cellStyle name="Calculation 3" xfId="213" xr:uid="{00000000-0005-0000-0000-000037000000}"/>
    <cellStyle name="Cancel" xfId="214" xr:uid="{00000000-0005-0000-0000-000038000000}"/>
    <cellStyle name="Check Cell 2" xfId="215" xr:uid="{00000000-0005-0000-0000-000039000000}"/>
    <cellStyle name="Check Cell 3" xfId="216" xr:uid="{00000000-0005-0000-0000-00003A000000}"/>
    <cellStyle name="Column total in dollars" xfId="5" xr:uid="{00000000-0005-0000-0000-00003B000000}"/>
    <cellStyle name="Column total in dollars 2" xfId="6" xr:uid="{00000000-0005-0000-0000-00003C000000}"/>
    <cellStyle name="Comma" xfId="159" builtinId="3"/>
    <cellStyle name="Comma  - Style1" xfId="7" xr:uid="{00000000-0005-0000-0000-00003E000000}"/>
    <cellStyle name="Comma  - Style2" xfId="8" xr:uid="{00000000-0005-0000-0000-00003F000000}"/>
    <cellStyle name="Comma  - Style3" xfId="9" xr:uid="{00000000-0005-0000-0000-000040000000}"/>
    <cellStyle name="Comma  - Style4" xfId="10" xr:uid="{00000000-0005-0000-0000-000041000000}"/>
    <cellStyle name="Comma  - Style5" xfId="11" xr:uid="{00000000-0005-0000-0000-000042000000}"/>
    <cellStyle name="Comma  - Style6" xfId="12" xr:uid="{00000000-0005-0000-0000-000043000000}"/>
    <cellStyle name="Comma  - Style7" xfId="13" xr:uid="{00000000-0005-0000-0000-000044000000}"/>
    <cellStyle name="Comma  - Style8" xfId="14" xr:uid="{00000000-0005-0000-0000-000045000000}"/>
    <cellStyle name="Comma (0)" xfId="15" xr:uid="{00000000-0005-0000-0000-000046000000}"/>
    <cellStyle name="Comma [0] 2" xfId="16" xr:uid="{00000000-0005-0000-0000-000047000000}"/>
    <cellStyle name="Comma 10" xfId="217" xr:uid="{00000000-0005-0000-0000-000048000000}"/>
    <cellStyle name="Comma 11" xfId="218" xr:uid="{00000000-0005-0000-0000-000049000000}"/>
    <cellStyle name="Comma 12" xfId="219" xr:uid="{00000000-0005-0000-0000-00004A000000}"/>
    <cellStyle name="Comma 13" xfId="220" xr:uid="{00000000-0005-0000-0000-00004B000000}"/>
    <cellStyle name="Comma 14" xfId="221" xr:uid="{00000000-0005-0000-0000-00004C000000}"/>
    <cellStyle name="Comma 15" xfId="222" xr:uid="{00000000-0005-0000-0000-00004D000000}"/>
    <cellStyle name="Comma 16" xfId="223" xr:uid="{00000000-0005-0000-0000-00004E000000}"/>
    <cellStyle name="Comma 17" xfId="224" xr:uid="{00000000-0005-0000-0000-00004F000000}"/>
    <cellStyle name="Comma 18" xfId="225" xr:uid="{00000000-0005-0000-0000-000050000000}"/>
    <cellStyle name="Comma 19" xfId="226" xr:uid="{00000000-0005-0000-0000-000051000000}"/>
    <cellStyle name="Comma 2" xfId="17" xr:uid="{00000000-0005-0000-0000-000052000000}"/>
    <cellStyle name="Comma 2 2" xfId="18" xr:uid="{00000000-0005-0000-0000-000053000000}"/>
    <cellStyle name="Comma 2 2 2" xfId="227" xr:uid="{00000000-0005-0000-0000-000054000000}"/>
    <cellStyle name="Comma 20" xfId="228" xr:uid="{00000000-0005-0000-0000-000055000000}"/>
    <cellStyle name="Comma 21" xfId="229" xr:uid="{00000000-0005-0000-0000-000056000000}"/>
    <cellStyle name="Comma 22" xfId="230" xr:uid="{00000000-0005-0000-0000-000057000000}"/>
    <cellStyle name="Comma 23" xfId="231" xr:uid="{00000000-0005-0000-0000-000058000000}"/>
    <cellStyle name="Comma 24" xfId="232" xr:uid="{00000000-0005-0000-0000-000059000000}"/>
    <cellStyle name="Comma 25" xfId="233" xr:uid="{00000000-0005-0000-0000-00005A000000}"/>
    <cellStyle name="Comma 26" xfId="234" xr:uid="{00000000-0005-0000-0000-00005B000000}"/>
    <cellStyle name="Comma 27" xfId="235" xr:uid="{00000000-0005-0000-0000-00005C000000}"/>
    <cellStyle name="Comma 3" xfId="19" xr:uid="{00000000-0005-0000-0000-00005D000000}"/>
    <cellStyle name="Comma 3 2" xfId="20" xr:uid="{00000000-0005-0000-0000-00005E000000}"/>
    <cellStyle name="Comma 3 2 2" xfId="236" xr:uid="{00000000-0005-0000-0000-00005F000000}"/>
    <cellStyle name="Comma 3 3" xfId="237" xr:uid="{00000000-0005-0000-0000-000060000000}"/>
    <cellStyle name="Comma 4" xfId="21" xr:uid="{00000000-0005-0000-0000-000061000000}"/>
    <cellStyle name="Comma 4 2" xfId="22" xr:uid="{00000000-0005-0000-0000-000062000000}"/>
    <cellStyle name="Comma 4 3" xfId="238" xr:uid="{00000000-0005-0000-0000-000063000000}"/>
    <cellStyle name="Comma 5" xfId="158" xr:uid="{00000000-0005-0000-0000-000064000000}"/>
    <cellStyle name="Comma 5 2" xfId="239" xr:uid="{00000000-0005-0000-0000-000065000000}"/>
    <cellStyle name="Comma 6" xfId="240" xr:uid="{00000000-0005-0000-0000-000066000000}"/>
    <cellStyle name="Comma 7" xfId="241" xr:uid="{00000000-0005-0000-0000-000067000000}"/>
    <cellStyle name="Comma 8" xfId="242" xr:uid="{00000000-0005-0000-0000-000068000000}"/>
    <cellStyle name="Comma 9" xfId="243" xr:uid="{00000000-0005-0000-0000-000069000000}"/>
    <cellStyle name="Comma0" xfId="23" xr:uid="{00000000-0005-0000-0000-00006A000000}"/>
    <cellStyle name="Comma0 - Style1" xfId="244" xr:uid="{00000000-0005-0000-0000-00006B000000}"/>
    <cellStyle name="Comma0 - Style2" xfId="245" xr:uid="{00000000-0005-0000-0000-00006C000000}"/>
    <cellStyle name="Comma0 - Style3" xfId="24" xr:uid="{00000000-0005-0000-0000-00006D000000}"/>
    <cellStyle name="Comma0 - Style3 2" xfId="25" xr:uid="{00000000-0005-0000-0000-00006E000000}"/>
    <cellStyle name="Comma0 - Style4" xfId="26" xr:uid="{00000000-0005-0000-0000-00006F000000}"/>
    <cellStyle name="Comma0 - Style4 2" xfId="27" xr:uid="{00000000-0005-0000-0000-000070000000}"/>
    <cellStyle name="Comma0 2" xfId="246" xr:uid="{00000000-0005-0000-0000-000071000000}"/>
    <cellStyle name="Comma0_Book1" xfId="28" xr:uid="{00000000-0005-0000-0000-000072000000}"/>
    <cellStyle name="Comma1 - Style1" xfId="29" xr:uid="{00000000-0005-0000-0000-000073000000}"/>
    <cellStyle name="Comma1 - Style1 2" xfId="30" xr:uid="{00000000-0005-0000-0000-000074000000}"/>
    <cellStyle name="Curren - Style2" xfId="247" xr:uid="{00000000-0005-0000-0000-000075000000}"/>
    <cellStyle name="Curren - Style3" xfId="248" xr:uid="{00000000-0005-0000-0000-000076000000}"/>
    <cellStyle name="Currency" xfId="160" builtinId="4"/>
    <cellStyle name="Currency 2" xfId="31" xr:uid="{00000000-0005-0000-0000-000078000000}"/>
    <cellStyle name="Currency 2 2" xfId="32" xr:uid="{00000000-0005-0000-0000-000079000000}"/>
    <cellStyle name="Currency 3" xfId="33" xr:uid="{00000000-0005-0000-0000-00007A000000}"/>
    <cellStyle name="Currency 3 2" xfId="34" xr:uid="{00000000-0005-0000-0000-00007B000000}"/>
    <cellStyle name="Currency 4" xfId="35" xr:uid="{00000000-0005-0000-0000-00007C000000}"/>
    <cellStyle name="Currency 5" xfId="36" xr:uid="{00000000-0005-0000-0000-00007D000000}"/>
    <cellStyle name="Currency 6" xfId="156" xr:uid="{00000000-0005-0000-0000-00007E000000}"/>
    <cellStyle name="Currency No Comma" xfId="37" xr:uid="{00000000-0005-0000-0000-00007F000000}"/>
    <cellStyle name="Currency(0)" xfId="38" xr:uid="{00000000-0005-0000-0000-000080000000}"/>
    <cellStyle name="Currency0" xfId="39" xr:uid="{00000000-0005-0000-0000-000081000000}"/>
    <cellStyle name="Currency0 2" xfId="249" xr:uid="{00000000-0005-0000-0000-000082000000}"/>
    <cellStyle name="Custom - Style8" xfId="250" xr:uid="{00000000-0005-0000-0000-000083000000}"/>
    <cellStyle name="Data   - Style2" xfId="251" xr:uid="{00000000-0005-0000-0000-000084000000}"/>
    <cellStyle name="Date" xfId="40" xr:uid="{00000000-0005-0000-0000-000085000000}"/>
    <cellStyle name="Date - Style1" xfId="252" xr:uid="{00000000-0005-0000-0000-000086000000}"/>
    <cellStyle name="Date - Style3" xfId="41" xr:uid="{00000000-0005-0000-0000-000087000000}"/>
    <cellStyle name="Date - Style3 2" xfId="42" xr:uid="{00000000-0005-0000-0000-000088000000}"/>
    <cellStyle name="Date 10" xfId="43" xr:uid="{00000000-0005-0000-0000-000089000000}"/>
    <cellStyle name="Date 11" xfId="44" xr:uid="{00000000-0005-0000-0000-00008A000000}"/>
    <cellStyle name="Date 12" xfId="45" xr:uid="{00000000-0005-0000-0000-00008B000000}"/>
    <cellStyle name="Date 13" xfId="46" xr:uid="{00000000-0005-0000-0000-00008C000000}"/>
    <cellStyle name="Date 14" xfId="47" xr:uid="{00000000-0005-0000-0000-00008D000000}"/>
    <cellStyle name="Date 15" xfId="253" xr:uid="{00000000-0005-0000-0000-00008E000000}"/>
    <cellStyle name="Date 2" xfId="48" xr:uid="{00000000-0005-0000-0000-00008F000000}"/>
    <cellStyle name="Date 3" xfId="49" xr:uid="{00000000-0005-0000-0000-000090000000}"/>
    <cellStyle name="Date 4" xfId="50" xr:uid="{00000000-0005-0000-0000-000091000000}"/>
    <cellStyle name="Date 5" xfId="51" xr:uid="{00000000-0005-0000-0000-000092000000}"/>
    <cellStyle name="Date 6" xfId="52" xr:uid="{00000000-0005-0000-0000-000093000000}"/>
    <cellStyle name="Date 7" xfId="53" xr:uid="{00000000-0005-0000-0000-000094000000}"/>
    <cellStyle name="Date 8" xfId="54" xr:uid="{00000000-0005-0000-0000-000095000000}"/>
    <cellStyle name="Date 9" xfId="55" xr:uid="{00000000-0005-0000-0000-000096000000}"/>
    <cellStyle name="Date_Book1" xfId="56" xr:uid="{00000000-0005-0000-0000-000097000000}"/>
    <cellStyle name="Explanatory Text 2" xfId="254" xr:uid="{00000000-0005-0000-0000-000098000000}"/>
    <cellStyle name="Explanatory Text 3" xfId="255" xr:uid="{00000000-0005-0000-0000-000099000000}"/>
    <cellStyle name="Fixed" xfId="57" xr:uid="{00000000-0005-0000-0000-00009A000000}"/>
    <cellStyle name="Fixed 2" xfId="256" xr:uid="{00000000-0005-0000-0000-00009B000000}"/>
    <cellStyle name="Fixed2 - Style2" xfId="257" xr:uid="{00000000-0005-0000-0000-00009C000000}"/>
    <cellStyle name="Good 2" xfId="258" xr:uid="{00000000-0005-0000-0000-00009D000000}"/>
    <cellStyle name="Good 3" xfId="259" xr:uid="{00000000-0005-0000-0000-00009E000000}"/>
    <cellStyle name="Grey" xfId="58" xr:uid="{00000000-0005-0000-0000-00009F000000}"/>
    <cellStyle name="header" xfId="59" xr:uid="{00000000-0005-0000-0000-0000A0000000}"/>
    <cellStyle name="header 2" xfId="60" xr:uid="{00000000-0005-0000-0000-0000A1000000}"/>
    <cellStyle name="Header1" xfId="61" xr:uid="{00000000-0005-0000-0000-0000A2000000}"/>
    <cellStyle name="Header1 2" xfId="62" xr:uid="{00000000-0005-0000-0000-0000A3000000}"/>
    <cellStyle name="Header2" xfId="63" xr:uid="{00000000-0005-0000-0000-0000A4000000}"/>
    <cellStyle name="Header2 2" xfId="64" xr:uid="{00000000-0005-0000-0000-0000A5000000}"/>
    <cellStyle name="Heading 1 2" xfId="260" xr:uid="{00000000-0005-0000-0000-0000A6000000}"/>
    <cellStyle name="Heading 1 3" xfId="261" xr:uid="{00000000-0005-0000-0000-0000A7000000}"/>
    <cellStyle name="Heading 2 2" xfId="262" xr:uid="{00000000-0005-0000-0000-0000A8000000}"/>
    <cellStyle name="Heading 2 3" xfId="263" xr:uid="{00000000-0005-0000-0000-0000A9000000}"/>
    <cellStyle name="Heading 3 2" xfId="264" xr:uid="{00000000-0005-0000-0000-0000AA000000}"/>
    <cellStyle name="Heading 3 3" xfId="265" xr:uid="{00000000-0005-0000-0000-0000AB000000}"/>
    <cellStyle name="Heading 4 2" xfId="266" xr:uid="{00000000-0005-0000-0000-0000AC000000}"/>
    <cellStyle name="Heading 4 3" xfId="267" xr:uid="{00000000-0005-0000-0000-0000AD000000}"/>
    <cellStyle name="Heading1" xfId="268" xr:uid="{00000000-0005-0000-0000-0000AE000000}"/>
    <cellStyle name="Heading2" xfId="269" xr:uid="{00000000-0005-0000-0000-0000AF000000}"/>
    <cellStyle name="Hyperlink" xfId="416" builtinId="8"/>
    <cellStyle name="Hyperlink 2" xfId="65" xr:uid="{00000000-0005-0000-0000-0000B0000000}"/>
    <cellStyle name="Input [yellow]" xfId="66" xr:uid="{00000000-0005-0000-0000-0000B1000000}"/>
    <cellStyle name="Input 2" xfId="270" xr:uid="{00000000-0005-0000-0000-0000B2000000}"/>
    <cellStyle name="Input 3" xfId="271" xr:uid="{00000000-0005-0000-0000-0000B3000000}"/>
    <cellStyle name="Input 4" xfId="272" xr:uid="{00000000-0005-0000-0000-0000B4000000}"/>
    <cellStyle name="Input 5" xfId="273" xr:uid="{00000000-0005-0000-0000-0000B5000000}"/>
    <cellStyle name="Input 6" xfId="274" xr:uid="{00000000-0005-0000-0000-0000B6000000}"/>
    <cellStyle name="Inst. Sections" xfId="275" xr:uid="{00000000-0005-0000-0000-0000B7000000}"/>
    <cellStyle name="Inst. Subheading" xfId="276" xr:uid="{00000000-0005-0000-0000-0000B8000000}"/>
    <cellStyle name="Labels - Style3" xfId="277" xr:uid="{00000000-0005-0000-0000-0000B9000000}"/>
    <cellStyle name="Linked Cell 2" xfId="278" xr:uid="{00000000-0005-0000-0000-0000BA000000}"/>
    <cellStyle name="Linked Cell 3" xfId="279" xr:uid="{00000000-0005-0000-0000-0000BB000000}"/>
    <cellStyle name="Macro" xfId="67" xr:uid="{00000000-0005-0000-0000-0000BC000000}"/>
    <cellStyle name="Macro 2" xfId="68" xr:uid="{00000000-0005-0000-0000-0000BD000000}"/>
    <cellStyle name="macro descr" xfId="69" xr:uid="{00000000-0005-0000-0000-0000BE000000}"/>
    <cellStyle name="macro descr 2" xfId="70" xr:uid="{00000000-0005-0000-0000-0000BF000000}"/>
    <cellStyle name="Macro_Comments" xfId="71" xr:uid="{00000000-0005-0000-0000-0000C0000000}"/>
    <cellStyle name="MacroText" xfId="72" xr:uid="{00000000-0005-0000-0000-0000C1000000}"/>
    <cellStyle name="MacroText 2" xfId="73" xr:uid="{00000000-0005-0000-0000-0000C2000000}"/>
    <cellStyle name="MCP" xfId="74" xr:uid="{00000000-0005-0000-0000-0000C3000000}"/>
    <cellStyle name="Neutral 2" xfId="280" xr:uid="{00000000-0005-0000-0000-0000C4000000}"/>
    <cellStyle name="Neutral 3" xfId="281" xr:uid="{00000000-0005-0000-0000-0000C5000000}"/>
    <cellStyle name="nONE" xfId="75" xr:uid="{00000000-0005-0000-0000-0000C6000000}"/>
    <cellStyle name="noninput" xfId="76" xr:uid="{00000000-0005-0000-0000-0000C7000000}"/>
    <cellStyle name="noninput 2" xfId="77" xr:uid="{00000000-0005-0000-0000-0000C8000000}"/>
    <cellStyle name="Normal" xfId="0" builtinId="0"/>
    <cellStyle name="Normal - Style1" xfId="78" xr:uid="{00000000-0005-0000-0000-0000CA000000}"/>
    <cellStyle name="Normal - Style1 2" xfId="282" xr:uid="{00000000-0005-0000-0000-0000CB000000}"/>
    <cellStyle name="Normal - Style2" xfId="283" xr:uid="{00000000-0005-0000-0000-0000CC000000}"/>
    <cellStyle name="Normal - Style3" xfId="284" xr:uid="{00000000-0005-0000-0000-0000CD000000}"/>
    <cellStyle name="Normal - Style4" xfId="285" xr:uid="{00000000-0005-0000-0000-0000CE000000}"/>
    <cellStyle name="Normal - Style5" xfId="286" xr:uid="{00000000-0005-0000-0000-0000CF000000}"/>
    <cellStyle name="Normal - Style6" xfId="287" xr:uid="{00000000-0005-0000-0000-0000D0000000}"/>
    <cellStyle name="Normal - Style7" xfId="288" xr:uid="{00000000-0005-0000-0000-0000D1000000}"/>
    <cellStyle name="Normal - Style8" xfId="289" xr:uid="{00000000-0005-0000-0000-0000D2000000}"/>
    <cellStyle name="Normal 10" xfId="79" xr:uid="{00000000-0005-0000-0000-0000D3000000}"/>
    <cellStyle name="Normal 11" xfId="80" xr:uid="{00000000-0005-0000-0000-0000D4000000}"/>
    <cellStyle name="Normal 12" xfId="81" xr:uid="{00000000-0005-0000-0000-0000D5000000}"/>
    <cellStyle name="Normal 13" xfId="82" xr:uid="{00000000-0005-0000-0000-0000D6000000}"/>
    <cellStyle name="Normal 13 2" xfId="290" xr:uid="{00000000-0005-0000-0000-0000D7000000}"/>
    <cellStyle name="Normal 14" xfId="83" xr:uid="{00000000-0005-0000-0000-0000D8000000}"/>
    <cellStyle name="Normal 14 2" xfId="291" xr:uid="{00000000-0005-0000-0000-0000D9000000}"/>
    <cellStyle name="Normal 15" xfId="84" xr:uid="{00000000-0005-0000-0000-0000DA000000}"/>
    <cellStyle name="Normal 15 2" xfId="292" xr:uid="{00000000-0005-0000-0000-0000DB000000}"/>
    <cellStyle name="Normal 16" xfId="85" xr:uid="{00000000-0005-0000-0000-0000DC000000}"/>
    <cellStyle name="Normal 16 2" xfId="293" xr:uid="{00000000-0005-0000-0000-0000DD000000}"/>
    <cellStyle name="Normal 17" xfId="86" xr:uid="{00000000-0005-0000-0000-0000DE000000}"/>
    <cellStyle name="Normal 17 2" xfId="294" xr:uid="{00000000-0005-0000-0000-0000DF000000}"/>
    <cellStyle name="Normal 18" xfId="87" xr:uid="{00000000-0005-0000-0000-0000E0000000}"/>
    <cellStyle name="Normal 18 2" xfId="295" xr:uid="{00000000-0005-0000-0000-0000E1000000}"/>
    <cellStyle name="Normal 183" xfId="417" xr:uid="{812F9614-51B2-44F4-A65B-3179D6353BFB}"/>
    <cellStyle name="Normal 19" xfId="88" xr:uid="{00000000-0005-0000-0000-0000E2000000}"/>
    <cellStyle name="Normal 19 2" xfId="296" xr:uid="{00000000-0005-0000-0000-0000E3000000}"/>
    <cellStyle name="Normal 2" xfId="89" xr:uid="{00000000-0005-0000-0000-0000E4000000}"/>
    <cellStyle name="Normal 2 2" xfId="90" xr:uid="{00000000-0005-0000-0000-0000E5000000}"/>
    <cellStyle name="Normal 2 2 2" xfId="91" xr:uid="{00000000-0005-0000-0000-0000E6000000}"/>
    <cellStyle name="Normal 2 2 2 2" xfId="297" xr:uid="{00000000-0005-0000-0000-0000E7000000}"/>
    <cellStyle name="Normal 2 2 3" xfId="298" xr:uid="{00000000-0005-0000-0000-0000E8000000}"/>
    <cellStyle name="Normal 2 3" xfId="92" xr:uid="{00000000-0005-0000-0000-0000E9000000}"/>
    <cellStyle name="Normal 2 3 2" xfId="299" xr:uid="{00000000-0005-0000-0000-0000EA000000}"/>
    <cellStyle name="Normal 2 4" xfId="93" xr:uid="{00000000-0005-0000-0000-0000EB000000}"/>
    <cellStyle name="Normal 2 4 2" xfId="300" xr:uid="{00000000-0005-0000-0000-0000EC000000}"/>
    <cellStyle name="Normal 2 5" xfId="94" xr:uid="{00000000-0005-0000-0000-0000ED000000}"/>
    <cellStyle name="Normal 20" xfId="95" xr:uid="{00000000-0005-0000-0000-0000EE000000}"/>
    <cellStyle name="Normal 21" xfId="96" xr:uid="{00000000-0005-0000-0000-0000EF000000}"/>
    <cellStyle name="Normal 22" xfId="97" xr:uid="{00000000-0005-0000-0000-0000F0000000}"/>
    <cellStyle name="Normal 23" xfId="98" xr:uid="{00000000-0005-0000-0000-0000F1000000}"/>
    <cellStyle name="Normal 24" xfId="99" xr:uid="{00000000-0005-0000-0000-0000F2000000}"/>
    <cellStyle name="Normal 24 2" xfId="301" xr:uid="{00000000-0005-0000-0000-0000F3000000}"/>
    <cellStyle name="Normal 25" xfId="100" xr:uid="{00000000-0005-0000-0000-0000F4000000}"/>
    <cellStyle name="Normal 26" xfId="101" xr:uid="{00000000-0005-0000-0000-0000F5000000}"/>
    <cellStyle name="Normal 26 2" xfId="302" xr:uid="{00000000-0005-0000-0000-0000F6000000}"/>
    <cellStyle name="Normal 27" xfId="102" xr:uid="{00000000-0005-0000-0000-0000F7000000}"/>
    <cellStyle name="Normal 28" xfId="103" xr:uid="{00000000-0005-0000-0000-0000F8000000}"/>
    <cellStyle name="Normal 28 2" xfId="303" xr:uid="{00000000-0005-0000-0000-0000F9000000}"/>
    <cellStyle name="Normal 29" xfId="304" xr:uid="{00000000-0005-0000-0000-0000FA000000}"/>
    <cellStyle name="Normal 3" xfId="104" xr:uid="{00000000-0005-0000-0000-0000FB000000}"/>
    <cellStyle name="Normal 3 2" xfId="105" xr:uid="{00000000-0005-0000-0000-0000FC000000}"/>
    <cellStyle name="Normal 3 2 2" xfId="106" xr:uid="{00000000-0005-0000-0000-0000FD000000}"/>
    <cellStyle name="Normal 3 2 3" xfId="305" xr:uid="{00000000-0005-0000-0000-0000FE000000}"/>
    <cellStyle name="Normal 3 3" xfId="107" xr:uid="{00000000-0005-0000-0000-0000FF000000}"/>
    <cellStyle name="Normal 3 4" xfId="306" xr:uid="{00000000-0005-0000-0000-000000010000}"/>
    <cellStyle name="Normal 30" xfId="307" xr:uid="{00000000-0005-0000-0000-000001010000}"/>
    <cellStyle name="Normal 31" xfId="308" xr:uid="{00000000-0005-0000-0000-000002010000}"/>
    <cellStyle name="Normal 32" xfId="309" xr:uid="{00000000-0005-0000-0000-000003010000}"/>
    <cellStyle name="Normal 33" xfId="310" xr:uid="{00000000-0005-0000-0000-000004010000}"/>
    <cellStyle name="Normal 34" xfId="311" xr:uid="{00000000-0005-0000-0000-000005010000}"/>
    <cellStyle name="Normal 35" xfId="312" xr:uid="{00000000-0005-0000-0000-000006010000}"/>
    <cellStyle name="Normal 36" xfId="313" xr:uid="{00000000-0005-0000-0000-000007010000}"/>
    <cellStyle name="Normal 37" xfId="314" xr:uid="{00000000-0005-0000-0000-000008010000}"/>
    <cellStyle name="Normal 38" xfId="315" xr:uid="{00000000-0005-0000-0000-000009010000}"/>
    <cellStyle name="Normal 39" xfId="316" xr:uid="{00000000-0005-0000-0000-00000A010000}"/>
    <cellStyle name="Normal 4" xfId="108" xr:uid="{00000000-0005-0000-0000-00000B010000}"/>
    <cellStyle name="Normal 4 2" xfId="109" xr:uid="{00000000-0005-0000-0000-00000C010000}"/>
    <cellStyle name="Normal 4 3" xfId="110" xr:uid="{00000000-0005-0000-0000-00000D010000}"/>
    <cellStyle name="Normal 4 3 2" xfId="111" xr:uid="{00000000-0005-0000-0000-00000E010000}"/>
    <cellStyle name="Normal 40" xfId="317" xr:uid="{00000000-0005-0000-0000-00000F010000}"/>
    <cellStyle name="Normal 5" xfId="112" xr:uid="{00000000-0005-0000-0000-000010010000}"/>
    <cellStyle name="Normal 5 2" xfId="113" xr:uid="{00000000-0005-0000-0000-000011010000}"/>
    <cellStyle name="Normal 5 2 2" xfId="114" xr:uid="{00000000-0005-0000-0000-000012010000}"/>
    <cellStyle name="Normal 5 2 3" xfId="318" xr:uid="{00000000-0005-0000-0000-000013010000}"/>
    <cellStyle name="Normal 5 3" xfId="115" xr:uid="{00000000-0005-0000-0000-000014010000}"/>
    <cellStyle name="Normal 5 3 2" xfId="116" xr:uid="{00000000-0005-0000-0000-000015010000}"/>
    <cellStyle name="Normal 6" xfId="117" xr:uid="{00000000-0005-0000-0000-000016010000}"/>
    <cellStyle name="Normal 6 2" xfId="118" xr:uid="{00000000-0005-0000-0000-000017010000}"/>
    <cellStyle name="Normal 6 2 2" xfId="119" xr:uid="{00000000-0005-0000-0000-000018010000}"/>
    <cellStyle name="Normal 6 2 3" xfId="319" xr:uid="{00000000-0005-0000-0000-000019010000}"/>
    <cellStyle name="Normal 6 3" xfId="320" xr:uid="{00000000-0005-0000-0000-00001A010000}"/>
    <cellStyle name="Normal 7" xfId="120" xr:uid="{00000000-0005-0000-0000-00001B010000}"/>
    <cellStyle name="Normal 8" xfId="121" xr:uid="{00000000-0005-0000-0000-00001C010000}"/>
    <cellStyle name="Normal 9" xfId="122" xr:uid="{00000000-0005-0000-0000-00001D010000}"/>
    <cellStyle name="Normal(0)" xfId="123" xr:uid="{00000000-0005-0000-0000-00001E010000}"/>
    <cellStyle name="Normal_Book1" xfId="124" xr:uid="{00000000-0005-0000-0000-00001F010000}"/>
    <cellStyle name="Note 2" xfId="321" xr:uid="{00000000-0005-0000-0000-000020010000}"/>
    <cellStyle name="Note 3" xfId="322" xr:uid="{00000000-0005-0000-0000-000021010000}"/>
    <cellStyle name="Note 4" xfId="323" xr:uid="{00000000-0005-0000-0000-000022010000}"/>
    <cellStyle name="Number" xfId="125" xr:uid="{00000000-0005-0000-0000-000023010000}"/>
    <cellStyle name="Output 2" xfId="324" xr:uid="{00000000-0005-0000-0000-000024010000}"/>
    <cellStyle name="Output 3" xfId="325" xr:uid="{00000000-0005-0000-0000-000025010000}"/>
    <cellStyle name="Output Amounts" xfId="326" xr:uid="{00000000-0005-0000-0000-000026010000}"/>
    <cellStyle name="Output Line Items" xfId="327" xr:uid="{00000000-0005-0000-0000-000027010000}"/>
    <cellStyle name="Password" xfId="126" xr:uid="{00000000-0005-0000-0000-000028010000}"/>
    <cellStyle name="Percen - Style1" xfId="127" xr:uid="{00000000-0005-0000-0000-000029010000}"/>
    <cellStyle name="Percen - Style1 2" xfId="128" xr:uid="{00000000-0005-0000-0000-00002A010000}"/>
    <cellStyle name="Percen - Style2" xfId="129" xr:uid="{00000000-0005-0000-0000-00002B010000}"/>
    <cellStyle name="Percen - Style2 2" xfId="130" xr:uid="{00000000-0005-0000-0000-00002C010000}"/>
    <cellStyle name="Percent" xfId="161" builtinId="5"/>
    <cellStyle name="Percent [2]" xfId="131" xr:uid="{00000000-0005-0000-0000-00002E010000}"/>
    <cellStyle name="Percent 10" xfId="328" xr:uid="{00000000-0005-0000-0000-00002F010000}"/>
    <cellStyle name="Percent 11" xfId="329" xr:uid="{00000000-0005-0000-0000-000030010000}"/>
    <cellStyle name="Percent 12" xfId="330" xr:uid="{00000000-0005-0000-0000-000031010000}"/>
    <cellStyle name="Percent 13" xfId="331" xr:uid="{00000000-0005-0000-0000-000032010000}"/>
    <cellStyle name="Percent 14" xfId="332" xr:uid="{00000000-0005-0000-0000-000033010000}"/>
    <cellStyle name="Percent 15" xfId="333" xr:uid="{00000000-0005-0000-0000-000034010000}"/>
    <cellStyle name="Percent 16" xfId="334" xr:uid="{00000000-0005-0000-0000-000035010000}"/>
    <cellStyle name="Percent 17" xfId="335" xr:uid="{00000000-0005-0000-0000-000036010000}"/>
    <cellStyle name="Percent 18" xfId="336" xr:uid="{00000000-0005-0000-0000-000037010000}"/>
    <cellStyle name="Percent 19" xfId="337" xr:uid="{00000000-0005-0000-0000-000038010000}"/>
    <cellStyle name="Percent 2" xfId="132" xr:uid="{00000000-0005-0000-0000-000039010000}"/>
    <cellStyle name="Percent 2 2" xfId="133" xr:uid="{00000000-0005-0000-0000-00003A010000}"/>
    <cellStyle name="Percent 2 2 2" xfId="338" xr:uid="{00000000-0005-0000-0000-00003B010000}"/>
    <cellStyle name="Percent 2 3" xfId="339" xr:uid="{00000000-0005-0000-0000-00003C010000}"/>
    <cellStyle name="Percent 20" xfId="340" xr:uid="{00000000-0005-0000-0000-00003D010000}"/>
    <cellStyle name="Percent 21" xfId="341" xr:uid="{00000000-0005-0000-0000-00003E010000}"/>
    <cellStyle name="Percent 22" xfId="342" xr:uid="{00000000-0005-0000-0000-00003F010000}"/>
    <cellStyle name="Percent 23" xfId="343" xr:uid="{00000000-0005-0000-0000-000040010000}"/>
    <cellStyle name="Percent 24" xfId="344" xr:uid="{00000000-0005-0000-0000-000041010000}"/>
    <cellStyle name="Percent 25" xfId="345" xr:uid="{00000000-0005-0000-0000-000042010000}"/>
    <cellStyle name="Percent 26" xfId="346" xr:uid="{00000000-0005-0000-0000-000043010000}"/>
    <cellStyle name="Percent 27" xfId="347" xr:uid="{00000000-0005-0000-0000-000044010000}"/>
    <cellStyle name="Percent 28" xfId="348" xr:uid="{00000000-0005-0000-0000-000045010000}"/>
    <cellStyle name="Percent 3" xfId="157" xr:uid="{00000000-0005-0000-0000-000046010000}"/>
    <cellStyle name="Percent 3 2" xfId="349" xr:uid="{00000000-0005-0000-0000-000047010000}"/>
    <cellStyle name="Percent 4" xfId="350" xr:uid="{00000000-0005-0000-0000-000048010000}"/>
    <cellStyle name="Percent 5" xfId="351" xr:uid="{00000000-0005-0000-0000-000049010000}"/>
    <cellStyle name="Percent 6" xfId="352" xr:uid="{00000000-0005-0000-0000-00004A010000}"/>
    <cellStyle name="Percent 7" xfId="353" xr:uid="{00000000-0005-0000-0000-00004B010000}"/>
    <cellStyle name="Percent 8" xfId="354" xr:uid="{00000000-0005-0000-0000-00004C010000}"/>
    <cellStyle name="Percent 9" xfId="355" xr:uid="{00000000-0005-0000-0000-00004D010000}"/>
    <cellStyle name="Percent(0)" xfId="134" xr:uid="{00000000-0005-0000-0000-00004E010000}"/>
    <cellStyle name="Percent(0) 2" xfId="356" xr:uid="{00000000-0005-0000-0000-00004F010000}"/>
    <cellStyle name="PSChar" xfId="135" xr:uid="{00000000-0005-0000-0000-000050010000}"/>
    <cellStyle name="PSDate" xfId="136" xr:uid="{00000000-0005-0000-0000-000051010000}"/>
    <cellStyle name="PSDec" xfId="137" xr:uid="{00000000-0005-0000-0000-000052010000}"/>
    <cellStyle name="PSHeading" xfId="138" xr:uid="{00000000-0005-0000-0000-000053010000}"/>
    <cellStyle name="PSInt" xfId="139" xr:uid="{00000000-0005-0000-0000-000054010000}"/>
    <cellStyle name="PSSpacer" xfId="140" xr:uid="{00000000-0005-0000-0000-000055010000}"/>
    <cellStyle name="Reset  - Style7" xfId="357" xr:uid="{00000000-0005-0000-0000-000056010000}"/>
    <cellStyle name="SAPBEXaggData" xfId="358" xr:uid="{00000000-0005-0000-0000-000057010000}"/>
    <cellStyle name="SAPBEXaggDataEmph" xfId="359" xr:uid="{00000000-0005-0000-0000-000058010000}"/>
    <cellStyle name="SAPBEXaggItem" xfId="360" xr:uid="{00000000-0005-0000-0000-000059010000}"/>
    <cellStyle name="SAPBEXaggItemX" xfId="361" xr:uid="{00000000-0005-0000-0000-00005A010000}"/>
    <cellStyle name="SAPBEXchaText" xfId="362" xr:uid="{00000000-0005-0000-0000-00005B010000}"/>
    <cellStyle name="SAPBEXexcBad7" xfId="363" xr:uid="{00000000-0005-0000-0000-00005C010000}"/>
    <cellStyle name="SAPBEXexcBad8" xfId="364" xr:uid="{00000000-0005-0000-0000-00005D010000}"/>
    <cellStyle name="SAPBEXexcBad9" xfId="365" xr:uid="{00000000-0005-0000-0000-00005E010000}"/>
    <cellStyle name="SAPBEXexcCritical4" xfId="366" xr:uid="{00000000-0005-0000-0000-00005F010000}"/>
    <cellStyle name="SAPBEXexcCritical5" xfId="367" xr:uid="{00000000-0005-0000-0000-000060010000}"/>
    <cellStyle name="SAPBEXexcCritical6" xfId="368" xr:uid="{00000000-0005-0000-0000-000061010000}"/>
    <cellStyle name="SAPBEXexcGood1" xfId="369" xr:uid="{00000000-0005-0000-0000-000062010000}"/>
    <cellStyle name="SAPBEXexcGood2" xfId="370" xr:uid="{00000000-0005-0000-0000-000063010000}"/>
    <cellStyle name="SAPBEXexcGood3" xfId="371" xr:uid="{00000000-0005-0000-0000-000064010000}"/>
    <cellStyle name="SAPBEXfilterDrill" xfId="372" xr:uid="{00000000-0005-0000-0000-000065010000}"/>
    <cellStyle name="SAPBEXfilterItem" xfId="373" xr:uid="{00000000-0005-0000-0000-000066010000}"/>
    <cellStyle name="SAPBEXfilterText" xfId="374" xr:uid="{00000000-0005-0000-0000-000067010000}"/>
    <cellStyle name="SAPBEXformats" xfId="375" xr:uid="{00000000-0005-0000-0000-000068010000}"/>
    <cellStyle name="SAPBEXheaderItem" xfId="376" xr:uid="{00000000-0005-0000-0000-000069010000}"/>
    <cellStyle name="SAPBEXheaderText" xfId="377" xr:uid="{00000000-0005-0000-0000-00006A010000}"/>
    <cellStyle name="SAPBEXHLevel0" xfId="378" xr:uid="{00000000-0005-0000-0000-00006B010000}"/>
    <cellStyle name="SAPBEXHLevel0X" xfId="379" xr:uid="{00000000-0005-0000-0000-00006C010000}"/>
    <cellStyle name="SAPBEXHLevel1" xfId="380" xr:uid="{00000000-0005-0000-0000-00006D010000}"/>
    <cellStyle name="SAPBEXHLevel1X" xfId="381" xr:uid="{00000000-0005-0000-0000-00006E010000}"/>
    <cellStyle name="SAPBEXHLevel2" xfId="382" xr:uid="{00000000-0005-0000-0000-00006F010000}"/>
    <cellStyle name="SAPBEXHLevel2X" xfId="383" xr:uid="{00000000-0005-0000-0000-000070010000}"/>
    <cellStyle name="SAPBEXHLevel3" xfId="384" xr:uid="{00000000-0005-0000-0000-000071010000}"/>
    <cellStyle name="SAPBEXHLevel3X" xfId="385" xr:uid="{00000000-0005-0000-0000-000072010000}"/>
    <cellStyle name="SAPBEXresData" xfId="386" xr:uid="{00000000-0005-0000-0000-000073010000}"/>
    <cellStyle name="SAPBEXresDataEmph" xfId="387" xr:uid="{00000000-0005-0000-0000-000074010000}"/>
    <cellStyle name="SAPBEXresItem" xfId="388" xr:uid="{00000000-0005-0000-0000-000075010000}"/>
    <cellStyle name="SAPBEXresItemX" xfId="389" xr:uid="{00000000-0005-0000-0000-000076010000}"/>
    <cellStyle name="SAPBEXstdData" xfId="390" xr:uid="{00000000-0005-0000-0000-000077010000}"/>
    <cellStyle name="SAPBEXstdDataEmph" xfId="391" xr:uid="{00000000-0005-0000-0000-000078010000}"/>
    <cellStyle name="SAPBEXstdItem" xfId="392" xr:uid="{00000000-0005-0000-0000-000079010000}"/>
    <cellStyle name="SAPBEXstdItemX" xfId="393" xr:uid="{00000000-0005-0000-0000-00007A010000}"/>
    <cellStyle name="SAPBEXtitle" xfId="394" xr:uid="{00000000-0005-0000-0000-00007B010000}"/>
    <cellStyle name="SAPBEXundefined" xfId="395" xr:uid="{00000000-0005-0000-0000-00007C010000}"/>
    <cellStyle name="Shade" xfId="141" xr:uid="{00000000-0005-0000-0000-00007D010000}"/>
    <cellStyle name="Special" xfId="142" xr:uid="{00000000-0005-0000-0000-00007E010000}"/>
    <cellStyle name="STYL1 - Style1" xfId="396" xr:uid="{00000000-0005-0000-0000-00007F010000}"/>
    <cellStyle name="Style 1" xfId="143" xr:uid="{00000000-0005-0000-0000-000080010000}"/>
    <cellStyle name="Style 1 2" xfId="144" xr:uid="{00000000-0005-0000-0000-000081010000}"/>
    <cellStyle name="Style 1 3" xfId="397" xr:uid="{00000000-0005-0000-0000-000082010000}"/>
    <cellStyle name="Table  - Style6" xfId="398" xr:uid="{00000000-0005-0000-0000-000083010000}"/>
    <cellStyle name="Text" xfId="399" xr:uid="{00000000-0005-0000-0000-000084010000}"/>
    <cellStyle name="Title  - Style1" xfId="400" xr:uid="{00000000-0005-0000-0000-000085010000}"/>
    <cellStyle name="Title 2" xfId="401" xr:uid="{00000000-0005-0000-0000-000086010000}"/>
    <cellStyle name="Title 3" xfId="402" xr:uid="{00000000-0005-0000-0000-000087010000}"/>
    <cellStyle name="Title 4" xfId="403" xr:uid="{00000000-0005-0000-0000-000088010000}"/>
    <cellStyle name="Title 5" xfId="404" xr:uid="{00000000-0005-0000-0000-000089010000}"/>
    <cellStyle name="Title 6" xfId="405" xr:uid="{00000000-0005-0000-0000-00008A010000}"/>
    <cellStyle name="Titles" xfId="145" xr:uid="{00000000-0005-0000-0000-00008B010000}"/>
    <cellStyle name="Titles 2" xfId="146" xr:uid="{00000000-0005-0000-0000-00008C010000}"/>
    <cellStyle name="Total 2" xfId="406" xr:uid="{00000000-0005-0000-0000-00008D010000}"/>
    <cellStyle name="Total 3" xfId="407" xr:uid="{00000000-0005-0000-0000-00008E010000}"/>
    <cellStyle name="Total2 - Style2" xfId="147" xr:uid="{00000000-0005-0000-0000-00008F010000}"/>
    <cellStyle name="Total2 - Style2 2" xfId="148" xr:uid="{00000000-0005-0000-0000-000090010000}"/>
    <cellStyle name="TotCol - Style5" xfId="408" xr:uid="{00000000-0005-0000-0000-000091010000}"/>
    <cellStyle name="TotRow - Style4" xfId="409" xr:uid="{00000000-0005-0000-0000-000092010000}"/>
    <cellStyle name="TRANSMISSION RELIABILITY PORTION OF PROJECT" xfId="149" xr:uid="{00000000-0005-0000-0000-000093010000}"/>
    <cellStyle name="Tusental (0)_pldt" xfId="410" xr:uid="{00000000-0005-0000-0000-000094010000}"/>
    <cellStyle name="Tusental_pldt" xfId="411" xr:uid="{00000000-0005-0000-0000-000095010000}"/>
    <cellStyle name="Underl - Style4" xfId="150" xr:uid="{00000000-0005-0000-0000-000096010000}"/>
    <cellStyle name="Underl - Style4 2" xfId="151" xr:uid="{00000000-0005-0000-0000-000097010000}"/>
    <cellStyle name="UNLocked" xfId="152" xr:uid="{00000000-0005-0000-0000-000098010000}"/>
    <cellStyle name="Unprot" xfId="153" xr:uid="{00000000-0005-0000-0000-000099010000}"/>
    <cellStyle name="Unprot$" xfId="154" xr:uid="{00000000-0005-0000-0000-00009A010000}"/>
    <cellStyle name="Unprotect" xfId="155" xr:uid="{00000000-0005-0000-0000-00009B010000}"/>
    <cellStyle name="Valuta (0)_pldt" xfId="412" xr:uid="{00000000-0005-0000-0000-00009C010000}"/>
    <cellStyle name="Valuta_pldt" xfId="413" xr:uid="{00000000-0005-0000-0000-00009D010000}"/>
    <cellStyle name="Warning Text 2" xfId="414" xr:uid="{00000000-0005-0000-0000-00009E010000}"/>
    <cellStyle name="Warning Text 3" xfId="415" xr:uid="{00000000-0005-0000-0000-00009F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pecial%20Studies\Oregon%20RPS%20Incremental%20Cost\2013\Doc%20from%20Teri%20Ikeda\not%20filed%20OR%20RPS%20%20Spring%202012\2011%20Oregon%20RPS%20incremental%20cost%20workpaper%20201204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28240\Desktop\Renewables%20Compliance\2013%20WA%20Impelmentation%20Plan\WA%20RPS%20Wind%20Capit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28240\Local%20Settings\Temporary%20Internet%20Files\Content.Outlook\WMV1PJ30\Wind%20CAPEX%200523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ID%20Studies\Special%20Studies\Oregon%20RPS%20Incremental%20Cost\2017\01_2017%20OR%20RPS%202019-2023%20Incremental%20Cost%20Calc%20Workpaper%20CONF_2017%2012%2020%20(w%20links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nvironmental%20Policy%20and%20Strategy\Incremental%20Cost%20Calc%20-%20Washington\2021\OR%20RPIP\_01_2019%20OR%20RPS%202021-2023%20Incremental%20Cost%20Calc%20Workpaper%20CONF_2019_12_26_%20wt.%20Links%20minor%20edit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23281\AppData\Local\Microsoft\Windows\Temporary%20Internet%20Files\Content.Outlook\V5T30VUZ\2013%20OR%20RPS%202015-2019%20Incremental%20Cost%20Calc%20Workpaper_added%20Chevron%20for%20Teri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ing summary"/>
      <sheetName val="Detail"/>
      <sheetName val="Rev Req"/>
      <sheetName val="CCCT - $0 CO2 med gas"/>
      <sheetName val="CCCT - $12 CO2 med gas"/>
      <sheetName val="CCCT - $19 CO2 low gas"/>
      <sheetName val="CCCT - $19 CO2 med gas"/>
      <sheetName val="CCCT - $19 CO2 high gas"/>
      <sheetName val="CCCT - $25 CO2 med gas"/>
      <sheetName val="Sensitivity CCCT - $16CO2 m gas"/>
      <sheetName val="Levelizer"/>
      <sheetName val="Resources"/>
      <sheetName val="Blundell II"/>
      <sheetName val="Chevron "/>
      <sheetName val="Glenrock"/>
      <sheetName val="Glenrock III"/>
      <sheetName val="Goodnoe Hills"/>
      <sheetName val="High Plains"/>
      <sheetName val="McFadden Ridge"/>
      <sheetName val="Marengo"/>
      <sheetName val="Marengo 2"/>
      <sheetName val="Mountain Wind "/>
      <sheetName val="Mountain Wind  II"/>
      <sheetName val="Seven Mile"/>
      <sheetName val="Seven Mile II"/>
      <sheetName val="3 Buttes"/>
      <sheetName val="Dunlap 1"/>
      <sheetName val="Top of World"/>
      <sheetName val="Actual Generation"/>
      <sheetName val="O&amp;M input"/>
      <sheetName val="(a)_Leaning Juniper-orig"/>
      <sheetName val="(a)_Marengo-orig"/>
      <sheetName val="(a)_Marengo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C4">
            <v>7.17E-2</v>
          </cell>
        </row>
        <row r="5">
          <cell r="C5">
            <v>1.9E-2</v>
          </cell>
        </row>
        <row r="6">
          <cell r="C6">
            <v>2007</v>
          </cell>
        </row>
        <row r="7">
          <cell r="C7">
            <v>34</v>
          </cell>
        </row>
        <row r="8">
          <cell r="C8">
            <v>0.37951000000000001</v>
          </cell>
        </row>
        <row r="9">
          <cell r="C9">
            <v>5.1717369970559535E-2</v>
          </cell>
        </row>
        <row r="10">
          <cell r="C10">
            <v>2007</v>
          </cell>
        </row>
        <row r="11">
          <cell r="C11" t="str">
            <v>IRP Fixed</v>
          </cell>
        </row>
        <row r="64">
          <cell r="C64" t="str">
            <v>$0 CO2 + med gas (Lake Side)</v>
          </cell>
          <cell r="D64" t="str">
            <v>$12 CO2 (low-very high) + medium gas (Lake Side)</v>
          </cell>
          <cell r="E64" t="str">
            <v>$19 CO2 (med) + low gas (Lake Side)</v>
          </cell>
          <cell r="F64" t="str">
            <v>$19 CO2 (med) + medium gas (Lake Side)</v>
          </cell>
          <cell r="G64" t="str">
            <v>$19 CO2 (med) + high gas (Lake Side)</v>
          </cell>
          <cell r="H64" t="str">
            <v>$25 CO2 (high) + medium gas (Lake Side)</v>
          </cell>
          <cell r="I64" t="str">
            <v>March 30, 2012 OPC 2021$16 CO2 (Lake Side)</v>
          </cell>
        </row>
        <row r="65">
          <cell r="C65" t="str">
            <v>$0 CO2, September 2010 medium proxy fuel curve</v>
          </cell>
          <cell r="D65" t="str">
            <v>$12 CO2 (low - very high), September 2010 medium proxy fuel curve</v>
          </cell>
          <cell r="E65" t="str">
            <v>$19 CO2 (medium), September 2010 low proxy fuel curve</v>
          </cell>
          <cell r="F65" t="str">
            <v>$19 CO2 (medium), September 2010 medium proxy fuel curve</v>
          </cell>
          <cell r="G65" t="str">
            <v>$19 CO2 (medium), September 2010 high proxy fuel curve</v>
          </cell>
          <cell r="H65" t="str">
            <v>$25 CO2 (high), September 2010 medium proxy fuel curve</v>
          </cell>
          <cell r="I65" t="str">
            <v>2021$ 16 CO2, March 2012 Official Price Curve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0 yr"/>
      <sheetName val="10 YR Spec Maint. Sch."/>
      <sheetName val="Capex Summary"/>
      <sheetName val="2013-22 10 yr plan"/>
      <sheetName val="Actual Detail"/>
      <sheetName val="Actual Summary"/>
      <sheetName val="Sheet6"/>
      <sheetName val="10YP"/>
      <sheetName val="OR RPS - Const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 CAPEX"/>
      <sheetName val="LeaningJuniper"/>
      <sheetName val="Goodnoe Hills"/>
      <sheetName val="Marengo I"/>
      <sheetName val="Marengo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13967160.380000001</v>
          </cell>
        </row>
        <row r="5">
          <cell r="B5">
            <v>90182.399999999907</v>
          </cell>
        </row>
        <row r="6">
          <cell r="B6">
            <v>120586.71</v>
          </cell>
        </row>
        <row r="7">
          <cell r="B7">
            <v>103594.22</v>
          </cell>
        </row>
        <row r="8">
          <cell r="B8">
            <v>107369.039999999</v>
          </cell>
        </row>
        <row r="9">
          <cell r="B9">
            <v>6956605.4199999897</v>
          </cell>
        </row>
        <row r="10">
          <cell r="B10">
            <v>7616285.1600000001</v>
          </cell>
        </row>
        <row r="11">
          <cell r="B11">
            <v>63879852.4099999</v>
          </cell>
        </row>
        <row r="12">
          <cell r="B12">
            <v>8252955.1699999897</v>
          </cell>
        </row>
        <row r="13">
          <cell r="B13">
            <v>101094590.90999988</v>
          </cell>
        </row>
        <row r="14">
          <cell r="B14">
            <v>-4189819.35</v>
          </cell>
        </row>
        <row r="15">
          <cell r="B15">
            <v>3362887.1699999901</v>
          </cell>
        </row>
        <row r="16">
          <cell r="B16">
            <v>4386485.3799999896</v>
          </cell>
        </row>
        <row r="17">
          <cell r="B17">
            <v>9558737.0099999905</v>
          </cell>
        </row>
        <row r="18">
          <cell r="B18">
            <v>10587416.65</v>
          </cell>
        </row>
        <row r="19">
          <cell r="B19">
            <v>7963689.5499999896</v>
          </cell>
        </row>
        <row r="20">
          <cell r="B20">
            <v>22512.65</v>
          </cell>
        </row>
        <row r="21">
          <cell r="B21">
            <v>6698.17</v>
          </cell>
        </row>
        <row r="22">
          <cell r="B22">
            <v>240334.64</v>
          </cell>
        </row>
        <row r="23">
          <cell r="B23">
            <v>90049.97</v>
          </cell>
        </row>
        <row r="24">
          <cell r="B24">
            <v>1678.3699999999899</v>
          </cell>
        </row>
        <row r="25">
          <cell r="B25">
            <v>103557.649999999</v>
          </cell>
        </row>
        <row r="26">
          <cell r="B26">
            <v>32134227.859999958</v>
          </cell>
        </row>
        <row r="27">
          <cell r="B27">
            <v>-145631.049999999</v>
          </cell>
        </row>
        <row r="28">
          <cell r="B28">
            <v>527686.88</v>
          </cell>
        </row>
        <row r="29">
          <cell r="B29">
            <v>212194.799999999</v>
          </cell>
        </row>
        <row r="30">
          <cell r="B30">
            <v>-203890.829999999</v>
          </cell>
        </row>
        <row r="31">
          <cell r="B31">
            <v>3546.54</v>
          </cell>
        </row>
        <row r="32">
          <cell r="B32">
            <v>12074.35</v>
          </cell>
        </row>
        <row r="33">
          <cell r="B33">
            <v>117261.85</v>
          </cell>
        </row>
        <row r="34">
          <cell r="B34">
            <v>-0.76</v>
          </cell>
        </row>
        <row r="35">
          <cell r="B35">
            <v>2855.4499999999898</v>
          </cell>
        </row>
        <row r="36">
          <cell r="B36">
            <v>526097.23000000091</v>
          </cell>
        </row>
        <row r="37">
          <cell r="B37">
            <v>-895.5</v>
          </cell>
        </row>
        <row r="38">
          <cell r="B38">
            <v>598.5</v>
          </cell>
        </row>
        <row r="39">
          <cell r="B39">
            <v>-598.5</v>
          </cell>
        </row>
        <row r="40">
          <cell r="B40">
            <v>-895.5</v>
          </cell>
        </row>
        <row r="41">
          <cell r="B41">
            <v>101454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tion Check list"/>
      <sheetName val="Comparison"/>
      <sheetName val="Resource Lookup"/>
      <sheetName val="Resource Lookup No RP"/>
      <sheetName val="Final Report No RP"/>
      <sheetName val="Filing Summary NO RP"/>
      <sheetName val="Detail NO RP"/>
      <sheetName val="Attachment E"/>
      <sheetName val="Final Report"/>
      <sheetName val="Filing Summary"/>
      <sheetName val="Detail Wt Repowering"/>
      <sheetName val="==&gt;"/>
      <sheetName val="Blundell II"/>
      <sheetName val="Campbell Hill"/>
      <sheetName val="Dunlap"/>
      <sheetName val="Glenrock"/>
      <sheetName val="Glenrock III"/>
      <sheetName val="Goodnoe Hills"/>
      <sheetName val="High Plains"/>
      <sheetName val="McFadden Ridge"/>
      <sheetName val="Marengo"/>
      <sheetName val="Marengo II"/>
      <sheetName val="Mt Wind"/>
      <sheetName val="Mt Wind II"/>
      <sheetName val="Seven Mile Hill"/>
      <sheetName val="Seven Mile Hill II"/>
      <sheetName val="Top of the World"/>
      <sheetName val="Pioneer Wind"/>
      <sheetName val="Latigo Wind"/>
      <sheetName val="Pavant II Solar"/>
      <sheetName val="Black Cap Solar"/>
      <sheetName val="New_Adams Solar"/>
      <sheetName val="New_Bear Creek Solar"/>
      <sheetName val="New_Bly Solar"/>
      <sheetName val="New_Elbe Solar"/>
      <sheetName val="New_Enterprise Solar"/>
      <sheetName val="New_Pavant Solar"/>
      <sheetName val="New _WY Wind_1100 MW_IRP2017"/>
      <sheetName val="OSIP_COD_2010"/>
      <sheetName val="OSIP_COD_2011"/>
      <sheetName val="OSIP_COD_2012"/>
      <sheetName val="OSIP_COD_2013"/>
      <sheetName val="OSIP_COD_2014"/>
      <sheetName val="SIP_COD_2015"/>
      <sheetName val="new _OSIP_COD_2016"/>
      <sheetName val="new _OSIP_COD_2017"/>
      <sheetName val="Assumptions"/>
      <sheetName val="Resources"/>
      <sheetName val="Forward Price Curve"/>
      <sheetName val="AllocationFactors"/>
      <sheetName val="Generation Forecast"/>
      <sheetName val="CapacityContribution"/>
      <sheetName val="CCCT"/>
      <sheetName val="SCCT"/>
      <sheetName val="Wheeling"/>
      <sheetName val="Goodnoe PTP"/>
      <sheetName val="WindIntegration"/>
      <sheetName val="PPA Summary"/>
      <sheetName val="Gas TransCosts"/>
      <sheetName val="Market_Value"/>
      <sheetName val="Casper Wind_not used"/>
      <sheetName val="Dependent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>
            <v>7</v>
          </cell>
          <cell r="C3" t="str">
            <v>Scenario 7LS: Nov 11, 2017 OFPC (Lake Side)</v>
          </cell>
        </row>
        <row r="14">
          <cell r="B14">
            <v>7</v>
          </cell>
          <cell r="C14" t="str">
            <v>Scenario 7DJ: Nov 11, 2017 OFPC (WY-NE Johnston)</v>
          </cell>
        </row>
        <row r="24">
          <cell r="B24">
            <v>7</v>
          </cell>
          <cell r="C24" t="str">
            <v>Scenario 7WS: Nov 8, 2017 OFPC (West Side)</v>
          </cell>
        </row>
      </sheetData>
      <sheetData sheetId="10"/>
      <sheetData sheetId="11"/>
      <sheetData sheetId="12">
        <row r="57">
          <cell r="Q57" t="str">
            <v>1: Fixed O&amp;M costs reflect ongoing capital expense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5">
          <cell r="B5">
            <v>6.5699999999999995E-2</v>
          </cell>
        </row>
      </sheetData>
      <sheetData sheetId="47">
        <row r="14">
          <cell r="S14">
            <v>2018</v>
          </cell>
        </row>
      </sheetData>
      <sheetData sheetId="48">
        <row r="8">
          <cell r="C8" t="str">
            <v>Scenario Desc</v>
          </cell>
        </row>
      </sheetData>
      <sheetData sheetId="49"/>
      <sheetData sheetId="50">
        <row r="12">
          <cell r="C12" t="str">
            <v>Year</v>
          </cell>
        </row>
      </sheetData>
      <sheetData sheetId="51">
        <row r="4">
          <cell r="B4">
            <v>0.158</v>
          </cell>
        </row>
        <row r="5">
          <cell r="B5">
            <v>0.11799999999999999</v>
          </cell>
        </row>
        <row r="7">
          <cell r="B7">
            <v>0.53900000000000003</v>
          </cell>
        </row>
        <row r="8">
          <cell r="B8">
            <v>0.59699999999999998</v>
          </cell>
        </row>
        <row r="9">
          <cell r="B9">
            <v>0.64800000000000002</v>
          </cell>
        </row>
      </sheetData>
      <sheetData sheetId="52"/>
      <sheetData sheetId="53">
        <row r="11">
          <cell r="J11">
            <v>1</v>
          </cell>
        </row>
      </sheetData>
      <sheetData sheetId="54"/>
      <sheetData sheetId="55"/>
      <sheetData sheetId="56"/>
      <sheetData sheetId="57"/>
      <sheetData sheetId="58">
        <row r="113">
          <cell r="B113">
            <v>2007</v>
          </cell>
        </row>
      </sheetData>
      <sheetData sheetId="59"/>
      <sheetData sheetId="60"/>
      <sheetData sheetId="6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-Delete"/>
      <sheetName val="Resource Lookup"/>
      <sheetName val="Resource Lookup No RP"/>
      <sheetName val="Final Report No RP"/>
      <sheetName val=" Filing Summary NO RP"/>
      <sheetName val="Detail NO RP"/>
      <sheetName val="Attachment E"/>
      <sheetName val="Final Report"/>
      <sheetName val="Detail Wt Repowering"/>
      <sheetName val=" Filing Summary"/>
      <sheetName val="==&gt;"/>
      <sheetName val="Blundell II"/>
      <sheetName val="Campbell Hill"/>
      <sheetName val="Dunlap"/>
      <sheetName val="Glenrock"/>
      <sheetName val="Glenrock III"/>
      <sheetName val="New_Goodnoe Hills"/>
      <sheetName val="High Plains"/>
      <sheetName val="McFadden Ridge"/>
      <sheetName val="Marengo"/>
      <sheetName val="Marengo II"/>
      <sheetName val="Mt Wind"/>
      <sheetName val="Mt Wind II"/>
      <sheetName val="Seven Mile Hill"/>
      <sheetName val="Seven Mile Hill II"/>
      <sheetName val="Top of the World"/>
      <sheetName val="Pioneer Wind"/>
      <sheetName val="Latigo Wind"/>
      <sheetName val="Pavant II Solar"/>
      <sheetName val="Black Cap Solar"/>
      <sheetName val="Adams Solar"/>
      <sheetName val="Bear Creek Solar"/>
      <sheetName val="Bly Solar"/>
      <sheetName val="Elbe Solar"/>
      <sheetName val="Enterprise Solar"/>
      <sheetName val="Pavant Solar"/>
      <sheetName val="New_Cedar Springs I PPA"/>
      <sheetName val="New_Cedar Springs II"/>
      <sheetName val="New_Cedar Springs III PPA"/>
      <sheetName val="New_Ekola Flats"/>
      <sheetName val="New_TB Flats"/>
      <sheetName val="New_Sage Solar I"/>
      <sheetName val="New_Sage Solar II"/>
      <sheetName val="New_Sage Solar III"/>
      <sheetName val="New_Sweetwater Solar"/>
      <sheetName val="OSIP_COD_2010"/>
      <sheetName val="OSIP_COD_2011"/>
      <sheetName val="OSIP_COD_2012"/>
      <sheetName val="OSIP_COD_2013"/>
      <sheetName val="OSIP_COD_2014"/>
      <sheetName val="SIP_COD_2015"/>
      <sheetName val="OSIP_COD_2016"/>
      <sheetName val="OSIP_COD_2017"/>
      <sheetName val="Assumptions"/>
      <sheetName val="Resources"/>
      <sheetName val="Forward Price Curve"/>
      <sheetName val="AllocationFactors"/>
      <sheetName val="Generation Forecast"/>
      <sheetName val="CapacityContribution"/>
      <sheetName val="CCCT"/>
      <sheetName val="SCCT"/>
      <sheetName val="Wheeling"/>
      <sheetName val="Goodnoe PTP"/>
      <sheetName val="WindIntegration"/>
      <sheetName val="PPA Contracts"/>
      <sheetName val="Gas TransCosts"/>
      <sheetName val="Market_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2">
          <cell r="X12">
            <v>60.9</v>
          </cell>
        </row>
        <row r="13">
          <cell r="X13">
            <v>0.29837514283798355</v>
          </cell>
        </row>
      </sheetData>
      <sheetData sheetId="22">
        <row r="12">
          <cell r="X12">
            <v>79.8</v>
          </cell>
        </row>
        <row r="13">
          <cell r="X13">
            <v>0.3048637603809517</v>
          </cell>
        </row>
      </sheetData>
      <sheetData sheetId="23"/>
      <sheetData sheetId="24"/>
      <sheetData sheetId="25">
        <row r="12">
          <cell r="X12">
            <v>200.2</v>
          </cell>
        </row>
        <row r="13">
          <cell r="X13">
            <v>0.35687733575640224</v>
          </cell>
        </row>
      </sheetData>
      <sheetData sheetId="26">
        <row r="12">
          <cell r="X12">
            <v>79.8</v>
          </cell>
        </row>
        <row r="13">
          <cell r="X13">
            <v>0.40304252148419134</v>
          </cell>
        </row>
      </sheetData>
      <sheetData sheetId="27">
        <row r="12">
          <cell r="X12">
            <v>39</v>
          </cell>
        </row>
        <row r="13">
          <cell r="X13">
            <v>0.47134886628492628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>
        <row r="12">
          <cell r="X12">
            <v>50</v>
          </cell>
        </row>
        <row r="13">
          <cell r="X13">
            <v>0.28586940551853296</v>
          </cell>
        </row>
      </sheetData>
      <sheetData sheetId="36">
        <row r="11">
          <cell r="X11" t="str">
            <v>Cedar Springs I</v>
          </cell>
        </row>
        <row r="12">
          <cell r="X12">
            <v>200</v>
          </cell>
        </row>
        <row r="13">
          <cell r="X13">
            <v>0.42780000000000001</v>
          </cell>
        </row>
      </sheetData>
      <sheetData sheetId="37"/>
      <sheetData sheetId="38">
        <row r="12">
          <cell r="X12">
            <v>120</v>
          </cell>
        </row>
        <row r="13">
          <cell r="X13">
            <v>0.45919673061244359</v>
          </cell>
        </row>
      </sheetData>
      <sheetData sheetId="39"/>
      <sheetData sheetId="40"/>
      <sheetData sheetId="41">
        <row r="12">
          <cell r="X12">
            <v>20</v>
          </cell>
        </row>
        <row r="13">
          <cell r="X13">
            <v>0.26600000000000001</v>
          </cell>
        </row>
      </sheetData>
      <sheetData sheetId="42"/>
      <sheetData sheetId="43">
        <row r="12">
          <cell r="X12">
            <v>17.600000000000001</v>
          </cell>
        </row>
        <row r="13">
          <cell r="X13">
            <v>0.251</v>
          </cell>
        </row>
      </sheetData>
      <sheetData sheetId="44">
        <row r="12">
          <cell r="X12">
            <v>80</v>
          </cell>
        </row>
        <row r="13">
          <cell r="X13">
            <v>0.251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B5">
            <v>6.9199999999999998E-2</v>
          </cell>
        </row>
      </sheetData>
      <sheetData sheetId="54"/>
      <sheetData sheetId="55"/>
      <sheetData sheetId="56"/>
      <sheetData sheetId="57"/>
      <sheetData sheetId="58">
        <row r="5">
          <cell r="B5">
            <v>0.11799999999999999</v>
          </cell>
        </row>
      </sheetData>
      <sheetData sheetId="59"/>
      <sheetData sheetId="60">
        <row r="67">
          <cell r="J67">
            <v>820.02180312689813</v>
          </cell>
        </row>
        <row r="68">
          <cell r="J68">
            <v>7.7667383499954168E-2</v>
          </cell>
        </row>
        <row r="69">
          <cell r="J69">
            <v>10.728501482152289</v>
          </cell>
        </row>
      </sheetData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after correction"/>
      <sheetName val="Report (a)"/>
      <sheetName val="Report (b)"/>
      <sheetName val="Comparison"/>
      <sheetName val="(1.a) Filing Summary"/>
      <sheetName val="(1.b) Filing Summary"/>
      <sheetName val="(2.2a) Detail"/>
      <sheetName val="(2.2b) Detail"/>
      <sheetName val="Assumptions"/>
      <sheetName val="==&gt;"/>
      <sheetName val="Resources"/>
      <sheetName val="Blundell II"/>
      <sheetName val="Dunlap"/>
      <sheetName val="Glenrock"/>
      <sheetName val="Glenrock III"/>
      <sheetName val="Goodnoe Hills"/>
      <sheetName val="McFadden Ridge"/>
      <sheetName val="High Plains"/>
      <sheetName val="Marengo"/>
      <sheetName val="Marengo II"/>
      <sheetName val="Seven Mile Hill"/>
      <sheetName val="Seven Mile Hill II"/>
      <sheetName val="Mt Wind"/>
      <sheetName val="Mt Wind II"/>
      <sheetName val="Top of the World"/>
      <sheetName val="Campbell Hill"/>
      <sheetName val="Casper Wind"/>
      <sheetName val="Forward Price Curve"/>
      <sheetName val="Generation Forecast"/>
      <sheetName val="CCCT"/>
      <sheetName val="SCCT"/>
      <sheetName val="Wheeling"/>
      <sheetName val="Goodnoe PTP"/>
      <sheetName val="WindIntegration"/>
      <sheetName val="PPA Summary"/>
      <sheetName val="Gas TransCosts"/>
      <sheetName val="Market_Value"/>
    </sheetNames>
    <sheetDataSet>
      <sheetData sheetId="0"/>
      <sheetData sheetId="1"/>
      <sheetData sheetId="2"/>
      <sheetData sheetId="3"/>
      <sheetData sheetId="4">
        <row r="3">
          <cell r="B3">
            <v>8</v>
          </cell>
          <cell r="C3" t="str">
            <v>Scenario 8: Nov 8 2013, OFPC (Lake Side)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4">
          <cell r="W14">
            <v>0.03</v>
          </cell>
        </row>
        <row r="15">
          <cell r="W15">
            <v>3.0000000000000001E-3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2:F59"/>
  <sheetViews>
    <sheetView zoomScale="130" zoomScaleNormal="130" workbookViewId="0">
      <selection activeCell="C5" sqref="C5"/>
    </sheetView>
  </sheetViews>
  <sheetFormatPr defaultRowHeight="11.25"/>
  <cols>
    <col min="1" max="1" width="2.83203125" customWidth="1"/>
    <col min="2" max="2" width="2.83203125" style="143" customWidth="1"/>
    <col min="3" max="3" width="6.33203125" style="747" customWidth="1"/>
    <col min="4" max="4" width="64.5" style="143" customWidth="1"/>
    <col min="5" max="5" width="2.83203125" style="143" customWidth="1"/>
    <col min="6" max="6" width="18.1640625" style="143" customWidth="1"/>
  </cols>
  <sheetData>
    <row r="2" spans="2:5">
      <c r="B2" s="251"/>
      <c r="C2" s="748"/>
      <c r="D2" s="252"/>
      <c r="E2" s="253"/>
    </row>
    <row r="3" spans="2:5">
      <c r="B3" s="2"/>
      <c r="C3" s="749" t="s">
        <v>0</v>
      </c>
      <c r="D3" s="3"/>
      <c r="E3" s="255"/>
    </row>
    <row r="4" spans="2:5">
      <c r="B4" s="2"/>
      <c r="C4" s="749" t="s">
        <v>392</v>
      </c>
      <c r="D4" s="3"/>
      <c r="E4" s="255"/>
    </row>
    <row r="5" spans="2:5">
      <c r="B5" s="2"/>
      <c r="C5" s="749" t="s">
        <v>1</v>
      </c>
      <c r="D5" s="3"/>
      <c r="E5" s="255"/>
    </row>
    <row r="6" spans="2:5">
      <c r="B6" s="2"/>
      <c r="C6" s="750"/>
      <c r="D6" s="3"/>
      <c r="E6" s="255"/>
    </row>
    <row r="7" spans="2:5">
      <c r="B7" s="2"/>
      <c r="C7" s="749" t="s">
        <v>2</v>
      </c>
      <c r="D7" s="3"/>
      <c r="E7" s="255"/>
    </row>
    <row r="8" spans="2:5">
      <c r="B8" s="2"/>
      <c r="C8" s="750"/>
      <c r="D8" s="3"/>
      <c r="E8" s="255"/>
    </row>
    <row r="9" spans="2:5">
      <c r="B9" s="2"/>
      <c r="C9" s="750" t="s">
        <v>3</v>
      </c>
      <c r="D9" s="3"/>
      <c r="E9" s="255"/>
    </row>
    <row r="10" spans="2:5">
      <c r="B10" s="2"/>
      <c r="C10" s="750">
        <v>1.1000000000000001</v>
      </c>
      <c r="D10" s="3" t="s">
        <v>4</v>
      </c>
      <c r="E10" s="255"/>
    </row>
    <row r="11" spans="2:5">
      <c r="B11" s="2"/>
      <c r="C11" s="750">
        <v>1.2</v>
      </c>
      <c r="D11" s="3" t="s">
        <v>5</v>
      </c>
      <c r="E11" s="255"/>
    </row>
    <row r="12" spans="2:5">
      <c r="B12" s="2"/>
      <c r="C12" s="750"/>
      <c r="D12" s="3"/>
      <c r="E12" s="255"/>
    </row>
    <row r="13" spans="2:5">
      <c r="B13" s="2"/>
      <c r="C13" s="750" t="s">
        <v>6</v>
      </c>
      <c r="D13" s="3"/>
      <c r="E13" s="255"/>
    </row>
    <row r="14" spans="2:5">
      <c r="B14" s="2"/>
      <c r="C14" s="751">
        <v>2.1</v>
      </c>
      <c r="D14" s="3" t="s">
        <v>352</v>
      </c>
      <c r="E14" s="255"/>
    </row>
    <row r="15" spans="2:5">
      <c r="B15" s="2"/>
      <c r="C15" s="751" t="s">
        <v>371</v>
      </c>
      <c r="D15" s="3" t="s">
        <v>7</v>
      </c>
      <c r="E15" s="255"/>
    </row>
    <row r="16" spans="2:5">
      <c r="B16" s="2"/>
      <c r="C16" s="751" t="s">
        <v>370</v>
      </c>
      <c r="D16" s="3" t="s">
        <v>131</v>
      </c>
      <c r="E16" s="255"/>
    </row>
    <row r="17" spans="2:5">
      <c r="B17" s="2"/>
      <c r="C17" s="751" t="s">
        <v>372</v>
      </c>
      <c r="D17" s="3" t="s">
        <v>112</v>
      </c>
      <c r="E17" s="255"/>
    </row>
    <row r="18" spans="2:5">
      <c r="B18" s="2"/>
      <c r="C18" s="751" t="s">
        <v>373</v>
      </c>
      <c r="D18" s="3" t="s">
        <v>118</v>
      </c>
      <c r="E18" s="255"/>
    </row>
    <row r="19" spans="2:5">
      <c r="B19" s="2"/>
      <c r="C19" s="751" t="s">
        <v>384</v>
      </c>
      <c r="D19" s="3" t="s">
        <v>385</v>
      </c>
      <c r="E19" s="255"/>
    </row>
    <row r="20" spans="2:5">
      <c r="B20" s="2"/>
      <c r="C20" s="751"/>
      <c r="D20" s="3"/>
      <c r="E20" s="255"/>
    </row>
    <row r="21" spans="2:5">
      <c r="B21" s="2"/>
      <c r="C21" s="750" t="s">
        <v>8</v>
      </c>
      <c r="D21" s="3"/>
      <c r="E21" s="255"/>
    </row>
    <row r="22" spans="2:5">
      <c r="B22" s="2"/>
      <c r="C22" s="750"/>
      <c r="D22" s="257" t="s">
        <v>270</v>
      </c>
      <c r="E22" s="255"/>
    </row>
    <row r="23" spans="2:5">
      <c r="B23" s="2"/>
      <c r="C23" s="750"/>
      <c r="D23" s="257" t="s">
        <v>274</v>
      </c>
      <c r="E23" s="255"/>
    </row>
    <row r="24" spans="2:5">
      <c r="B24" s="2"/>
      <c r="C24" s="750"/>
      <c r="D24" s="257" t="s">
        <v>222</v>
      </c>
      <c r="E24" s="255"/>
    </row>
    <row r="25" spans="2:5">
      <c r="B25" s="2"/>
      <c r="C25" s="750"/>
      <c r="D25" s="257" t="s">
        <v>281</v>
      </c>
      <c r="E25" s="255"/>
    </row>
    <row r="26" spans="2:5">
      <c r="B26" s="2"/>
      <c r="C26" s="750"/>
      <c r="D26" s="257" t="s">
        <v>264</v>
      </c>
      <c r="E26" s="255"/>
    </row>
    <row r="27" spans="2:5">
      <c r="B27" s="2"/>
      <c r="C27" s="750"/>
      <c r="D27" s="257" t="s">
        <v>263</v>
      </c>
      <c r="E27" s="255"/>
    </row>
    <row r="28" spans="2:5">
      <c r="B28" s="2"/>
      <c r="C28" s="750"/>
      <c r="D28" s="257" t="s">
        <v>358</v>
      </c>
      <c r="E28" s="255"/>
    </row>
    <row r="29" spans="2:5">
      <c r="B29" s="2"/>
      <c r="C29" s="750"/>
      <c r="D29" s="257" t="s">
        <v>252</v>
      </c>
      <c r="E29" s="255"/>
    </row>
    <row r="30" spans="2:5">
      <c r="B30" s="2"/>
      <c r="C30" s="750"/>
      <c r="D30" s="257" t="s">
        <v>359</v>
      </c>
      <c r="E30" s="255"/>
    </row>
    <row r="31" spans="2:5">
      <c r="B31" s="2"/>
      <c r="C31" s="750"/>
      <c r="D31" s="257" t="s">
        <v>360</v>
      </c>
      <c r="E31" s="255"/>
    </row>
    <row r="32" spans="2:5">
      <c r="B32" s="2"/>
      <c r="C32" s="750"/>
      <c r="D32" s="257" t="s">
        <v>361</v>
      </c>
      <c r="E32" s="255"/>
    </row>
    <row r="33" spans="2:5">
      <c r="B33" s="2"/>
      <c r="C33" s="750"/>
      <c r="D33" s="257" t="s">
        <v>362</v>
      </c>
      <c r="E33" s="255"/>
    </row>
    <row r="34" spans="2:5">
      <c r="B34" s="2"/>
      <c r="C34" s="750"/>
      <c r="D34" s="257" t="s">
        <v>201</v>
      </c>
      <c r="E34" s="255"/>
    </row>
    <row r="35" spans="2:5">
      <c r="B35" s="2"/>
      <c r="C35" s="750"/>
      <c r="D35" s="257" t="s">
        <v>256</v>
      </c>
      <c r="E35" s="255"/>
    </row>
    <row r="36" spans="2:5">
      <c r="B36" s="2"/>
      <c r="C36" s="750"/>
      <c r="D36" s="257" t="s">
        <v>363</v>
      </c>
      <c r="E36" s="255"/>
    </row>
    <row r="37" spans="2:5">
      <c r="B37" s="2"/>
      <c r="C37" s="750"/>
      <c r="D37" s="257" t="s">
        <v>20</v>
      </c>
      <c r="E37" s="255"/>
    </row>
    <row r="38" spans="2:5">
      <c r="B38" s="2"/>
      <c r="C38" s="750"/>
      <c r="D38" s="257" t="s">
        <v>21</v>
      </c>
      <c r="E38" s="255"/>
    </row>
    <row r="39" spans="2:5">
      <c r="B39" s="2"/>
      <c r="C39" s="750"/>
      <c r="D39" s="257" t="s">
        <v>364</v>
      </c>
      <c r="E39" s="255"/>
    </row>
    <row r="40" spans="2:5">
      <c r="B40" s="2"/>
      <c r="C40" s="750"/>
      <c r="D40" s="257" t="s">
        <v>365</v>
      </c>
      <c r="E40" s="255"/>
    </row>
    <row r="41" spans="2:5">
      <c r="B41" s="2"/>
      <c r="C41" s="750"/>
      <c r="D41" s="257" t="s">
        <v>366</v>
      </c>
      <c r="E41" s="255"/>
    </row>
    <row r="42" spans="2:5">
      <c r="B42" s="2"/>
      <c r="C42" s="750"/>
      <c r="D42" s="257" t="s">
        <v>258</v>
      </c>
      <c r="E42" s="255"/>
    </row>
    <row r="43" spans="2:5">
      <c r="B43" s="2"/>
      <c r="C43" s="750"/>
      <c r="D43" s="257" t="s">
        <v>259</v>
      </c>
      <c r="E43" s="255"/>
    </row>
    <row r="44" spans="2:5">
      <c r="B44" s="2"/>
      <c r="C44" s="750"/>
      <c r="D44" s="257" t="s">
        <v>265</v>
      </c>
      <c r="E44" s="255"/>
    </row>
    <row r="45" spans="2:5">
      <c r="B45" s="2"/>
      <c r="C45" s="750"/>
      <c r="D45" s="257" t="s">
        <v>260</v>
      </c>
      <c r="E45" s="255"/>
    </row>
    <row r="46" spans="2:5">
      <c r="B46" s="2"/>
      <c r="C46" s="750"/>
      <c r="D46" s="257" t="s">
        <v>19</v>
      </c>
      <c r="E46" s="255"/>
    </row>
    <row r="47" spans="2:5">
      <c r="B47" s="2"/>
      <c r="C47" s="750"/>
      <c r="D47" s="257" t="s">
        <v>357</v>
      </c>
      <c r="E47" s="255"/>
    </row>
    <row r="48" spans="2:5">
      <c r="B48" s="2"/>
      <c r="C48" s="750"/>
      <c r="D48" s="257" t="s">
        <v>367</v>
      </c>
      <c r="E48" s="255"/>
    </row>
    <row r="49" spans="2:5">
      <c r="B49" s="2"/>
      <c r="C49" s="750"/>
      <c r="D49" s="257" t="s">
        <v>266</v>
      </c>
      <c r="E49" s="255"/>
    </row>
    <row r="50" spans="2:5">
      <c r="B50" s="2"/>
      <c r="C50" s="750"/>
      <c r="D50" s="257" t="s">
        <v>267</v>
      </c>
      <c r="E50" s="255"/>
    </row>
    <row r="51" spans="2:5">
      <c r="B51" s="2"/>
      <c r="C51" s="750"/>
      <c r="D51" s="257" t="s">
        <v>268</v>
      </c>
      <c r="E51" s="255"/>
    </row>
    <row r="52" spans="2:5">
      <c r="B52" s="2"/>
      <c r="C52" s="750"/>
      <c r="D52" s="257" t="s">
        <v>368</v>
      </c>
      <c r="E52" s="255"/>
    </row>
    <row r="53" spans="2:5">
      <c r="B53" s="2"/>
      <c r="C53" s="750"/>
      <c r="D53" s="257" t="s">
        <v>369</v>
      </c>
      <c r="E53" s="255"/>
    </row>
    <row r="54" spans="2:5">
      <c r="B54" s="2"/>
      <c r="C54" s="750"/>
      <c r="D54" s="257" t="s">
        <v>269</v>
      </c>
      <c r="E54" s="255"/>
    </row>
    <row r="55" spans="2:5">
      <c r="B55" s="2"/>
      <c r="C55" s="750"/>
      <c r="D55" s="257" t="s">
        <v>17</v>
      </c>
      <c r="E55" s="255"/>
    </row>
    <row r="56" spans="2:5">
      <c r="B56" s="2"/>
      <c r="C56" s="750"/>
      <c r="D56" s="257" t="s">
        <v>290</v>
      </c>
      <c r="E56" s="255"/>
    </row>
    <row r="57" spans="2:5">
      <c r="B57" s="2"/>
      <c r="C57" s="750"/>
      <c r="D57" s="257" t="s">
        <v>291</v>
      </c>
      <c r="E57" s="255"/>
    </row>
    <row r="58" spans="2:5">
      <c r="B58" s="2"/>
      <c r="C58" s="750"/>
      <c r="D58" s="257" t="s">
        <v>347</v>
      </c>
      <c r="E58" s="255"/>
    </row>
    <row r="59" spans="2:5">
      <c r="B59" s="258"/>
      <c r="C59" s="752"/>
      <c r="D59" s="780"/>
      <c r="E59" s="259"/>
    </row>
  </sheetData>
  <pageMargins left="0.25" right="0.25" top="0.25" bottom="0.75" header="0.3" footer="0.3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AD7A-00A3-4716-A679-0469E63A6CCB}">
  <sheetPr codeName="Sheet46">
    <tabColor theme="0" tint="-0.249977111117893"/>
    <pageSetUpPr fitToPage="1"/>
  </sheetPr>
  <dimension ref="A1:BH94"/>
  <sheetViews>
    <sheetView topLeftCell="A52" workbookViewId="0">
      <selection activeCell="Q65" sqref="Q65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307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346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199.8</v>
      </c>
      <c r="H11" s="275"/>
      <c r="AB11" s="129" t="s">
        <v>99</v>
      </c>
      <c r="AC11" s="130"/>
      <c r="AD11" s="130"/>
      <c r="AE11" s="130"/>
      <c r="AF11" s="312">
        <f>+G11*(G12/AJ16)</f>
        <v>121.6102191485558</v>
      </c>
      <c r="AG11" s="134"/>
      <c r="AH11" s="130" t="s">
        <v>100</v>
      </c>
      <c r="AI11" s="131"/>
      <c r="AJ11" s="174">
        <f>'(2.1)_Proxy Resources'!N29</f>
        <v>19.805241420865066</v>
      </c>
      <c r="AK11" s="255"/>
      <c r="AZ11" s="129" t="s">
        <v>99</v>
      </c>
      <c r="BA11" s="130"/>
      <c r="BB11" s="130"/>
      <c r="BC11" s="130"/>
      <c r="BD11" s="141">
        <f>(AF11*AF13-G11*G19)</f>
        <v>90.041819148555803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0.42780000000000001</v>
      </c>
      <c r="H12" s="275"/>
      <c r="AB12" s="129" t="s">
        <v>32</v>
      </c>
      <c r="AC12" s="130"/>
      <c r="AD12" s="130"/>
      <c r="AE12" s="130"/>
      <c r="AF12" s="138">
        <f>+AD68/8760/AF11</f>
        <v>0.65212333946486023</v>
      </c>
      <c r="AG12" s="134"/>
      <c r="AH12" s="124" t="s">
        <v>101</v>
      </c>
      <c r="AI12" s="125"/>
      <c r="AJ12" s="124">
        <v>2016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2020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Resources'!O29</f>
        <v>2.02116486562735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30</v>
      </c>
      <c r="H14" s="275"/>
      <c r="AB14" s="129" t="s">
        <v>104</v>
      </c>
      <c r="AC14" s="130"/>
      <c r="AD14" s="130"/>
      <c r="AE14" s="130"/>
      <c r="AF14" s="141">
        <f>'(2.1)_Proxy Resources'!H29*(1+E28)</f>
        <v>6568.8407594737137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288</v>
      </c>
      <c r="B15" s="272"/>
      <c r="C15" s="273" t="s">
        <v>107</v>
      </c>
      <c r="D15" s="273"/>
      <c r="E15" s="273"/>
      <c r="F15" s="273"/>
      <c r="G15" s="314">
        <v>52.931829999999998</v>
      </c>
      <c r="H15" s="275"/>
      <c r="AB15" s="129" t="s">
        <v>231</v>
      </c>
      <c r="AC15" s="130"/>
      <c r="AD15" s="130"/>
      <c r="AE15" s="130"/>
      <c r="AF15" s="175">
        <f>'(2.1)_Proxy Resources'!J29</f>
        <v>1362.6215812395926</v>
      </c>
      <c r="AG15" s="134"/>
      <c r="AH15" s="124" t="s">
        <v>145</v>
      </c>
      <c r="AI15" s="125"/>
      <c r="AJ15" s="174">
        <f>'(2.1)_Proxy Resources'!P29</f>
        <v>2.2807762714164963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288</v>
      </c>
      <c r="B16" s="272"/>
      <c r="C16" s="273" t="s">
        <v>109</v>
      </c>
      <c r="D16" s="273"/>
      <c r="E16" s="273"/>
      <c r="F16" s="273"/>
      <c r="G16" s="314">
        <v>1</v>
      </c>
      <c r="H16" s="275"/>
      <c r="AB16" s="129" t="s">
        <v>108</v>
      </c>
      <c r="AC16" s="130"/>
      <c r="AD16" s="130"/>
      <c r="AE16" s="130"/>
      <c r="AF16" s="144">
        <f>'(2.1)_Proxy Resources'!K28</f>
        <v>7.2562879502455491E-2</v>
      </c>
      <c r="AG16" s="134"/>
      <c r="AH16" s="124" t="s">
        <v>110</v>
      </c>
      <c r="AI16" s="131"/>
      <c r="AJ16" s="145">
        <f>'(2.1)_Proxy Resources'!D29</f>
        <v>0.70285573530285894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288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'(2.2)_Forward_Price_Curve'!W8</f>
        <v>6.5699999999999995E-2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2020</v>
      </c>
      <c r="D28" s="6"/>
      <c r="E28" s="292">
        <f>'(2.2)_Forward_Price_Curve'!P33</f>
        <v>2.4E-2</v>
      </c>
      <c r="F28" s="6"/>
      <c r="G28" s="20">
        <v>2051.3865600000004</v>
      </c>
      <c r="H28" s="6"/>
      <c r="I28" s="293">
        <f>$G$15*(1+E28)</f>
        <v>54.202193919999999</v>
      </c>
      <c r="J28" s="293"/>
      <c r="K28" s="293">
        <f>$G$16*(1+E28)</f>
        <v>1.024</v>
      </c>
      <c r="L28" s="294"/>
      <c r="M28" s="293">
        <f>$G$17</f>
        <v>0</v>
      </c>
      <c r="N28" s="6"/>
      <c r="O28" s="295">
        <f>'(2.2)_Forward_Price_Curve'!Y32</f>
        <v>1.1390234818202254</v>
      </c>
      <c r="P28" s="6"/>
      <c r="Q28" s="30">
        <v>0</v>
      </c>
      <c r="R28" s="6"/>
      <c r="S28" s="20">
        <f>(I28*$G$11*1000+(K28+M28+O28+Q28)*G28)/1000</f>
        <v>10834.03554251557</v>
      </c>
      <c r="T28" s="6"/>
      <c r="U28" s="20">
        <f t="shared" ref="U28:U57" si="0">AX28</f>
        <v>8496.5444159138751</v>
      </c>
      <c r="V28" s="6"/>
      <c r="W28" s="20">
        <f t="shared" ref="W28:W57" si="1">S28-U28</f>
        <v>2337.4911266016952</v>
      </c>
      <c r="X28" s="6"/>
      <c r="Y28" s="296">
        <f>+W28*1000/G28</f>
        <v>1139.4688705583089</v>
      </c>
      <c r="Z28" s="255"/>
      <c r="AB28" s="154">
        <f>$C$28</f>
        <v>2020</v>
      </c>
      <c r="AC28" s="124"/>
      <c r="AD28" s="159">
        <f t="shared" ref="AD28:AD35" si="2">G28</f>
        <v>2051.3865600000004</v>
      </c>
      <c r="AE28" s="3"/>
      <c r="AF28" s="160">
        <f>$AF$15*$AF$16*(1+E28)</f>
        <v>101.24876350150033</v>
      </c>
      <c r="AG28" s="297"/>
      <c r="AH28" s="160">
        <f>$AJ$11*(1+E28)</f>
        <v>20.280567214965828</v>
      </c>
      <c r="AI28" s="297"/>
      <c r="AJ28" s="160">
        <f>$AJ$13*(1+E28)</f>
        <v>2.0696728224024064</v>
      </c>
      <c r="AK28" s="298"/>
      <c r="AL28" s="161">
        <f>((AF28+AH28)*$AF$11*1000+AJ28*AD28)/1000</f>
        <v>14783.454240418238</v>
      </c>
      <c r="AM28" s="3"/>
      <c r="AN28" s="162">
        <f>INDEX('(2.2)_Forward_Price_Curve'!$G:$G,MATCH($AB28,'(2.2)_Forward_Price_Curve'!$C:$C,0),1)</f>
        <v>2.6944208333333339</v>
      </c>
      <c r="AO28" s="310"/>
      <c r="AP28" s="162">
        <f>AN28*$AF$14/1000+$AJ$14/(1+E29)</f>
        <v>17.699221393175133</v>
      </c>
      <c r="AQ28" s="297"/>
      <c r="AR28" s="160">
        <f>$AJ$15*(1+E28)</f>
        <v>2.3355149019304924</v>
      </c>
      <c r="AS28" s="160"/>
      <c r="AT28" s="161">
        <f t="shared" ref="AT28:AT35" si="3">AL28-BF28</f>
        <v>8455.4454271449504</v>
      </c>
      <c r="AU28" s="298"/>
      <c r="AV28" s="161">
        <f t="shared" ref="AV28:AV35" si="4">(AP28+AR28)*AD28/1000</f>
        <v>41.098988768923874</v>
      </c>
      <c r="AW28" s="299"/>
      <c r="AX28" s="163">
        <f>AT28+AV28</f>
        <v>8496.5444159138751</v>
      </c>
      <c r="AZ28" s="154">
        <f>$C$28</f>
        <v>2020</v>
      </c>
      <c r="BA28" s="124"/>
      <c r="BB28" s="160">
        <f>$BD$14*$BD$15*(1+E28)</f>
        <v>65.936793600000001</v>
      </c>
      <c r="BC28" s="3"/>
      <c r="BD28" s="160">
        <f>$BB$16*(1+E28)</f>
        <v>4.3417600000000007</v>
      </c>
      <c r="BE28" s="297"/>
      <c r="BF28" s="161">
        <f>(BB28+BD28)*$BD$11</f>
        <v>6328.0088132732863</v>
      </c>
      <c r="BG28" s="297"/>
      <c r="BH28" s="164"/>
    </row>
    <row r="29" spans="1:60" ht="12">
      <c r="B29" s="2"/>
      <c r="C29" s="6">
        <f>+IF(C28&gt;$G$13+$G$14,XX,C28+1)</f>
        <v>2021</v>
      </c>
      <c r="D29" s="6"/>
      <c r="E29" s="292">
        <f>'(2.2)_Forward_Price_Curve'!P34</f>
        <v>2.4E-2</v>
      </c>
      <c r="F29" s="6"/>
      <c r="G29" s="20">
        <v>748756.09440000006</v>
      </c>
      <c r="H29" s="6"/>
      <c r="I29" s="30">
        <f>I28*(1+$E29)</f>
        <v>55.503046574080003</v>
      </c>
      <c r="J29" s="6"/>
      <c r="K29" s="30">
        <f>K28*(1+$E29)</f>
        <v>1.048576</v>
      </c>
      <c r="L29" s="6"/>
      <c r="M29" s="293">
        <f t="shared" ref="M29:M56" si="5">$G$17</f>
        <v>0</v>
      </c>
      <c r="N29" s="6"/>
      <c r="O29" s="295">
        <f>'(2.2)_Forward_Price_Curve'!Y33</f>
        <v>1.1679956801767024</v>
      </c>
      <c r="P29" s="6"/>
      <c r="Q29" s="30">
        <v>-34.476814342354771</v>
      </c>
      <c r="R29" s="6"/>
      <c r="S29" s="20">
        <f t="shared" ref="S29:S57" si="6">(I29*$G$11*1000+(K29+M29+O29+Q29)*G29)/1000</f>
        <v>-13065.544594627529</v>
      </c>
      <c r="T29" s="6"/>
      <c r="U29" s="20">
        <f t="shared" si="0"/>
        <v>26180.841541295064</v>
      </c>
      <c r="V29" s="6"/>
      <c r="W29" s="20">
        <f t="shared" si="1"/>
        <v>-39246.386135922592</v>
      </c>
      <c r="X29" s="6"/>
      <c r="Y29" s="296">
        <f t="shared" ref="Y29:Y57" si="7">+W29*1000/G29</f>
        <v>-52.415448006966614</v>
      </c>
      <c r="Z29" s="255"/>
      <c r="AB29" s="154">
        <f>+IF(AB28&gt;$G$13+$G$14,XX,AB28+1)</f>
        <v>2021</v>
      </c>
      <c r="AC29" s="124"/>
      <c r="AD29" s="159">
        <f t="shared" si="2"/>
        <v>748756.09440000006</v>
      </c>
      <c r="AE29" s="3"/>
      <c r="AF29" s="162">
        <f>AF28*(1+$E29)</f>
        <v>103.67873382553634</v>
      </c>
      <c r="AG29" s="3"/>
      <c r="AH29" s="162">
        <f>AH28*(1+$E29)</f>
        <v>20.767300828125009</v>
      </c>
      <c r="AI29" s="3"/>
      <c r="AJ29" s="162">
        <f>AJ28*(1+$E29)</f>
        <v>2.1193449701400642</v>
      </c>
      <c r="AK29" s="3"/>
      <c r="AL29" s="161">
        <f t="shared" ref="AL29:AL35" si="8">((AF29+AH29)*$AF$11*1000+AJ29*AD29)/1000</f>
        <v>16720.782008928887</v>
      </c>
      <c r="AM29" s="3"/>
      <c r="AN29" s="162">
        <f>INDEX('(2.2)_Forward_Price_Curve'!$G:$G,MATCH($AB29,'(2.2)_Forward_Price_Curve'!$C:$C,0),1)</f>
        <v>2.8767624999999999</v>
      </c>
      <c r="AO29" s="3"/>
      <c r="AP29" s="162">
        <f>AN29*$AF$14/1000+$AJ$14</f>
        <v>18.896994765325498</v>
      </c>
      <c r="AQ29" s="3"/>
      <c r="AR29" s="162">
        <f>AR28*(1+$E29)</f>
        <v>2.3915672595768243</v>
      </c>
      <c r="AS29" s="162"/>
      <c r="AT29" s="161">
        <f t="shared" si="3"/>
        <v>10240.900984137043</v>
      </c>
      <c r="AU29" s="3"/>
      <c r="AV29" s="161">
        <f t="shared" si="4"/>
        <v>15939.940557158019</v>
      </c>
      <c r="AW29" s="299"/>
      <c r="AX29" s="163">
        <f t="shared" ref="AX29:AX35" si="9">AT29+AV29</f>
        <v>26180.841541295064</v>
      </c>
      <c r="AZ29" s="154">
        <f>+IF(AZ28&gt;$G$13+$G$14,XX,AZ28+1)</f>
        <v>2021</v>
      </c>
      <c r="BA29" s="124"/>
      <c r="BB29" s="162">
        <f>BB28*(1+$E29)</f>
        <v>67.519276646400002</v>
      </c>
      <c r="BC29" s="3"/>
      <c r="BD29" s="162">
        <f>BD28*(1+$E29)</f>
        <v>4.445962240000001</v>
      </c>
      <c r="BE29" s="3"/>
      <c r="BF29" s="161">
        <f t="shared" ref="BF29:BF35" si="10">(BB29+BD29)*$BD$11</f>
        <v>6479.8810247918445</v>
      </c>
      <c r="BG29" s="3"/>
      <c r="BH29" s="165"/>
    </row>
    <row r="30" spans="1:60" ht="12">
      <c r="B30" s="2"/>
      <c r="C30" s="6">
        <f>+IF(C29&gt;$G$13+$G$14,XX,C29+1)</f>
        <v>2022</v>
      </c>
      <c r="D30" s="6"/>
      <c r="E30" s="292">
        <f>'(2.2)_Forward_Price_Curve'!P35</f>
        <v>2.4E-2</v>
      </c>
      <c r="F30" s="6"/>
      <c r="G30" s="20">
        <v>748756.09440000006</v>
      </c>
      <c r="H30" s="6"/>
      <c r="I30" s="30">
        <f t="shared" ref="I30:I57" si="11">I29*(1+$E30)</f>
        <v>56.835119691857926</v>
      </c>
      <c r="J30" s="6"/>
      <c r="K30" s="30">
        <f t="shared" ref="K30:K57" si="12">K29*(1+$E30)</f>
        <v>1.0737418240000001</v>
      </c>
      <c r="L30" s="6"/>
      <c r="M30" s="293">
        <f t="shared" si="5"/>
        <v>0</v>
      </c>
      <c r="N30" s="6"/>
      <c r="O30" s="295">
        <f>'(2.2)_Forward_Price_Curve'!Y34</f>
        <v>1.1974836718320334</v>
      </c>
      <c r="P30" s="6"/>
      <c r="Q30" s="30">
        <v>-34.476814342354771</v>
      </c>
      <c r="R30" s="6"/>
      <c r="S30" s="20">
        <f t="shared" si="6"/>
        <v>-12758.474008141353</v>
      </c>
      <c r="T30" s="6"/>
      <c r="U30" s="20">
        <f t="shared" si="0"/>
        <v>27124.205957554488</v>
      </c>
      <c r="V30" s="6"/>
      <c r="W30" s="20">
        <f t="shared" si="1"/>
        <v>-39882.679965695839</v>
      </c>
      <c r="X30" s="6"/>
      <c r="Y30" s="296">
        <f t="shared" si="7"/>
        <v>-53.265249209964672</v>
      </c>
      <c r="Z30" s="255"/>
      <c r="AB30" s="154">
        <f>+IF(AB29&gt;$G$13+$G$14,XX,AB29+1)</f>
        <v>2022</v>
      </c>
      <c r="AC30" s="124"/>
      <c r="AD30" s="159">
        <f t="shared" si="2"/>
        <v>748756.09440000006</v>
      </c>
      <c r="AE30" s="3"/>
      <c r="AF30" s="162">
        <f t="shared" ref="AF30:AF57" si="13">AF29*(1+$E30)</f>
        <v>106.16702343734921</v>
      </c>
      <c r="AG30" s="3"/>
      <c r="AH30" s="162">
        <f t="shared" ref="AH30:AH57" si="14">AH29*(1+$E30)</f>
        <v>21.265716048000009</v>
      </c>
      <c r="AI30" s="3"/>
      <c r="AJ30" s="162">
        <f t="shared" ref="AJ30:AJ57" si="15">AJ29*(1+$E30)</f>
        <v>2.1702092494234257</v>
      </c>
      <c r="AK30" s="3"/>
      <c r="AL30" s="161">
        <f t="shared" si="8"/>
        <v>17122.080777143179</v>
      </c>
      <c r="AM30" s="3"/>
      <c r="AN30" s="162">
        <f>INDEX('(2.2)_Forward_Price_Curve'!$G:$G,MATCH($AB30,'(2.2)_Forward_Price_Curve'!$C:$C,0),1)</f>
        <v>3.0098541666666665</v>
      </c>
      <c r="AO30" s="3"/>
      <c r="AP30" s="162">
        <f>AN30*$AF$14/1000+$AJ$14*(1+E30)</f>
        <v>19.771252730071787</v>
      </c>
      <c r="AQ30" s="3"/>
      <c r="AR30" s="162">
        <f t="shared" ref="AR30:AR57" si="16">AR29*(1+$E30)</f>
        <v>2.4489648738066681</v>
      </c>
      <c r="AS30" s="162"/>
      <c r="AT30" s="161">
        <f t="shared" si="3"/>
        <v>10486.682607756331</v>
      </c>
      <c r="AU30" s="3"/>
      <c r="AV30" s="161">
        <f t="shared" si="4"/>
        <v>16637.523349798157</v>
      </c>
      <c r="AW30" s="299"/>
      <c r="AX30" s="163">
        <f t="shared" si="9"/>
        <v>27124.205957554488</v>
      </c>
      <c r="AZ30" s="154">
        <f>+IF(AZ29&gt;$G$13+$G$14,XX,AZ29+1)</f>
        <v>2022</v>
      </c>
      <c r="BA30" s="124"/>
      <c r="BB30" s="162">
        <f t="shared" ref="BB30:BB57" si="17">BB29*(1+$E30)</f>
        <v>69.139739285913606</v>
      </c>
      <c r="BC30" s="3"/>
      <c r="BD30" s="162">
        <f t="shared" ref="BD30:BD57" si="18">BD29*(1+$E30)</f>
        <v>4.5526653337600012</v>
      </c>
      <c r="BE30" s="3"/>
      <c r="BF30" s="161">
        <f t="shared" si="10"/>
        <v>6635.3981693868491</v>
      </c>
      <c r="BG30" s="3"/>
      <c r="BH30" s="165"/>
    </row>
    <row r="31" spans="1:60" ht="12">
      <c r="B31" s="2"/>
      <c r="C31" s="6">
        <f>+IF(C30&gt;$G$13+$G$14,XX,C30+1)</f>
        <v>2023</v>
      </c>
      <c r="D31" s="6"/>
      <c r="E31" s="292">
        <f>'(2.2)_Forward_Price_Curve'!P36</f>
        <v>2.3E-2</v>
      </c>
      <c r="F31" s="6"/>
      <c r="G31" s="20">
        <v>748756.09440000006</v>
      </c>
      <c r="H31" s="6"/>
      <c r="I31" s="30">
        <f t="shared" si="11"/>
        <v>58.14232744477065</v>
      </c>
      <c r="J31" s="6"/>
      <c r="K31" s="30">
        <f t="shared" si="12"/>
        <v>1.0984378859519999</v>
      </c>
      <c r="L31" s="6"/>
      <c r="M31" s="293">
        <f t="shared" si="5"/>
        <v>0</v>
      </c>
      <c r="N31" s="6"/>
      <c r="O31" s="295">
        <f>'(2.2)_Forward_Price_Curve'!Y35</f>
        <v>1.2269144627008759</v>
      </c>
      <c r="P31" s="6"/>
      <c r="Q31" s="30">
        <v>-35.802845663214576</v>
      </c>
      <c r="R31" s="6"/>
      <c r="S31" s="20">
        <f t="shared" si="6"/>
        <v>-13449.640121048154</v>
      </c>
      <c r="T31" s="6"/>
      <c r="U31" s="20">
        <f t="shared" si="0"/>
        <v>29705.703969136921</v>
      </c>
      <c r="V31" s="6"/>
      <c r="W31" s="20">
        <f t="shared" si="1"/>
        <v>-43155.344090185077</v>
      </c>
      <c r="X31" s="6"/>
      <c r="Y31" s="296">
        <f t="shared" si="7"/>
        <v>-57.636050528265422</v>
      </c>
      <c r="Z31" s="255"/>
      <c r="AB31" s="154">
        <f>+IF(AB30&gt;$G$13+$G$14,XX,AB30+1)</f>
        <v>2023</v>
      </c>
      <c r="AC31" s="124"/>
      <c r="AD31" s="159">
        <f t="shared" si="2"/>
        <v>748756.09440000006</v>
      </c>
      <c r="AE31" s="3"/>
      <c r="AF31" s="162">
        <f t="shared" si="13"/>
        <v>108.60886497640824</v>
      </c>
      <c r="AG31" s="3"/>
      <c r="AH31" s="162">
        <f t="shared" si="14"/>
        <v>21.754827517104008</v>
      </c>
      <c r="AI31" s="3"/>
      <c r="AJ31" s="162">
        <f t="shared" si="15"/>
        <v>2.2201240621601643</v>
      </c>
      <c r="AK31" s="3"/>
      <c r="AL31" s="161">
        <f t="shared" si="8"/>
        <v>17515.888635017469</v>
      </c>
      <c r="AM31" s="3"/>
      <c r="AN31" s="162">
        <f>INDEX('(2.2)_Forward_Price_Curve'!$G:$G,MATCH($AB31,'(2.2)_Forward_Price_Curve'!$C:$C,0),1)</f>
        <v>3.4771000000000001</v>
      </c>
      <c r="AO31" s="3"/>
      <c r="AP31" s="162">
        <f>AN31*$AF$14/1000+$AJ$14*(1+E31)</f>
        <v>22.84051620476605</v>
      </c>
      <c r="AQ31" s="3"/>
      <c r="AR31" s="162">
        <f t="shared" si="16"/>
        <v>2.5052910659042213</v>
      </c>
      <c r="AS31" s="162"/>
      <c r="AT31" s="161">
        <f t="shared" si="3"/>
        <v>10727.876307734723</v>
      </c>
      <c r="AU31" s="3"/>
      <c r="AV31" s="161">
        <f t="shared" si="4"/>
        <v>18977.827661402196</v>
      </c>
      <c r="AW31" s="299"/>
      <c r="AX31" s="163">
        <f t="shared" si="9"/>
        <v>29705.703969136921</v>
      </c>
      <c r="AZ31" s="154">
        <f>+IF(AZ30&gt;$G$13+$G$14,XX,AZ30+1)</f>
        <v>2023</v>
      </c>
      <c r="BA31" s="124"/>
      <c r="BB31" s="162">
        <f t="shared" si="17"/>
        <v>70.729953289489615</v>
      </c>
      <c r="BC31" s="3"/>
      <c r="BD31" s="162">
        <f t="shared" si="18"/>
        <v>4.6573766364364806</v>
      </c>
      <c r="BE31" s="3"/>
      <c r="BF31" s="161">
        <f t="shared" si="10"/>
        <v>6788.0123272827459</v>
      </c>
      <c r="BG31" s="3"/>
      <c r="BH31" s="165"/>
    </row>
    <row r="32" spans="1:60" ht="12">
      <c r="B32" s="2"/>
      <c r="C32" s="6">
        <f>+IF(C31&gt;$G$13+$G$14,XX,C31+1)</f>
        <v>2024</v>
      </c>
      <c r="D32" s="6"/>
      <c r="E32" s="292">
        <f>'(2.2)_Forward_Price_Curve'!P37</f>
        <v>2.1999999999999999E-2</v>
      </c>
      <c r="F32" s="6"/>
      <c r="G32" s="20">
        <v>748756.09440000006</v>
      </c>
      <c r="H32" s="6"/>
      <c r="I32" s="30">
        <f t="shared" si="11"/>
        <v>59.421458648555607</v>
      </c>
      <c r="J32" s="6"/>
      <c r="K32" s="30">
        <f t="shared" si="12"/>
        <v>1.1226035194429438</v>
      </c>
      <c r="L32" s="6"/>
      <c r="M32" s="293">
        <f t="shared" si="5"/>
        <v>0</v>
      </c>
      <c r="N32" s="6"/>
      <c r="O32" s="295">
        <f>'(2.2)_Forward_Price_Curve'!Y36</f>
        <v>1.2554480395092353</v>
      </c>
      <c r="P32" s="6"/>
      <c r="Q32" s="30">
        <v>-35.802845663214576</v>
      </c>
      <c r="R32" s="6"/>
      <c r="S32" s="20">
        <f t="shared" si="6"/>
        <v>-13154.610851650252</v>
      </c>
      <c r="T32" s="6"/>
      <c r="U32" s="20">
        <f t="shared" si="0"/>
        <v>32327.533684908347</v>
      </c>
      <c r="V32" s="6"/>
      <c r="W32" s="20">
        <f t="shared" si="1"/>
        <v>-45482.144536558597</v>
      </c>
      <c r="X32" s="6"/>
      <c r="Y32" s="296">
        <f t="shared" si="7"/>
        <v>-60.743605129524532</v>
      </c>
      <c r="Z32" s="255"/>
      <c r="AB32" s="154">
        <f>+IF(AB31&gt;$G$13+$G$14,XX,AB31+1)</f>
        <v>2024</v>
      </c>
      <c r="AC32" s="124"/>
      <c r="AD32" s="159">
        <f t="shared" si="2"/>
        <v>748756.09440000006</v>
      </c>
      <c r="AE32" s="3"/>
      <c r="AF32" s="162">
        <f t="shared" si="13"/>
        <v>110.99826000588922</v>
      </c>
      <c r="AG32" s="3"/>
      <c r="AH32" s="162">
        <f t="shared" si="14"/>
        <v>22.233433722480296</v>
      </c>
      <c r="AI32" s="3"/>
      <c r="AJ32" s="162">
        <f t="shared" si="15"/>
        <v>2.2689667915276881</v>
      </c>
      <c r="AK32" s="3"/>
      <c r="AL32" s="161">
        <f t="shared" si="8"/>
        <v>17901.238184987855</v>
      </c>
      <c r="AM32" s="3"/>
      <c r="AN32" s="162">
        <f>INDEX('(2.2)_Forward_Price_Curve'!$G:$G,MATCH($AB32,'(2.2)_Forward_Price_Curve'!$C:$C,0),1)</f>
        <v>3.9537833333333325</v>
      </c>
      <c r="AO32" s="3"/>
      <c r="AP32" s="162">
        <f t="shared" ref="AP32:AP35" si="19">AN32*$AF$14/1000+$AJ$14*(1+E32)</f>
        <v>25.971773114127839</v>
      </c>
      <c r="AQ32" s="3"/>
      <c r="AR32" s="162">
        <f t="shared" si="16"/>
        <v>2.5604074693541143</v>
      </c>
      <c r="AS32" s="162"/>
      <c r="AT32" s="161">
        <f t="shared" si="3"/>
        <v>10963.889586504887</v>
      </c>
      <c r="AU32" s="3"/>
      <c r="AV32" s="161">
        <f t="shared" si="4"/>
        <v>21363.64409840346</v>
      </c>
      <c r="AW32" s="299"/>
      <c r="AX32" s="163">
        <f t="shared" si="9"/>
        <v>32327.533684908347</v>
      </c>
      <c r="AZ32" s="154">
        <f>+IF(AZ31&gt;$G$13+$G$14,XX,AZ31+1)</f>
        <v>2024</v>
      </c>
      <c r="BA32" s="124"/>
      <c r="BB32" s="162">
        <f t="shared" si="17"/>
        <v>72.286012261858389</v>
      </c>
      <c r="BC32" s="3"/>
      <c r="BD32" s="162">
        <f t="shared" si="18"/>
        <v>4.7598389224380835</v>
      </c>
      <c r="BE32" s="3"/>
      <c r="BF32" s="161">
        <f t="shared" si="10"/>
        <v>6937.3485984829667</v>
      </c>
      <c r="BG32" s="3"/>
      <c r="BH32" s="165"/>
    </row>
    <row r="33" spans="2:60" ht="12">
      <c r="B33" s="2"/>
      <c r="C33" s="6">
        <f>+IF(C32&gt;$G$13+$G$14,XX,C32+1)</f>
        <v>2025</v>
      </c>
      <c r="D33" s="6"/>
      <c r="E33" s="292">
        <f>'(2.2)_Forward_Price_Curve'!P38</f>
        <v>2.1999999999999999E-2</v>
      </c>
      <c r="F33" s="6"/>
      <c r="G33" s="20">
        <v>748756.09440000006</v>
      </c>
      <c r="H33" s="6"/>
      <c r="I33" s="30">
        <f t="shared" si="11"/>
        <v>60.728730738823835</v>
      </c>
      <c r="J33" s="6"/>
      <c r="K33" s="30">
        <f t="shared" si="12"/>
        <v>1.1473007968706885</v>
      </c>
      <c r="L33" s="6"/>
      <c r="M33" s="293">
        <f t="shared" si="5"/>
        <v>0</v>
      </c>
      <c r="N33" s="6"/>
      <c r="O33" s="295">
        <f>'(2.2)_Forward_Price_Curve'!Y37</f>
        <v>1.2834505366016622</v>
      </c>
      <c r="P33" s="6"/>
      <c r="Q33" s="30">
        <v>-37.128876984074367</v>
      </c>
      <c r="R33" s="6"/>
      <c r="S33" s="20">
        <f t="shared" si="6"/>
        <v>-13846.832643528222</v>
      </c>
      <c r="T33" s="6"/>
      <c r="U33" s="20">
        <f t="shared" si="0"/>
        <v>33372.723814970923</v>
      </c>
      <c r="V33" s="6"/>
      <c r="W33" s="20">
        <f t="shared" si="1"/>
        <v>-47219.556458499144</v>
      </c>
      <c r="X33" s="6"/>
      <c r="Y33" s="296">
        <f t="shared" si="7"/>
        <v>-63.064002833042096</v>
      </c>
      <c r="Z33" s="255"/>
      <c r="AB33" s="154">
        <f>+IF(AB32&gt;$G$13+$G$14,XX,AB32+1)</f>
        <v>2025</v>
      </c>
      <c r="AC33" s="124"/>
      <c r="AD33" s="159">
        <f t="shared" si="2"/>
        <v>748756.09440000006</v>
      </c>
      <c r="AE33" s="3"/>
      <c r="AF33" s="162">
        <f t="shared" si="13"/>
        <v>113.44022172601879</v>
      </c>
      <c r="AG33" s="3"/>
      <c r="AH33" s="162">
        <f t="shared" si="14"/>
        <v>22.722569264374862</v>
      </c>
      <c r="AI33" s="3"/>
      <c r="AJ33" s="162">
        <f t="shared" si="15"/>
        <v>2.3188840609412971</v>
      </c>
      <c r="AK33" s="3"/>
      <c r="AL33" s="161">
        <f t="shared" si="8"/>
        <v>18295.06542505759</v>
      </c>
      <c r="AM33" s="3"/>
      <c r="AN33" s="162">
        <f>INDEX('(2.2)_Forward_Price_Curve'!$G:$G,MATCH($AB33,'(2.2)_Forward_Price_Curve'!$C:$C,0),1)</f>
        <v>4.1086708333333339</v>
      </c>
      <c r="AO33" s="3"/>
      <c r="AP33" s="162">
        <f t="shared" si="19"/>
        <v>26.989204437260831</v>
      </c>
      <c r="AQ33" s="3"/>
      <c r="AR33" s="162">
        <f t="shared" si="16"/>
        <v>2.6167364336799048</v>
      </c>
      <c r="AS33" s="162"/>
      <c r="AT33" s="161">
        <f t="shared" si="3"/>
        <v>11205.095157407999</v>
      </c>
      <c r="AU33" s="3"/>
      <c r="AV33" s="161">
        <f t="shared" si="4"/>
        <v>22167.628657562924</v>
      </c>
      <c r="AW33" s="299"/>
      <c r="AX33" s="163">
        <f t="shared" si="9"/>
        <v>33372.723814970923</v>
      </c>
      <c r="AZ33" s="154">
        <f>+IF(AZ32&gt;$G$13+$G$14,XX,AZ32+1)</f>
        <v>2025</v>
      </c>
      <c r="BA33" s="124"/>
      <c r="BB33" s="162">
        <f t="shared" si="17"/>
        <v>73.876304531619269</v>
      </c>
      <c r="BC33" s="3"/>
      <c r="BD33" s="162">
        <f t="shared" si="18"/>
        <v>4.8645553787317217</v>
      </c>
      <c r="BE33" s="3"/>
      <c r="BF33" s="161">
        <f t="shared" si="10"/>
        <v>7089.9702676495917</v>
      </c>
      <c r="BG33" s="3"/>
      <c r="BH33" s="165"/>
    </row>
    <row r="34" spans="2:60" ht="12">
      <c r="B34" s="2"/>
      <c r="C34" s="6">
        <f>+IF(C33&gt;$G$13+$G$14,XX,C33+1)</f>
        <v>2026</v>
      </c>
      <c r="D34" s="6"/>
      <c r="E34" s="292">
        <f>'(2.2)_Forward_Price_Curve'!P39</f>
        <v>2.1999999999999999E-2</v>
      </c>
      <c r="F34" s="6"/>
      <c r="G34" s="20">
        <v>748756.09440000006</v>
      </c>
      <c r="H34" s="6"/>
      <c r="I34" s="30">
        <f t="shared" si="11"/>
        <v>62.064762815077962</v>
      </c>
      <c r="J34" s="6"/>
      <c r="K34" s="30">
        <f t="shared" si="12"/>
        <v>1.1725414144018438</v>
      </c>
      <c r="L34" s="6"/>
      <c r="M34" s="293">
        <f t="shared" si="5"/>
        <v>0</v>
      </c>
      <c r="N34" s="6"/>
      <c r="O34" s="295">
        <f>'(2.2)_Forward_Price_Curve'!Y38</f>
        <v>1.3117597482561225</v>
      </c>
      <c r="P34" s="6"/>
      <c r="Q34" s="30">
        <v>-37.128876984074367</v>
      </c>
      <c r="R34" s="6"/>
      <c r="S34" s="20">
        <f t="shared" si="6"/>
        <v>-13539.797673735842</v>
      </c>
      <c r="T34" s="6"/>
      <c r="U34" s="20">
        <f t="shared" si="0"/>
        <v>34045.14005838157</v>
      </c>
      <c r="V34" s="6"/>
      <c r="W34" s="20">
        <f t="shared" si="1"/>
        <v>-47584.937732117411</v>
      </c>
      <c r="X34" s="6"/>
      <c r="Y34" s="296">
        <f t="shared" si="7"/>
        <v>-63.551987206526306</v>
      </c>
      <c r="Z34" s="255"/>
      <c r="AB34" s="154">
        <f>+IF(AB33&gt;$G$13+$G$14,XX,AB33+1)</f>
        <v>2026</v>
      </c>
      <c r="AC34" s="124"/>
      <c r="AD34" s="159">
        <f t="shared" si="2"/>
        <v>748756.09440000006</v>
      </c>
      <c r="AE34" s="3"/>
      <c r="AF34" s="162">
        <f t="shared" si="13"/>
        <v>115.93590660399121</v>
      </c>
      <c r="AG34" s="3"/>
      <c r="AH34" s="162">
        <f t="shared" si="14"/>
        <v>23.222465788191109</v>
      </c>
      <c r="AI34" s="3"/>
      <c r="AJ34" s="162">
        <f t="shared" si="15"/>
        <v>2.3698995102820057</v>
      </c>
      <c r="AK34" s="3"/>
      <c r="AL34" s="161">
        <f t="shared" si="8"/>
        <v>18697.55686440886</v>
      </c>
      <c r="AM34" s="3"/>
      <c r="AN34" s="162">
        <f>INDEX('(2.2)_Forward_Price_Curve'!$G:$G,MATCH($AB34,'(2.2)_Forward_Price_Curve'!$C:$C,0),1)</f>
        <v>4.1864999999999997</v>
      </c>
      <c r="AO34" s="3"/>
      <c r="AP34" s="162">
        <f t="shared" si="19"/>
        <v>27.500451839536701</v>
      </c>
      <c r="AQ34" s="3"/>
      <c r="AR34" s="162">
        <f t="shared" si="16"/>
        <v>2.6743046352208628</v>
      </c>
      <c r="AS34" s="162"/>
      <c r="AT34" s="161">
        <f t="shared" si="3"/>
        <v>11451.607250870977</v>
      </c>
      <c r="AU34" s="3"/>
      <c r="AV34" s="161">
        <f t="shared" si="4"/>
        <v>22593.53280751059</v>
      </c>
      <c r="AW34" s="299"/>
      <c r="AX34" s="163">
        <f t="shared" si="9"/>
        <v>34045.14005838157</v>
      </c>
      <c r="AZ34" s="154">
        <f>+IF(AZ33&gt;$G$13+$G$14,XX,AZ33+1)</f>
        <v>2026</v>
      </c>
      <c r="BA34" s="124"/>
      <c r="BB34" s="162">
        <f t="shared" si="17"/>
        <v>75.501583231314896</v>
      </c>
      <c r="BC34" s="3"/>
      <c r="BD34" s="162">
        <f t="shared" si="18"/>
        <v>4.9715755970638194</v>
      </c>
      <c r="BE34" s="3"/>
      <c r="BF34" s="161">
        <f t="shared" si="10"/>
        <v>7245.9496135378831</v>
      </c>
      <c r="BG34" s="3"/>
      <c r="BH34" s="165"/>
    </row>
    <row r="35" spans="2:60" ht="12">
      <c r="B35" s="2"/>
      <c r="C35" s="6">
        <f>+IF(C34&gt;$G$13+$G$14,XX,C34+1)</f>
        <v>2027</v>
      </c>
      <c r="D35" s="6"/>
      <c r="E35" s="292">
        <f>'(2.2)_Forward_Price_Curve'!P40</f>
        <v>2.1999999999999999E-2</v>
      </c>
      <c r="F35" s="6"/>
      <c r="G35" s="20">
        <v>748756.09440000006</v>
      </c>
      <c r="H35" s="6"/>
      <c r="I35" s="30">
        <f t="shared" si="11"/>
        <v>63.430187597009677</v>
      </c>
      <c r="J35" s="6"/>
      <c r="K35" s="30">
        <f t="shared" si="12"/>
        <v>1.1983373255186844</v>
      </c>
      <c r="L35" s="6"/>
      <c r="M35" s="293">
        <f t="shared" si="5"/>
        <v>0</v>
      </c>
      <c r="N35" s="6"/>
      <c r="O35" s="295">
        <f>'(2.2)_Forward_Price_Curve'!Y39</f>
        <v>1.3408534982838876</v>
      </c>
      <c r="P35" s="6"/>
      <c r="Q35" s="30">
        <v>-38.454908304934172</v>
      </c>
      <c r="R35" s="6"/>
      <c r="S35" s="20">
        <f t="shared" si="6"/>
        <v>-14218.760866863369</v>
      </c>
      <c r="T35" s="6"/>
      <c r="U35" s="20">
        <f t="shared" si="0"/>
        <v>35673.108586938193</v>
      </c>
      <c r="V35" s="6"/>
      <c r="W35" s="20">
        <f t="shared" si="1"/>
        <v>-49891.869453801562</v>
      </c>
      <c r="X35" s="6"/>
      <c r="Y35" s="296">
        <f t="shared" si="7"/>
        <v>-66.633006164419086</v>
      </c>
      <c r="Z35" s="255"/>
      <c r="AB35" s="154">
        <f>+IF(AB34&gt;$G$13+$G$14,XX,AB34+1)</f>
        <v>2027</v>
      </c>
      <c r="AC35" s="124"/>
      <c r="AD35" s="159">
        <f t="shared" si="2"/>
        <v>748756.09440000006</v>
      </c>
      <c r="AE35" s="3"/>
      <c r="AF35" s="162">
        <f t="shared" si="13"/>
        <v>118.48649654927902</v>
      </c>
      <c r="AG35" s="3"/>
      <c r="AH35" s="162">
        <f t="shared" si="14"/>
        <v>23.733360035531312</v>
      </c>
      <c r="AI35" s="3"/>
      <c r="AJ35" s="162">
        <f t="shared" si="15"/>
        <v>2.4220372995082098</v>
      </c>
      <c r="AK35" s="3"/>
      <c r="AL35" s="161">
        <f t="shared" si="8"/>
        <v>19108.903115425856</v>
      </c>
      <c r="AM35" s="3"/>
      <c r="AN35" s="162">
        <f>INDEX('(2.2)_Forward_Price_Curve'!$G:$G,MATCH($AB35,'(2.2)_Forward_Price_Curve'!$C:$C,0),1)</f>
        <v>4.4573125000000005</v>
      </c>
      <c r="AO35" s="3"/>
      <c r="AP35" s="162">
        <f t="shared" si="19"/>
        <v>29.279376027711681</v>
      </c>
      <c r="AQ35" s="3"/>
      <c r="AR35" s="162">
        <f t="shared" si="16"/>
        <v>2.733139337195722</v>
      </c>
      <c r="AS35" s="162"/>
      <c r="AT35" s="161">
        <f t="shared" si="3"/>
        <v>11703.542610390141</v>
      </c>
      <c r="AU35" s="3"/>
      <c r="AV35" s="161">
        <f t="shared" si="4"/>
        <v>23969.565976548056</v>
      </c>
      <c r="AW35" s="299"/>
      <c r="AX35" s="163">
        <f t="shared" si="9"/>
        <v>35673.108586938193</v>
      </c>
      <c r="AZ35" s="154">
        <f>+IF(AZ34&gt;$G$13+$G$14,XX,AZ34+1)</f>
        <v>2027</v>
      </c>
      <c r="BA35" s="124"/>
      <c r="BB35" s="162">
        <f t="shared" si="17"/>
        <v>77.162618062403823</v>
      </c>
      <c r="BC35" s="3"/>
      <c r="BD35" s="162">
        <f t="shared" si="18"/>
        <v>5.0809502601992236</v>
      </c>
      <c r="BE35" s="3"/>
      <c r="BF35" s="161">
        <f t="shared" si="10"/>
        <v>7405.3605050357155</v>
      </c>
      <c r="BG35" s="3"/>
      <c r="BH35" s="165"/>
    </row>
    <row r="36" spans="2:60" ht="12">
      <c r="B36" s="2"/>
      <c r="C36" s="6">
        <f>+IF(C35&gt;$G$13+$G$14,XX,C35+1)</f>
        <v>2028</v>
      </c>
      <c r="D36" s="6"/>
      <c r="E36" s="292">
        <f>'(2.2)_Forward_Price_Curve'!P41</f>
        <v>2.1999999999999999E-2</v>
      </c>
      <c r="F36" s="6"/>
      <c r="G36" s="20">
        <v>748756.09440000006</v>
      </c>
      <c r="H36" s="6"/>
      <c r="I36" s="30">
        <f t="shared" si="11"/>
        <v>64.825651724143896</v>
      </c>
      <c r="J36" s="6"/>
      <c r="K36" s="30">
        <f t="shared" si="12"/>
        <v>1.2247007466800954</v>
      </c>
      <c r="L36" s="6"/>
      <c r="M36" s="293">
        <f t="shared" si="5"/>
        <v>0</v>
      </c>
      <c r="N36" s="6"/>
      <c r="O36" s="295">
        <f>'(2.2)_Forward_Price_Curve'!Y40</f>
        <v>1.3709529466223729</v>
      </c>
      <c r="P36" s="6"/>
      <c r="Q36" s="30">
        <v>-38.454908304934172</v>
      </c>
      <c r="R36" s="6"/>
      <c r="S36" s="20">
        <f t="shared" si="6"/>
        <v>-13897.670216616596</v>
      </c>
      <c r="T36" s="6"/>
      <c r="U36" s="20">
        <f t="shared" si="0"/>
        <v>36744.322769332575</v>
      </c>
      <c r="V36" s="6"/>
      <c r="W36" s="20">
        <f t="shared" si="1"/>
        <v>-50641.992985949168</v>
      </c>
      <c r="X36" s="6"/>
      <c r="Y36" s="296">
        <f t="shared" si="7"/>
        <v>-67.634832443707936</v>
      </c>
      <c r="Z36" s="255"/>
      <c r="AB36" s="154">
        <f>+IF(AB35&gt;$G$13+$G$14,XX,AB35+1)</f>
        <v>2028</v>
      </c>
      <c r="AC36" s="124"/>
      <c r="AD36" s="159">
        <f t="shared" ref="AD36:AD57" si="20">G36</f>
        <v>748756.09440000006</v>
      </c>
      <c r="AE36" s="3"/>
      <c r="AF36" s="162">
        <f t="shared" si="13"/>
        <v>121.09319947336317</v>
      </c>
      <c r="AG36" s="3"/>
      <c r="AH36" s="162">
        <f t="shared" si="14"/>
        <v>24.255493956313003</v>
      </c>
      <c r="AI36" s="3"/>
      <c r="AJ36" s="162">
        <f t="shared" si="15"/>
        <v>2.4753221200973905</v>
      </c>
      <c r="AK36" s="3"/>
      <c r="AL36" s="161">
        <f t="shared" ref="AL36:AL57" si="21">((AF36+AH36)*$AF$11*1000+AJ36*AD36)/1000</f>
        <v>19529.298983965225</v>
      </c>
      <c r="AM36" s="3"/>
      <c r="AN36" s="162">
        <f>INDEX('(2.2)_Forward_Price_Curve'!$G:$G,MATCH($AB36,'(2.2)_Forward_Price_Curve'!$C:$C,0),1)</f>
        <v>4.6136041666666676</v>
      </c>
      <c r="AO36" s="3"/>
      <c r="AP36" s="162">
        <f t="shared" ref="AP36:AP57" si="22">AN36*$AF$14/1000+$AJ$14*(1+E36)</f>
        <v>30.30603109807776</v>
      </c>
      <c r="AQ36" s="3"/>
      <c r="AR36" s="162">
        <f t="shared" si="16"/>
        <v>2.7932684026140278</v>
      </c>
      <c r="AS36" s="162"/>
      <c r="AT36" s="161">
        <f t="shared" ref="AT36:AT57" si="23">AL36-BF36</f>
        <v>11961.020547818724</v>
      </c>
      <c r="AU36" s="3"/>
      <c r="AV36" s="161">
        <f t="shared" ref="AV36:AV57" si="24">(AP36+AR36)*AD36/1000</f>
        <v>24783.302221513852</v>
      </c>
      <c r="AW36" s="299"/>
      <c r="AX36" s="163">
        <f t="shared" ref="AX36:AX57" si="25">AT36+AV36</f>
        <v>36744.322769332575</v>
      </c>
      <c r="AZ36" s="154">
        <f>+IF(AZ35&gt;$G$13+$G$14,XX,AZ35+1)</f>
        <v>2028</v>
      </c>
      <c r="BA36" s="124"/>
      <c r="BB36" s="162">
        <f t="shared" si="17"/>
        <v>78.860195659776707</v>
      </c>
      <c r="BC36" s="3"/>
      <c r="BD36" s="162">
        <f t="shared" si="18"/>
        <v>5.1927311659236066</v>
      </c>
      <c r="BE36" s="3"/>
      <c r="BF36" s="161">
        <f t="shared" ref="BF36:BF57" si="26">(BB36+BD36)*$BD$11</f>
        <v>7568.2784361465019</v>
      </c>
      <c r="BG36" s="3"/>
      <c r="BH36" s="165"/>
    </row>
    <row r="37" spans="2:60" ht="12">
      <c r="B37" s="2"/>
      <c r="C37" s="6">
        <f>+IF(C36&gt;$G$13+$G$14,XX,C36+1)</f>
        <v>2029</v>
      </c>
      <c r="D37" s="6"/>
      <c r="E37" s="292">
        <f>'(2.2)_Forward_Price_Curve'!P42</f>
        <v>2.1999999999999999E-2</v>
      </c>
      <c r="F37" s="6"/>
      <c r="G37" s="20">
        <v>748756.09440000006</v>
      </c>
      <c r="H37" s="6"/>
      <c r="I37" s="30">
        <f t="shared" si="11"/>
        <v>66.251816062075065</v>
      </c>
      <c r="J37" s="6"/>
      <c r="K37" s="30">
        <f t="shared" si="12"/>
        <v>1.2516441631070576</v>
      </c>
      <c r="L37" s="6"/>
      <c r="M37" s="293">
        <f t="shared" si="5"/>
        <v>0</v>
      </c>
      <c r="N37" s="6"/>
      <c r="O37" s="295">
        <f>'(2.2)_Forward_Price_Curve'!Y41</f>
        <v>1.4021626326399876</v>
      </c>
      <c r="P37" s="6"/>
      <c r="Q37" s="30">
        <v>-39.780939625793962</v>
      </c>
      <c r="R37" s="6"/>
      <c r="S37" s="20">
        <f t="shared" si="6"/>
        <v>-14562.054124893355</v>
      </c>
      <c r="T37" s="6"/>
      <c r="U37" s="20">
        <f t="shared" si="0"/>
        <v>37744.828680408893</v>
      </c>
      <c r="V37" s="6"/>
      <c r="W37" s="20">
        <f t="shared" si="1"/>
        <v>-52306.882805302244</v>
      </c>
      <c r="X37" s="6"/>
      <c r="Y37" s="296">
        <f t="shared" si="7"/>
        <v>-69.858373369524642</v>
      </c>
      <c r="Z37" s="255"/>
      <c r="AB37" s="154">
        <f>+IF(AB36&gt;$G$13+$G$14,XX,AB36+1)</f>
        <v>2029</v>
      </c>
      <c r="AC37" s="124"/>
      <c r="AD37" s="159">
        <f t="shared" si="20"/>
        <v>748756.09440000006</v>
      </c>
      <c r="AE37" s="3"/>
      <c r="AF37" s="162">
        <f t="shared" si="13"/>
        <v>123.75724986177717</v>
      </c>
      <c r="AG37" s="3"/>
      <c r="AH37" s="162">
        <f t="shared" si="14"/>
        <v>24.789114823351891</v>
      </c>
      <c r="AI37" s="3"/>
      <c r="AJ37" s="162">
        <f t="shared" si="15"/>
        <v>2.529779206739533</v>
      </c>
      <c r="AK37" s="3"/>
      <c r="AL37" s="161">
        <f t="shared" si="21"/>
        <v>19958.943561612461</v>
      </c>
      <c r="AM37" s="3"/>
      <c r="AN37" s="162">
        <f>INDEX('(2.2)_Forward_Price_Curve'!$G:$G,MATCH($AB37,'(2.2)_Forward_Price_Curve'!$C:$C,0),1)</f>
        <v>4.7541666666666673</v>
      </c>
      <c r="AO37" s="3"/>
      <c r="AP37" s="162">
        <f t="shared" si="22"/>
        <v>31.229363777331283</v>
      </c>
      <c r="AQ37" s="3"/>
      <c r="AR37" s="162">
        <f t="shared" si="16"/>
        <v>2.8547203074715366</v>
      </c>
      <c r="AS37" s="162"/>
      <c r="AT37" s="161">
        <f t="shared" si="23"/>
        <v>12224.162999870736</v>
      </c>
      <c r="AU37" s="3"/>
      <c r="AV37" s="161">
        <f t="shared" si="24"/>
        <v>25520.665680538157</v>
      </c>
      <c r="AW37" s="299"/>
      <c r="AX37" s="163">
        <f t="shared" si="25"/>
        <v>37744.828680408893</v>
      </c>
      <c r="AZ37" s="154">
        <f>+IF(AZ36&gt;$G$13+$G$14,XX,AZ36+1)</f>
        <v>2029</v>
      </c>
      <c r="BA37" s="124"/>
      <c r="BB37" s="162">
        <f t="shared" si="17"/>
        <v>80.595119964291797</v>
      </c>
      <c r="BC37" s="3"/>
      <c r="BD37" s="162">
        <f t="shared" si="18"/>
        <v>5.306971251573926</v>
      </c>
      <c r="BE37" s="3"/>
      <c r="BF37" s="161">
        <f t="shared" si="26"/>
        <v>7734.7805617417253</v>
      </c>
      <c r="BG37" s="3"/>
      <c r="BH37" s="165"/>
    </row>
    <row r="38" spans="2:60" ht="12">
      <c r="B38" s="2"/>
      <c r="C38" s="6">
        <f>+IF(C37&gt;$G$13+$G$14,XX,C37+1)</f>
        <v>2030</v>
      </c>
      <c r="D38" s="6"/>
      <c r="E38" s="292">
        <f>'(2.2)_Forward_Price_Curve'!P43</f>
        <v>2.1999999999999999E-2</v>
      </c>
      <c r="F38" s="6"/>
      <c r="G38" s="20">
        <v>748756.09440000006</v>
      </c>
      <c r="H38" s="6"/>
      <c r="I38" s="30">
        <f t="shared" si="11"/>
        <v>67.709356015440719</v>
      </c>
      <c r="J38" s="293"/>
      <c r="K38" s="30">
        <f t="shared" si="12"/>
        <v>1.2791803346954129</v>
      </c>
      <c r="L38" s="294"/>
      <c r="M38" s="293">
        <f t="shared" si="5"/>
        <v>0</v>
      </c>
      <c r="N38" s="6"/>
      <c r="O38" s="295">
        <f>'(2.2)_Forward_Price_Curve'!Y42</f>
        <v>1.4335840474923813</v>
      </c>
      <c r="P38" s="6"/>
      <c r="Q38" s="30">
        <v>-41.10697094665376</v>
      </c>
      <c r="R38" s="6"/>
      <c r="S38" s="20">
        <f>(I38*$G$11*1000+(K38+M38+O38+Q38)*G38)/1000</f>
        <v>-15219.566822911325</v>
      </c>
      <c r="T38" s="6"/>
      <c r="U38" s="20">
        <f t="shared" ref="U38:U47" si="27">AX38</f>
        <v>39528.268917446287</v>
      </c>
      <c r="V38" s="6"/>
      <c r="W38" s="20">
        <f t="shared" ref="W38:W47" si="28">S38-U38</f>
        <v>-54747.835740357608</v>
      </c>
      <c r="X38" s="6"/>
      <c r="Y38" s="296">
        <f>+W38*1000/G38</f>
        <v>-73.118384143809379</v>
      </c>
      <c r="Z38" s="255"/>
      <c r="AB38" s="154">
        <f>+IF(AB37&gt;$G$13+$G$14,XX,AB37+1)</f>
        <v>2030</v>
      </c>
      <c r="AC38" s="124"/>
      <c r="AD38" s="159">
        <f t="shared" si="20"/>
        <v>748756.09440000006</v>
      </c>
      <c r="AE38" s="3"/>
      <c r="AF38" s="162">
        <f t="shared" si="13"/>
        <v>126.47990935873626</v>
      </c>
      <c r="AG38" s="3"/>
      <c r="AH38" s="162">
        <f t="shared" si="14"/>
        <v>25.334475349465635</v>
      </c>
      <c r="AI38" s="3"/>
      <c r="AJ38" s="162">
        <f t="shared" si="15"/>
        <v>2.5854343492878029</v>
      </c>
      <c r="AK38" s="3"/>
      <c r="AL38" s="161">
        <f t="shared" si="21"/>
        <v>20398.040319967928</v>
      </c>
      <c r="AM38" s="3"/>
      <c r="AN38" s="162">
        <f>INDEX('(2.2)_Forward_Price_Curve'!$G:$G,MATCH($AB38,'(2.2)_Forward_Price_Curve'!$C:$C,0),1)</f>
        <v>5.052529166666667</v>
      </c>
      <c r="AO38" s="3"/>
      <c r="AP38" s="162">
        <f t="shared" si="22"/>
        <v>33.189259528429758</v>
      </c>
      <c r="AQ38" s="3"/>
      <c r="AR38" s="162">
        <f t="shared" si="16"/>
        <v>2.9175241542359105</v>
      </c>
      <c r="AS38" s="162"/>
      <c r="AT38" s="161">
        <f t="shared" si="23"/>
        <v>12493.094585867882</v>
      </c>
      <c r="AU38" s="3"/>
      <c r="AV38" s="161">
        <f t="shared" si="24"/>
        <v>27035.174331578401</v>
      </c>
      <c r="AW38" s="299"/>
      <c r="AX38" s="163">
        <f t="shared" si="25"/>
        <v>39528.268917446287</v>
      </c>
      <c r="AZ38" s="154">
        <f>+IF(AZ37&gt;$G$13+$G$14,XX,AZ37+1)</f>
        <v>2030</v>
      </c>
      <c r="BA38" s="124"/>
      <c r="BB38" s="162">
        <f t="shared" si="17"/>
        <v>82.368212603506223</v>
      </c>
      <c r="BC38" s="3"/>
      <c r="BD38" s="162">
        <f t="shared" si="18"/>
        <v>5.4237246191085529</v>
      </c>
      <c r="BE38" s="3"/>
      <c r="BF38" s="161">
        <f t="shared" si="26"/>
        <v>7904.9457341000443</v>
      </c>
      <c r="BG38" s="297"/>
      <c r="BH38" s="164"/>
    </row>
    <row r="39" spans="2:60" ht="12">
      <c r="B39" s="2"/>
      <c r="C39" s="6">
        <f>+IF(C38&gt;$G$13+$G$14,XX,C38+1)</f>
        <v>2031</v>
      </c>
      <c r="D39" s="6"/>
      <c r="E39" s="292">
        <f>'(2.2)_Forward_Price_Curve'!P44</f>
        <v>2.1000000000000001E-2</v>
      </c>
      <c r="F39" s="6"/>
      <c r="G39" s="20">
        <v>748756.09440000006</v>
      </c>
      <c r="H39" s="6"/>
      <c r="I39" s="30">
        <f t="shared" si="11"/>
        <v>69.131252491764968</v>
      </c>
      <c r="J39" s="6"/>
      <c r="K39" s="30">
        <f t="shared" si="12"/>
        <v>1.3060431217240165</v>
      </c>
      <c r="L39" s="6"/>
      <c r="M39" s="293">
        <f t="shared" si="5"/>
        <v>0</v>
      </c>
      <c r="N39" s="6"/>
      <c r="O39" s="295">
        <f>'(2.2)_Forward_Price_Curve'!Y43</f>
        <v>1.4649463685254571</v>
      </c>
      <c r="P39" s="6"/>
      <c r="Q39" s="30"/>
      <c r="R39" s="6"/>
      <c r="S39" s="20">
        <f t="shared" ref="S39:S47" si="29">(I39*$G$11*1000+(K39+M39+O39+Q39)*G39)/1000</f>
        <v>15887.219516197285</v>
      </c>
      <c r="T39" s="6"/>
      <c r="U39" s="20">
        <f t="shared" si="27"/>
        <v>40512.049117001021</v>
      </c>
      <c r="V39" s="6"/>
      <c r="W39" s="20">
        <f t="shared" si="28"/>
        <v>-24624.829600803736</v>
      </c>
      <c r="X39" s="6"/>
      <c r="Y39" s="296">
        <f t="shared" ref="Y39:Y47" si="30">+W39*1000/G39</f>
        <v>-32.887651646476847</v>
      </c>
      <c r="Z39" s="255"/>
      <c r="AB39" s="154">
        <f>+IF(AB38&gt;$G$13+$G$14,XX,AB38+1)</f>
        <v>2031</v>
      </c>
      <c r="AC39" s="124"/>
      <c r="AD39" s="159">
        <f t="shared" si="20"/>
        <v>748756.09440000006</v>
      </c>
      <c r="AE39" s="3"/>
      <c r="AF39" s="162">
        <f t="shared" si="13"/>
        <v>129.13598745526971</v>
      </c>
      <c r="AG39" s="3"/>
      <c r="AH39" s="162">
        <f t="shared" si="14"/>
        <v>25.866499331804409</v>
      </c>
      <c r="AI39" s="3"/>
      <c r="AJ39" s="162">
        <f t="shared" si="15"/>
        <v>2.6397284706228463</v>
      </c>
      <c r="AK39" s="3"/>
      <c r="AL39" s="161">
        <f t="shared" si="21"/>
        <v>20826.399166687257</v>
      </c>
      <c r="AM39" s="3"/>
      <c r="AN39" s="162">
        <f>INDEX('(2.2)_Forward_Price_Curve'!$G:$G,MATCH($AB39,'(2.2)_Forward_Price_Curve'!$C:$C,0),1)</f>
        <v>5.1898791666666666</v>
      </c>
      <c r="AO39" s="3"/>
      <c r="AP39" s="162">
        <f t="shared" si="22"/>
        <v>34.091489806743468</v>
      </c>
      <c r="AQ39" s="3"/>
      <c r="AR39" s="162">
        <f t="shared" si="16"/>
        <v>2.9787921614748645</v>
      </c>
      <c r="AS39" s="162"/>
      <c r="AT39" s="161">
        <f t="shared" si="23"/>
        <v>12755.449572171114</v>
      </c>
      <c r="AU39" s="3"/>
      <c r="AV39" s="161">
        <f t="shared" si="24"/>
        <v>27756.599544829904</v>
      </c>
      <c r="AW39" s="299"/>
      <c r="AX39" s="163">
        <f t="shared" si="25"/>
        <v>40512.049117001021</v>
      </c>
      <c r="AZ39" s="154">
        <f>+IF(AZ38&gt;$G$13+$G$14,XX,AZ38+1)</f>
        <v>2031</v>
      </c>
      <c r="BA39" s="124"/>
      <c r="BB39" s="162">
        <f t="shared" si="17"/>
        <v>84.09794506817984</v>
      </c>
      <c r="BC39" s="3"/>
      <c r="BD39" s="162">
        <f t="shared" si="18"/>
        <v>5.5376228361098319</v>
      </c>
      <c r="BE39" s="3"/>
      <c r="BF39" s="161">
        <f t="shared" si="26"/>
        <v>8070.9495945161434</v>
      </c>
      <c r="BG39" s="3"/>
      <c r="BH39" s="165"/>
    </row>
    <row r="40" spans="2:60" ht="12">
      <c r="B40" s="2"/>
      <c r="C40" s="6">
        <f>+IF(C39&gt;$G$13+$G$14,XX,C39+1)</f>
        <v>2032</v>
      </c>
      <c r="D40" s="6"/>
      <c r="E40" s="292">
        <f>'(2.2)_Forward_Price_Curve'!P45</f>
        <v>2.1000000000000001E-2</v>
      </c>
      <c r="F40" s="6"/>
      <c r="G40" s="20">
        <v>748756.09440000006</v>
      </c>
      <c r="H40" s="6"/>
      <c r="I40" s="30">
        <f t="shared" si="11"/>
        <v>70.583008794092024</v>
      </c>
      <c r="J40" s="6"/>
      <c r="K40" s="30">
        <f t="shared" si="12"/>
        <v>1.3334700272802207</v>
      </c>
      <c r="L40" s="6"/>
      <c r="M40" s="293">
        <f t="shared" si="5"/>
        <v>0</v>
      </c>
      <c r="N40" s="6"/>
      <c r="O40" s="295">
        <f>'(2.2)_Forward_Price_Curve'!Y44</f>
        <v>1.4965465421812867</v>
      </c>
      <c r="P40" s="6"/>
      <c r="Q40" s="30"/>
      <c r="R40" s="6"/>
      <c r="S40" s="20">
        <f t="shared" si="29"/>
        <v>16221.477310696871</v>
      </c>
      <c r="T40" s="6"/>
      <c r="U40" s="20">
        <f t="shared" si="27"/>
        <v>41529.14873365841</v>
      </c>
      <c r="V40" s="6"/>
      <c r="W40" s="20">
        <f t="shared" si="28"/>
        <v>-25307.671422961539</v>
      </c>
      <c r="X40" s="6"/>
      <c r="Y40" s="296">
        <f t="shared" si="30"/>
        <v>-33.799619945986962</v>
      </c>
      <c r="Z40" s="255"/>
      <c r="AB40" s="154">
        <f>+IF(AB39&gt;$G$13+$G$14,XX,AB39+1)</f>
        <v>2032</v>
      </c>
      <c r="AC40" s="124"/>
      <c r="AD40" s="159">
        <f t="shared" si="20"/>
        <v>748756.09440000006</v>
      </c>
      <c r="AE40" s="3"/>
      <c r="AF40" s="162">
        <f t="shared" si="13"/>
        <v>131.84784319183038</v>
      </c>
      <c r="AG40" s="3"/>
      <c r="AH40" s="162">
        <f t="shared" si="14"/>
        <v>26.409695817772299</v>
      </c>
      <c r="AI40" s="3"/>
      <c r="AJ40" s="162">
        <f t="shared" si="15"/>
        <v>2.6951627685059258</v>
      </c>
      <c r="AK40" s="3"/>
      <c r="AL40" s="161">
        <f t="shared" si="21"/>
        <v>21263.753549187688</v>
      </c>
      <c r="AM40" s="3"/>
      <c r="AN40" s="162">
        <f>INDEX('(2.2)_Forward_Price_Curve'!$G:$G,MATCH($AB40,'(2.2)_Forward_Price_Curve'!$C:$C,0),1)</f>
        <v>5.3326874999999996</v>
      </c>
      <c r="AO40" s="3"/>
      <c r="AP40" s="162">
        <f t="shared" si="22"/>
        <v>35.029575007535975</v>
      </c>
      <c r="AQ40" s="3"/>
      <c r="AR40" s="162">
        <f t="shared" si="16"/>
        <v>3.0413467968658363</v>
      </c>
      <c r="AS40" s="162"/>
      <c r="AT40" s="161">
        <f t="shared" si="23"/>
        <v>13023.314013186706</v>
      </c>
      <c r="AU40" s="3"/>
      <c r="AV40" s="161">
        <f t="shared" si="24"/>
        <v>28505.834720471707</v>
      </c>
      <c r="AW40" s="299"/>
      <c r="AX40" s="163">
        <f t="shared" si="25"/>
        <v>41529.14873365841</v>
      </c>
      <c r="AZ40" s="154">
        <f>+IF(AZ39&gt;$G$13+$G$14,XX,AZ39+1)</f>
        <v>2032</v>
      </c>
      <c r="BA40" s="124"/>
      <c r="BB40" s="162">
        <f t="shared" si="17"/>
        <v>85.864001914611606</v>
      </c>
      <c r="BC40" s="3"/>
      <c r="BD40" s="162">
        <f t="shared" si="18"/>
        <v>5.6539129156681378</v>
      </c>
      <c r="BE40" s="3"/>
      <c r="BF40" s="161">
        <f t="shared" si="26"/>
        <v>8240.4395360009821</v>
      </c>
      <c r="BG40" s="3"/>
      <c r="BH40" s="165"/>
    </row>
    <row r="41" spans="2:60" ht="12">
      <c r="B41" s="2"/>
      <c r="C41" s="6">
        <f>+IF(C40&gt;$G$13+$G$14,XX,C40+1)</f>
        <v>2033</v>
      </c>
      <c r="D41" s="6"/>
      <c r="E41" s="292">
        <f>'(2.2)_Forward_Price_Curve'!P46</f>
        <v>2.1000000000000001E-2</v>
      </c>
      <c r="F41" s="6"/>
      <c r="G41" s="20">
        <v>748756.09440000006</v>
      </c>
      <c r="H41" s="6"/>
      <c r="I41" s="30">
        <f t="shared" si="11"/>
        <v>72.065251978767947</v>
      </c>
      <c r="J41" s="6"/>
      <c r="K41" s="30">
        <f t="shared" si="12"/>
        <v>1.3614728978531052</v>
      </c>
      <c r="L41" s="6"/>
      <c r="M41" s="293">
        <f t="shared" si="5"/>
        <v>0</v>
      </c>
      <c r="N41" s="6"/>
      <c r="O41" s="295">
        <f>'(2.2)_Forward_Price_Curve'!Y45</f>
        <v>1.5286401492284176</v>
      </c>
      <c r="P41" s="6"/>
      <c r="Q41" s="30"/>
      <c r="R41" s="6"/>
      <c r="S41" s="20">
        <f t="shared" si="29"/>
        <v>16562.627102865081</v>
      </c>
      <c r="T41" s="6"/>
      <c r="U41" s="20">
        <f t="shared" si="27"/>
        <v>42756.21491391668</v>
      </c>
      <c r="V41" s="6"/>
      <c r="W41" s="20">
        <f t="shared" si="28"/>
        <v>-26193.587811051599</v>
      </c>
      <c r="X41" s="6"/>
      <c r="Y41" s="296">
        <f t="shared" si="30"/>
        <v>-34.982804156060034</v>
      </c>
      <c r="Z41" s="255"/>
      <c r="AB41" s="154">
        <f>+IF(AB40&gt;$G$13+$G$14,XX,AB40+1)</f>
        <v>2033</v>
      </c>
      <c r="AC41" s="124"/>
      <c r="AD41" s="159">
        <f t="shared" si="20"/>
        <v>748756.09440000006</v>
      </c>
      <c r="AE41" s="3"/>
      <c r="AF41" s="162">
        <f t="shared" si="13"/>
        <v>134.61664789885882</v>
      </c>
      <c r="AG41" s="3"/>
      <c r="AH41" s="162">
        <f t="shared" si="14"/>
        <v>26.964299429945516</v>
      </c>
      <c r="AI41" s="3"/>
      <c r="AJ41" s="162">
        <f t="shared" si="15"/>
        <v>2.7517611866445502</v>
      </c>
      <c r="AK41" s="3"/>
      <c r="AL41" s="161">
        <f t="shared" si="21"/>
        <v>21710.292373720629</v>
      </c>
      <c r="AM41" s="3"/>
      <c r="AN41" s="162">
        <f>INDEX('(2.2)_Forward_Price_Curve'!$G:$G,MATCH($AB41,'(2.2)_Forward_Price_Curve'!$C:$C,0),1)</f>
        <v>5.5168416666666671</v>
      </c>
      <c r="AO41" s="3"/>
      <c r="AP41" s="162">
        <f t="shared" si="22"/>
        <v>36.239254403562896</v>
      </c>
      <c r="AQ41" s="3"/>
      <c r="AR41" s="162">
        <f t="shared" si="16"/>
        <v>3.1052150796000184</v>
      </c>
      <c r="AS41" s="162"/>
      <c r="AT41" s="161">
        <f t="shared" si="23"/>
        <v>13296.803607463627</v>
      </c>
      <c r="AU41" s="3"/>
      <c r="AV41" s="161">
        <f t="shared" si="24"/>
        <v>29459.41130645305</v>
      </c>
      <c r="AW41" s="299"/>
      <c r="AX41" s="163">
        <f t="shared" si="25"/>
        <v>42756.21491391668</v>
      </c>
      <c r="AZ41" s="154">
        <f>+IF(AZ40&gt;$G$13+$G$14,XX,AZ40+1)</f>
        <v>2033</v>
      </c>
      <c r="BA41" s="124"/>
      <c r="BB41" s="162">
        <f t="shared" si="17"/>
        <v>87.667145954818437</v>
      </c>
      <c r="BC41" s="3"/>
      <c r="BD41" s="162">
        <f t="shared" si="18"/>
        <v>5.7726450868971684</v>
      </c>
      <c r="BE41" s="3"/>
      <c r="BF41" s="161">
        <f t="shared" si="26"/>
        <v>8413.4887662570018</v>
      </c>
      <c r="BG41" s="3"/>
      <c r="BH41" s="165"/>
    </row>
    <row r="42" spans="2:60" ht="12">
      <c r="B42" s="2"/>
      <c r="C42" s="6">
        <f>+IF(C41&gt;$G$13+$G$14,XX,C41+1)</f>
        <v>2034</v>
      </c>
      <c r="D42" s="6"/>
      <c r="E42" s="292">
        <f>'(2.2)_Forward_Price_Curve'!P47</f>
        <v>2.1000000000000001E-2</v>
      </c>
      <c r="F42" s="6"/>
      <c r="G42" s="20">
        <v>748756.09440000006</v>
      </c>
      <c r="H42" s="6"/>
      <c r="I42" s="30">
        <f t="shared" si="11"/>
        <v>73.578622270322072</v>
      </c>
      <c r="J42" s="6"/>
      <c r="K42" s="30">
        <f t="shared" si="12"/>
        <v>1.3900638287080203</v>
      </c>
      <c r="L42" s="6"/>
      <c r="M42" s="293">
        <f t="shared" si="5"/>
        <v>0</v>
      </c>
      <c r="N42" s="6"/>
      <c r="O42" s="295">
        <f>'(2.2)_Forward_Price_Curve'!Y46</f>
        <v>1.5607569013547813</v>
      </c>
      <c r="P42" s="6"/>
      <c r="Q42" s="30"/>
      <c r="R42" s="6"/>
      <c r="S42" s="20">
        <f t="shared" si="29"/>
        <v>16910.453734726732</v>
      </c>
      <c r="T42" s="6"/>
      <c r="U42" s="20">
        <f t="shared" si="27"/>
        <v>43927.564196431573</v>
      </c>
      <c r="V42" s="6"/>
      <c r="W42" s="20">
        <f t="shared" si="28"/>
        <v>-27017.11046170484</v>
      </c>
      <c r="X42" s="6"/>
      <c r="Y42" s="296">
        <f t="shared" si="30"/>
        <v>-36.082658510251498</v>
      </c>
      <c r="Z42" s="255"/>
      <c r="AB42" s="154">
        <f>+IF(AB41&gt;$G$13+$G$14,XX,AB41+1)</f>
        <v>2034</v>
      </c>
      <c r="AC42" s="124"/>
      <c r="AD42" s="159">
        <f t="shared" si="20"/>
        <v>748756.09440000006</v>
      </c>
      <c r="AE42" s="3"/>
      <c r="AF42" s="162">
        <f t="shared" si="13"/>
        <v>137.44359750473484</v>
      </c>
      <c r="AG42" s="3"/>
      <c r="AH42" s="162">
        <f t="shared" si="14"/>
        <v>27.53054971797437</v>
      </c>
      <c r="AI42" s="3"/>
      <c r="AJ42" s="162">
        <f t="shared" si="15"/>
        <v>2.8095481715640855</v>
      </c>
      <c r="AK42" s="3"/>
      <c r="AL42" s="161">
        <f t="shared" si="21"/>
        <v>22166.208513568763</v>
      </c>
      <c r="AM42" s="3"/>
      <c r="AN42" s="162">
        <f>INDEX('(2.2)_Forward_Price_Curve'!$G:$G,MATCH($AB42,'(2.2)_Forward_Price_Curve'!$C:$C,0),1)</f>
        <v>5.688295833333334</v>
      </c>
      <c r="AO42" s="3"/>
      <c r="AP42" s="162">
        <f t="shared" si="22"/>
        <v>37.365509521944496</v>
      </c>
      <c r="AQ42" s="3"/>
      <c r="AR42" s="162">
        <f t="shared" si="16"/>
        <v>3.1704245962716184</v>
      </c>
      <c r="AS42" s="162"/>
      <c r="AT42" s="161">
        <f t="shared" si="23"/>
        <v>13576.036483220367</v>
      </c>
      <c r="AU42" s="3"/>
      <c r="AV42" s="161">
        <f t="shared" si="24"/>
        <v>30351.527713211206</v>
      </c>
      <c r="AW42" s="299"/>
      <c r="AX42" s="163">
        <f t="shared" si="25"/>
        <v>43927.564196431573</v>
      </c>
      <c r="AZ42" s="154">
        <f>+IF(AZ41&gt;$G$13+$G$14,XX,AZ41+1)</f>
        <v>2034</v>
      </c>
      <c r="BA42" s="124"/>
      <c r="BB42" s="162">
        <f t="shared" si="17"/>
        <v>89.508156019869617</v>
      </c>
      <c r="BC42" s="3"/>
      <c r="BD42" s="162">
        <f t="shared" si="18"/>
        <v>5.8938706337220088</v>
      </c>
      <c r="BE42" s="3"/>
      <c r="BF42" s="161">
        <f t="shared" si="26"/>
        <v>8590.1720303483962</v>
      </c>
      <c r="BG42" s="3"/>
      <c r="BH42" s="165"/>
    </row>
    <row r="43" spans="2:60" ht="12">
      <c r="B43" s="2"/>
      <c r="C43" s="6">
        <f>+IF(C42&gt;$G$13+$G$14,XX,C42+1)</f>
        <v>2035</v>
      </c>
      <c r="D43" s="6"/>
      <c r="E43" s="292">
        <f>'(2.2)_Forward_Price_Curve'!P48</f>
        <v>2.1000000000000001E-2</v>
      </c>
      <c r="F43" s="6"/>
      <c r="G43" s="20">
        <v>748756.09440000006</v>
      </c>
      <c r="H43" s="6"/>
      <c r="I43" s="30">
        <f t="shared" si="11"/>
        <v>75.123773337998827</v>
      </c>
      <c r="J43" s="6"/>
      <c r="K43" s="30">
        <f t="shared" si="12"/>
        <v>1.4192551691108886</v>
      </c>
      <c r="L43" s="6"/>
      <c r="M43" s="293">
        <f t="shared" si="5"/>
        <v>0</v>
      </c>
      <c r="N43" s="6"/>
      <c r="O43" s="295">
        <f>'(2.2)_Forward_Price_Curve'!Y47</f>
        <v>1.5935251628391218</v>
      </c>
      <c r="P43" s="6"/>
      <c r="Q43" s="30"/>
      <c r="R43" s="6"/>
      <c r="S43" s="20">
        <f t="shared" si="29"/>
        <v>17265.567547568189</v>
      </c>
      <c r="T43" s="6"/>
      <c r="U43" s="20">
        <f t="shared" si="27"/>
        <v>45038.17389698355</v>
      </c>
      <c r="V43" s="6"/>
      <c r="W43" s="20">
        <f t="shared" si="28"/>
        <v>-27772.60634941536</v>
      </c>
      <c r="X43" s="6"/>
      <c r="Y43" s="296">
        <f t="shared" si="30"/>
        <v>-37.091659830388899</v>
      </c>
      <c r="Z43" s="255"/>
      <c r="AB43" s="154">
        <f>+IF(AB42&gt;$G$13+$G$14,XX,AB42+1)</f>
        <v>2035</v>
      </c>
      <c r="AC43" s="124"/>
      <c r="AD43" s="159">
        <f t="shared" si="20"/>
        <v>748756.09440000006</v>
      </c>
      <c r="AE43" s="3"/>
      <c r="AF43" s="162">
        <f t="shared" si="13"/>
        <v>140.32991305233426</v>
      </c>
      <c r="AG43" s="3"/>
      <c r="AH43" s="162">
        <f t="shared" si="14"/>
        <v>28.108691262051831</v>
      </c>
      <c r="AI43" s="3"/>
      <c r="AJ43" s="162">
        <f t="shared" si="15"/>
        <v>2.8685486831669311</v>
      </c>
      <c r="AK43" s="3"/>
      <c r="AL43" s="161">
        <f t="shared" si="21"/>
        <v>22631.698892353703</v>
      </c>
      <c r="AM43" s="3"/>
      <c r="AN43" s="162">
        <f>INDEX('(2.2)_Forward_Price_Curve'!$G:$G,MATCH($AB43,'(2.2)_Forward_Price_Curve'!$C:$C,0),1)</f>
        <v>5.846000000000001</v>
      </c>
      <c r="AO43" s="3"/>
      <c r="AP43" s="162">
        <f t="shared" si="22"/>
        <v>38.401443079883336</v>
      </c>
      <c r="AQ43" s="3"/>
      <c r="AR43" s="162">
        <f t="shared" si="16"/>
        <v>3.2370035127933221</v>
      </c>
      <c r="AS43" s="162"/>
      <c r="AT43" s="161">
        <f t="shared" si="23"/>
        <v>13861.133249367989</v>
      </c>
      <c r="AU43" s="3"/>
      <c r="AV43" s="161">
        <f t="shared" si="24"/>
        <v>31177.040647615562</v>
      </c>
      <c r="AW43" s="299"/>
      <c r="AX43" s="163">
        <f t="shared" si="25"/>
        <v>45038.17389698355</v>
      </c>
      <c r="AZ43" s="154">
        <f>+IF(AZ42&gt;$G$13+$G$14,XX,AZ42+1)</f>
        <v>2035</v>
      </c>
      <c r="BA43" s="124"/>
      <c r="BB43" s="162">
        <f t="shared" si="17"/>
        <v>91.387827296286872</v>
      </c>
      <c r="BC43" s="3"/>
      <c r="BD43" s="162">
        <f t="shared" si="18"/>
        <v>6.0176419170301703</v>
      </c>
      <c r="BE43" s="3"/>
      <c r="BF43" s="161">
        <f t="shared" si="26"/>
        <v>8770.5656429857136</v>
      </c>
      <c r="BG43" s="3"/>
      <c r="BH43" s="165"/>
    </row>
    <row r="44" spans="2:60" ht="12">
      <c r="B44" s="2"/>
      <c r="C44" s="6">
        <f>+IF(C43&gt;$G$13+$G$14,XX,C43+1)</f>
        <v>2036</v>
      </c>
      <c r="D44" s="6"/>
      <c r="E44" s="292">
        <f>'(2.2)_Forward_Price_Curve'!P49</f>
        <v>2.1000000000000001E-2</v>
      </c>
      <c r="F44" s="6"/>
      <c r="G44" s="20">
        <v>748756.09440000006</v>
      </c>
      <c r="H44" s="6"/>
      <c r="I44" s="30">
        <f t="shared" si="11"/>
        <v>76.701372578096795</v>
      </c>
      <c r="J44" s="6"/>
      <c r="K44" s="30">
        <f t="shared" si="12"/>
        <v>1.4490595276622171</v>
      </c>
      <c r="L44" s="6"/>
      <c r="M44" s="293">
        <f t="shared" si="5"/>
        <v>0</v>
      </c>
      <c r="N44" s="6"/>
      <c r="O44" s="295">
        <f>'(2.2)_Forward_Price_Curve'!Y48</f>
        <v>1.6267336732773778</v>
      </c>
      <c r="P44" s="6"/>
      <c r="Q44" s="30"/>
      <c r="R44" s="6"/>
      <c r="S44" s="20">
        <f t="shared" si="29"/>
        <v>17627.953145421347</v>
      </c>
      <c r="T44" s="6"/>
      <c r="U44" s="20">
        <f t="shared" si="27"/>
        <v>46490.518680884154</v>
      </c>
      <c r="V44" s="6"/>
      <c r="W44" s="20">
        <f t="shared" si="28"/>
        <v>-28862.565535462807</v>
      </c>
      <c r="X44" s="6"/>
      <c r="Y44" s="296">
        <f t="shared" si="30"/>
        <v>-38.547353071751914</v>
      </c>
      <c r="Z44" s="255"/>
      <c r="AB44" s="154">
        <f>+IF(AB43&gt;$G$13+$G$14,XX,AB43+1)</f>
        <v>2036</v>
      </c>
      <c r="AC44" s="124"/>
      <c r="AD44" s="159">
        <f t="shared" si="20"/>
        <v>748756.09440000006</v>
      </c>
      <c r="AE44" s="3"/>
      <c r="AF44" s="162">
        <f t="shared" si="13"/>
        <v>143.27684122643328</v>
      </c>
      <c r="AG44" s="3"/>
      <c r="AH44" s="162">
        <f t="shared" si="14"/>
        <v>28.698973778554919</v>
      </c>
      <c r="AI44" s="3"/>
      <c r="AJ44" s="162">
        <f t="shared" si="15"/>
        <v>2.9287882055134364</v>
      </c>
      <c r="AK44" s="3"/>
      <c r="AL44" s="161">
        <f t="shared" si="21"/>
        <v>23106.964569093132</v>
      </c>
      <c r="AM44" s="3"/>
      <c r="AN44" s="162">
        <f>INDEX('(2.2)_Forward_Price_Curve'!$G:$G,MATCH($AB44,'(2.2)_Forward_Price_Curve'!$C:$C,0),1)</f>
        <v>6.0717541666666675</v>
      </c>
      <c r="AO44" s="3"/>
      <c r="AP44" s="162">
        <f t="shared" si="22"/>
        <v>39.88438625150436</v>
      </c>
      <c r="AQ44" s="3"/>
      <c r="AR44" s="162">
        <f t="shared" si="16"/>
        <v>3.3049805865619817</v>
      </c>
      <c r="AS44" s="162"/>
      <c r="AT44" s="161">
        <f t="shared" si="23"/>
        <v>14152.217047604719</v>
      </c>
      <c r="AU44" s="3"/>
      <c r="AV44" s="161">
        <f t="shared" si="24"/>
        <v>32338.301633279436</v>
      </c>
      <c r="AW44" s="299"/>
      <c r="AX44" s="163">
        <f t="shared" si="25"/>
        <v>46490.518680884154</v>
      </c>
      <c r="AZ44" s="154">
        <f>+IF(AZ43&gt;$G$13+$G$14,XX,AZ43+1)</f>
        <v>2036</v>
      </c>
      <c r="BA44" s="124"/>
      <c r="BB44" s="162">
        <f t="shared" si="17"/>
        <v>93.306971669508883</v>
      </c>
      <c r="BC44" s="3"/>
      <c r="BD44" s="162">
        <f t="shared" si="18"/>
        <v>6.1440123972878036</v>
      </c>
      <c r="BE44" s="3"/>
      <c r="BF44" s="161">
        <f t="shared" si="26"/>
        <v>8954.7475214884125</v>
      </c>
      <c r="BG44" s="3"/>
      <c r="BH44" s="165"/>
    </row>
    <row r="45" spans="2:60" ht="12">
      <c r="B45" s="2"/>
      <c r="C45" s="6">
        <f>+IF(C44&gt;$G$13+$G$14,XX,C44+1)</f>
        <v>2037</v>
      </c>
      <c r="D45" s="6"/>
      <c r="E45" s="292">
        <f>'(2.2)_Forward_Price_Curve'!P50</f>
        <v>2.1000000000000001E-2</v>
      </c>
      <c r="F45" s="6"/>
      <c r="G45" s="20">
        <v>748756.09440000006</v>
      </c>
      <c r="H45" s="6"/>
      <c r="I45" s="30">
        <f t="shared" si="11"/>
        <v>78.31210140223682</v>
      </c>
      <c r="J45" s="6"/>
      <c r="K45" s="30">
        <f t="shared" si="12"/>
        <v>1.4794897777431235</v>
      </c>
      <c r="L45" s="6"/>
      <c r="M45" s="293">
        <f t="shared" si="5"/>
        <v>0</v>
      </c>
      <c r="N45" s="6"/>
      <c r="O45" s="295">
        <f>'(2.2)_Forward_Price_Curve'!Y49</f>
        <v>1.6606577113778709</v>
      </c>
      <c r="P45" s="6"/>
      <c r="Q45" s="30"/>
      <c r="R45" s="6"/>
      <c r="S45" s="20">
        <f t="shared" si="29"/>
        <v>17997.962429961121</v>
      </c>
      <c r="T45" s="6"/>
      <c r="U45" s="20">
        <f t="shared" si="27"/>
        <v>47667.459092928926</v>
      </c>
      <c r="V45" s="6"/>
      <c r="W45" s="20">
        <f t="shared" si="28"/>
        <v>-29669.496662967806</v>
      </c>
      <c r="X45" s="6"/>
      <c r="Y45" s="296">
        <f t="shared" si="30"/>
        <v>-39.625048643834852</v>
      </c>
      <c r="Z45" s="255"/>
      <c r="AB45" s="154">
        <f>+IF(AB44&gt;$G$13+$G$14,XX,AB44+1)</f>
        <v>2037</v>
      </c>
      <c r="AC45" s="124"/>
      <c r="AD45" s="159">
        <f t="shared" si="20"/>
        <v>748756.09440000006</v>
      </c>
      <c r="AE45" s="3"/>
      <c r="AF45" s="162">
        <f t="shared" si="13"/>
        <v>146.28565489218838</v>
      </c>
      <c r="AG45" s="3"/>
      <c r="AH45" s="162">
        <f t="shared" si="14"/>
        <v>29.301652227904569</v>
      </c>
      <c r="AI45" s="3"/>
      <c r="AJ45" s="162">
        <f t="shared" si="15"/>
        <v>2.9902927578292182</v>
      </c>
      <c r="AK45" s="3"/>
      <c r="AL45" s="161">
        <f t="shared" si="21"/>
        <v>23592.210825044083</v>
      </c>
      <c r="AM45" s="3"/>
      <c r="AN45" s="162">
        <f>INDEX('(2.2)_Forward_Price_Curve'!$G:$G,MATCH($AB45,'(2.2)_Forward_Price_Curve'!$C:$C,0),1)</f>
        <v>6.240054166666666</v>
      </c>
      <c r="AO45" s="3"/>
      <c r="AP45" s="162">
        <f t="shared" si="22"/>
        <v>40.989922151323775</v>
      </c>
      <c r="AQ45" s="3"/>
      <c r="AR45" s="162">
        <f t="shared" si="16"/>
        <v>3.3743851788797832</v>
      </c>
      <c r="AS45" s="162"/>
      <c r="AT45" s="161">
        <f t="shared" si="23"/>
        <v>14449.413605604415</v>
      </c>
      <c r="AU45" s="3"/>
      <c r="AV45" s="161">
        <f t="shared" si="24"/>
        <v>33218.045487324511</v>
      </c>
      <c r="AW45" s="299"/>
      <c r="AX45" s="163">
        <f t="shared" si="25"/>
        <v>47667.459092928926</v>
      </c>
      <c r="AZ45" s="154">
        <f>+IF(AZ44&gt;$G$13+$G$14,XX,AZ44+1)</f>
        <v>2037</v>
      </c>
      <c r="BA45" s="124"/>
      <c r="BB45" s="162">
        <f t="shared" si="17"/>
        <v>95.266418074568563</v>
      </c>
      <c r="BC45" s="3"/>
      <c r="BD45" s="162">
        <f t="shared" si="18"/>
        <v>6.2730366576308469</v>
      </c>
      <c r="BE45" s="3"/>
      <c r="BF45" s="161">
        <f t="shared" si="26"/>
        <v>9142.797219439668</v>
      </c>
      <c r="BG45" s="3"/>
      <c r="BH45" s="165"/>
    </row>
    <row r="46" spans="2:60" ht="12">
      <c r="B46" s="2"/>
      <c r="C46" s="6">
        <f>+IF(C45&gt;$G$13+$G$14,XX,C45+1)</f>
        <v>2038</v>
      </c>
      <c r="D46" s="6"/>
      <c r="E46" s="292">
        <f>'(2.2)_Forward_Price_Curve'!P51</f>
        <v>2.1000000000000001E-2</v>
      </c>
      <c r="F46" s="6"/>
      <c r="G46" s="20">
        <v>748756.09440000006</v>
      </c>
      <c r="H46" s="6"/>
      <c r="I46" s="30">
        <f t="shared" si="11"/>
        <v>79.956655531683779</v>
      </c>
      <c r="J46" s="6"/>
      <c r="K46" s="30">
        <f t="shared" si="12"/>
        <v>1.5105590630757291</v>
      </c>
      <c r="L46" s="6"/>
      <c r="M46" s="293">
        <f t="shared" si="5"/>
        <v>0</v>
      </c>
      <c r="N46" s="6"/>
      <c r="O46" s="295">
        <f>'(2.2)_Forward_Price_Curve'!Y50</f>
        <v>1.6953423361778306</v>
      </c>
      <c r="P46" s="6"/>
      <c r="Q46" s="30"/>
      <c r="R46" s="6"/>
      <c r="S46" s="20">
        <f t="shared" si="29"/>
        <v>18375.777985967012</v>
      </c>
      <c r="T46" s="6"/>
      <c r="U46" s="20">
        <f t="shared" si="27"/>
        <v>49599.583716883782</v>
      </c>
      <c r="V46" s="6"/>
      <c r="W46" s="20">
        <f t="shared" si="28"/>
        <v>-31223.805730916771</v>
      </c>
      <c r="X46" s="6"/>
      <c r="Y46" s="296">
        <f t="shared" si="30"/>
        <v>-41.700903624613986</v>
      </c>
      <c r="Z46" s="255"/>
      <c r="AB46" s="154">
        <f>+IF(AB45&gt;$G$13+$G$14,XX,AB45+1)</f>
        <v>2038</v>
      </c>
      <c r="AC46" s="124"/>
      <c r="AD46" s="159">
        <f t="shared" si="20"/>
        <v>748756.09440000006</v>
      </c>
      <c r="AE46" s="3"/>
      <c r="AF46" s="162">
        <f t="shared" si="13"/>
        <v>149.35765364492431</v>
      </c>
      <c r="AG46" s="3"/>
      <c r="AH46" s="162">
        <f t="shared" si="14"/>
        <v>29.916986924690562</v>
      </c>
      <c r="AI46" s="3"/>
      <c r="AJ46" s="162">
        <f t="shared" si="15"/>
        <v>3.0530889057436315</v>
      </c>
      <c r="AK46" s="3"/>
      <c r="AL46" s="161">
        <f t="shared" si="21"/>
        <v>24087.647252370003</v>
      </c>
      <c r="AM46" s="3"/>
      <c r="AN46" s="162">
        <f>INDEX('(2.2)_Forward_Price_Curve'!$G:$G,MATCH($AB46,'(2.2)_Forward_Price_Curve'!$C:$C,0),1)</f>
        <v>6.5604041666666673</v>
      </c>
      <c r="AO46" s="3"/>
      <c r="AP46" s="162">
        <f t="shared" si="22"/>
        <v>43.09425028862119</v>
      </c>
      <c r="AQ46" s="3"/>
      <c r="AR46" s="162">
        <f t="shared" si="16"/>
        <v>3.4452472676362582</v>
      </c>
      <c r="AS46" s="162"/>
      <c r="AT46" s="161">
        <f t="shared" si="23"/>
        <v>14752.851291322104</v>
      </c>
      <c r="AU46" s="3"/>
      <c r="AV46" s="161">
        <f t="shared" si="24"/>
        <v>34846.732425561677</v>
      </c>
      <c r="AW46" s="299"/>
      <c r="AX46" s="163">
        <f t="shared" si="25"/>
        <v>49599.583716883782</v>
      </c>
      <c r="AZ46" s="154">
        <f>+IF(AZ45&gt;$G$13+$G$14,XX,AZ45+1)</f>
        <v>2038</v>
      </c>
      <c r="BA46" s="124"/>
      <c r="BB46" s="162">
        <f t="shared" si="17"/>
        <v>97.267012854134492</v>
      </c>
      <c r="BC46" s="3"/>
      <c r="BD46" s="162">
        <f t="shared" si="18"/>
        <v>6.4047704274410941</v>
      </c>
      <c r="BE46" s="3"/>
      <c r="BF46" s="161">
        <f t="shared" si="26"/>
        <v>9334.7959610478993</v>
      </c>
      <c r="BG46" s="3"/>
      <c r="BH46" s="165"/>
    </row>
    <row r="47" spans="2:60" ht="12">
      <c r="B47" s="2"/>
      <c r="C47" s="6">
        <f>+IF(C46&gt;$G$13+$G$14,XX,C46+1)</f>
        <v>2039</v>
      </c>
      <c r="D47" s="6"/>
      <c r="E47" s="292">
        <f>'(2.2)_Forward_Price_Curve'!P52</f>
        <v>2.1000000000000001E-2</v>
      </c>
      <c r="F47" s="6"/>
      <c r="G47" s="20">
        <v>748756.09440000006</v>
      </c>
      <c r="H47" s="6"/>
      <c r="I47" s="30">
        <f t="shared" si="11"/>
        <v>81.635745297849127</v>
      </c>
      <c r="J47" s="6"/>
      <c r="K47" s="30">
        <f t="shared" si="12"/>
        <v>1.5422808034003193</v>
      </c>
      <c r="L47" s="6"/>
      <c r="M47" s="293">
        <f t="shared" si="5"/>
        <v>0</v>
      </c>
      <c r="N47" s="6"/>
      <c r="O47" s="295">
        <f>'(2.2)_Forward_Price_Curve'!Y51</f>
        <v>1.730529504666237</v>
      </c>
      <c r="P47" s="6"/>
      <c r="Q47" s="30"/>
      <c r="R47" s="6"/>
      <c r="S47" s="20">
        <f t="shared" si="29"/>
        <v>18761.358574490234</v>
      </c>
      <c r="T47" s="6"/>
      <c r="U47" s="20">
        <f t="shared" si="27"/>
        <v>51005.521404124207</v>
      </c>
      <c r="V47" s="6"/>
      <c r="W47" s="20">
        <f t="shared" si="28"/>
        <v>-32244.162829633973</v>
      </c>
      <c r="X47" s="6"/>
      <c r="Y47" s="296">
        <f t="shared" si="30"/>
        <v>-43.063639909965815</v>
      </c>
      <c r="Z47" s="255"/>
      <c r="AB47" s="154">
        <f>+IF(AB46&gt;$G$13+$G$14,XX,AB46+1)</f>
        <v>2039</v>
      </c>
      <c r="AC47" s="124"/>
      <c r="AD47" s="159">
        <f t="shared" si="20"/>
        <v>748756.09440000006</v>
      </c>
      <c r="AE47" s="3"/>
      <c r="AF47" s="162">
        <f t="shared" si="13"/>
        <v>152.49416437146772</v>
      </c>
      <c r="AG47" s="3"/>
      <c r="AH47" s="162">
        <f t="shared" si="14"/>
        <v>30.545243650109061</v>
      </c>
      <c r="AI47" s="3"/>
      <c r="AJ47" s="162">
        <f t="shared" si="15"/>
        <v>3.1172037727642476</v>
      </c>
      <c r="AK47" s="3"/>
      <c r="AL47" s="161">
        <f t="shared" si="21"/>
        <v>24593.487844669777</v>
      </c>
      <c r="AM47" s="3"/>
      <c r="AN47" s="162">
        <f>INDEX('(2.2)_Forward_Price_Curve'!$G:$G,MATCH($AB47,'(2.2)_Forward_Price_Curve'!$C:$C,0),1)</f>
        <v>6.7722499999999988</v>
      </c>
      <c r="AO47" s="3"/>
      <c r="AP47" s="162">
        <f t="shared" si="22"/>
        <v>44.485831833345848</v>
      </c>
      <c r="AQ47" s="3"/>
      <c r="AR47" s="162">
        <f t="shared" si="16"/>
        <v>3.5175974602566193</v>
      </c>
      <c r="AS47" s="162"/>
      <c r="AT47" s="161">
        <f t="shared" si="23"/>
        <v>15062.661168439872</v>
      </c>
      <c r="AU47" s="3"/>
      <c r="AV47" s="161">
        <f t="shared" si="24"/>
        <v>35942.860235684333</v>
      </c>
      <c r="AW47" s="299"/>
      <c r="AX47" s="163">
        <f t="shared" si="25"/>
        <v>51005.521404124207</v>
      </c>
      <c r="AZ47" s="154">
        <f>+IF(AZ46&gt;$G$13+$G$14,XX,AZ46+1)</f>
        <v>2039</v>
      </c>
      <c r="BA47" s="124"/>
      <c r="BB47" s="162">
        <f t="shared" si="17"/>
        <v>99.309620124071301</v>
      </c>
      <c r="BC47" s="3"/>
      <c r="BD47" s="162">
        <f t="shared" si="18"/>
        <v>6.5392706064173565</v>
      </c>
      <c r="BE47" s="3"/>
      <c r="BF47" s="161">
        <f t="shared" si="26"/>
        <v>9530.8266762299045</v>
      </c>
      <c r="BG47" s="3"/>
      <c r="BH47" s="165"/>
    </row>
    <row r="48" spans="2:60" ht="12">
      <c r="B48" s="2"/>
      <c r="C48" s="6">
        <f>+IF(C47&gt;$G$13+$G$14,XX,C47+1)</f>
        <v>2040</v>
      </c>
      <c r="D48" s="6"/>
      <c r="E48" s="292">
        <f>'(2.2)_Forward_Price_Curve'!P43</f>
        <v>2.1999999999999999E-2</v>
      </c>
      <c r="F48" s="6"/>
      <c r="G48" s="20">
        <v>748756.09440000006</v>
      </c>
      <c r="H48" s="6"/>
      <c r="I48" s="30">
        <f t="shared" si="11"/>
        <v>83.431731694401805</v>
      </c>
      <c r="J48" s="6"/>
      <c r="K48" s="30">
        <f t="shared" si="12"/>
        <v>1.5762109810751264</v>
      </c>
      <c r="L48" s="6"/>
      <c r="M48" s="293">
        <f t="shared" si="5"/>
        <v>0</v>
      </c>
      <c r="N48" s="6"/>
      <c r="O48" s="295">
        <f>'(2.2)_Forward_Price_Curve'!Y52</f>
        <v>1.7664344168351047</v>
      </c>
      <c r="P48" s="6"/>
      <c r="Q48" s="30"/>
      <c r="R48" s="6"/>
      <c r="S48" s="20">
        <f t="shared" si="6"/>
        <v>19172.486105644879</v>
      </c>
      <c r="T48" s="6"/>
      <c r="U48" s="20">
        <f t="shared" si="0"/>
        <v>52887.739974663462</v>
      </c>
      <c r="V48" s="6"/>
      <c r="W48" s="20">
        <f t="shared" si="1"/>
        <v>-33715.253869018583</v>
      </c>
      <c r="X48" s="6"/>
      <c r="Y48" s="296">
        <f t="shared" si="7"/>
        <v>-45.028353186274352</v>
      </c>
      <c r="Z48" s="255"/>
      <c r="AB48" s="154">
        <f>+IF(AB47&gt;$G$13+$G$14,XX,AB47+1)</f>
        <v>2040</v>
      </c>
      <c r="AC48" s="124"/>
      <c r="AD48" s="159">
        <f t="shared" si="20"/>
        <v>748756.09440000006</v>
      </c>
      <c r="AE48" s="3"/>
      <c r="AF48" s="162">
        <f t="shared" si="13"/>
        <v>155.84903598764001</v>
      </c>
      <c r="AG48" s="3"/>
      <c r="AH48" s="162">
        <f t="shared" si="14"/>
        <v>31.217239010411461</v>
      </c>
      <c r="AI48" s="3"/>
      <c r="AJ48" s="162">
        <f t="shared" si="15"/>
        <v>3.1857822557650612</v>
      </c>
      <c r="AK48" s="3"/>
      <c r="AL48" s="161">
        <f t="shared" si="21"/>
        <v>25134.544577252513</v>
      </c>
      <c r="AM48" s="3"/>
      <c r="AN48" s="162">
        <f>INDEX('(2.2)_Forward_Price_Curve'!$G:$G,MATCH($AB48,'(2.2)_Forward_Price_Curve'!$C:$C,0),1)</f>
        <v>7.075779166666667</v>
      </c>
      <c r="AO48" s="3"/>
      <c r="AP48" s="162">
        <f t="shared" si="22"/>
        <v>46.479666595034949</v>
      </c>
      <c r="AQ48" s="3"/>
      <c r="AR48" s="162">
        <f t="shared" si="16"/>
        <v>3.5949846043822649</v>
      </c>
      <c r="AS48" s="162"/>
      <c r="AT48" s="161">
        <f t="shared" si="23"/>
        <v>15394.039714145551</v>
      </c>
      <c r="AU48" s="3"/>
      <c r="AV48" s="161">
        <f t="shared" si="24"/>
        <v>37493.700260517908</v>
      </c>
      <c r="AW48" s="299"/>
      <c r="AX48" s="163">
        <f t="shared" si="25"/>
        <v>52887.739974663462</v>
      </c>
      <c r="AZ48" s="154">
        <f>+IF(AZ47&gt;$G$13+$G$14,XX,AZ47+1)</f>
        <v>2040</v>
      </c>
      <c r="BA48" s="124"/>
      <c r="BB48" s="162">
        <f t="shared" si="17"/>
        <v>101.49443176680087</v>
      </c>
      <c r="BC48" s="3"/>
      <c r="BD48" s="162">
        <f t="shared" si="18"/>
        <v>6.6831345597585381</v>
      </c>
      <c r="BE48" s="3"/>
      <c r="BF48" s="161">
        <f t="shared" si="26"/>
        <v>9740.5048631069621</v>
      </c>
      <c r="BG48" s="3"/>
      <c r="BH48" s="165"/>
    </row>
    <row r="49" spans="2:60" ht="12">
      <c r="B49" s="2"/>
      <c r="C49" s="6">
        <f>+IF(C48&gt;$G$13+$G$14,XX,C48+1)</f>
        <v>2041</v>
      </c>
      <c r="D49" s="6"/>
      <c r="E49" s="292">
        <f>'(2.2)_Forward_Price_Curve'!P44</f>
        <v>2.1000000000000001E-2</v>
      </c>
      <c r="F49" s="6"/>
      <c r="G49" s="20">
        <v>748756.09440000006</v>
      </c>
      <c r="H49" s="6"/>
      <c r="I49" s="30">
        <f t="shared" si="11"/>
        <v>85.183798059984241</v>
      </c>
      <c r="J49" s="6"/>
      <c r="K49" s="30">
        <f t="shared" si="12"/>
        <v>1.6093114116777039</v>
      </c>
      <c r="L49" s="6"/>
      <c r="M49" s="293">
        <f t="shared" si="5"/>
        <v>0</v>
      </c>
      <c r="N49" s="6"/>
      <c r="O49" s="295">
        <f>'(2.2)_Forward_Price_Curve'!Y53</f>
        <v>1.8033030507073435</v>
      </c>
      <c r="P49" s="6"/>
      <c r="Q49" s="30"/>
      <c r="R49" s="6"/>
      <c r="S49" s="20">
        <f t="shared" si="6"/>
        <v>19574.938728933237</v>
      </c>
      <c r="T49" s="6"/>
      <c r="U49" s="20">
        <f t="shared" si="0"/>
        <v>54068.021199983734</v>
      </c>
      <c r="V49" s="6"/>
      <c r="W49" s="20">
        <f t="shared" si="1"/>
        <v>-34493.082471050497</v>
      </c>
      <c r="X49" s="6"/>
      <c r="Y49" s="296">
        <f t="shared" si="7"/>
        <v>-46.067180927176025</v>
      </c>
      <c r="Z49" s="255"/>
      <c r="AB49" s="154">
        <f>+IF(AB48&gt;$G$13+$G$14,XX,AB48+1)</f>
        <v>2041</v>
      </c>
      <c r="AC49" s="124"/>
      <c r="AD49" s="159">
        <f t="shared" si="20"/>
        <v>748756.09440000006</v>
      </c>
      <c r="AE49" s="3"/>
      <c r="AF49" s="162">
        <f t="shared" si="13"/>
        <v>159.12186574338043</v>
      </c>
      <c r="AG49" s="3"/>
      <c r="AH49" s="162">
        <f t="shared" si="14"/>
        <v>31.8728010296301</v>
      </c>
      <c r="AI49" s="3"/>
      <c r="AJ49" s="162">
        <f t="shared" si="15"/>
        <v>3.2526836831361274</v>
      </c>
      <c r="AK49" s="3"/>
      <c r="AL49" s="161">
        <f t="shared" si="21"/>
        <v>25662.370013374813</v>
      </c>
      <c r="AM49" s="3"/>
      <c r="AN49" s="162">
        <f>INDEX('(2.2)_Forward_Price_Curve'!$G:$G,MATCH($AB49,'(2.2)_Forward_Price_Curve'!$C:$C,0),1)</f>
        <v>7.2385291666666687</v>
      </c>
      <c r="AO49" s="3"/>
      <c r="AP49" s="162">
        <f t="shared" si="22"/>
        <v>47.548745428639307</v>
      </c>
      <c r="AQ49" s="3"/>
      <c r="AR49" s="162">
        <f t="shared" si="16"/>
        <v>3.6704792810742921</v>
      </c>
      <c r="AS49" s="162"/>
      <c r="AT49" s="161">
        <f t="shared" si="23"/>
        <v>15717.314548142607</v>
      </c>
      <c r="AU49" s="3"/>
      <c r="AV49" s="161">
        <f t="shared" si="24"/>
        <v>38350.70665184113</v>
      </c>
      <c r="AW49" s="299"/>
      <c r="AX49" s="163">
        <f t="shared" si="25"/>
        <v>54068.021199983734</v>
      </c>
      <c r="AZ49" s="154">
        <f>+IF(AZ48&gt;$G$13+$G$14,XX,AZ48+1)</f>
        <v>2041</v>
      </c>
      <c r="BA49" s="124"/>
      <c r="BB49" s="162">
        <f t="shared" si="17"/>
        <v>103.62581483390368</v>
      </c>
      <c r="BC49" s="3"/>
      <c r="BD49" s="162">
        <f t="shared" si="18"/>
        <v>6.8234803855134665</v>
      </c>
      <c r="BE49" s="3"/>
      <c r="BF49" s="161">
        <f t="shared" si="26"/>
        <v>9945.0554652322062</v>
      </c>
      <c r="BG49" s="3"/>
      <c r="BH49" s="165"/>
    </row>
    <row r="50" spans="2:60" ht="12">
      <c r="B50" s="2"/>
      <c r="C50" s="6">
        <f>+IF(C49&gt;$G$13+$G$14,XX,C49+1)</f>
        <v>2042</v>
      </c>
      <c r="D50" s="6"/>
      <c r="E50" s="292">
        <f>'(2.2)_Forward_Price_Curve'!P45</f>
        <v>2.1000000000000001E-2</v>
      </c>
      <c r="F50" s="6"/>
      <c r="G50" s="20">
        <v>748756.09440000006</v>
      </c>
      <c r="H50" s="6"/>
      <c r="I50" s="30">
        <f t="shared" si="11"/>
        <v>86.972657819243906</v>
      </c>
      <c r="J50" s="6"/>
      <c r="K50" s="30">
        <f t="shared" si="12"/>
        <v>1.6431069513229355</v>
      </c>
      <c r="L50" s="6"/>
      <c r="M50" s="293">
        <f t="shared" si="5"/>
        <v>0</v>
      </c>
      <c r="N50" s="6"/>
      <c r="O50" s="295">
        <f>'(2.2)_Forward_Price_Curve'!Y54</f>
        <v>1.8413139188621417</v>
      </c>
      <c r="P50" s="6"/>
      <c r="Q50" s="30"/>
      <c r="R50" s="6"/>
      <c r="S50" s="20">
        <f t="shared" si="6"/>
        <v>19986.118394290563</v>
      </c>
      <c r="T50" s="6"/>
      <c r="U50" s="20">
        <f t="shared" si="0"/>
        <v>55274.579034151546</v>
      </c>
      <c r="V50" s="6"/>
      <c r="W50" s="20">
        <f t="shared" si="1"/>
        <v>-35288.460639860983</v>
      </c>
      <c r="X50" s="6"/>
      <c r="Y50" s="296">
        <f t="shared" si="7"/>
        <v>-47.1294469638189</v>
      </c>
      <c r="Z50" s="255"/>
      <c r="AB50" s="154">
        <f>+IF(AB49&gt;$G$13+$G$14,XX,AB49+1)</f>
        <v>2042</v>
      </c>
      <c r="AC50" s="124"/>
      <c r="AD50" s="159">
        <f t="shared" si="20"/>
        <v>748756.09440000006</v>
      </c>
      <c r="AE50" s="3"/>
      <c r="AF50" s="162">
        <f t="shared" si="13"/>
        <v>162.4634249239914</v>
      </c>
      <c r="AG50" s="3"/>
      <c r="AH50" s="162">
        <f t="shared" si="14"/>
        <v>32.542129851252326</v>
      </c>
      <c r="AI50" s="3"/>
      <c r="AJ50" s="162">
        <f t="shared" si="15"/>
        <v>3.3209900404819859</v>
      </c>
      <c r="AK50" s="3"/>
      <c r="AL50" s="161">
        <f t="shared" si="21"/>
        <v>26201.279783655682</v>
      </c>
      <c r="AM50" s="3"/>
      <c r="AN50" s="162">
        <f>INDEX('(2.2)_Forward_Price_Curve'!$G:$G,MATCH($AB50,'(2.2)_Forward_Price_Curve'!$C:$C,0),1)</f>
        <v>7.4050000000000002</v>
      </c>
      <c r="AO50" s="3"/>
      <c r="AP50" s="162">
        <f t="shared" si="22"/>
        <v>48.642265823902854</v>
      </c>
      <c r="AQ50" s="3"/>
      <c r="AR50" s="162">
        <f t="shared" si="16"/>
        <v>3.7475593459768519</v>
      </c>
      <c r="AS50" s="162"/>
      <c r="AT50" s="161">
        <f t="shared" si="23"/>
        <v>16047.378153653599</v>
      </c>
      <c r="AU50" s="3"/>
      <c r="AV50" s="161">
        <f t="shared" si="24"/>
        <v>39227.200880497949</v>
      </c>
      <c r="AW50" s="299"/>
      <c r="AX50" s="163">
        <f t="shared" si="25"/>
        <v>55274.579034151546</v>
      </c>
      <c r="AZ50" s="154">
        <f>+IF(AZ49&gt;$G$13+$G$14,XX,AZ49+1)</f>
        <v>2042</v>
      </c>
      <c r="BA50" s="124"/>
      <c r="BB50" s="162">
        <f t="shared" si="17"/>
        <v>105.80195694541564</v>
      </c>
      <c r="BC50" s="3"/>
      <c r="BD50" s="162">
        <f t="shared" si="18"/>
        <v>6.9667734736092486</v>
      </c>
      <c r="BE50" s="3"/>
      <c r="BF50" s="161">
        <f t="shared" si="26"/>
        <v>10153.901630002083</v>
      </c>
      <c r="BG50" s="3"/>
      <c r="BH50" s="165"/>
    </row>
    <row r="51" spans="2:60" ht="12">
      <c r="B51" s="2"/>
      <c r="C51" s="6">
        <f>+IF(C50&gt;$G$13+$G$14,XX,C50+1)</f>
        <v>2043</v>
      </c>
      <c r="D51" s="6"/>
      <c r="E51" s="292">
        <f>'(2.2)_Forward_Price_Curve'!P46</f>
        <v>2.1000000000000001E-2</v>
      </c>
      <c r="F51" s="6"/>
      <c r="G51" s="20">
        <v>748756.09440000006</v>
      </c>
      <c r="H51" s="6"/>
      <c r="I51" s="30">
        <f t="shared" si="11"/>
        <v>88.799083633448021</v>
      </c>
      <c r="J51" s="6"/>
      <c r="K51" s="30">
        <f t="shared" si="12"/>
        <v>1.677612197300717</v>
      </c>
      <c r="L51" s="6"/>
      <c r="M51" s="293">
        <f t="shared" si="5"/>
        <v>0</v>
      </c>
      <c r="N51" s="6"/>
      <c r="O51" s="295">
        <f>'(2.2)_Forward_Price_Curve'!Y55</f>
        <v>1.8803404620364608</v>
      </c>
      <c r="P51" s="6"/>
      <c r="Q51" s="30"/>
      <c r="R51" s="6"/>
      <c r="S51" s="20">
        <f t="shared" si="6"/>
        <v>20406.095647228314</v>
      </c>
      <c r="T51" s="6"/>
      <c r="U51" s="20">
        <f t="shared" si="0"/>
        <v>56471.766386849798</v>
      </c>
      <c r="V51" s="6"/>
      <c r="W51" s="20">
        <f t="shared" si="1"/>
        <v>-36065.670739621484</v>
      </c>
      <c r="X51" s="6"/>
      <c r="Y51" s="296">
        <f t="shared" si="7"/>
        <v>-48.167448665004791</v>
      </c>
      <c r="Z51" s="255"/>
      <c r="AB51" s="154">
        <f>+IF(AB50&gt;$G$13+$G$14,XX,AB50+1)</f>
        <v>2043</v>
      </c>
      <c r="AC51" s="124"/>
      <c r="AD51" s="159">
        <f t="shared" si="20"/>
        <v>748756.09440000006</v>
      </c>
      <c r="AE51" s="3"/>
      <c r="AF51" s="162">
        <f t="shared" si="13"/>
        <v>165.8751568473952</v>
      </c>
      <c r="AG51" s="3"/>
      <c r="AH51" s="162">
        <f t="shared" si="14"/>
        <v>33.225514578128625</v>
      </c>
      <c r="AI51" s="3"/>
      <c r="AJ51" s="162">
        <f t="shared" si="15"/>
        <v>3.3907308313321072</v>
      </c>
      <c r="AK51" s="3"/>
      <c r="AL51" s="161">
        <f t="shared" si="21"/>
        <v>26751.506659112445</v>
      </c>
      <c r="AM51" s="3"/>
      <c r="AN51" s="162">
        <f>INDEX('(2.2)_Forward_Price_Curve'!$G:$G,MATCH($AB51,'(2.2)_Forward_Price_Curve'!$C:$C,0),1)</f>
        <v>7.5679100000000004</v>
      </c>
      <c r="AO51" s="3"/>
      <c r="AP51" s="162">
        <f t="shared" si="22"/>
        <v>49.71239567202872</v>
      </c>
      <c r="AQ51" s="3"/>
      <c r="AR51" s="162">
        <f t="shared" si="16"/>
        <v>3.8262580922423655</v>
      </c>
      <c r="AS51" s="162"/>
      <c r="AT51" s="161">
        <f t="shared" si="23"/>
        <v>16384.37309488032</v>
      </c>
      <c r="AU51" s="3"/>
      <c r="AV51" s="161">
        <f t="shared" si="24"/>
        <v>40087.393291969478</v>
      </c>
      <c r="AW51" s="299"/>
      <c r="AX51" s="163">
        <f t="shared" si="25"/>
        <v>56471.766386849798</v>
      </c>
      <c r="AZ51" s="154">
        <f>+IF(AZ50&gt;$G$13+$G$14,XX,AZ50+1)</f>
        <v>2043</v>
      </c>
      <c r="BA51" s="124"/>
      <c r="BB51" s="162">
        <f t="shared" si="17"/>
        <v>108.02379804126936</v>
      </c>
      <c r="BC51" s="3"/>
      <c r="BD51" s="162">
        <f t="shared" si="18"/>
        <v>7.1130757165550422</v>
      </c>
      <c r="BE51" s="3"/>
      <c r="BF51" s="161">
        <f t="shared" si="26"/>
        <v>10367.133564232125</v>
      </c>
      <c r="BG51" s="3"/>
      <c r="BH51" s="165"/>
    </row>
    <row r="52" spans="2:60" ht="12">
      <c r="B52" s="2"/>
      <c r="C52" s="6">
        <f>+IF(C51&gt;$G$13+$G$14,XX,C51+1)</f>
        <v>2044</v>
      </c>
      <c r="D52" s="6"/>
      <c r="E52" s="292">
        <f>'(2.2)_Forward_Price_Curve'!P47</f>
        <v>2.1000000000000001E-2</v>
      </c>
      <c r="F52" s="6"/>
      <c r="G52" s="20">
        <v>748756.09440000006</v>
      </c>
      <c r="H52" s="6"/>
      <c r="I52" s="30">
        <f t="shared" si="11"/>
        <v>90.663864389750415</v>
      </c>
      <c r="J52" s="6"/>
      <c r="K52" s="30">
        <f t="shared" si="12"/>
        <v>1.7128420534440318</v>
      </c>
      <c r="L52" s="6"/>
      <c r="M52" s="293">
        <f t="shared" si="5"/>
        <v>0</v>
      </c>
      <c r="N52" s="6"/>
      <c r="O52" s="295">
        <f>'(2.2)_Forward_Price_Curve'!Y56</f>
        <v>1.9203752935028859</v>
      </c>
      <c r="P52" s="6"/>
      <c r="Q52" s="30"/>
      <c r="R52" s="6"/>
      <c r="S52" s="20">
        <f t="shared" si="6"/>
        <v>20835.033735878438</v>
      </c>
      <c r="T52" s="6"/>
      <c r="U52" s="20">
        <f t="shared" si="0"/>
        <v>57694.895940200295</v>
      </c>
      <c r="V52" s="6"/>
      <c r="W52" s="20">
        <f t="shared" si="1"/>
        <v>-36859.862204321857</v>
      </c>
      <c r="X52" s="6"/>
      <c r="Y52" s="296">
        <f t="shared" si="7"/>
        <v>-49.228129800878257</v>
      </c>
      <c r="Z52" s="255"/>
      <c r="AB52" s="154">
        <f>+IF(AB51&gt;$G$13+$G$14,XX,AB51+1)</f>
        <v>2044</v>
      </c>
      <c r="AC52" s="124"/>
      <c r="AD52" s="159">
        <f t="shared" si="20"/>
        <v>748756.09440000006</v>
      </c>
      <c r="AE52" s="3"/>
      <c r="AF52" s="162">
        <f t="shared" si="13"/>
        <v>169.35853514119049</v>
      </c>
      <c r="AG52" s="3"/>
      <c r="AH52" s="162">
        <f t="shared" si="14"/>
        <v>33.923250384269323</v>
      </c>
      <c r="AI52" s="3"/>
      <c r="AJ52" s="162">
        <f t="shared" si="15"/>
        <v>3.4619361787900811</v>
      </c>
      <c r="AK52" s="3"/>
      <c r="AL52" s="161">
        <f t="shared" si="21"/>
        <v>27313.288298953808</v>
      </c>
      <c r="AM52" s="3"/>
      <c r="AN52" s="162">
        <f>INDEX('(2.2)_Forward_Price_Curve'!$G:$G,MATCH($AB52,'(2.2)_Forward_Price_Curve'!$C:$C,0),1)</f>
        <v>7.7344040200000004</v>
      </c>
      <c r="AO52" s="3"/>
      <c r="AP52" s="162">
        <f t="shared" si="22"/>
        <v>50.806068376813343</v>
      </c>
      <c r="AQ52" s="3"/>
      <c r="AR52" s="162">
        <f t="shared" si="16"/>
        <v>3.9066095121794548</v>
      </c>
      <c r="AS52" s="162"/>
      <c r="AT52" s="161">
        <f t="shared" si="23"/>
        <v>16728.444929872807</v>
      </c>
      <c r="AU52" s="3"/>
      <c r="AV52" s="161">
        <f t="shared" si="24"/>
        <v>40966.451010327488</v>
      </c>
      <c r="AW52" s="299"/>
      <c r="AX52" s="163">
        <f t="shared" si="25"/>
        <v>57694.895940200295</v>
      </c>
      <c r="AZ52" s="154">
        <f>+IF(AZ51&gt;$G$13+$G$14,XX,AZ51+1)</f>
        <v>2044</v>
      </c>
      <c r="BA52" s="124"/>
      <c r="BB52" s="162">
        <f t="shared" si="17"/>
        <v>110.29229780013601</v>
      </c>
      <c r="BC52" s="3"/>
      <c r="BD52" s="162">
        <f t="shared" si="18"/>
        <v>7.2624503066026973</v>
      </c>
      <c r="BE52" s="3"/>
      <c r="BF52" s="161">
        <f t="shared" si="26"/>
        <v>10584.843369081</v>
      </c>
      <c r="BG52" s="3"/>
      <c r="BH52" s="165"/>
    </row>
    <row r="53" spans="2:60" ht="12">
      <c r="B53" s="2"/>
      <c r="C53" s="6">
        <f>+IF(C52&gt;$G$13+$G$14,XX,C52+1)</f>
        <v>2045</v>
      </c>
      <c r="D53" s="6"/>
      <c r="E53" s="292">
        <f>'(2.2)_Forward_Price_Curve'!P48</f>
        <v>2.1000000000000001E-2</v>
      </c>
      <c r="F53" s="6"/>
      <c r="G53" s="20">
        <v>748756.09440000006</v>
      </c>
      <c r="H53" s="6"/>
      <c r="I53" s="30">
        <f t="shared" si="11"/>
        <v>92.567805541935172</v>
      </c>
      <c r="J53" s="6"/>
      <c r="K53" s="30">
        <f t="shared" si="12"/>
        <v>1.7488117365663562</v>
      </c>
      <c r="L53" s="6"/>
      <c r="M53" s="293">
        <f t="shared" si="5"/>
        <v>0</v>
      </c>
      <c r="N53" s="6"/>
      <c r="O53" s="295">
        <f>'(2.2)_Forward_Price_Curve'!Y57</f>
        <v>1.9616503565022387</v>
      </c>
      <c r="P53" s="6"/>
      <c r="Q53" s="30"/>
      <c r="R53" s="6"/>
      <c r="S53" s="20">
        <f t="shared" si="6"/>
        <v>21273.278652503941</v>
      </c>
      <c r="T53" s="6"/>
      <c r="U53" s="20">
        <f t="shared" si="0"/>
        <v>58944.530108274135</v>
      </c>
      <c r="V53" s="6"/>
      <c r="W53" s="20">
        <f t="shared" si="1"/>
        <v>-37671.251455770194</v>
      </c>
      <c r="X53" s="6"/>
      <c r="Y53" s="296">
        <f t="shared" si="7"/>
        <v>-50.311779413237709</v>
      </c>
      <c r="Z53" s="255"/>
      <c r="AB53" s="154">
        <f>+IF(AB52&gt;$G$13+$G$14,XX,AB52+1)</f>
        <v>2045</v>
      </c>
      <c r="AC53" s="124"/>
      <c r="AD53" s="159">
        <f t="shared" si="20"/>
        <v>748756.09440000006</v>
      </c>
      <c r="AE53" s="3"/>
      <c r="AF53" s="162">
        <f t="shared" si="13"/>
        <v>172.91506437915547</v>
      </c>
      <c r="AG53" s="3"/>
      <c r="AH53" s="162">
        <f t="shared" si="14"/>
        <v>34.635638642338975</v>
      </c>
      <c r="AI53" s="3"/>
      <c r="AJ53" s="162">
        <f t="shared" si="15"/>
        <v>3.5346368385446723</v>
      </c>
      <c r="AK53" s="3"/>
      <c r="AL53" s="161">
        <f t="shared" si="21"/>
        <v>27886.867353231832</v>
      </c>
      <c r="AM53" s="3"/>
      <c r="AN53" s="162">
        <f>INDEX('(2.2)_Forward_Price_Curve'!$G:$G,MATCH($AB53,'(2.2)_Forward_Price_Curve'!$C:$C,0),1)</f>
        <v>7.9045609084400006</v>
      </c>
      <c r="AO53" s="3"/>
      <c r="AP53" s="162">
        <f t="shared" si="22"/>
        <v>51.923801881103238</v>
      </c>
      <c r="AQ53" s="3"/>
      <c r="AR53" s="162">
        <f t="shared" si="16"/>
        <v>3.988648311935223</v>
      </c>
      <c r="AS53" s="162"/>
      <c r="AT53" s="161">
        <f t="shared" si="23"/>
        <v>17079.74227340013</v>
      </c>
      <c r="AU53" s="3"/>
      <c r="AV53" s="161">
        <f t="shared" si="24"/>
        <v>41864.787834874005</v>
      </c>
      <c r="AW53" s="299"/>
      <c r="AX53" s="163">
        <f t="shared" si="25"/>
        <v>58944.530108274135</v>
      </c>
      <c r="AZ53" s="154">
        <f>+IF(AZ52&gt;$G$13+$G$14,XX,AZ52+1)</f>
        <v>2045</v>
      </c>
      <c r="BA53" s="124"/>
      <c r="BB53" s="162">
        <f t="shared" si="17"/>
        <v>112.60843605393886</v>
      </c>
      <c r="BC53" s="3"/>
      <c r="BD53" s="162">
        <f t="shared" si="18"/>
        <v>7.4149617630413536</v>
      </c>
      <c r="BE53" s="3"/>
      <c r="BF53" s="161">
        <f t="shared" si="26"/>
        <v>10807.1250798317</v>
      </c>
      <c r="BG53" s="3"/>
      <c r="BH53" s="165"/>
    </row>
    <row r="54" spans="2:60" ht="12">
      <c r="B54" s="2"/>
      <c r="C54" s="6">
        <f>+IF(C53&gt;$G$13+$G$14,XX,C53+1)</f>
        <v>2046</v>
      </c>
      <c r="D54" s="6"/>
      <c r="E54" s="292">
        <f>'(2.2)_Forward_Price_Curve'!P49</f>
        <v>2.1000000000000001E-2</v>
      </c>
      <c r="F54" s="6"/>
      <c r="G54" s="20">
        <v>748756.09440000006</v>
      </c>
      <c r="H54" s="6"/>
      <c r="I54" s="30">
        <f t="shared" si="11"/>
        <v>94.511729458315799</v>
      </c>
      <c r="J54" s="6"/>
      <c r="K54" s="30">
        <f t="shared" si="12"/>
        <v>1.7855367830342497</v>
      </c>
      <c r="L54" s="6"/>
      <c r="M54" s="293">
        <f t="shared" si="5"/>
        <v>0</v>
      </c>
      <c r="N54" s="6"/>
      <c r="O54" s="295">
        <f>'(2.2)_Forward_Price_Curve'!Y58</f>
        <v>2.0038320171796222</v>
      </c>
      <c r="P54" s="6"/>
      <c r="Q54" s="30"/>
      <c r="R54" s="6"/>
      <c r="S54" s="20">
        <f t="shared" si="6"/>
        <v>21720.756528860853</v>
      </c>
      <c r="T54" s="6"/>
      <c r="U54" s="20">
        <f t="shared" si="0"/>
        <v>60221.243503650796</v>
      </c>
      <c r="V54" s="6"/>
      <c r="W54" s="20">
        <f t="shared" si="1"/>
        <v>-38500.486974789943</v>
      </c>
      <c r="X54" s="6"/>
      <c r="Y54" s="296">
        <f t="shared" si="7"/>
        <v>-51.419263579605982</v>
      </c>
      <c r="Z54" s="255"/>
      <c r="AB54" s="154">
        <f>+IF(AB53&gt;$G$13+$G$14,XX,AB53+1)</f>
        <v>2046</v>
      </c>
      <c r="AC54" s="124"/>
      <c r="AD54" s="159">
        <f t="shared" si="20"/>
        <v>748756.09440000006</v>
      </c>
      <c r="AE54" s="3"/>
      <c r="AF54" s="162">
        <f t="shared" si="13"/>
        <v>176.54628073111772</v>
      </c>
      <c r="AG54" s="3"/>
      <c r="AH54" s="162">
        <f t="shared" si="14"/>
        <v>35.362987053828093</v>
      </c>
      <c r="AI54" s="3"/>
      <c r="AJ54" s="162">
        <f t="shared" si="15"/>
        <v>3.6088642121541099</v>
      </c>
      <c r="AK54" s="3"/>
      <c r="AL54" s="161">
        <f t="shared" si="21"/>
        <v>28472.491567649704</v>
      </c>
      <c r="AM54" s="3"/>
      <c r="AN54" s="162">
        <f>INDEX('(2.2)_Forward_Price_Curve'!$G:$G,MATCH($AB54,'(2.2)_Forward_Price_Curve'!$C:$C,0),1)</f>
        <v>8.0784612484256808</v>
      </c>
      <c r="AO54" s="3"/>
      <c r="AP54" s="162">
        <f t="shared" si="22"/>
        <v>53.066125522487511</v>
      </c>
      <c r="AQ54" s="3"/>
      <c r="AR54" s="162">
        <f t="shared" si="16"/>
        <v>4.0724099264858626</v>
      </c>
      <c r="AS54" s="162"/>
      <c r="AT54" s="161">
        <f t="shared" si="23"/>
        <v>17438.416861141541</v>
      </c>
      <c r="AU54" s="3"/>
      <c r="AV54" s="161">
        <f t="shared" si="24"/>
        <v>42782.826642509252</v>
      </c>
      <c r="AW54" s="299"/>
      <c r="AX54" s="163">
        <f t="shared" si="25"/>
        <v>60221.243503650796</v>
      </c>
      <c r="AZ54" s="154">
        <f>+IF(AZ53&gt;$G$13+$G$14,XX,AZ53+1)</f>
        <v>2046</v>
      </c>
      <c r="BA54" s="124"/>
      <c r="BB54" s="162">
        <f t="shared" si="17"/>
        <v>114.97321321107157</v>
      </c>
      <c r="BC54" s="3"/>
      <c r="BD54" s="162">
        <f t="shared" si="18"/>
        <v>7.5706759600652216</v>
      </c>
      <c r="BE54" s="3"/>
      <c r="BF54" s="161">
        <f t="shared" si="26"/>
        <v>11034.074706508163</v>
      </c>
      <c r="BG54" s="3"/>
      <c r="BH54" s="165"/>
    </row>
    <row r="55" spans="2:60" ht="12">
      <c r="B55" s="2"/>
      <c r="C55" s="6">
        <f>+IF(C54&gt;$G$13+$G$14,XX,C54+1)</f>
        <v>2047</v>
      </c>
      <c r="D55" s="6"/>
      <c r="E55" s="292">
        <f>'(2.2)_Forward_Price_Curve'!P50</f>
        <v>2.1000000000000001E-2</v>
      </c>
      <c r="F55" s="6"/>
      <c r="G55" s="20">
        <v>748756.09440000006</v>
      </c>
      <c r="H55" s="6"/>
      <c r="I55" s="30">
        <f t="shared" si="11"/>
        <v>96.496475776940429</v>
      </c>
      <c r="J55" s="6"/>
      <c r="K55" s="30">
        <f t="shared" si="12"/>
        <v>1.8230330554779688</v>
      </c>
      <c r="L55" s="6"/>
      <c r="M55" s="293">
        <f t="shared" si="5"/>
        <v>0</v>
      </c>
      <c r="N55" s="6"/>
      <c r="O55" s="295">
        <f>'(2.2)_Forward_Price_Curve'!Y59</f>
        <v>2.0468358206182615</v>
      </c>
      <c r="P55" s="6"/>
      <c r="Q55" s="30"/>
      <c r="R55" s="6"/>
      <c r="S55" s="20">
        <f t="shared" si="6"/>
        <v>22177.583765738633</v>
      </c>
      <c r="T55" s="6"/>
      <c r="U55" s="20">
        <f t="shared" si="0"/>
        <v>61525.62320211863</v>
      </c>
      <c r="V55" s="6"/>
      <c r="W55" s="20">
        <f t="shared" si="1"/>
        <v>-39348.039436380001</v>
      </c>
      <c r="X55" s="6"/>
      <c r="Y55" s="296">
        <f t="shared" si="7"/>
        <v>-52.551210909222341</v>
      </c>
      <c r="Z55" s="255"/>
      <c r="AB55" s="154">
        <f>+IF(AB54&gt;$G$13+$G$14,XX,AB54+1)</f>
        <v>2047</v>
      </c>
      <c r="AC55" s="124"/>
      <c r="AD55" s="159">
        <f t="shared" si="20"/>
        <v>748756.09440000006</v>
      </c>
      <c r="AE55" s="3"/>
      <c r="AF55" s="162">
        <f t="shared" si="13"/>
        <v>180.25375262647117</v>
      </c>
      <c r="AG55" s="3"/>
      <c r="AH55" s="162">
        <f t="shared" si="14"/>
        <v>36.105609781958478</v>
      </c>
      <c r="AI55" s="3"/>
      <c r="AJ55" s="162">
        <f t="shared" si="15"/>
        <v>3.6846503606093459</v>
      </c>
      <c r="AK55" s="3"/>
      <c r="AL55" s="161">
        <f t="shared" si="21"/>
        <v>29070.41389057034</v>
      </c>
      <c r="AM55" s="3"/>
      <c r="AN55" s="162">
        <f>INDEX('(2.2)_Forward_Price_Curve'!$G:$G,MATCH($AB55,'(2.2)_Forward_Price_Curve'!$C:$C,0),1)</f>
        <v>8.2561873958910468</v>
      </c>
      <c r="AO55" s="3"/>
      <c r="AP55" s="162">
        <f t="shared" si="22"/>
        <v>54.233580283982242</v>
      </c>
      <c r="AQ55" s="3"/>
      <c r="AR55" s="162">
        <f t="shared" si="16"/>
        <v>4.1579305349420652</v>
      </c>
      <c r="AS55" s="162"/>
      <c r="AT55" s="161">
        <f t="shared" si="23"/>
        <v>17804.623615225508</v>
      </c>
      <c r="AU55" s="3"/>
      <c r="AV55" s="161">
        <f t="shared" si="24"/>
        <v>43720.999586893122</v>
      </c>
      <c r="AW55" s="299"/>
      <c r="AX55" s="163">
        <f t="shared" si="25"/>
        <v>61525.62320211863</v>
      </c>
      <c r="AZ55" s="154">
        <f>+IF(AZ54&gt;$G$13+$G$14,XX,AZ54+1)</f>
        <v>2047</v>
      </c>
      <c r="BA55" s="124"/>
      <c r="BB55" s="162">
        <f t="shared" si="17"/>
        <v>117.38765068850405</v>
      </c>
      <c r="BC55" s="3"/>
      <c r="BD55" s="162">
        <f t="shared" si="18"/>
        <v>7.7296601552265907</v>
      </c>
      <c r="BE55" s="3"/>
      <c r="BF55" s="161">
        <f t="shared" si="26"/>
        <v>11265.790275344834</v>
      </c>
      <c r="BG55" s="3"/>
      <c r="BH55" s="165"/>
    </row>
    <row r="56" spans="2:60" ht="12">
      <c r="B56" s="2"/>
      <c r="C56" s="6">
        <f>+IF(C55&gt;$G$13+$G$14,XX,C55+1)</f>
        <v>2048</v>
      </c>
      <c r="D56" s="6"/>
      <c r="E56" s="292">
        <f>'(2.2)_Forward_Price_Curve'!P51</f>
        <v>2.1000000000000001E-2</v>
      </c>
      <c r="F56" s="6"/>
      <c r="G56" s="20">
        <v>748756.09440000006</v>
      </c>
      <c r="H56" s="6"/>
      <c r="I56" s="30">
        <f t="shared" si="11"/>
        <v>98.522901768256162</v>
      </c>
      <c r="J56" s="6"/>
      <c r="K56" s="30">
        <f t="shared" si="12"/>
        <v>1.8613167496430059</v>
      </c>
      <c r="L56" s="6"/>
      <c r="M56" s="293">
        <f t="shared" si="5"/>
        <v>0</v>
      </c>
      <c r="N56" s="6"/>
      <c r="O56" s="295">
        <f>'(2.2)_Forward_Price_Curve'!Y60</f>
        <v>2.0909596981572163</v>
      </c>
      <c r="P56" s="6"/>
      <c r="Q56" s="30"/>
      <c r="R56" s="6"/>
      <c r="S56" s="20">
        <f t="shared" si="6"/>
        <v>22644.166850341582</v>
      </c>
      <c r="T56" s="6"/>
      <c r="U56" s="20">
        <f t="shared" si="0"/>
        <v>62858.269013121884</v>
      </c>
      <c r="V56" s="6"/>
      <c r="W56" s="20">
        <f t="shared" si="1"/>
        <v>-40214.102162780298</v>
      </c>
      <c r="X56" s="6"/>
      <c r="Y56" s="296">
        <f>+W56*1000/G56</f>
        <v>-53.707879593294031</v>
      </c>
      <c r="Z56" s="255"/>
      <c r="AB56" s="154">
        <f>+IF(AB55&gt;$G$13+$G$14,XX,AB55+1)</f>
        <v>2048</v>
      </c>
      <c r="AC56" s="124"/>
      <c r="AD56" s="159">
        <f t="shared" si="20"/>
        <v>748756.09440000006</v>
      </c>
      <c r="AE56" s="3"/>
      <c r="AF56" s="162">
        <f t="shared" si="13"/>
        <v>184.03908143162704</v>
      </c>
      <c r="AG56" s="3"/>
      <c r="AH56" s="162">
        <f t="shared" si="14"/>
        <v>36.863827587379603</v>
      </c>
      <c r="AI56" s="3"/>
      <c r="AJ56" s="162">
        <f t="shared" si="15"/>
        <v>3.7620280181821419</v>
      </c>
      <c r="AK56" s="3"/>
      <c r="AL56" s="161">
        <f t="shared" si="21"/>
        <v>29680.892582272314</v>
      </c>
      <c r="AM56" s="3"/>
      <c r="AN56" s="162">
        <f>INDEX('(2.2)_Forward_Price_Curve'!$G:$G,MATCH($AB56,'(2.2)_Forward_Price_Curve'!$C:$C,0),1)</f>
        <v>8.4378235186006503</v>
      </c>
      <c r="AO56" s="3"/>
      <c r="AP56" s="162">
        <f t="shared" si="22"/>
        <v>55.426719050229863</v>
      </c>
      <c r="AQ56" s="3"/>
      <c r="AR56" s="162">
        <f t="shared" si="16"/>
        <v>4.2452470761758478</v>
      </c>
      <c r="AS56" s="162"/>
      <c r="AT56" s="161">
        <f t="shared" si="23"/>
        <v>18178.52071114524</v>
      </c>
      <c r="AU56" s="3"/>
      <c r="AV56" s="161">
        <f t="shared" si="24"/>
        <v>44679.748301976644</v>
      </c>
      <c r="AW56" s="299"/>
      <c r="AX56" s="163">
        <f t="shared" si="25"/>
        <v>62858.269013121884</v>
      </c>
      <c r="AZ56" s="154">
        <f>+IF(AZ55&gt;$G$13+$G$14,XX,AZ55+1)</f>
        <v>2048</v>
      </c>
      <c r="BA56" s="124"/>
      <c r="BB56" s="162">
        <f t="shared" si="17"/>
        <v>119.85279135296263</v>
      </c>
      <c r="BC56" s="3"/>
      <c r="BD56" s="162">
        <f t="shared" si="18"/>
        <v>7.8919830184863482</v>
      </c>
      <c r="BE56" s="3"/>
      <c r="BF56" s="161">
        <f t="shared" si="26"/>
        <v>11502.371871127074</v>
      </c>
      <c r="BG56" s="3"/>
      <c r="BH56" s="165"/>
    </row>
    <row r="57" spans="2:60" ht="12">
      <c r="B57" s="2"/>
      <c r="C57" s="6">
        <f>+IF(C56&gt;$G$13+$G$14,XX,C56+1)</f>
        <v>2049</v>
      </c>
      <c r="D57" s="6"/>
      <c r="E57" s="292">
        <f>'(2.2)_Forward_Price_Curve'!P52</f>
        <v>2.1000000000000001E-2</v>
      </c>
      <c r="F57" s="6"/>
      <c r="G57" s="20">
        <v>748756.09440000006</v>
      </c>
      <c r="H57" s="6"/>
      <c r="I57" s="30">
        <f t="shared" si="11"/>
        <v>100.59188270538954</v>
      </c>
      <c r="J57" s="6"/>
      <c r="K57" s="30">
        <f t="shared" si="12"/>
        <v>1.9004044013855088</v>
      </c>
      <c r="L57" s="6"/>
      <c r="M57" s="30"/>
      <c r="N57" s="6"/>
      <c r="O57" s="295">
        <f>'(2.2)_Forward_Price_Curve'!Y61</f>
        <v>2.1361590832077506</v>
      </c>
      <c r="P57" s="6"/>
      <c r="Q57" s="30"/>
      <c r="R57" s="6"/>
      <c r="S57" s="20">
        <f t="shared" si="6"/>
        <v>23120.659674058534</v>
      </c>
      <c r="T57" s="6"/>
      <c r="U57" s="20">
        <f t="shared" si="0"/>
        <v>64219.7937560789</v>
      </c>
      <c r="V57" s="6"/>
      <c r="W57" s="20">
        <f t="shared" si="1"/>
        <v>-41099.134082020362</v>
      </c>
      <c r="X57" s="6"/>
      <c r="Y57" s="296">
        <f t="shared" si="7"/>
        <v>-54.8898825524142</v>
      </c>
      <c r="Z57" s="255"/>
      <c r="AB57" s="154">
        <f>+IF(AB56&gt;$G$13+$G$14,XX,AB56+1)</f>
        <v>2049</v>
      </c>
      <c r="AC57" s="124"/>
      <c r="AD57" s="159">
        <f t="shared" si="20"/>
        <v>748756.09440000006</v>
      </c>
      <c r="AE57" s="3"/>
      <c r="AF57" s="162">
        <f t="shared" si="13"/>
        <v>187.90390214169119</v>
      </c>
      <c r="AG57" s="3"/>
      <c r="AH57" s="162">
        <f t="shared" si="14"/>
        <v>37.637967966714569</v>
      </c>
      <c r="AI57" s="3"/>
      <c r="AJ57" s="162">
        <f t="shared" si="15"/>
        <v>3.8410306065639666</v>
      </c>
      <c r="AK57" s="3"/>
      <c r="AL57" s="161">
        <f t="shared" si="21"/>
        <v>30304.191326500033</v>
      </c>
      <c r="AM57" s="3"/>
      <c r="AN57" s="162">
        <f>INDEX('(2.2)_Forward_Price_Curve'!$G:$G,MATCH($AB57,'(2.2)_Forward_Price_Curve'!$C:$C,0),1)</f>
        <v>8.6234556360098651</v>
      </c>
      <c r="AO57" s="3"/>
      <c r="AP57" s="162">
        <f t="shared" si="22"/>
        <v>56.646106869334915</v>
      </c>
      <c r="AQ57" s="3"/>
      <c r="AR57" s="162">
        <f t="shared" si="16"/>
        <v>4.3343972647755402</v>
      </c>
      <c r="AS57" s="162"/>
      <c r="AT57" s="161">
        <f t="shared" si="23"/>
        <v>18560.269646079294</v>
      </c>
      <c r="AU57" s="3"/>
      <c r="AV57" s="161">
        <f t="shared" si="24"/>
        <v>45659.524109999606</v>
      </c>
      <c r="AW57" s="299"/>
      <c r="AX57" s="163">
        <f t="shared" si="25"/>
        <v>64219.7937560789</v>
      </c>
      <c r="AZ57" s="154">
        <f>+IF(AZ56&gt;$G$13+$G$14,XX,AZ56+1)</f>
        <v>2049</v>
      </c>
      <c r="BA57" s="124"/>
      <c r="BB57" s="162">
        <f t="shared" si="17"/>
        <v>122.36969997137483</v>
      </c>
      <c r="BC57" s="3"/>
      <c r="BD57" s="162">
        <f t="shared" si="18"/>
        <v>8.0577146618745612</v>
      </c>
      <c r="BE57" s="3"/>
      <c r="BF57" s="161">
        <f t="shared" si="26"/>
        <v>11743.921680420741</v>
      </c>
      <c r="BG57" s="3"/>
      <c r="BH57" s="165"/>
    </row>
    <row r="58" spans="2:60" ht="12">
      <c r="B58" s="2"/>
      <c r="C58" s="6"/>
      <c r="D58" s="6"/>
      <c r="E58" s="292"/>
      <c r="F58" s="6"/>
      <c r="G58" s="20"/>
      <c r="H58" s="6"/>
      <c r="I58" s="30"/>
      <c r="J58" s="6"/>
      <c r="K58" s="30"/>
      <c r="L58" s="6"/>
      <c r="M58" s="30"/>
      <c r="N58" s="6"/>
      <c r="O58" s="295"/>
      <c r="P58" s="6"/>
      <c r="Q58" s="30"/>
      <c r="R58" s="6"/>
      <c r="S58" s="20"/>
      <c r="T58" s="6"/>
      <c r="U58" s="20"/>
      <c r="V58" s="6"/>
      <c r="W58" s="20"/>
      <c r="X58" s="6"/>
      <c r="Y58" s="296"/>
      <c r="Z58" s="255"/>
      <c r="AB58" s="154"/>
      <c r="AC58" s="124"/>
      <c r="AD58" s="159"/>
      <c r="AE58" s="3"/>
      <c r="AF58" s="162"/>
      <c r="AG58" s="3"/>
      <c r="AH58" s="162"/>
      <c r="AI58" s="3"/>
      <c r="AJ58" s="162"/>
      <c r="AK58" s="3"/>
      <c r="AL58" s="161"/>
      <c r="AM58" s="3"/>
      <c r="AN58" s="162"/>
      <c r="AO58" s="3"/>
      <c r="AP58" s="162"/>
      <c r="AQ58" s="3"/>
      <c r="AR58" s="162"/>
      <c r="AS58" s="162"/>
      <c r="AT58" s="161"/>
      <c r="AU58" s="3"/>
      <c r="AV58" s="161"/>
      <c r="AW58" s="299"/>
      <c r="AX58" s="163"/>
      <c r="AZ58" s="154"/>
      <c r="BA58" s="124"/>
      <c r="BB58" s="162"/>
      <c r="BC58" s="3"/>
      <c r="BD58" s="162"/>
      <c r="BE58" s="3"/>
      <c r="BF58" s="161"/>
      <c r="BG58" s="3"/>
      <c r="BH58" s="165"/>
    </row>
    <row r="59" spans="2:60" ht="12">
      <c r="B59" s="2"/>
      <c r="C59" s="6"/>
      <c r="D59" s="6"/>
      <c r="E59" s="292"/>
      <c r="F59" s="6"/>
      <c r="G59" s="20"/>
      <c r="H59" s="6"/>
      <c r="I59" s="30"/>
      <c r="J59" s="6"/>
      <c r="K59" s="30"/>
      <c r="L59" s="6"/>
      <c r="M59" s="30"/>
      <c r="N59" s="6"/>
      <c r="O59" s="295"/>
      <c r="P59" s="6"/>
      <c r="Q59" s="30"/>
      <c r="R59" s="6"/>
      <c r="S59" s="20"/>
      <c r="T59" s="6"/>
      <c r="U59" s="20"/>
      <c r="V59" s="6"/>
      <c r="W59" s="20"/>
      <c r="X59" s="6"/>
      <c r="Y59" s="296"/>
      <c r="Z59" s="255"/>
      <c r="AB59" s="154"/>
      <c r="AC59" s="124"/>
      <c r="AD59" s="159"/>
      <c r="AE59" s="3"/>
      <c r="AF59" s="162"/>
      <c r="AG59" s="3"/>
      <c r="AH59" s="162"/>
      <c r="AI59" s="3"/>
      <c r="AJ59" s="162"/>
      <c r="AK59" s="3"/>
      <c r="AL59" s="161"/>
      <c r="AM59" s="3"/>
      <c r="AN59" s="162"/>
      <c r="AO59" s="3"/>
      <c r="AP59" s="162"/>
      <c r="AQ59" s="3"/>
      <c r="AR59" s="162"/>
      <c r="AS59" s="162"/>
      <c r="AT59" s="161"/>
      <c r="AU59" s="3"/>
      <c r="AV59" s="161"/>
      <c r="AW59" s="299"/>
      <c r="AX59" s="163"/>
      <c r="AZ59" s="154"/>
      <c r="BA59" s="124"/>
      <c r="BB59" s="162"/>
      <c r="BC59" s="3"/>
      <c r="BD59" s="162"/>
      <c r="BE59" s="3"/>
      <c r="BF59" s="161"/>
      <c r="BG59" s="3"/>
      <c r="BH59" s="165"/>
    </row>
    <row r="60" spans="2:60" ht="12">
      <c r="B60" s="2"/>
      <c r="C60" s="6"/>
      <c r="D60" s="6"/>
      <c r="E60" s="292"/>
      <c r="F60" s="6"/>
      <c r="G60" s="20"/>
      <c r="H60" s="6"/>
      <c r="I60" s="30"/>
      <c r="J60" s="6"/>
      <c r="K60" s="30"/>
      <c r="L60" s="6"/>
      <c r="M60" s="30"/>
      <c r="N60" s="6"/>
      <c r="O60" s="295"/>
      <c r="P60" s="6"/>
      <c r="Q60" s="30"/>
      <c r="R60" s="6"/>
      <c r="S60" s="20"/>
      <c r="T60" s="6"/>
      <c r="U60" s="20"/>
      <c r="V60" s="6"/>
      <c r="W60" s="20"/>
      <c r="X60" s="6"/>
      <c r="Y60" s="296"/>
      <c r="Z60" s="255"/>
      <c r="AB60" s="154"/>
      <c r="AC60" s="124"/>
      <c r="AD60" s="159"/>
      <c r="AE60" s="3"/>
      <c r="AF60" s="162"/>
      <c r="AG60" s="3"/>
      <c r="AH60" s="162"/>
      <c r="AI60" s="3"/>
      <c r="AJ60" s="162"/>
      <c r="AK60" s="3"/>
      <c r="AL60" s="161"/>
      <c r="AM60" s="3"/>
      <c r="AN60" s="162"/>
      <c r="AO60" s="3"/>
      <c r="AP60" s="162"/>
      <c r="AQ60" s="3"/>
      <c r="AR60" s="162"/>
      <c r="AS60" s="162"/>
      <c r="AT60" s="161"/>
      <c r="AU60" s="3"/>
      <c r="AV60" s="161"/>
      <c r="AW60" s="299"/>
      <c r="AX60" s="163"/>
      <c r="AZ60" s="154"/>
      <c r="BA60" s="124"/>
      <c r="BB60" s="162"/>
      <c r="BC60" s="3"/>
      <c r="BD60" s="162"/>
      <c r="BE60" s="3"/>
      <c r="BF60" s="161"/>
      <c r="BG60" s="3"/>
      <c r="BH60" s="165"/>
    </row>
    <row r="61" spans="2:60" ht="12">
      <c r="B61" s="2"/>
      <c r="C61" s="6"/>
      <c r="D61" s="6"/>
      <c r="E61" s="292"/>
      <c r="F61" s="6"/>
      <c r="G61" s="20"/>
      <c r="H61" s="6"/>
      <c r="I61" s="30"/>
      <c r="J61" s="6"/>
      <c r="K61" s="30"/>
      <c r="L61" s="6"/>
      <c r="M61" s="30"/>
      <c r="N61" s="6"/>
      <c r="O61" s="295"/>
      <c r="P61" s="6"/>
      <c r="Q61" s="30"/>
      <c r="R61" s="6"/>
      <c r="S61" s="20"/>
      <c r="T61" s="6"/>
      <c r="U61" s="20"/>
      <c r="V61" s="6"/>
      <c r="W61" s="20"/>
      <c r="X61" s="6"/>
      <c r="Y61" s="296"/>
      <c r="Z61" s="255"/>
      <c r="AB61" s="154"/>
      <c r="AC61" s="124"/>
      <c r="AD61" s="159"/>
      <c r="AE61" s="3"/>
      <c r="AF61" s="162"/>
      <c r="AG61" s="3"/>
      <c r="AH61" s="162"/>
      <c r="AI61" s="3"/>
      <c r="AJ61" s="162"/>
      <c r="AK61" s="3"/>
      <c r="AL61" s="161"/>
      <c r="AM61" s="3"/>
      <c r="AN61" s="162"/>
      <c r="AO61" s="3"/>
      <c r="AP61" s="162"/>
      <c r="AQ61" s="3"/>
      <c r="AR61" s="162"/>
      <c r="AS61" s="162"/>
      <c r="AT61" s="161"/>
      <c r="AU61" s="3"/>
      <c r="AV61" s="161"/>
      <c r="AW61" s="299"/>
      <c r="AX61" s="163"/>
      <c r="AZ61" s="154"/>
      <c r="BA61" s="124"/>
      <c r="BB61" s="162"/>
      <c r="BC61" s="3"/>
      <c r="BD61" s="162"/>
      <c r="BE61" s="3"/>
      <c r="BF61" s="161"/>
      <c r="BG61" s="3"/>
      <c r="BH61" s="165"/>
    </row>
    <row r="62" spans="2:60" ht="12">
      <c r="B62" s="2"/>
      <c r="C62" s="6"/>
      <c r="D62" s="6"/>
      <c r="E62" s="292"/>
      <c r="F62" s="6"/>
      <c r="G62" s="20"/>
      <c r="H62" s="6"/>
      <c r="I62" s="30"/>
      <c r="J62" s="6"/>
      <c r="K62" s="30"/>
      <c r="L62" s="6"/>
      <c r="M62" s="30"/>
      <c r="N62" s="6"/>
      <c r="O62" s="295"/>
      <c r="P62" s="6"/>
      <c r="Q62" s="30" t="s">
        <v>299</v>
      </c>
      <c r="R62" s="6"/>
      <c r="S62" s="20"/>
      <c r="T62" s="6"/>
      <c r="U62" s="20"/>
      <c r="V62" s="6"/>
      <c r="W62" s="20"/>
      <c r="X62" s="6"/>
      <c r="Y62" s="296"/>
      <c r="Z62" s="255"/>
      <c r="AB62" s="154"/>
      <c r="AC62" s="124"/>
      <c r="AD62" s="159"/>
      <c r="AE62" s="3"/>
      <c r="AF62" s="162"/>
      <c r="AG62" s="3"/>
      <c r="AH62" s="162"/>
      <c r="AI62" s="3"/>
      <c r="AJ62" s="162"/>
      <c r="AK62" s="3"/>
      <c r="AL62" s="161"/>
      <c r="AM62" s="3"/>
      <c r="AN62" s="162"/>
      <c r="AO62" s="3"/>
      <c r="AP62" s="162"/>
      <c r="AQ62" s="3"/>
      <c r="AR62" s="162"/>
      <c r="AS62" s="162"/>
      <c r="AT62" s="161"/>
      <c r="AU62" s="3"/>
      <c r="AV62" s="161"/>
      <c r="AW62" s="299"/>
      <c r="AX62" s="163"/>
      <c r="AZ62" s="154"/>
      <c r="BA62" s="124"/>
      <c r="BB62" s="162"/>
      <c r="BC62" s="3"/>
      <c r="BD62" s="162"/>
      <c r="BE62" s="3"/>
      <c r="BF62" s="161"/>
      <c r="BG62" s="3"/>
      <c r="BH62" s="165"/>
    </row>
    <row r="63" spans="2:60" ht="12">
      <c r="B63" s="2"/>
      <c r="C63" s="6"/>
      <c r="D63" s="6"/>
      <c r="E63" s="292"/>
      <c r="F63" s="6"/>
      <c r="G63" s="20"/>
      <c r="H63" s="6"/>
      <c r="I63" s="30"/>
      <c r="J63" s="6"/>
      <c r="K63" s="30"/>
      <c r="L63" s="6"/>
      <c r="M63" s="30"/>
      <c r="N63" s="6"/>
      <c r="O63" s="295"/>
      <c r="P63" s="6"/>
      <c r="Q63" s="30"/>
      <c r="R63" s="6"/>
      <c r="S63" s="20"/>
      <c r="T63" s="6"/>
      <c r="U63" s="20"/>
      <c r="V63" s="6"/>
      <c r="W63" s="20"/>
      <c r="X63" s="6"/>
      <c r="Y63" s="296"/>
      <c r="Z63" s="255"/>
      <c r="AB63" s="154"/>
      <c r="AC63" s="124"/>
      <c r="AD63" s="159"/>
      <c r="AE63" s="3"/>
      <c r="AF63" s="162"/>
      <c r="AG63" s="3"/>
      <c r="AH63" s="162"/>
      <c r="AI63" s="3"/>
      <c r="AJ63" s="162"/>
      <c r="AK63" s="3"/>
      <c r="AL63" s="161"/>
      <c r="AM63" s="3"/>
      <c r="AN63" s="162"/>
      <c r="AO63" s="3"/>
      <c r="AP63" s="162"/>
      <c r="AQ63" s="3"/>
      <c r="AR63" s="162"/>
      <c r="AS63" s="162"/>
      <c r="AT63" s="161"/>
      <c r="AU63" s="3"/>
      <c r="AV63" s="161"/>
      <c r="AW63" s="299"/>
      <c r="AX63" s="163"/>
      <c r="AZ63" s="154"/>
      <c r="BA63" s="124"/>
      <c r="BB63" s="162"/>
      <c r="BC63" s="3"/>
      <c r="BD63" s="162"/>
      <c r="BE63" s="3"/>
      <c r="BF63" s="161"/>
      <c r="BG63" s="3"/>
      <c r="BH63" s="165"/>
    </row>
    <row r="64" spans="2:60" ht="12">
      <c r="B64" s="2"/>
      <c r="C64" s="6"/>
      <c r="D64" s="6"/>
      <c r="E64" s="292"/>
      <c r="F64" s="6"/>
      <c r="G64" s="20"/>
      <c r="H64" s="6"/>
      <c r="I64" s="30"/>
      <c r="J64" s="6"/>
      <c r="K64" s="30"/>
      <c r="L64" s="6"/>
      <c r="M64" s="30"/>
      <c r="N64" s="6"/>
      <c r="O64" s="295"/>
      <c r="P64" s="6"/>
      <c r="Q64" s="30"/>
      <c r="R64" s="6"/>
      <c r="S64" s="20"/>
      <c r="T64" s="6"/>
      <c r="U64" s="20"/>
      <c r="V64" s="6"/>
      <c r="W64" s="20"/>
      <c r="X64" s="6"/>
      <c r="Y64" s="296"/>
      <c r="Z64" s="255"/>
      <c r="AB64" s="154"/>
      <c r="AC64" s="124"/>
      <c r="AD64" s="159"/>
      <c r="AE64" s="3"/>
      <c r="AF64" s="162"/>
      <c r="AG64" s="3"/>
      <c r="AH64" s="162"/>
      <c r="AI64" s="3"/>
      <c r="AJ64" s="162"/>
      <c r="AK64" s="3"/>
      <c r="AL64" s="161"/>
      <c r="AM64" s="3"/>
      <c r="AN64" s="162"/>
      <c r="AO64" s="3"/>
      <c r="AP64" s="162"/>
      <c r="AQ64" s="3"/>
      <c r="AR64" s="162"/>
      <c r="AS64" s="162"/>
      <c r="AT64" s="161"/>
      <c r="AU64" s="3"/>
      <c r="AV64" s="161"/>
      <c r="AW64" s="299"/>
      <c r="AX64" s="163"/>
      <c r="AZ64" s="154"/>
      <c r="BA64" s="124"/>
      <c r="BB64" s="162"/>
      <c r="BC64" s="3"/>
      <c r="BD64" s="162"/>
      <c r="BE64" s="3"/>
      <c r="BF64" s="161"/>
      <c r="BG64" s="3"/>
      <c r="BH64" s="165"/>
    </row>
    <row r="65" spans="2:60" ht="12">
      <c r="B65" s="2"/>
      <c r="C65" s="6"/>
      <c r="D65" s="6"/>
      <c r="E65" s="292"/>
      <c r="F65" s="6"/>
      <c r="G65" s="20"/>
      <c r="H65" s="6"/>
      <c r="I65" s="30"/>
      <c r="J65" s="6"/>
      <c r="K65" s="30"/>
      <c r="L65" s="6"/>
      <c r="M65" s="30"/>
      <c r="N65" s="6"/>
      <c r="O65" s="295"/>
      <c r="P65" s="6"/>
      <c r="Q65" s="30"/>
      <c r="R65" s="6"/>
      <c r="S65" s="20"/>
      <c r="T65" s="6"/>
      <c r="U65" s="20"/>
      <c r="V65" s="6"/>
      <c r="W65" s="20"/>
      <c r="X65" s="6"/>
      <c r="Y65" s="296"/>
      <c r="Z65" s="255"/>
      <c r="AB65" s="154"/>
      <c r="AC65" s="124"/>
      <c r="AD65" s="159"/>
      <c r="AE65" s="3"/>
      <c r="AF65" s="162"/>
      <c r="AG65" s="3"/>
      <c r="AH65" s="162"/>
      <c r="AI65" s="3"/>
      <c r="AJ65" s="162"/>
      <c r="AK65" s="3"/>
      <c r="AL65" s="161"/>
      <c r="AM65" s="3"/>
      <c r="AN65" s="162"/>
      <c r="AO65" s="3"/>
      <c r="AP65" s="162"/>
      <c r="AQ65" s="3"/>
      <c r="AR65" s="162"/>
      <c r="AS65" s="162"/>
      <c r="AT65" s="161"/>
      <c r="AU65" s="3"/>
      <c r="AV65" s="161"/>
      <c r="AW65" s="299"/>
      <c r="AX65" s="163"/>
      <c r="AZ65" s="154"/>
      <c r="BA65" s="124"/>
      <c r="BB65" s="162"/>
      <c r="BC65" s="3"/>
      <c r="BD65" s="162"/>
      <c r="BE65" s="3"/>
      <c r="BF65" s="161"/>
      <c r="BG65" s="3"/>
      <c r="BH65" s="165"/>
    </row>
    <row r="66" spans="2:60" ht="12">
      <c r="B66" s="2"/>
      <c r="C66" s="6"/>
      <c r="D66" s="6"/>
      <c r="E66" s="292"/>
      <c r="F66" s="6"/>
      <c r="G66" s="20"/>
      <c r="H66" s="6"/>
      <c r="I66" s="30"/>
      <c r="J66" s="6"/>
      <c r="K66" s="30"/>
      <c r="L66" s="6"/>
      <c r="M66" s="30"/>
      <c r="N66" s="6"/>
      <c r="O66" s="295"/>
      <c r="P66" s="6"/>
      <c r="Q66" s="30"/>
      <c r="R66" s="6"/>
      <c r="S66" s="20"/>
      <c r="T66" s="6"/>
      <c r="U66" s="20"/>
      <c r="V66" s="6"/>
      <c r="W66" s="20"/>
      <c r="X66" s="6"/>
      <c r="Y66" s="296"/>
      <c r="Z66" s="255"/>
      <c r="AB66" s="154"/>
      <c r="AC66" s="124"/>
      <c r="AD66" s="159"/>
      <c r="AE66" s="3"/>
      <c r="AF66" s="162"/>
      <c r="AG66" s="3"/>
      <c r="AH66" s="162"/>
      <c r="AI66" s="3"/>
      <c r="AJ66" s="162"/>
      <c r="AK66" s="3"/>
      <c r="AL66" s="161"/>
      <c r="AM66" s="3"/>
      <c r="AN66" s="162"/>
      <c r="AO66" s="3"/>
      <c r="AP66" s="162"/>
      <c r="AQ66" s="3"/>
      <c r="AR66" s="162"/>
      <c r="AS66" s="162"/>
      <c r="AT66" s="161"/>
      <c r="AU66" s="3"/>
      <c r="AV66" s="161"/>
      <c r="AW66" s="299"/>
      <c r="AX66" s="163"/>
      <c r="AZ66" s="154"/>
      <c r="BA66" s="124"/>
      <c r="BB66" s="162"/>
      <c r="BC66" s="3"/>
      <c r="BD66" s="162"/>
      <c r="BE66" s="3"/>
      <c r="BF66" s="161"/>
      <c r="BG66" s="3"/>
      <c r="BH66" s="165"/>
    </row>
    <row r="67" spans="2:60">
      <c r="B67" s="2"/>
      <c r="C67" s="3"/>
      <c r="D67" s="3"/>
      <c r="E67" s="178"/>
      <c r="F67" s="3"/>
      <c r="G67" s="290"/>
      <c r="H67" s="3"/>
      <c r="I67" s="290"/>
      <c r="J67" s="3"/>
      <c r="K67" s="290"/>
      <c r="L67" s="3"/>
      <c r="M67" s="290"/>
      <c r="N67" s="3"/>
      <c r="O67" s="290"/>
      <c r="P67" s="3"/>
      <c r="Q67" s="290"/>
      <c r="R67" s="3"/>
      <c r="S67" s="290"/>
      <c r="T67" s="3"/>
      <c r="U67" s="290"/>
      <c r="V67" s="3"/>
      <c r="W67" s="290"/>
      <c r="X67" s="3"/>
      <c r="Y67" s="300"/>
      <c r="Z67" s="255"/>
      <c r="AB67" s="2"/>
      <c r="AC67" s="3"/>
      <c r="AD67" s="3"/>
      <c r="AE67" s="3"/>
      <c r="AF67" s="301"/>
      <c r="AG67" s="3"/>
      <c r="AH67" s="301"/>
      <c r="AI67" s="3"/>
      <c r="AJ67" s="301"/>
      <c r="AK67" s="3"/>
      <c r="AL67" s="299"/>
      <c r="AM67" s="3"/>
      <c r="AN67" s="301"/>
      <c r="AO67" s="3"/>
      <c r="AP67" s="301"/>
      <c r="AQ67" s="3"/>
      <c r="AR67" s="301"/>
      <c r="AS67" s="301"/>
      <c r="AT67" s="301"/>
      <c r="AU67" s="3"/>
      <c r="AV67" s="299"/>
      <c r="AW67" s="299"/>
      <c r="AX67" s="302"/>
      <c r="AZ67" s="2"/>
      <c r="BA67" s="3"/>
      <c r="BB67" s="301"/>
      <c r="BC67" s="3"/>
      <c r="BD67" s="3"/>
      <c r="BE67" s="3"/>
      <c r="BF67" s="299"/>
      <c r="BG67" s="3"/>
      <c r="BH67" s="255"/>
    </row>
    <row r="68" spans="2:60" ht="12">
      <c r="B68" s="2"/>
      <c r="C68" s="303" t="str">
        <f>G14&amp;"-year Nominal Levelized at "&amp;TEXT($G$18,"#.00%")</f>
        <v>30-year Nominal Levelized at 6.57%</v>
      </c>
      <c r="E68" s="178"/>
      <c r="F68" s="3"/>
      <c r="G68" s="20">
        <f>+-PMT($G$18,$G$14,NPV($G$18,G28:G66))</f>
        <v>694710.593084077</v>
      </c>
      <c r="H68" s="6"/>
      <c r="I68" s="30">
        <f>+-PMT($G$18,$G$14,NPV($G$18,I28:I66))</f>
        <v>68.45950126424782</v>
      </c>
      <c r="J68" s="30"/>
      <c r="K68" s="30">
        <f>+-PMT($G$18,$G$14,NPV($G$18,K28:K66))</f>
        <v>1.2933522469230294</v>
      </c>
      <c r="L68" s="6"/>
      <c r="M68" s="30">
        <f>+-PMT($G$18,$G$14,NPV($G$18,M28:M66))</f>
        <v>0</v>
      </c>
      <c r="N68" s="6"/>
      <c r="O68" s="30">
        <f>+-PMT($G$18,$G$14,NPV($G$18,O28:O66))</f>
        <v>1.4480307525960268</v>
      </c>
      <c r="P68" s="6"/>
      <c r="Q68" s="30">
        <f>+-PMT($G$18,$G$14,NPV($G$18,Q28:Q66))</f>
        <v>-19.132669551210657</v>
      </c>
      <c r="R68" s="6"/>
      <c r="S68" s="20">
        <f>+-PMT($G$18,$G$14,NPV($G$18,S28:S66))</f>
        <v>1288.2309635277825</v>
      </c>
      <c r="T68" s="6"/>
      <c r="U68" s="20">
        <f>+-PMT($G$18,$G$14,NPV($G$18,U28:U66))</f>
        <v>37799.677011087806</v>
      </c>
      <c r="V68" s="3"/>
      <c r="W68" s="20">
        <f>+-PMT($G$18,$G$14,NPV($G$18,W28:W66))</f>
        <v>-36511.446047560028</v>
      </c>
      <c r="X68" s="3"/>
      <c r="Y68" s="296">
        <f>+-PMT($G$18,$G$14,NPV($G$18,Y28:Y66))</f>
        <v>33.484495796648424</v>
      </c>
      <c r="Z68" s="255"/>
      <c r="AB68" s="2"/>
      <c r="AC68" s="3"/>
      <c r="AD68" s="159">
        <f>+-PMT($G$18,$G$14,NPV($G$18,AD28:AD66))</f>
        <v>694710.593084077</v>
      </c>
      <c r="AE68" s="3"/>
      <c r="AF68" s="162">
        <f>+-PMT($G$18,$G$14,NPV($G$18,AF28:AF66))</f>
        <v>127.88116774691788</v>
      </c>
      <c r="AG68" s="3"/>
      <c r="AH68" s="162">
        <f>+-PMT($G$18,$G$14,NPV($G$18,AH28:AH66))</f>
        <v>25.615153492528894</v>
      </c>
      <c r="AI68" s="3"/>
      <c r="AJ68" s="162">
        <f>+-PMT($G$18,$G$14,NPV($G$18,AJ28:AJ66))</f>
        <v>2.6140781203610159</v>
      </c>
      <c r="AK68" s="3"/>
      <c r="AL68" s="161">
        <f>+-PMT($G$18,$G$14,NPV($G$18,AL28:AL66))</f>
        <v>20512.171683037574</v>
      </c>
      <c r="AM68" s="3"/>
      <c r="AN68" s="162">
        <f>+-PMT($G$18,$G$14,NPV($G$18,AN28:AN66))</f>
        <v>4.9109076287424571</v>
      </c>
      <c r="AO68" s="3"/>
      <c r="AP68" s="162">
        <f>+-PMT($G$18,$G$14,NPV($G$18,AP28:AP66))</f>
        <v>32.258970197693856</v>
      </c>
      <c r="AQ68" s="3"/>
      <c r="AR68" s="162">
        <f>+-PMT($G$18,$G$14,NPV($G$18,AR28:AR66))</f>
        <v>2.9498471153652552</v>
      </c>
      <c r="AS68" s="162"/>
      <c r="AT68" s="161">
        <f>+-PMT($G$18,$G$14,NPV($G$18,AT28:AT66))</f>
        <v>12519.647838119856</v>
      </c>
      <c r="AU68" s="3"/>
      <c r="AV68" s="161">
        <f>+-PMT($G$18,$G$14,NPV($G$18,AV28:AV66))</f>
        <v>25280.029172967956</v>
      </c>
      <c r="AW68" s="299"/>
      <c r="AX68" s="163">
        <f>+-PMT($G$18,$G$14,NPV($G$18,AX28:AX66))</f>
        <v>37799.677011087806</v>
      </c>
      <c r="AZ68" s="2"/>
      <c r="BA68" s="3"/>
      <c r="BB68" s="162">
        <f>+-PMT($G$18,$G$14,NPV($G$18,BB28:BB66))</f>
        <v>83.28076187251952</v>
      </c>
      <c r="BC68" s="3"/>
      <c r="BD68" s="162">
        <f>+-PMT($G$18,$G$14,NPV($G$18,BD28:BD66))</f>
        <v>5.4838135269536457</v>
      </c>
      <c r="BE68" s="3"/>
      <c r="BF68" s="161">
        <f>+-PMT($G$18,$G$14,NPV($G$18,BF28:BF66))</f>
        <v>7992.5238449177114</v>
      </c>
      <c r="BG68" s="3"/>
      <c r="BH68" s="165"/>
    </row>
    <row r="69" spans="2:60">
      <c r="B69" s="2"/>
      <c r="C69" s="3"/>
      <c r="D69" s="3"/>
      <c r="E69" s="17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04"/>
      <c r="X69" s="3"/>
      <c r="Y69" s="305"/>
      <c r="Z69" s="255"/>
      <c r="AB69" s="2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299"/>
      <c r="AU69" s="3"/>
      <c r="AV69" s="3"/>
      <c r="AW69" s="3"/>
      <c r="AX69" s="255"/>
      <c r="AZ69" s="2"/>
      <c r="BA69" s="3"/>
      <c r="BB69" s="3"/>
      <c r="BC69" s="3"/>
      <c r="BD69" s="3"/>
      <c r="BE69" s="3"/>
      <c r="BF69" s="3"/>
      <c r="BG69" s="3"/>
      <c r="BH69" s="255"/>
    </row>
    <row r="70" spans="2:60">
      <c r="B70" s="258"/>
      <c r="C70" s="306"/>
      <c r="D70" s="306"/>
      <c r="E70" s="307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259"/>
      <c r="AB70" s="258"/>
      <c r="AC70" s="306"/>
      <c r="AD70" s="306"/>
      <c r="AE70" s="306"/>
      <c r="AF70" s="306"/>
      <c r="AG70" s="306"/>
      <c r="AH70" s="306"/>
      <c r="AI70" s="306"/>
      <c r="AJ70" s="306"/>
      <c r="AK70" s="306"/>
      <c r="AL70" s="306"/>
      <c r="AM70" s="306"/>
      <c r="AN70" s="306"/>
      <c r="AO70" s="306"/>
      <c r="AP70" s="306"/>
      <c r="AQ70" s="306"/>
      <c r="AR70" s="306"/>
      <c r="AS70" s="306"/>
      <c r="AT70" s="306"/>
      <c r="AU70" s="306"/>
      <c r="AV70" s="306"/>
      <c r="AW70" s="306"/>
      <c r="AX70" s="259"/>
      <c r="AZ70" s="258"/>
      <c r="BA70" s="306"/>
      <c r="BB70" s="306"/>
      <c r="BC70" s="306"/>
      <c r="BD70" s="306"/>
      <c r="BE70" s="306"/>
      <c r="BF70" s="306"/>
      <c r="BG70" s="306"/>
      <c r="BH70" s="259"/>
    </row>
    <row r="71" spans="2:60">
      <c r="E71" s="308"/>
    </row>
    <row r="72" spans="2:60">
      <c r="E72" s="308"/>
      <c r="G72" s="309"/>
      <c r="I72" s="309"/>
      <c r="K72" s="309"/>
      <c r="O72" s="309"/>
      <c r="Q72" s="309"/>
      <c r="S72" s="309"/>
      <c r="U72" s="309"/>
      <c r="W72" s="309"/>
    </row>
    <row r="73" spans="2:60">
      <c r="E73" s="308"/>
    </row>
    <row r="74" spans="2:60">
      <c r="E74" s="308"/>
    </row>
    <row r="75" spans="2:60">
      <c r="E75" s="308"/>
    </row>
    <row r="76" spans="2:60">
      <c r="E76" s="308"/>
    </row>
    <row r="77" spans="2:60">
      <c r="E77" s="308"/>
    </row>
    <row r="78" spans="2:60">
      <c r="E78" s="308"/>
    </row>
    <row r="79" spans="2:60">
      <c r="E79" s="308"/>
    </row>
    <row r="80" spans="2:60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  <row r="88" spans="5:5">
      <c r="E88" s="308"/>
    </row>
    <row r="89" spans="5:5">
      <c r="E89" s="308"/>
    </row>
    <row r="90" spans="5:5">
      <c r="E90" s="308"/>
    </row>
    <row r="91" spans="5:5">
      <c r="E91" s="308"/>
    </row>
    <row r="92" spans="5:5">
      <c r="E92" s="308"/>
    </row>
    <row r="93" spans="5:5">
      <c r="E93" s="308"/>
    </row>
    <row r="94" spans="5:5">
      <c r="E94" s="308"/>
    </row>
  </sheetData>
  <pageMargins left="0.25" right="0.25" top="0.25" bottom="0.75" header="0.3" footer="0.3"/>
  <pageSetup paperSize="5" scale="46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025E8-E529-45B5-AFBD-E502F2553A5C}">
  <sheetPr codeName="Sheet13">
    <tabColor theme="0" tint="-0.249977111117893"/>
    <pageSetUpPr fitToPage="1"/>
  </sheetPr>
  <dimension ref="A1:BH84"/>
  <sheetViews>
    <sheetView topLeftCell="M37" workbookViewId="0">
      <selection activeCell="S58" sqref="S58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307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303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'[5]New_Cedar Springs III PPA'!$X$12</f>
        <v>120</v>
      </c>
      <c r="H11" s="275"/>
      <c r="AB11" s="129" t="s">
        <v>99</v>
      </c>
      <c r="AC11" s="130"/>
      <c r="AD11" s="130"/>
      <c r="AE11" s="130"/>
      <c r="AF11" s="312">
        <f>+G11*(G12/AJ16)</f>
        <v>78.399598816319269</v>
      </c>
      <c r="AG11" s="134"/>
      <c r="AH11" s="130" t="s">
        <v>100</v>
      </c>
      <c r="AI11" s="131"/>
      <c r="AJ11" s="174">
        <f>'(2.1)_Proxy Resources'!N29</f>
        <v>19.805241420865066</v>
      </c>
      <c r="AK11" s="255"/>
      <c r="AZ11" s="129" t="s">
        <v>99</v>
      </c>
      <c r="BA11" s="130"/>
      <c r="BB11" s="130"/>
      <c r="BC11" s="130"/>
      <c r="BD11" s="141">
        <f>(AF11*AF13-G11*G19)</f>
        <v>59.439598816319268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'[5]New_Cedar Springs III PPA'!$X$13</f>
        <v>0.45919673061244359</v>
      </c>
      <c r="H12" s="275"/>
      <c r="AB12" s="129" t="s">
        <v>32</v>
      </c>
      <c r="AC12" s="130"/>
      <c r="AD12" s="130"/>
      <c r="AE12" s="130"/>
      <c r="AF12" s="138">
        <f>+AD58/8760/AF11</f>
        <v>0.70285573530285828</v>
      </c>
      <c r="AG12" s="134"/>
      <c r="AH12" s="124" t="s">
        <v>101</v>
      </c>
      <c r="AI12" s="125"/>
      <c r="AJ12" s="124">
        <v>2016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Resources'!O29</f>
        <v>2.02116486562735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Resources'!H29*(1+E28)</f>
        <v>6568.8407594737137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288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231</v>
      </c>
      <c r="AC15" s="130"/>
      <c r="AD15" s="130"/>
      <c r="AE15" s="130"/>
      <c r="AF15" s="175">
        <f>'(2.1)_Proxy Resources'!J29</f>
        <v>1362.6215812395926</v>
      </c>
      <c r="AG15" s="134"/>
      <c r="AH15" s="124" t="s">
        <v>145</v>
      </c>
      <c r="AI15" s="125"/>
      <c r="AJ15" s="174">
        <f>'(2.1)_Proxy Resources'!P29</f>
        <v>2.2807762714164963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288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Resources'!K28</f>
        <v>7.2562879502455491E-2</v>
      </c>
      <c r="AG16" s="134"/>
      <c r="AH16" s="124" t="s">
        <v>110</v>
      </c>
      <c r="AI16" s="131"/>
      <c r="AJ16" s="145">
        <f>'(2.1)_Proxy Resources'!D29</f>
        <v>0.70285573530285894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288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'(2.2)_Forward_Price_Curve'!W8</f>
        <v>6.5699999999999995E-2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2021</v>
      </c>
      <c r="D28" s="6"/>
      <c r="E28" s="292">
        <f>'(2.2)_Forward_Price_Curve'!P33</f>
        <v>2.4E-2</v>
      </c>
      <c r="F28" s="6"/>
      <c r="G28" s="20">
        <v>482707.60321980069</v>
      </c>
      <c r="H28" s="6"/>
      <c r="I28" s="293">
        <f>$G$15*(1+E28)</f>
        <v>0</v>
      </c>
      <c r="J28" s="293"/>
      <c r="K28" s="293">
        <v>15.5</v>
      </c>
      <c r="L28" s="294"/>
      <c r="M28" s="293">
        <f>$G$17</f>
        <v>0</v>
      </c>
      <c r="N28" s="6"/>
      <c r="O28" s="295">
        <f>'(2.2)_Forward_Price_Curve'!Y33</f>
        <v>1.1679956801767024</v>
      </c>
      <c r="P28" s="6"/>
      <c r="Q28" s="30"/>
      <c r="R28" s="6"/>
      <c r="S28" s="20">
        <f>(I28*$G$11*1000+(K28+M28+O28+Q28)*G28)/1000</f>
        <v>8045.7682452560875</v>
      </c>
      <c r="T28" s="6"/>
      <c r="U28" s="20">
        <f t="shared" ref="U28:U47" si="0">AX28</f>
        <v>16598.662400584955</v>
      </c>
      <c r="V28" s="6"/>
      <c r="W28" s="20">
        <f t="shared" ref="W28:W47" si="1">S28-U28</f>
        <v>-8552.8941553288678</v>
      </c>
      <c r="X28" s="6"/>
      <c r="Y28" s="296">
        <f>+W28*1000/G28</f>
        <v>-17.718581804551174</v>
      </c>
      <c r="Z28" s="255"/>
      <c r="AB28" s="154">
        <f>$C$28</f>
        <v>2021</v>
      </c>
      <c r="AC28" s="124"/>
      <c r="AD28" s="159">
        <f t="shared" ref="AD28:AD47" si="2">G28</f>
        <v>482707.60321980069</v>
      </c>
      <c r="AE28" s="3"/>
      <c r="AF28" s="160">
        <f>$AF$15*$AF$16*(1+E28)</f>
        <v>101.24876350150033</v>
      </c>
      <c r="AG28" s="297"/>
      <c r="AH28" s="160">
        <f>$AJ$11*(1+E28)</f>
        <v>20.280567214965828</v>
      </c>
      <c r="AI28" s="297"/>
      <c r="AJ28" s="160">
        <f>$AJ$13*(1+E28)</f>
        <v>2.0696728224024064</v>
      </c>
      <c r="AK28" s="298"/>
      <c r="AL28" s="161">
        <f>((AF28+AH28)*$AF$11*1000+AJ28*AD28)/1000</f>
        <v>10526.89758013776</v>
      </c>
      <c r="AM28" s="3"/>
      <c r="AN28" s="162">
        <f>INDEX('(2.2)_Forward_Price_Curve'!$G:$G,MATCH($AB28,'(2.2)_Forward_Price_Curve'!$C:$C,0),1)</f>
        <v>2.8767624999999999</v>
      </c>
      <c r="AO28" s="310"/>
      <c r="AP28" s="162">
        <f>AN28*$AF$14/1000+$AJ$14/(1+E29)</f>
        <v>18.896994765325498</v>
      </c>
      <c r="AQ28" s="297"/>
      <c r="AR28" s="160">
        <f>$AJ$15*(1+E28)</f>
        <v>2.3355149019304924</v>
      </c>
      <c r="AS28" s="160"/>
      <c r="AT28" s="161">
        <f t="shared" ref="AT28:AT47" si="3">AL28-BF28</f>
        <v>6349.5685487625697</v>
      </c>
      <c r="AU28" s="298"/>
      <c r="AV28" s="161">
        <f t="shared" ref="AV28:AV47" si="4">(AP28+AR28)*AD28/1000</f>
        <v>10249.093851822385</v>
      </c>
      <c r="AW28" s="299"/>
      <c r="AX28" s="163">
        <f>AT28+AV28</f>
        <v>16598.662400584955</v>
      </c>
      <c r="AZ28" s="154">
        <f>$C$28</f>
        <v>2021</v>
      </c>
      <c r="BA28" s="124"/>
      <c r="BB28" s="160">
        <f>$BD$14*$BD$15*(1+E28)</f>
        <v>65.936793600000001</v>
      </c>
      <c r="BC28" s="3"/>
      <c r="BD28" s="160">
        <f>$BB$16*(1+E28)</f>
        <v>4.3417600000000007</v>
      </c>
      <c r="BE28" s="297"/>
      <c r="BF28" s="161">
        <f>(BB28+BD28)*$BD$11</f>
        <v>4177.3290313751904</v>
      </c>
      <c r="BG28" s="297"/>
      <c r="BH28" s="164"/>
    </row>
    <row r="29" spans="1:60" ht="12">
      <c r="B29" s="2"/>
      <c r="C29" s="6">
        <f>+IF(C28&gt;$G$13+$G$14,XX,C28+1)</f>
        <v>2022</v>
      </c>
      <c r="D29" s="6"/>
      <c r="E29" s="292">
        <f>'(2.2)_Forward_Price_Curve'!P34</f>
        <v>2.4E-2</v>
      </c>
      <c r="F29" s="6"/>
      <c r="G29" s="20">
        <v>482707.60321980069</v>
      </c>
      <c r="H29" s="6"/>
      <c r="I29" s="30">
        <f>I28*(1+$E29)</f>
        <v>0</v>
      </c>
      <c r="J29" s="6"/>
      <c r="K29" s="30">
        <v>15.5</v>
      </c>
      <c r="L29" s="6"/>
      <c r="M29" s="30">
        <f>M28*(1+$E29)</f>
        <v>0</v>
      </c>
      <c r="N29" s="6"/>
      <c r="O29" s="295">
        <f>'(2.2)_Forward_Price_Curve'!Y34</f>
        <v>1.1974836718320334</v>
      </c>
      <c r="P29" s="6"/>
      <c r="Q29" s="30"/>
      <c r="R29" s="6"/>
      <c r="S29" s="20">
        <f t="shared" ref="S29:S47" si="5">(I29*$G$11*1000+(K29+M29+O29+Q29)*G29)/1000</f>
        <v>8060.0023230317975</v>
      </c>
      <c r="T29" s="6"/>
      <c r="U29" s="20">
        <f t="shared" si="0"/>
        <v>17200.119911728038</v>
      </c>
      <c r="V29" s="6"/>
      <c r="W29" s="20">
        <f t="shared" si="1"/>
        <v>-9140.117588696241</v>
      </c>
      <c r="X29" s="6"/>
      <c r="Y29" s="296">
        <f t="shared" ref="Y29:Y47" si="6">+W29*1000/G29</f>
        <v>-18.935101762907788</v>
      </c>
      <c r="Z29" s="255"/>
      <c r="AB29" s="154">
        <f>+IF(AB28&gt;$G$13+$G$14,XX,AB28+1)</f>
        <v>2022</v>
      </c>
      <c r="AC29" s="124"/>
      <c r="AD29" s="159">
        <f t="shared" si="2"/>
        <v>482707.60321980069</v>
      </c>
      <c r="AE29" s="3"/>
      <c r="AF29" s="162">
        <f>AF28*(1+$E29)</f>
        <v>103.67873382553634</v>
      </c>
      <c r="AG29" s="3"/>
      <c r="AH29" s="162">
        <f>AH28*(1+$E29)</f>
        <v>20.767300828125009</v>
      </c>
      <c r="AI29" s="3"/>
      <c r="AJ29" s="162">
        <f>AJ28*(1+$E29)</f>
        <v>2.1193449701400642</v>
      </c>
      <c r="AK29" s="3"/>
      <c r="AL29" s="161">
        <f t="shared" ref="AL29:AL47" si="7">((AF29+AH29)*$AF$11*1000+AJ29*AD29)/1000</f>
        <v>10779.543122061064</v>
      </c>
      <c r="AM29" s="3"/>
      <c r="AN29" s="162">
        <f>INDEX('(2.2)_Forward_Price_Curve'!$G:$G,MATCH($AB29,'(2.2)_Forward_Price_Curve'!$C:$C,0),1)</f>
        <v>3.0098541666666665</v>
      </c>
      <c r="AO29" s="3"/>
      <c r="AP29" s="162">
        <f>AN29*$AF$14/1000+$AJ$14</f>
        <v>19.771252730071787</v>
      </c>
      <c r="AQ29" s="3"/>
      <c r="AR29" s="162">
        <f>AR28*(1+$E29)</f>
        <v>2.3915672595768243</v>
      </c>
      <c r="AS29" s="162"/>
      <c r="AT29" s="161">
        <f t="shared" si="3"/>
        <v>6501.9581939328691</v>
      </c>
      <c r="AU29" s="3"/>
      <c r="AV29" s="161">
        <f t="shared" si="4"/>
        <v>10698.161717795168</v>
      </c>
      <c r="AW29" s="299"/>
      <c r="AX29" s="163">
        <f t="shared" ref="AX29:AX47" si="8">AT29+AV29</f>
        <v>17200.119911728038</v>
      </c>
      <c r="AZ29" s="154">
        <f>+IF(AZ28&gt;$G$13+$G$14,XX,AZ28+1)</f>
        <v>2022</v>
      </c>
      <c r="BA29" s="124"/>
      <c r="BB29" s="162">
        <f>BB28*(1+$E29)</f>
        <v>67.519276646400002</v>
      </c>
      <c r="BC29" s="3"/>
      <c r="BD29" s="162">
        <f>BD28*(1+$E29)</f>
        <v>4.445962240000001</v>
      </c>
      <c r="BE29" s="3"/>
      <c r="BF29" s="161">
        <f t="shared" ref="BF29:BF47" si="9">(BB29+BD29)*$BD$11</f>
        <v>4277.5849281281953</v>
      </c>
      <c r="BG29" s="3"/>
      <c r="BH29" s="165"/>
    </row>
    <row r="30" spans="1:60" ht="12">
      <c r="B30" s="2"/>
      <c r="C30" s="6">
        <f>+IF(C29&gt;$G$13+$G$14,XX,C29+1)</f>
        <v>2023</v>
      </c>
      <c r="D30" s="6"/>
      <c r="E30" s="292">
        <f>'(2.2)_Forward_Price_Curve'!P35</f>
        <v>2.4E-2</v>
      </c>
      <c r="F30" s="6"/>
      <c r="G30" s="20">
        <v>482707.60321980069</v>
      </c>
      <c r="H30" s="6"/>
      <c r="I30" s="30">
        <f t="shared" ref="I30:I47" si="10">I29*(1+$E30)</f>
        <v>0</v>
      </c>
      <c r="J30" s="6"/>
      <c r="K30" s="30">
        <v>15.5</v>
      </c>
      <c r="L30" s="6"/>
      <c r="M30" s="30">
        <f t="shared" ref="M30:M46" si="11">M29*(1+$E30)</f>
        <v>0</v>
      </c>
      <c r="N30" s="6"/>
      <c r="O30" s="295">
        <f>'(2.2)_Forward_Price_Curve'!Y35</f>
        <v>1.2269144627008759</v>
      </c>
      <c r="P30" s="6"/>
      <c r="Q30" s="30"/>
      <c r="R30" s="6"/>
      <c r="S30" s="20">
        <f t="shared" si="5"/>
        <v>8074.2087895529594</v>
      </c>
      <c r="T30" s="6"/>
      <c r="U30" s="20">
        <f t="shared" si="0"/>
        <v>18865.429988697593</v>
      </c>
      <c r="V30" s="6"/>
      <c r="W30" s="20">
        <f t="shared" si="1"/>
        <v>-10791.221199144635</v>
      </c>
      <c r="X30" s="6"/>
      <c r="Y30" s="296">
        <f t="shared" si="6"/>
        <v>-22.355606431645242</v>
      </c>
      <c r="Z30" s="255"/>
      <c r="AB30" s="154">
        <f>+IF(AB29&gt;$G$13+$G$14,XX,AB29+1)</f>
        <v>2023</v>
      </c>
      <c r="AC30" s="124"/>
      <c r="AD30" s="159">
        <f t="shared" si="2"/>
        <v>482707.60321980069</v>
      </c>
      <c r="AE30" s="3"/>
      <c r="AF30" s="162">
        <f t="shared" ref="AF30:AF47" si="12">AF29*(1+$E30)</f>
        <v>106.16702343734921</v>
      </c>
      <c r="AG30" s="3"/>
      <c r="AH30" s="162">
        <f t="shared" ref="AH30:AH47" si="13">AH29*(1+$E30)</f>
        <v>21.265716048000009</v>
      </c>
      <c r="AI30" s="3"/>
      <c r="AJ30" s="162">
        <f t="shared" ref="AJ30:AJ47" si="14">AJ29*(1+$E30)</f>
        <v>2.1702092494234257</v>
      </c>
      <c r="AK30" s="3"/>
      <c r="AL30" s="161">
        <f t="shared" si="7"/>
        <v>11038.252156990529</v>
      </c>
      <c r="AM30" s="3"/>
      <c r="AN30" s="162">
        <f>INDEX('(2.2)_Forward_Price_Curve'!$G:$G,MATCH($AB30,'(2.2)_Forward_Price_Curve'!$C:$C,0),1)</f>
        <v>3.4771000000000001</v>
      </c>
      <c r="AO30" s="3"/>
      <c r="AP30" s="162">
        <f>AN30*$AF$14/1000+$AJ$14*(1+E30)</f>
        <v>22.84051620476605</v>
      </c>
      <c r="AQ30" s="3"/>
      <c r="AR30" s="162">
        <f t="shared" ref="AR30:AR47" si="15">AR29*(1+$E30)</f>
        <v>2.4489648738066681</v>
      </c>
      <c r="AS30" s="162"/>
      <c r="AT30" s="161">
        <f t="shared" si="3"/>
        <v>6658.0051905872569</v>
      </c>
      <c r="AU30" s="3"/>
      <c r="AV30" s="161">
        <f t="shared" si="4"/>
        <v>12207.424798110338</v>
      </c>
      <c r="AW30" s="299"/>
      <c r="AX30" s="163">
        <f t="shared" si="8"/>
        <v>18865.429988697593</v>
      </c>
      <c r="AZ30" s="154">
        <f>+IF(AZ29&gt;$G$13+$G$14,XX,AZ29+1)</f>
        <v>2023</v>
      </c>
      <c r="BA30" s="124"/>
      <c r="BB30" s="162">
        <f t="shared" ref="BB30:BB47" si="16">BB29*(1+$E30)</f>
        <v>69.139739285913606</v>
      </c>
      <c r="BC30" s="3"/>
      <c r="BD30" s="162">
        <f t="shared" ref="BD30:BD47" si="17">BD29*(1+$E30)</f>
        <v>4.5526653337600012</v>
      </c>
      <c r="BE30" s="3"/>
      <c r="BF30" s="161">
        <f t="shared" si="9"/>
        <v>4380.2469664032724</v>
      </c>
      <c r="BG30" s="3"/>
      <c r="BH30" s="165"/>
    </row>
    <row r="31" spans="1:60" ht="12">
      <c r="B31" s="2"/>
      <c r="C31" s="6">
        <f>+IF(C30&gt;$G$13+$G$14,XX,C30+1)</f>
        <v>2024</v>
      </c>
      <c r="D31" s="6"/>
      <c r="E31" s="292">
        <f>'(2.2)_Forward_Price_Curve'!P36</f>
        <v>2.3E-2</v>
      </c>
      <c r="F31" s="6"/>
      <c r="G31" s="20">
        <v>482707.60321980069</v>
      </c>
      <c r="H31" s="6"/>
      <c r="I31" s="30">
        <f t="shared" si="10"/>
        <v>0</v>
      </c>
      <c r="J31" s="6"/>
      <c r="K31" s="30">
        <v>15.5</v>
      </c>
      <c r="L31" s="6"/>
      <c r="M31" s="30">
        <f t="shared" si="11"/>
        <v>0</v>
      </c>
      <c r="N31" s="6"/>
      <c r="O31" s="295">
        <f>'(2.2)_Forward_Price_Curve'!Y36</f>
        <v>1.2554480395092353</v>
      </c>
      <c r="P31" s="6"/>
      <c r="Q31" s="30"/>
      <c r="R31" s="6"/>
      <c r="S31" s="20">
        <f t="shared" si="5"/>
        <v>8087.9821640254122</v>
      </c>
      <c r="T31" s="6"/>
      <c r="U31" s="20">
        <f t="shared" si="0"/>
        <v>20557.23470705048</v>
      </c>
      <c r="V31" s="6"/>
      <c r="W31" s="20">
        <f t="shared" si="1"/>
        <v>-12469.252543025068</v>
      </c>
      <c r="X31" s="6"/>
      <c r="Y31" s="296">
        <f t="shared" si="6"/>
        <v>-25.831895872059011</v>
      </c>
      <c r="Z31" s="255"/>
      <c r="AB31" s="154">
        <f>+IF(AB30&gt;$G$13+$G$14,XX,AB30+1)</f>
        <v>2024</v>
      </c>
      <c r="AC31" s="124"/>
      <c r="AD31" s="159">
        <f t="shared" si="2"/>
        <v>482707.60321980069</v>
      </c>
      <c r="AE31" s="3"/>
      <c r="AF31" s="162">
        <f t="shared" si="12"/>
        <v>108.60886497640824</v>
      </c>
      <c r="AG31" s="3"/>
      <c r="AH31" s="162">
        <f t="shared" si="13"/>
        <v>21.754827517104008</v>
      </c>
      <c r="AI31" s="3"/>
      <c r="AJ31" s="162">
        <f t="shared" si="14"/>
        <v>2.2201240621601643</v>
      </c>
      <c r="AK31" s="3"/>
      <c r="AL31" s="161">
        <f t="shared" si="7"/>
        <v>11292.131956601312</v>
      </c>
      <c r="AM31" s="3"/>
      <c r="AN31" s="162">
        <f>INDEX('(2.2)_Forward_Price_Curve'!$G:$G,MATCH($AB31,'(2.2)_Forward_Price_Curve'!$C:$C,0),1)</f>
        <v>3.9537833333333325</v>
      </c>
      <c r="AO31" s="3"/>
      <c r="AP31" s="162">
        <f>AN31*$AF$14/1000+$AJ$14*(1+E31)</f>
        <v>25.971773114127839</v>
      </c>
      <c r="AQ31" s="3"/>
      <c r="AR31" s="162">
        <f t="shared" si="15"/>
        <v>2.5052910659042213</v>
      </c>
      <c r="AS31" s="162"/>
      <c r="AT31" s="161">
        <f t="shared" si="3"/>
        <v>6811.1393099707648</v>
      </c>
      <c r="AU31" s="3"/>
      <c r="AV31" s="161">
        <f t="shared" si="4"/>
        <v>13746.095397079715</v>
      </c>
      <c r="AW31" s="299"/>
      <c r="AX31" s="163">
        <f t="shared" si="8"/>
        <v>20557.23470705048</v>
      </c>
      <c r="AZ31" s="154">
        <f>+IF(AZ30&gt;$G$13+$G$14,XX,AZ30+1)</f>
        <v>2024</v>
      </c>
      <c r="BA31" s="124"/>
      <c r="BB31" s="162">
        <f t="shared" si="16"/>
        <v>70.729953289489615</v>
      </c>
      <c r="BC31" s="3"/>
      <c r="BD31" s="162">
        <f t="shared" si="17"/>
        <v>4.6573766364364806</v>
      </c>
      <c r="BE31" s="3"/>
      <c r="BF31" s="161">
        <f t="shared" si="9"/>
        <v>4480.9926466305469</v>
      </c>
      <c r="BG31" s="3"/>
      <c r="BH31" s="165"/>
    </row>
    <row r="32" spans="1:60" ht="12">
      <c r="B32" s="2"/>
      <c r="C32" s="6">
        <f>+IF(C31&gt;$G$13+$G$14,XX,C31+1)</f>
        <v>2025</v>
      </c>
      <c r="D32" s="6"/>
      <c r="E32" s="292">
        <f>'(2.2)_Forward_Price_Curve'!P37</f>
        <v>2.1999999999999999E-2</v>
      </c>
      <c r="F32" s="6"/>
      <c r="G32" s="20">
        <v>482707.60321980069</v>
      </c>
      <c r="H32" s="6"/>
      <c r="I32" s="30">
        <f t="shared" si="10"/>
        <v>0</v>
      </c>
      <c r="J32" s="6"/>
      <c r="K32" s="30">
        <v>15.5</v>
      </c>
      <c r="L32" s="6"/>
      <c r="M32" s="30">
        <f t="shared" si="11"/>
        <v>0</v>
      </c>
      <c r="N32" s="6"/>
      <c r="O32" s="295">
        <f>'(2.2)_Forward_Price_Curve'!Y37</f>
        <v>1.2834505366016622</v>
      </c>
      <c r="P32" s="6"/>
      <c r="Q32" s="30"/>
      <c r="R32" s="6"/>
      <c r="S32" s="20">
        <f t="shared" si="5"/>
        <v>8101.4991822810671</v>
      </c>
      <c r="T32" s="6"/>
      <c r="U32" s="20">
        <f t="shared" si="0"/>
        <v>21224.80671430751</v>
      </c>
      <c r="V32" s="6"/>
      <c r="W32" s="20">
        <f t="shared" si="1"/>
        <v>-13123.307532026443</v>
      </c>
      <c r="X32" s="6"/>
      <c r="Y32" s="296">
        <f t="shared" si="6"/>
        <v>-27.186867255643271</v>
      </c>
      <c r="Z32" s="255"/>
      <c r="AB32" s="154">
        <f>+IF(AB31&gt;$G$13+$G$14,XX,AB31+1)</f>
        <v>2025</v>
      </c>
      <c r="AC32" s="124"/>
      <c r="AD32" s="159">
        <f t="shared" si="2"/>
        <v>482707.60321980069</v>
      </c>
      <c r="AE32" s="3"/>
      <c r="AF32" s="162">
        <f t="shared" si="12"/>
        <v>110.99826000588922</v>
      </c>
      <c r="AG32" s="3"/>
      <c r="AH32" s="162">
        <f t="shared" si="13"/>
        <v>22.233433722480296</v>
      </c>
      <c r="AI32" s="3"/>
      <c r="AJ32" s="162">
        <f t="shared" si="14"/>
        <v>2.2689667915276881</v>
      </c>
      <c r="AK32" s="3"/>
      <c r="AL32" s="161">
        <f t="shared" si="7"/>
        <v>11540.558859646544</v>
      </c>
      <c r="AM32" s="3"/>
      <c r="AN32" s="162">
        <f>INDEX('(2.2)_Forward_Price_Curve'!$G:$G,MATCH($AB32,'(2.2)_Forward_Price_Curve'!$C:$C,0),1)</f>
        <v>4.1086708333333339</v>
      </c>
      <c r="AO32" s="3"/>
      <c r="AP32" s="162">
        <f t="shared" ref="AP32:AP47" si="18">AN32*$AF$14/1000+$AJ$14*(1+E32)</f>
        <v>26.989204437260831</v>
      </c>
      <c r="AQ32" s="3"/>
      <c r="AR32" s="162">
        <f t="shared" si="15"/>
        <v>2.5604074693541143</v>
      </c>
      <c r="AS32" s="162"/>
      <c r="AT32" s="161">
        <f t="shared" si="3"/>
        <v>6960.984374790125</v>
      </c>
      <c r="AU32" s="3"/>
      <c r="AV32" s="161">
        <f t="shared" si="4"/>
        <v>14263.822339517385</v>
      </c>
      <c r="AW32" s="299"/>
      <c r="AX32" s="163">
        <f t="shared" si="8"/>
        <v>21224.80671430751</v>
      </c>
      <c r="AZ32" s="154">
        <f>+IF(AZ31&gt;$G$13+$G$14,XX,AZ31+1)</f>
        <v>2025</v>
      </c>
      <c r="BA32" s="124"/>
      <c r="BB32" s="162">
        <f t="shared" si="16"/>
        <v>72.286012261858389</v>
      </c>
      <c r="BC32" s="3"/>
      <c r="BD32" s="162">
        <f t="shared" si="17"/>
        <v>4.7598389224380835</v>
      </c>
      <c r="BE32" s="3"/>
      <c r="BF32" s="161">
        <f t="shared" si="9"/>
        <v>4579.5744848564191</v>
      </c>
      <c r="BG32" s="3"/>
      <c r="BH32" s="165"/>
    </row>
    <row r="33" spans="2:60" ht="12">
      <c r="B33" s="2"/>
      <c r="C33" s="6">
        <f>+IF(C32&gt;$G$13+$G$14,XX,C32+1)</f>
        <v>2026</v>
      </c>
      <c r="D33" s="6"/>
      <c r="E33" s="292">
        <f>'(2.2)_Forward_Price_Curve'!P38</f>
        <v>2.1999999999999999E-2</v>
      </c>
      <c r="F33" s="6"/>
      <c r="G33" s="20">
        <v>482707.60321980069</v>
      </c>
      <c r="H33" s="6"/>
      <c r="I33" s="30">
        <f t="shared" si="10"/>
        <v>0</v>
      </c>
      <c r="J33" s="6"/>
      <c r="K33" s="30">
        <v>15.5</v>
      </c>
      <c r="L33" s="6"/>
      <c r="M33" s="30">
        <f t="shared" si="11"/>
        <v>0</v>
      </c>
      <c r="N33" s="6"/>
      <c r="O33" s="295">
        <f>'(2.2)_Forward_Price_Curve'!Y38</f>
        <v>1.3117597482561225</v>
      </c>
      <c r="P33" s="6"/>
      <c r="Q33" s="30"/>
      <c r="R33" s="6"/>
      <c r="S33" s="20">
        <f t="shared" si="5"/>
        <v>8115.164253987833</v>
      </c>
      <c r="T33" s="6"/>
      <c r="U33" s="20">
        <f t="shared" si="0"/>
        <v>21651.92179811938</v>
      </c>
      <c r="V33" s="6"/>
      <c r="W33" s="20">
        <f t="shared" si="1"/>
        <v>-13536.757544131546</v>
      </c>
      <c r="X33" s="6"/>
      <c r="Y33" s="296">
        <f t="shared" si="6"/>
        <v>-28.04338994007432</v>
      </c>
      <c r="Z33" s="255"/>
      <c r="AB33" s="154">
        <f>+IF(AB32&gt;$G$13+$G$14,XX,AB32+1)</f>
        <v>2026</v>
      </c>
      <c r="AC33" s="124"/>
      <c r="AD33" s="159">
        <f t="shared" si="2"/>
        <v>482707.60321980069</v>
      </c>
      <c r="AE33" s="3"/>
      <c r="AF33" s="162">
        <f t="shared" si="12"/>
        <v>113.44022172601879</v>
      </c>
      <c r="AG33" s="3"/>
      <c r="AH33" s="162">
        <f t="shared" si="13"/>
        <v>22.722569264374862</v>
      </c>
      <c r="AI33" s="3"/>
      <c r="AJ33" s="162">
        <f t="shared" si="14"/>
        <v>2.3188840609412971</v>
      </c>
      <c r="AK33" s="3"/>
      <c r="AL33" s="161">
        <f t="shared" si="7"/>
        <v>11794.451154558767</v>
      </c>
      <c r="AM33" s="3"/>
      <c r="AN33" s="162">
        <f>INDEX('(2.2)_Forward_Price_Curve'!$G:$G,MATCH($AB33,'(2.2)_Forward_Price_Curve'!$C:$C,0),1)</f>
        <v>4.1864999999999997</v>
      </c>
      <c r="AO33" s="3"/>
      <c r="AP33" s="162">
        <f t="shared" si="18"/>
        <v>27.500451839536701</v>
      </c>
      <c r="AQ33" s="3"/>
      <c r="AR33" s="162">
        <f t="shared" si="15"/>
        <v>2.6167364336799048</v>
      </c>
      <c r="AS33" s="162"/>
      <c r="AT33" s="161">
        <f t="shared" si="3"/>
        <v>7114.1260310355065</v>
      </c>
      <c r="AU33" s="3"/>
      <c r="AV33" s="161">
        <f t="shared" si="4"/>
        <v>14537.795767083875</v>
      </c>
      <c r="AW33" s="299"/>
      <c r="AX33" s="163">
        <f t="shared" si="8"/>
        <v>21651.92179811938</v>
      </c>
      <c r="AZ33" s="154">
        <f>+IF(AZ32&gt;$G$13+$G$14,XX,AZ32+1)</f>
        <v>2026</v>
      </c>
      <c r="BA33" s="124"/>
      <c r="BB33" s="162">
        <f t="shared" si="16"/>
        <v>73.876304531619269</v>
      </c>
      <c r="BC33" s="3"/>
      <c r="BD33" s="162">
        <f t="shared" si="17"/>
        <v>4.8645553787317217</v>
      </c>
      <c r="BE33" s="3"/>
      <c r="BF33" s="161">
        <f t="shared" si="9"/>
        <v>4680.3251235232601</v>
      </c>
      <c r="BG33" s="3"/>
      <c r="BH33" s="165"/>
    </row>
    <row r="34" spans="2:60" ht="12">
      <c r="B34" s="2"/>
      <c r="C34" s="6">
        <f>+IF(C33&gt;$G$13+$G$14,XX,C33+1)</f>
        <v>2027</v>
      </c>
      <c r="D34" s="6"/>
      <c r="E34" s="292">
        <f>'(2.2)_Forward_Price_Curve'!P39</f>
        <v>2.1999999999999999E-2</v>
      </c>
      <c r="F34" s="6"/>
      <c r="G34" s="20">
        <v>482707.60321980069</v>
      </c>
      <c r="H34" s="6"/>
      <c r="I34" s="30">
        <f t="shared" si="10"/>
        <v>0</v>
      </c>
      <c r="J34" s="6"/>
      <c r="K34" s="30">
        <v>15.5</v>
      </c>
      <c r="L34" s="6"/>
      <c r="M34" s="30">
        <f t="shared" si="11"/>
        <v>0</v>
      </c>
      <c r="N34" s="6"/>
      <c r="O34" s="295">
        <f>'(2.2)_Forward_Price_Curve'!Y39</f>
        <v>1.3408534982838876</v>
      </c>
      <c r="P34" s="6"/>
      <c r="Q34" s="30"/>
      <c r="R34" s="6"/>
      <c r="S34" s="20">
        <f t="shared" si="5"/>
        <v>8129.2080283324112</v>
      </c>
      <c r="T34" s="6"/>
      <c r="U34" s="20">
        <f t="shared" si="0"/>
        <v>22694.921410573348</v>
      </c>
      <c r="V34" s="6"/>
      <c r="W34" s="20">
        <f t="shared" si="1"/>
        <v>-14565.713382240938</v>
      </c>
      <c r="X34" s="6"/>
      <c r="Y34" s="296">
        <f t="shared" si="6"/>
        <v>-30.17502373089501</v>
      </c>
      <c r="Z34" s="255"/>
      <c r="AB34" s="154">
        <f>+IF(AB33&gt;$G$13+$G$14,XX,AB33+1)</f>
        <v>2027</v>
      </c>
      <c r="AC34" s="124"/>
      <c r="AD34" s="159">
        <f t="shared" si="2"/>
        <v>482707.60321980069</v>
      </c>
      <c r="AE34" s="3"/>
      <c r="AF34" s="162">
        <f t="shared" si="12"/>
        <v>115.93590660399121</v>
      </c>
      <c r="AG34" s="3"/>
      <c r="AH34" s="162">
        <f t="shared" si="13"/>
        <v>23.222465788191109</v>
      </c>
      <c r="AI34" s="3"/>
      <c r="AJ34" s="162">
        <f t="shared" si="14"/>
        <v>2.3698995102820057</v>
      </c>
      <c r="AK34" s="3"/>
      <c r="AL34" s="161">
        <f t="shared" si="7"/>
        <v>12053.92907995906</v>
      </c>
      <c r="AM34" s="3"/>
      <c r="AN34" s="162">
        <f>INDEX('(2.2)_Forward_Price_Curve'!$G:$G,MATCH($AB34,'(2.2)_Forward_Price_Curve'!$C:$C,0),1)</f>
        <v>4.4573125000000005</v>
      </c>
      <c r="AO34" s="3"/>
      <c r="AP34" s="162">
        <f t="shared" si="18"/>
        <v>29.279376027711681</v>
      </c>
      <c r="AQ34" s="3"/>
      <c r="AR34" s="162">
        <f t="shared" si="15"/>
        <v>2.6743046352208628</v>
      </c>
      <c r="AS34" s="162"/>
      <c r="AT34" s="161">
        <f t="shared" si="3"/>
        <v>7270.6368037182883</v>
      </c>
      <c r="AU34" s="3"/>
      <c r="AV34" s="161">
        <f t="shared" si="4"/>
        <v>15424.284606855061</v>
      </c>
      <c r="AW34" s="299"/>
      <c r="AX34" s="163">
        <f t="shared" si="8"/>
        <v>22694.921410573348</v>
      </c>
      <c r="AZ34" s="154">
        <f>+IF(AZ33&gt;$G$13+$G$14,XX,AZ33+1)</f>
        <v>2027</v>
      </c>
      <c r="BA34" s="124"/>
      <c r="BB34" s="162">
        <f t="shared" si="16"/>
        <v>75.501583231314896</v>
      </c>
      <c r="BC34" s="3"/>
      <c r="BD34" s="162">
        <f t="shared" si="17"/>
        <v>4.9715755970638194</v>
      </c>
      <c r="BE34" s="3"/>
      <c r="BF34" s="161">
        <f t="shared" si="9"/>
        <v>4783.2922762407716</v>
      </c>
      <c r="BG34" s="3"/>
      <c r="BH34" s="165"/>
    </row>
    <row r="35" spans="2:60" ht="12">
      <c r="B35" s="2"/>
      <c r="C35" s="6">
        <f>+IF(C34&gt;$G$13+$G$14,XX,C34+1)</f>
        <v>2028</v>
      </c>
      <c r="D35" s="6"/>
      <c r="E35" s="292">
        <f>'(2.2)_Forward_Price_Curve'!P40</f>
        <v>2.1999999999999999E-2</v>
      </c>
      <c r="F35" s="6"/>
      <c r="G35" s="20">
        <v>482707.60321980069</v>
      </c>
      <c r="H35" s="6"/>
      <c r="I35" s="30">
        <f t="shared" si="10"/>
        <v>0</v>
      </c>
      <c r="J35" s="6"/>
      <c r="K35" s="30">
        <v>15.5</v>
      </c>
      <c r="L35" s="6"/>
      <c r="M35" s="30">
        <f t="shared" si="11"/>
        <v>0</v>
      </c>
      <c r="N35" s="6"/>
      <c r="O35" s="295">
        <f>'(2.2)_Forward_Price_Curve'!Y40</f>
        <v>1.3709529466223729</v>
      </c>
      <c r="P35" s="6"/>
      <c r="Q35" s="30"/>
      <c r="R35" s="6"/>
      <c r="S35" s="20">
        <f t="shared" si="5"/>
        <v>8143.7372608981204</v>
      </c>
      <c r="T35" s="6"/>
      <c r="U35" s="20">
        <f t="shared" si="0"/>
        <v>23378.849586581455</v>
      </c>
      <c r="V35" s="6"/>
      <c r="W35" s="20">
        <f t="shared" si="1"/>
        <v>-15235.112325683334</v>
      </c>
      <c r="X35" s="6"/>
      <c r="Y35" s="296">
        <f t="shared" si="6"/>
        <v>-31.561782379354884</v>
      </c>
      <c r="Z35" s="255"/>
      <c r="AB35" s="154">
        <f>+IF(AB34&gt;$G$13+$G$14,XX,AB34+1)</f>
        <v>2028</v>
      </c>
      <c r="AC35" s="124"/>
      <c r="AD35" s="159">
        <f t="shared" si="2"/>
        <v>482707.60321980069</v>
      </c>
      <c r="AE35" s="3"/>
      <c r="AF35" s="162">
        <f t="shared" si="12"/>
        <v>118.48649654927902</v>
      </c>
      <c r="AG35" s="3"/>
      <c r="AH35" s="162">
        <f t="shared" si="13"/>
        <v>23.733360035531312</v>
      </c>
      <c r="AI35" s="3"/>
      <c r="AJ35" s="162">
        <f t="shared" si="14"/>
        <v>2.4220372995082098</v>
      </c>
      <c r="AK35" s="3"/>
      <c r="AL35" s="161">
        <f t="shared" si="7"/>
        <v>12319.11551971816</v>
      </c>
      <c r="AM35" s="3"/>
      <c r="AN35" s="162">
        <f>INDEX('(2.2)_Forward_Price_Curve'!$G:$G,MATCH($AB35,'(2.2)_Forward_Price_Curve'!$C:$C,0),1)</f>
        <v>4.6136041666666676</v>
      </c>
      <c r="AO35" s="3"/>
      <c r="AP35" s="162">
        <f t="shared" si="18"/>
        <v>30.30603109807776</v>
      </c>
      <c r="AQ35" s="3"/>
      <c r="AR35" s="162">
        <f t="shared" si="15"/>
        <v>2.733139337195722</v>
      </c>
      <c r="AS35" s="162"/>
      <c r="AT35" s="161">
        <f t="shared" si="3"/>
        <v>7430.5908134000911</v>
      </c>
      <c r="AU35" s="3"/>
      <c r="AV35" s="161">
        <f t="shared" si="4"/>
        <v>15948.258773181362</v>
      </c>
      <c r="AW35" s="299"/>
      <c r="AX35" s="163">
        <f t="shared" si="8"/>
        <v>23378.849586581455</v>
      </c>
      <c r="AZ35" s="154">
        <f>+IF(AZ34&gt;$G$13+$G$14,XX,AZ34+1)</f>
        <v>2028</v>
      </c>
      <c r="BA35" s="124"/>
      <c r="BB35" s="162">
        <f t="shared" si="16"/>
        <v>77.162618062403823</v>
      </c>
      <c r="BC35" s="3"/>
      <c r="BD35" s="162">
        <f t="shared" si="17"/>
        <v>5.0809502601992236</v>
      </c>
      <c r="BE35" s="3"/>
      <c r="BF35" s="161">
        <f t="shared" si="9"/>
        <v>4888.5247063180686</v>
      </c>
      <c r="BG35" s="3"/>
      <c r="BH35" s="165"/>
    </row>
    <row r="36" spans="2:60" ht="12">
      <c r="B36" s="2"/>
      <c r="C36" s="6">
        <f>+IF(C35&gt;$G$13+$G$14,XX,C35+1)</f>
        <v>2029</v>
      </c>
      <c r="D36" s="6"/>
      <c r="E36" s="292">
        <f>'(2.2)_Forward_Price_Curve'!P41</f>
        <v>2.1999999999999999E-2</v>
      </c>
      <c r="F36" s="6"/>
      <c r="G36" s="20">
        <v>482707.60321980069</v>
      </c>
      <c r="H36" s="6"/>
      <c r="I36" s="30">
        <f t="shared" si="10"/>
        <v>0</v>
      </c>
      <c r="J36" s="6"/>
      <c r="K36" s="30">
        <v>15.5</v>
      </c>
      <c r="L36" s="6"/>
      <c r="M36" s="30">
        <f t="shared" si="11"/>
        <v>0</v>
      </c>
      <c r="N36" s="6"/>
      <c r="O36" s="295">
        <f>'(2.2)_Forward_Price_Curve'!Y41</f>
        <v>1.4021626326399876</v>
      </c>
      <c r="P36" s="6"/>
      <c r="Q36" s="30"/>
      <c r="R36" s="6"/>
      <c r="S36" s="20">
        <f t="shared" si="5"/>
        <v>8158.8024136329259</v>
      </c>
      <c r="T36" s="6"/>
      <c r="U36" s="20">
        <f t="shared" si="0"/>
        <v>24017.047046105159</v>
      </c>
      <c r="V36" s="6"/>
      <c r="W36" s="20">
        <f t="shared" si="1"/>
        <v>-15858.244632472233</v>
      </c>
      <c r="X36" s="6"/>
      <c r="Y36" s="296">
        <f t="shared" si="6"/>
        <v>-32.852692865604581</v>
      </c>
      <c r="Z36" s="255"/>
      <c r="AB36" s="154">
        <f>+IF(AB35&gt;$G$13+$G$14,XX,AB35+1)</f>
        <v>2029</v>
      </c>
      <c r="AC36" s="124"/>
      <c r="AD36" s="159">
        <f t="shared" si="2"/>
        <v>482707.60321980069</v>
      </c>
      <c r="AE36" s="3"/>
      <c r="AF36" s="162">
        <f t="shared" si="12"/>
        <v>121.09319947336317</v>
      </c>
      <c r="AG36" s="3"/>
      <c r="AH36" s="162">
        <f t="shared" si="13"/>
        <v>24.255493956313003</v>
      </c>
      <c r="AI36" s="3"/>
      <c r="AJ36" s="162">
        <f t="shared" si="14"/>
        <v>2.4753221200973905</v>
      </c>
      <c r="AK36" s="3"/>
      <c r="AL36" s="161">
        <f t="shared" si="7"/>
        <v>12590.136061151961</v>
      </c>
      <c r="AM36" s="3"/>
      <c r="AN36" s="162">
        <f>INDEX('(2.2)_Forward_Price_Curve'!$G:$G,MATCH($AB36,'(2.2)_Forward_Price_Curve'!$C:$C,0),1)</f>
        <v>4.7541666666666673</v>
      </c>
      <c r="AO36" s="3"/>
      <c r="AP36" s="162">
        <f t="shared" si="18"/>
        <v>31.229363777331283</v>
      </c>
      <c r="AQ36" s="3"/>
      <c r="AR36" s="162">
        <f t="shared" si="15"/>
        <v>2.7932684026140278</v>
      </c>
      <c r="AS36" s="162"/>
      <c r="AT36" s="161">
        <f t="shared" si="3"/>
        <v>7594.0638112948945</v>
      </c>
      <c r="AU36" s="3"/>
      <c r="AV36" s="161">
        <f t="shared" si="4"/>
        <v>16422.983234810265</v>
      </c>
      <c r="AW36" s="299"/>
      <c r="AX36" s="163">
        <f t="shared" si="8"/>
        <v>24017.047046105159</v>
      </c>
      <c r="AZ36" s="154">
        <f>+IF(AZ35&gt;$G$13+$G$14,XX,AZ35+1)</f>
        <v>2029</v>
      </c>
      <c r="BA36" s="124"/>
      <c r="BB36" s="162">
        <f t="shared" si="16"/>
        <v>78.860195659776707</v>
      </c>
      <c r="BC36" s="3"/>
      <c r="BD36" s="162">
        <f t="shared" si="17"/>
        <v>5.1927311659236066</v>
      </c>
      <c r="BE36" s="3"/>
      <c r="BF36" s="161">
        <f t="shared" si="9"/>
        <v>4996.0722498570667</v>
      </c>
      <c r="BG36" s="3"/>
      <c r="BH36" s="165"/>
    </row>
    <row r="37" spans="2:60" ht="12">
      <c r="B37" s="2"/>
      <c r="C37" s="6">
        <f>+IF(C36&gt;$G$13+$G$14,XX,C36+1)</f>
        <v>2030</v>
      </c>
      <c r="D37" s="6"/>
      <c r="E37" s="292">
        <f>'(2.2)_Forward_Price_Curve'!P42</f>
        <v>2.1999999999999999E-2</v>
      </c>
      <c r="F37" s="6"/>
      <c r="G37" s="20">
        <v>482707.60321980069</v>
      </c>
      <c r="H37" s="6"/>
      <c r="I37" s="30">
        <f t="shared" si="10"/>
        <v>0</v>
      </c>
      <c r="J37" s="6"/>
      <c r="K37" s="30">
        <v>15.5</v>
      </c>
      <c r="L37" s="6"/>
      <c r="M37" s="30">
        <f t="shared" si="11"/>
        <v>0</v>
      </c>
      <c r="N37" s="6"/>
      <c r="O37" s="295">
        <f>'(2.2)_Forward_Price_Curve'!Y42</f>
        <v>1.4335840474923813</v>
      </c>
      <c r="P37" s="6"/>
      <c r="Q37" s="30"/>
      <c r="R37" s="6"/>
      <c r="S37" s="20">
        <f t="shared" si="5"/>
        <v>8173.9697694860988</v>
      </c>
      <c r="T37" s="6"/>
      <c r="U37" s="20">
        <f t="shared" si="0"/>
        <v>25159.836332234121</v>
      </c>
      <c r="V37" s="6"/>
      <c r="W37" s="20">
        <f t="shared" si="1"/>
        <v>-16985.866562748022</v>
      </c>
      <c r="X37" s="6"/>
      <c r="Y37" s="296">
        <f t="shared" si="6"/>
        <v>-35.188728019710759</v>
      </c>
      <c r="Z37" s="255"/>
      <c r="AB37" s="154">
        <f>+IF(AB36&gt;$G$13+$G$14,XX,AB36+1)</f>
        <v>2030</v>
      </c>
      <c r="AC37" s="124"/>
      <c r="AD37" s="159">
        <f t="shared" si="2"/>
        <v>482707.60321980069</v>
      </c>
      <c r="AE37" s="3"/>
      <c r="AF37" s="162">
        <f t="shared" si="12"/>
        <v>123.75724986177717</v>
      </c>
      <c r="AG37" s="3"/>
      <c r="AH37" s="162">
        <f t="shared" si="13"/>
        <v>24.789114823351891</v>
      </c>
      <c r="AI37" s="3"/>
      <c r="AJ37" s="162">
        <f t="shared" si="14"/>
        <v>2.529779206739533</v>
      </c>
      <c r="AK37" s="3"/>
      <c r="AL37" s="161">
        <f t="shared" si="7"/>
        <v>12867.119054497303</v>
      </c>
      <c r="AM37" s="3"/>
      <c r="AN37" s="162">
        <f>INDEX('(2.2)_Forward_Price_Curve'!$G:$G,MATCH($AB37,'(2.2)_Forward_Price_Curve'!$C:$C,0),1)</f>
        <v>5.052529166666667</v>
      </c>
      <c r="AO37" s="3"/>
      <c r="AP37" s="162">
        <f t="shared" si="18"/>
        <v>33.189259528429758</v>
      </c>
      <c r="AQ37" s="3"/>
      <c r="AR37" s="162">
        <f t="shared" si="15"/>
        <v>2.8547203074715366</v>
      </c>
      <c r="AS37" s="162"/>
      <c r="AT37" s="161">
        <f t="shared" si="3"/>
        <v>7761.1332151433808</v>
      </c>
      <c r="AU37" s="3"/>
      <c r="AV37" s="161">
        <f t="shared" si="4"/>
        <v>17398.703117090739</v>
      </c>
      <c r="AW37" s="299"/>
      <c r="AX37" s="163">
        <f t="shared" si="8"/>
        <v>25159.836332234121</v>
      </c>
      <c r="AZ37" s="154">
        <f>+IF(AZ36&gt;$G$13+$G$14,XX,AZ36+1)</f>
        <v>2030</v>
      </c>
      <c r="BA37" s="124"/>
      <c r="BB37" s="162">
        <f t="shared" si="16"/>
        <v>80.595119964291797</v>
      </c>
      <c r="BC37" s="3"/>
      <c r="BD37" s="162">
        <f t="shared" si="17"/>
        <v>5.306971251573926</v>
      </c>
      <c r="BE37" s="3"/>
      <c r="BF37" s="161">
        <f t="shared" si="9"/>
        <v>5105.9858393539225</v>
      </c>
      <c r="BG37" s="3"/>
      <c r="BH37" s="165"/>
    </row>
    <row r="38" spans="2:60" ht="12">
      <c r="B38" s="2"/>
      <c r="C38" s="6">
        <f>+IF(C37&gt;$G$13+$G$14,XX,C37+1)</f>
        <v>2031</v>
      </c>
      <c r="D38" s="6"/>
      <c r="E38" s="292">
        <f>'(2.2)_Forward_Price_Curve'!P43</f>
        <v>2.1999999999999999E-2</v>
      </c>
      <c r="F38" s="6"/>
      <c r="G38" s="20">
        <v>482707.60321980069</v>
      </c>
      <c r="H38" s="6"/>
      <c r="I38" s="30">
        <f t="shared" si="10"/>
        <v>0</v>
      </c>
      <c r="J38" s="6"/>
      <c r="K38" s="30">
        <v>15.5</v>
      </c>
      <c r="L38" s="6"/>
      <c r="M38" s="30">
        <f t="shared" si="11"/>
        <v>0</v>
      </c>
      <c r="N38" s="6"/>
      <c r="O38" s="295">
        <f>'(2.2)_Forward_Price_Curve'!Y43</f>
        <v>1.4649463685254571</v>
      </c>
      <c r="P38" s="6"/>
      <c r="Q38" s="30"/>
      <c r="R38" s="6"/>
      <c r="S38" s="20">
        <f t="shared" si="5"/>
        <v>8189.1086003033843</v>
      </c>
      <c r="T38" s="6"/>
      <c r="U38" s="20">
        <f t="shared" si="0"/>
        <v>25796.41057250903</v>
      </c>
      <c r="V38" s="6"/>
      <c r="W38" s="20">
        <f t="shared" si="1"/>
        <v>-17607.301972205645</v>
      </c>
      <c r="X38" s="6"/>
      <c r="Y38" s="296">
        <f t="shared" si="6"/>
        <v>-36.4761231328444</v>
      </c>
      <c r="Z38" s="255"/>
      <c r="AB38" s="154">
        <f>+IF(AB37&gt;$G$13+$G$14,XX,AB37+1)</f>
        <v>2031</v>
      </c>
      <c r="AC38" s="124"/>
      <c r="AD38" s="159">
        <f t="shared" si="2"/>
        <v>482707.60321980069</v>
      </c>
      <c r="AE38" s="3"/>
      <c r="AF38" s="162">
        <f t="shared" si="12"/>
        <v>126.47990935873626</v>
      </c>
      <c r="AG38" s="3"/>
      <c r="AH38" s="162">
        <f t="shared" si="13"/>
        <v>25.334475349465635</v>
      </c>
      <c r="AI38" s="3"/>
      <c r="AJ38" s="162">
        <f t="shared" si="14"/>
        <v>2.5854343492878029</v>
      </c>
      <c r="AK38" s="3"/>
      <c r="AL38" s="161">
        <f t="shared" si="7"/>
        <v>13150.195673696242</v>
      </c>
      <c r="AM38" s="3"/>
      <c r="AN38" s="162">
        <f>INDEX('(2.2)_Forward_Price_Curve'!$G:$G,MATCH($AB38,'(2.2)_Forward_Price_Curve'!$C:$C,0),1)</f>
        <v>5.1898791666666666</v>
      </c>
      <c r="AO38" s="3"/>
      <c r="AP38" s="162">
        <f t="shared" si="18"/>
        <v>34.091489806743468</v>
      </c>
      <c r="AQ38" s="3"/>
      <c r="AR38" s="162">
        <f t="shared" si="15"/>
        <v>2.9175241542359105</v>
      </c>
      <c r="AS38" s="162"/>
      <c r="AT38" s="161">
        <f t="shared" si="3"/>
        <v>7931.8781458765334</v>
      </c>
      <c r="AU38" s="3"/>
      <c r="AV38" s="161">
        <f t="shared" si="4"/>
        <v>17864.532426632497</v>
      </c>
      <c r="AW38" s="299"/>
      <c r="AX38" s="163">
        <f t="shared" si="8"/>
        <v>25796.41057250903</v>
      </c>
      <c r="AZ38" s="154">
        <f>+IF(AZ37&gt;$G$13+$G$14,XX,AZ37+1)</f>
        <v>2031</v>
      </c>
      <c r="BA38" s="124"/>
      <c r="BB38" s="162">
        <f t="shared" si="16"/>
        <v>82.368212603506223</v>
      </c>
      <c r="BC38" s="3"/>
      <c r="BD38" s="162">
        <f t="shared" si="17"/>
        <v>5.4237246191085529</v>
      </c>
      <c r="BE38" s="3"/>
      <c r="BF38" s="161">
        <f t="shared" si="9"/>
        <v>5218.3175278197086</v>
      </c>
      <c r="BG38" s="3"/>
      <c r="BH38" s="165"/>
    </row>
    <row r="39" spans="2:60" ht="12">
      <c r="B39" s="2"/>
      <c r="C39" s="6">
        <f>+IF(C38&gt;$G$13+$G$14,XX,C38+1)</f>
        <v>2032</v>
      </c>
      <c r="D39" s="6"/>
      <c r="E39" s="292">
        <f>'(2.2)_Forward_Price_Curve'!P44</f>
        <v>2.1000000000000001E-2</v>
      </c>
      <c r="F39" s="6"/>
      <c r="G39" s="20">
        <v>482707.60321980069</v>
      </c>
      <c r="H39" s="6"/>
      <c r="I39" s="30">
        <f t="shared" si="10"/>
        <v>0</v>
      </c>
      <c r="J39" s="6"/>
      <c r="K39" s="30">
        <v>15.5</v>
      </c>
      <c r="L39" s="6"/>
      <c r="M39" s="30">
        <f t="shared" si="11"/>
        <v>0</v>
      </c>
      <c r="N39" s="6"/>
      <c r="O39" s="295">
        <f>'(2.2)_Forward_Price_Curve'!Y44</f>
        <v>1.4965465421812867</v>
      </c>
      <c r="P39" s="6"/>
      <c r="Q39" s="30"/>
      <c r="R39" s="6"/>
      <c r="S39" s="20">
        <f t="shared" si="5"/>
        <v>8204.3622443901186</v>
      </c>
      <c r="T39" s="6"/>
      <c r="U39" s="20">
        <f t="shared" si="0"/>
        <v>26445.375405391325</v>
      </c>
      <c r="V39" s="6"/>
      <c r="W39" s="20">
        <f t="shared" si="1"/>
        <v>-18241.013161001207</v>
      </c>
      <c r="X39" s="6"/>
      <c r="Y39" s="296">
        <f t="shared" si="6"/>
        <v>-37.788949333568233</v>
      </c>
      <c r="Z39" s="255"/>
      <c r="AB39" s="154">
        <f>+IF(AB38&gt;$G$13+$G$14,XX,AB38+1)</f>
        <v>2032</v>
      </c>
      <c r="AC39" s="124"/>
      <c r="AD39" s="159">
        <f t="shared" si="2"/>
        <v>482707.60321980069</v>
      </c>
      <c r="AE39" s="3"/>
      <c r="AF39" s="162">
        <f t="shared" si="12"/>
        <v>129.13598745526971</v>
      </c>
      <c r="AG39" s="3"/>
      <c r="AH39" s="162">
        <f t="shared" si="13"/>
        <v>25.866499331804409</v>
      </c>
      <c r="AI39" s="3"/>
      <c r="AJ39" s="162">
        <f t="shared" si="14"/>
        <v>2.6397284706228463</v>
      </c>
      <c r="AK39" s="3"/>
      <c r="AL39" s="161">
        <f t="shared" si="7"/>
        <v>13426.349782843865</v>
      </c>
      <c r="AM39" s="3"/>
      <c r="AN39" s="162">
        <f>INDEX('(2.2)_Forward_Price_Curve'!$G:$G,MATCH($AB39,'(2.2)_Forward_Price_Curve'!$C:$C,0),1)</f>
        <v>5.3326874999999996</v>
      </c>
      <c r="AO39" s="3"/>
      <c r="AP39" s="162">
        <f t="shared" si="18"/>
        <v>35.029575007535975</v>
      </c>
      <c r="AQ39" s="3"/>
      <c r="AR39" s="162">
        <f t="shared" si="15"/>
        <v>2.9787921614748645</v>
      </c>
      <c r="AS39" s="162"/>
      <c r="AT39" s="161">
        <f t="shared" si="3"/>
        <v>8098.447586939943</v>
      </c>
      <c r="AU39" s="3"/>
      <c r="AV39" s="161">
        <f t="shared" si="4"/>
        <v>18346.927818451382</v>
      </c>
      <c r="AW39" s="299"/>
      <c r="AX39" s="163">
        <f t="shared" si="8"/>
        <v>26445.375405391325</v>
      </c>
      <c r="AZ39" s="154">
        <f>+IF(AZ38&gt;$G$13+$G$14,XX,AZ38+1)</f>
        <v>2032</v>
      </c>
      <c r="BA39" s="124"/>
      <c r="BB39" s="162">
        <f t="shared" si="16"/>
        <v>84.09794506817984</v>
      </c>
      <c r="BC39" s="3"/>
      <c r="BD39" s="162">
        <f t="shared" si="17"/>
        <v>5.5376228361098319</v>
      </c>
      <c r="BE39" s="3"/>
      <c r="BF39" s="161">
        <f t="shared" si="9"/>
        <v>5327.9021959039219</v>
      </c>
      <c r="BG39" s="3"/>
      <c r="BH39" s="165"/>
    </row>
    <row r="40" spans="2:60" ht="12">
      <c r="B40" s="2"/>
      <c r="C40" s="6">
        <f>+IF(C39&gt;$G$13+$G$14,XX,C39+1)</f>
        <v>2033</v>
      </c>
      <c r="D40" s="6"/>
      <c r="E40" s="292">
        <f>'(2.2)_Forward_Price_Curve'!P45</f>
        <v>2.1000000000000001E-2</v>
      </c>
      <c r="F40" s="6"/>
      <c r="G40" s="20">
        <v>482707.60321980069</v>
      </c>
      <c r="H40" s="6"/>
      <c r="I40" s="30">
        <f t="shared" si="10"/>
        <v>0</v>
      </c>
      <c r="J40" s="6"/>
      <c r="K40" s="30">
        <v>15.5</v>
      </c>
      <c r="L40" s="6"/>
      <c r="M40" s="30">
        <f t="shared" si="11"/>
        <v>0</v>
      </c>
      <c r="N40" s="6"/>
      <c r="O40" s="295">
        <f>'(2.2)_Forward_Price_Curve'!Y45</f>
        <v>1.5286401492284176</v>
      </c>
      <c r="P40" s="6"/>
      <c r="Q40" s="30"/>
      <c r="R40" s="6"/>
      <c r="S40" s="20">
        <f t="shared" si="5"/>
        <v>8219.8540725265193</v>
      </c>
      <c r="T40" s="6"/>
      <c r="U40" s="20">
        <f t="shared" si="0"/>
        <v>27229.559844757459</v>
      </c>
      <c r="V40" s="6"/>
      <c r="W40" s="20">
        <f t="shared" si="1"/>
        <v>-19009.70577223094</v>
      </c>
      <c r="X40" s="6"/>
      <c r="Y40" s="296">
        <f t="shared" si="6"/>
        <v>-39.38140946078051</v>
      </c>
      <c r="Z40" s="255"/>
      <c r="AB40" s="154">
        <f>+IF(AB39&gt;$G$13+$G$14,XX,AB39+1)</f>
        <v>2033</v>
      </c>
      <c r="AC40" s="124"/>
      <c r="AD40" s="159">
        <f t="shared" si="2"/>
        <v>482707.60321980069</v>
      </c>
      <c r="AE40" s="3"/>
      <c r="AF40" s="162">
        <f t="shared" si="12"/>
        <v>131.84784319183038</v>
      </c>
      <c r="AG40" s="3"/>
      <c r="AH40" s="162">
        <f t="shared" si="13"/>
        <v>26.409695817772299</v>
      </c>
      <c r="AI40" s="3"/>
      <c r="AJ40" s="162">
        <f t="shared" si="14"/>
        <v>2.6951627685059258</v>
      </c>
      <c r="AK40" s="3"/>
      <c r="AL40" s="161">
        <f t="shared" si="7"/>
        <v>13708.303128283585</v>
      </c>
      <c r="AM40" s="3"/>
      <c r="AN40" s="162">
        <f>INDEX('(2.2)_Forward_Price_Curve'!$G:$G,MATCH($AB40,'(2.2)_Forward_Price_Curve'!$C:$C,0),1)</f>
        <v>5.5168416666666671</v>
      </c>
      <c r="AO40" s="3"/>
      <c r="AP40" s="162">
        <f t="shared" si="18"/>
        <v>36.239254403562896</v>
      </c>
      <c r="AQ40" s="3"/>
      <c r="AR40" s="162">
        <f t="shared" si="15"/>
        <v>3.0413467968658363</v>
      </c>
      <c r="AS40" s="162"/>
      <c r="AT40" s="161">
        <f t="shared" si="3"/>
        <v>8268.5149862656817</v>
      </c>
      <c r="AU40" s="3"/>
      <c r="AV40" s="161">
        <f t="shared" si="4"/>
        <v>18961.044858491779</v>
      </c>
      <c r="AW40" s="299"/>
      <c r="AX40" s="163">
        <f t="shared" si="8"/>
        <v>27229.559844757459</v>
      </c>
      <c r="AZ40" s="154">
        <f>+IF(AZ39&gt;$G$13+$G$14,XX,AZ39+1)</f>
        <v>2033</v>
      </c>
      <c r="BA40" s="124"/>
      <c r="BB40" s="162">
        <f t="shared" si="16"/>
        <v>85.864001914611606</v>
      </c>
      <c r="BC40" s="3"/>
      <c r="BD40" s="162">
        <f t="shared" si="17"/>
        <v>5.6539129156681378</v>
      </c>
      <c r="BE40" s="3"/>
      <c r="BF40" s="161">
        <f t="shared" si="9"/>
        <v>5439.7881420179037</v>
      </c>
      <c r="BG40" s="3"/>
      <c r="BH40" s="165"/>
    </row>
    <row r="41" spans="2:60" ht="12">
      <c r="B41" s="2"/>
      <c r="C41" s="6">
        <f>+IF(C40&gt;$G$13+$G$14,XX,C40+1)</f>
        <v>2034</v>
      </c>
      <c r="D41" s="6"/>
      <c r="E41" s="292">
        <f>'(2.2)_Forward_Price_Curve'!P46</f>
        <v>2.1000000000000001E-2</v>
      </c>
      <c r="F41" s="6"/>
      <c r="G41" s="20">
        <v>482707.60321980069</v>
      </c>
      <c r="H41" s="6"/>
      <c r="I41" s="30">
        <f t="shared" si="10"/>
        <v>0</v>
      </c>
      <c r="J41" s="6"/>
      <c r="K41" s="30">
        <v>15.5</v>
      </c>
      <c r="L41" s="6"/>
      <c r="M41" s="30">
        <f t="shared" si="11"/>
        <v>0</v>
      </c>
      <c r="N41" s="6"/>
      <c r="O41" s="295">
        <f>'(2.2)_Forward_Price_Curve'!Y46</f>
        <v>1.5607569013547813</v>
      </c>
      <c r="P41" s="6"/>
      <c r="Q41" s="30"/>
      <c r="R41" s="6"/>
      <c r="S41" s="20">
        <f t="shared" si="5"/>
        <v>8235.3570729686398</v>
      </c>
      <c r="T41" s="6"/>
      <c r="U41" s="20">
        <f t="shared" si="0"/>
        <v>27977.680273957441</v>
      </c>
      <c r="V41" s="6"/>
      <c r="W41" s="20">
        <f t="shared" si="1"/>
        <v>-19742.323200988802</v>
      </c>
      <c r="X41" s="6"/>
      <c r="Y41" s="296">
        <f t="shared" si="6"/>
        <v>-40.899134526371121</v>
      </c>
      <c r="Z41" s="255"/>
      <c r="AB41" s="154">
        <f>+IF(AB40&gt;$G$13+$G$14,XX,AB40+1)</f>
        <v>2034</v>
      </c>
      <c r="AC41" s="124"/>
      <c r="AD41" s="159">
        <f t="shared" si="2"/>
        <v>482707.60321980069</v>
      </c>
      <c r="AE41" s="3"/>
      <c r="AF41" s="162">
        <f t="shared" si="12"/>
        <v>134.61664789885882</v>
      </c>
      <c r="AG41" s="3"/>
      <c r="AH41" s="162">
        <f t="shared" si="13"/>
        <v>26.964299429945516</v>
      </c>
      <c r="AI41" s="3"/>
      <c r="AJ41" s="162">
        <f t="shared" si="14"/>
        <v>2.7517611866445502</v>
      </c>
      <c r="AK41" s="3"/>
      <c r="AL41" s="161">
        <f t="shared" si="7"/>
        <v>13996.177493977541</v>
      </c>
      <c r="AM41" s="3"/>
      <c r="AN41" s="162">
        <f>INDEX('(2.2)_Forward_Price_Curve'!$G:$G,MATCH($AB41,'(2.2)_Forward_Price_Curve'!$C:$C,0),1)</f>
        <v>5.688295833333334</v>
      </c>
      <c r="AO41" s="3"/>
      <c r="AP41" s="162">
        <f t="shared" si="18"/>
        <v>37.365509521944496</v>
      </c>
      <c r="AQ41" s="3"/>
      <c r="AR41" s="162">
        <f t="shared" si="15"/>
        <v>3.1052150796000184</v>
      </c>
      <c r="AS41" s="162"/>
      <c r="AT41" s="161">
        <f t="shared" si="3"/>
        <v>8442.153800977263</v>
      </c>
      <c r="AU41" s="3"/>
      <c r="AV41" s="161">
        <f t="shared" si="4"/>
        <v>19535.526472980178</v>
      </c>
      <c r="AW41" s="299"/>
      <c r="AX41" s="163">
        <f t="shared" si="8"/>
        <v>27977.680273957441</v>
      </c>
      <c r="AZ41" s="154">
        <f>+IF(AZ40&gt;$G$13+$G$14,XX,AZ40+1)</f>
        <v>2034</v>
      </c>
      <c r="BA41" s="124"/>
      <c r="BB41" s="162">
        <f t="shared" si="16"/>
        <v>87.667145954818437</v>
      </c>
      <c r="BC41" s="3"/>
      <c r="BD41" s="162">
        <f t="shared" si="17"/>
        <v>5.7726450868971684</v>
      </c>
      <c r="BE41" s="3"/>
      <c r="BF41" s="161">
        <f t="shared" si="9"/>
        <v>5554.0236930002784</v>
      </c>
      <c r="BG41" s="3"/>
      <c r="BH41" s="165"/>
    </row>
    <row r="42" spans="2:60" ht="12">
      <c r="B42" s="2"/>
      <c r="C42" s="6">
        <f>+IF(C41&gt;$G$13+$G$14,XX,C41+1)</f>
        <v>2035</v>
      </c>
      <c r="D42" s="6"/>
      <c r="E42" s="292">
        <f>'(2.2)_Forward_Price_Curve'!P47</f>
        <v>2.1000000000000001E-2</v>
      </c>
      <c r="F42" s="6"/>
      <c r="G42" s="20">
        <v>482707.60321980069</v>
      </c>
      <c r="H42" s="6"/>
      <c r="I42" s="30">
        <f t="shared" si="10"/>
        <v>0</v>
      </c>
      <c r="J42" s="6"/>
      <c r="K42" s="30">
        <v>15.5</v>
      </c>
      <c r="L42" s="6"/>
      <c r="M42" s="30">
        <f t="shared" si="11"/>
        <v>0</v>
      </c>
      <c r="N42" s="6"/>
      <c r="O42" s="295">
        <f>'(2.2)_Forward_Price_Curve'!Y47</f>
        <v>1.5935251628391218</v>
      </c>
      <c r="P42" s="6"/>
      <c r="Q42" s="30"/>
      <c r="R42" s="6"/>
      <c r="S42" s="20">
        <f t="shared" si="5"/>
        <v>8251.1745619314261</v>
      </c>
      <c r="T42" s="6"/>
      <c r="U42" s="20">
        <f t="shared" si="0"/>
        <v>28686.495638125241</v>
      </c>
      <c r="V42" s="6"/>
      <c r="W42" s="20">
        <f t="shared" si="1"/>
        <v>-20435.321076193817</v>
      </c>
      <c r="X42" s="6"/>
      <c r="Y42" s="296">
        <f t="shared" si="6"/>
        <v>-42.334781842847008</v>
      </c>
      <c r="Z42" s="255"/>
      <c r="AB42" s="154">
        <f>+IF(AB41&gt;$G$13+$G$14,XX,AB41+1)</f>
        <v>2035</v>
      </c>
      <c r="AC42" s="124"/>
      <c r="AD42" s="159">
        <f t="shared" si="2"/>
        <v>482707.60321980069</v>
      </c>
      <c r="AE42" s="3"/>
      <c r="AF42" s="162">
        <f t="shared" si="12"/>
        <v>137.44359750473484</v>
      </c>
      <c r="AG42" s="3"/>
      <c r="AH42" s="162">
        <f t="shared" si="13"/>
        <v>27.53054971797437</v>
      </c>
      <c r="AI42" s="3"/>
      <c r="AJ42" s="162">
        <f t="shared" si="14"/>
        <v>2.8095481715640855</v>
      </c>
      <c r="AK42" s="3"/>
      <c r="AL42" s="161">
        <f t="shared" si="7"/>
        <v>14290.097221351067</v>
      </c>
      <c r="AM42" s="3"/>
      <c r="AN42" s="162">
        <f>INDEX('(2.2)_Forward_Price_Curve'!$G:$G,MATCH($AB42,'(2.2)_Forward_Price_Curve'!$C:$C,0),1)</f>
        <v>5.846000000000001</v>
      </c>
      <c r="AO42" s="3"/>
      <c r="AP42" s="162">
        <f t="shared" si="18"/>
        <v>38.401443079883336</v>
      </c>
      <c r="AQ42" s="3"/>
      <c r="AR42" s="162">
        <f t="shared" si="15"/>
        <v>3.1704245962716184</v>
      </c>
      <c r="AS42" s="162"/>
      <c r="AT42" s="161">
        <f t="shared" si="3"/>
        <v>8619.4390307977828</v>
      </c>
      <c r="AU42" s="3"/>
      <c r="AV42" s="161">
        <f t="shared" si="4"/>
        <v>20067.05660732746</v>
      </c>
      <c r="AW42" s="299"/>
      <c r="AX42" s="163">
        <f t="shared" si="8"/>
        <v>28686.495638125241</v>
      </c>
      <c r="AZ42" s="154">
        <f>+IF(AZ41&gt;$G$13+$G$14,XX,AZ41+1)</f>
        <v>2035</v>
      </c>
      <c r="BA42" s="124"/>
      <c r="BB42" s="162">
        <f t="shared" si="16"/>
        <v>89.508156019869617</v>
      </c>
      <c r="BC42" s="3"/>
      <c r="BD42" s="162">
        <f t="shared" si="17"/>
        <v>5.8938706337220088</v>
      </c>
      <c r="BE42" s="3"/>
      <c r="BF42" s="161">
        <f t="shared" si="9"/>
        <v>5670.6581905532839</v>
      </c>
      <c r="BG42" s="3"/>
      <c r="BH42" s="165"/>
    </row>
    <row r="43" spans="2:60" ht="12">
      <c r="B43" s="2"/>
      <c r="C43" s="6">
        <f>+IF(C42&gt;$G$13+$G$14,XX,C42+1)</f>
        <v>2036</v>
      </c>
      <c r="D43" s="6"/>
      <c r="E43" s="292">
        <f>'(2.2)_Forward_Price_Curve'!P48</f>
        <v>2.1000000000000001E-2</v>
      </c>
      <c r="F43" s="6"/>
      <c r="G43" s="20">
        <v>482707.60321980069</v>
      </c>
      <c r="H43" s="6"/>
      <c r="I43" s="30">
        <f t="shared" si="10"/>
        <v>0</v>
      </c>
      <c r="J43" s="6"/>
      <c r="K43" s="30">
        <v>15.5</v>
      </c>
      <c r="L43" s="6"/>
      <c r="M43" s="30">
        <f t="shared" si="11"/>
        <v>0</v>
      </c>
      <c r="N43" s="6"/>
      <c r="O43" s="295">
        <f>'(2.2)_Forward_Price_Curve'!Y48</f>
        <v>1.6267336732773778</v>
      </c>
      <c r="P43" s="6"/>
      <c r="Q43" s="30"/>
      <c r="R43" s="6"/>
      <c r="S43" s="20">
        <f t="shared" si="5"/>
        <v>8267.2045624115763</v>
      </c>
      <c r="T43" s="6"/>
      <c r="U43" s="20">
        <f t="shared" si="0"/>
        <v>29615.469951075516</v>
      </c>
      <c r="V43" s="6"/>
      <c r="W43" s="20">
        <f t="shared" si="1"/>
        <v>-21348.265388663938</v>
      </c>
      <c r="X43" s="6"/>
      <c r="Y43" s="296">
        <f t="shared" si="6"/>
        <v>-44.226080646471637</v>
      </c>
      <c r="Z43" s="255"/>
      <c r="AB43" s="154">
        <f>+IF(AB42&gt;$G$13+$G$14,XX,AB42+1)</f>
        <v>2036</v>
      </c>
      <c r="AC43" s="124"/>
      <c r="AD43" s="159">
        <f t="shared" si="2"/>
        <v>482707.60321980069</v>
      </c>
      <c r="AE43" s="3"/>
      <c r="AF43" s="162">
        <f t="shared" si="12"/>
        <v>140.32991305233426</v>
      </c>
      <c r="AG43" s="3"/>
      <c r="AH43" s="162">
        <f t="shared" si="13"/>
        <v>28.108691262051831</v>
      </c>
      <c r="AI43" s="3"/>
      <c r="AJ43" s="162">
        <f t="shared" si="14"/>
        <v>2.8685486831669311</v>
      </c>
      <c r="AK43" s="3"/>
      <c r="AL43" s="161">
        <f t="shared" si="7"/>
        <v>14590.189262999438</v>
      </c>
      <c r="AM43" s="3"/>
      <c r="AN43" s="162">
        <f>INDEX('(2.2)_Forward_Price_Curve'!$G:$G,MATCH($AB43,'(2.2)_Forward_Price_Curve'!$C:$C,0),1)</f>
        <v>6.0717541666666675</v>
      </c>
      <c r="AO43" s="3"/>
      <c r="AP43" s="162">
        <f t="shared" si="18"/>
        <v>39.88438625150436</v>
      </c>
      <c r="AQ43" s="3"/>
      <c r="AR43" s="162">
        <f t="shared" si="15"/>
        <v>3.2370035127933221</v>
      </c>
      <c r="AS43" s="162"/>
      <c r="AT43" s="161">
        <f t="shared" si="3"/>
        <v>8800.4472504445348</v>
      </c>
      <c r="AU43" s="3"/>
      <c r="AV43" s="161">
        <f t="shared" si="4"/>
        <v>20815.02270063098</v>
      </c>
      <c r="AW43" s="299"/>
      <c r="AX43" s="163">
        <f t="shared" si="8"/>
        <v>29615.469951075516</v>
      </c>
      <c r="AZ43" s="154">
        <f>+IF(AZ42&gt;$G$13+$G$14,XX,AZ42+1)</f>
        <v>2036</v>
      </c>
      <c r="BA43" s="124"/>
      <c r="BB43" s="162">
        <f t="shared" si="16"/>
        <v>91.387827296286872</v>
      </c>
      <c r="BC43" s="3"/>
      <c r="BD43" s="162">
        <f t="shared" si="17"/>
        <v>6.0176419170301703</v>
      </c>
      <c r="BE43" s="3"/>
      <c r="BF43" s="161">
        <f t="shared" si="9"/>
        <v>5789.7420125549033</v>
      </c>
      <c r="BG43" s="3"/>
      <c r="BH43" s="165"/>
    </row>
    <row r="44" spans="2:60" ht="12">
      <c r="B44" s="2"/>
      <c r="C44" s="6">
        <f>+IF(C43&gt;$G$13+$G$14,XX,C43+1)</f>
        <v>2037</v>
      </c>
      <c r="D44" s="6"/>
      <c r="E44" s="292">
        <f>'(2.2)_Forward_Price_Curve'!P49</f>
        <v>2.1000000000000001E-2</v>
      </c>
      <c r="F44" s="6"/>
      <c r="G44" s="20">
        <v>482707.60321980069</v>
      </c>
      <c r="H44" s="6"/>
      <c r="I44" s="30">
        <f t="shared" si="10"/>
        <v>0</v>
      </c>
      <c r="J44" s="6"/>
      <c r="K44" s="30">
        <v>15.5</v>
      </c>
      <c r="L44" s="6"/>
      <c r="M44" s="30">
        <f t="shared" si="11"/>
        <v>0</v>
      </c>
      <c r="N44" s="6"/>
      <c r="O44" s="295">
        <f>'(2.2)_Forward_Price_Curve'!Y49</f>
        <v>1.6606577113778709</v>
      </c>
      <c r="P44" s="6"/>
      <c r="Q44" s="30"/>
      <c r="R44" s="6"/>
      <c r="S44" s="20">
        <f t="shared" si="5"/>
        <v>8283.5799535346032</v>
      </c>
      <c r="T44" s="6"/>
      <c r="U44" s="20">
        <f t="shared" si="0"/>
        <v>30366.742978162893</v>
      </c>
      <c r="V44" s="6"/>
      <c r="W44" s="20">
        <f t="shared" si="1"/>
        <v>-22083.163024628288</v>
      </c>
      <c r="X44" s="6"/>
      <c r="Y44" s="296">
        <f t="shared" si="6"/>
        <v>-45.7485294976237</v>
      </c>
      <c r="Z44" s="255"/>
      <c r="AB44" s="154">
        <f>+IF(AB43&gt;$G$13+$G$14,XX,AB43+1)</f>
        <v>2037</v>
      </c>
      <c r="AC44" s="124"/>
      <c r="AD44" s="159">
        <f t="shared" si="2"/>
        <v>482707.60321980069</v>
      </c>
      <c r="AE44" s="3"/>
      <c r="AF44" s="162">
        <f t="shared" si="12"/>
        <v>143.27684122643328</v>
      </c>
      <c r="AG44" s="3"/>
      <c r="AH44" s="162">
        <f t="shared" si="13"/>
        <v>28.698973778554919</v>
      </c>
      <c r="AI44" s="3"/>
      <c r="AJ44" s="162">
        <f t="shared" si="14"/>
        <v>2.9287882055134364</v>
      </c>
      <c r="AK44" s="3"/>
      <c r="AL44" s="161">
        <f t="shared" si="7"/>
        <v>14896.583237522427</v>
      </c>
      <c r="AM44" s="3"/>
      <c r="AN44" s="162">
        <f>INDEX('(2.2)_Forward_Price_Curve'!$G:$G,MATCH($AB44,'(2.2)_Forward_Price_Curve'!$C:$C,0),1)</f>
        <v>6.240054166666666</v>
      </c>
      <c r="AO44" s="3"/>
      <c r="AP44" s="162">
        <f t="shared" si="18"/>
        <v>40.989922151323775</v>
      </c>
      <c r="AQ44" s="3"/>
      <c r="AR44" s="162">
        <f t="shared" si="15"/>
        <v>3.3049805865619817</v>
      </c>
      <c r="AS44" s="162"/>
      <c r="AT44" s="161">
        <f t="shared" si="3"/>
        <v>8985.2566427038728</v>
      </c>
      <c r="AU44" s="3"/>
      <c r="AV44" s="161">
        <f t="shared" si="4"/>
        <v>21381.48633545902</v>
      </c>
      <c r="AW44" s="299"/>
      <c r="AX44" s="163">
        <f t="shared" si="8"/>
        <v>30366.742978162893</v>
      </c>
      <c r="AZ44" s="154">
        <f>+IF(AZ43&gt;$G$13+$G$14,XX,AZ43+1)</f>
        <v>2037</v>
      </c>
      <c r="BA44" s="124"/>
      <c r="BB44" s="162">
        <f t="shared" si="16"/>
        <v>93.306971669508883</v>
      </c>
      <c r="BC44" s="3"/>
      <c r="BD44" s="162">
        <f t="shared" si="17"/>
        <v>6.1440123972878036</v>
      </c>
      <c r="BE44" s="3"/>
      <c r="BF44" s="161">
        <f t="shared" si="9"/>
        <v>5911.3265948185553</v>
      </c>
      <c r="BG44" s="3"/>
      <c r="BH44" s="165"/>
    </row>
    <row r="45" spans="2:60" ht="12">
      <c r="B45" s="2"/>
      <c r="C45" s="6">
        <f>+IF(C44&gt;$G$13+$G$14,XX,C44+1)</f>
        <v>2038</v>
      </c>
      <c r="D45" s="6"/>
      <c r="E45" s="292">
        <f>'(2.2)_Forward_Price_Curve'!P50</f>
        <v>2.1000000000000001E-2</v>
      </c>
      <c r="F45" s="6"/>
      <c r="G45" s="20">
        <v>482707.60321980069</v>
      </c>
      <c r="H45" s="6"/>
      <c r="I45" s="30">
        <f t="shared" si="10"/>
        <v>0</v>
      </c>
      <c r="J45" s="6"/>
      <c r="K45" s="30">
        <v>15.5</v>
      </c>
      <c r="L45" s="6"/>
      <c r="M45" s="30">
        <f t="shared" si="11"/>
        <v>0</v>
      </c>
      <c r="N45" s="6"/>
      <c r="O45" s="295">
        <f>'(2.2)_Forward_Price_Curve'!Y50</f>
        <v>1.6953423361778306</v>
      </c>
      <c r="P45" s="6"/>
      <c r="Q45" s="30"/>
      <c r="R45" s="6"/>
      <c r="S45" s="20">
        <f t="shared" si="5"/>
        <v>8300.3224856403685</v>
      </c>
      <c r="T45" s="6"/>
      <c r="U45" s="20">
        <f t="shared" si="0"/>
        <v>31604.71068361267</v>
      </c>
      <c r="V45" s="6"/>
      <c r="W45" s="20">
        <f t="shared" si="1"/>
        <v>-23304.388197972301</v>
      </c>
      <c r="X45" s="6"/>
      <c r="Y45" s="296">
        <f t="shared" si="6"/>
        <v>-48.278477576332392</v>
      </c>
      <c r="Z45" s="255"/>
      <c r="AB45" s="154">
        <f>+IF(AB44&gt;$G$13+$G$14,XX,AB44+1)</f>
        <v>2038</v>
      </c>
      <c r="AC45" s="124"/>
      <c r="AD45" s="159">
        <f t="shared" si="2"/>
        <v>482707.60321980069</v>
      </c>
      <c r="AE45" s="3"/>
      <c r="AF45" s="162">
        <f t="shared" si="12"/>
        <v>146.28565489218838</v>
      </c>
      <c r="AG45" s="3"/>
      <c r="AH45" s="162">
        <f t="shared" si="13"/>
        <v>29.301652227904569</v>
      </c>
      <c r="AI45" s="3"/>
      <c r="AJ45" s="162">
        <f t="shared" si="14"/>
        <v>2.9902927578292182</v>
      </c>
      <c r="AK45" s="3"/>
      <c r="AL45" s="161">
        <f t="shared" si="7"/>
        <v>15209.411485510394</v>
      </c>
      <c r="AM45" s="3"/>
      <c r="AN45" s="162">
        <f>INDEX('(2.2)_Forward_Price_Curve'!$G:$G,MATCH($AB45,'(2.2)_Forward_Price_Curve'!$C:$C,0),1)</f>
        <v>6.5604041666666673</v>
      </c>
      <c r="AO45" s="3"/>
      <c r="AP45" s="162">
        <f t="shared" si="18"/>
        <v>43.09425028862119</v>
      </c>
      <c r="AQ45" s="3"/>
      <c r="AR45" s="162">
        <f t="shared" si="15"/>
        <v>3.3743851788797832</v>
      </c>
      <c r="AS45" s="162"/>
      <c r="AT45" s="161">
        <f t="shared" si="3"/>
        <v>9173.9470322006509</v>
      </c>
      <c r="AU45" s="3"/>
      <c r="AV45" s="161">
        <f t="shared" si="4"/>
        <v>22430.763651412017</v>
      </c>
      <c r="AW45" s="299"/>
      <c r="AX45" s="163">
        <f t="shared" si="8"/>
        <v>31604.71068361267</v>
      </c>
      <c r="AZ45" s="154">
        <f>+IF(AZ44&gt;$G$13+$G$14,XX,AZ44+1)</f>
        <v>2038</v>
      </c>
      <c r="BA45" s="124"/>
      <c r="BB45" s="162">
        <f t="shared" si="16"/>
        <v>95.266418074568563</v>
      </c>
      <c r="BC45" s="3"/>
      <c r="BD45" s="162">
        <f t="shared" si="17"/>
        <v>6.2730366576308469</v>
      </c>
      <c r="BE45" s="3"/>
      <c r="BF45" s="161">
        <f t="shared" si="9"/>
        <v>6035.4644533097435</v>
      </c>
      <c r="BG45" s="3"/>
      <c r="BH45" s="165"/>
    </row>
    <row r="46" spans="2:60" ht="12">
      <c r="B46" s="2"/>
      <c r="C46" s="6">
        <f>+IF(C45&gt;$G$13+$G$14,XX,C45+1)</f>
        <v>2039</v>
      </c>
      <c r="D46" s="6"/>
      <c r="E46" s="292">
        <f>'(2.2)_Forward_Price_Curve'!P51</f>
        <v>2.1000000000000001E-2</v>
      </c>
      <c r="F46" s="6"/>
      <c r="G46" s="20">
        <v>482707.60321980069</v>
      </c>
      <c r="H46" s="6"/>
      <c r="I46" s="30">
        <f t="shared" si="10"/>
        <v>0</v>
      </c>
      <c r="J46" s="6"/>
      <c r="K46" s="30">
        <v>15.5</v>
      </c>
      <c r="L46" s="6"/>
      <c r="M46" s="30">
        <f t="shared" si="11"/>
        <v>0</v>
      </c>
      <c r="N46" s="6"/>
      <c r="O46" s="295">
        <f>'(2.2)_Forward_Price_Curve'!Y51</f>
        <v>1.730529504666237</v>
      </c>
      <c r="P46" s="6"/>
      <c r="Q46" s="30"/>
      <c r="R46" s="6"/>
      <c r="S46" s="20">
        <f t="shared" si="5"/>
        <v>8317.307599405498</v>
      </c>
      <c r="T46" s="6"/>
      <c r="U46" s="20">
        <f t="shared" si="0"/>
        <v>32503.296232450615</v>
      </c>
      <c r="V46" s="6"/>
      <c r="W46" s="20">
        <f t="shared" si="1"/>
        <v>-24185.988633045119</v>
      </c>
      <c r="X46" s="6"/>
      <c r="Y46" s="296">
        <f t="shared" si="6"/>
        <v>-50.104842914670314</v>
      </c>
      <c r="Z46" s="255"/>
      <c r="AB46" s="154">
        <f>+IF(AB45&gt;$G$13+$G$14,XX,AB45+1)</f>
        <v>2039</v>
      </c>
      <c r="AC46" s="124"/>
      <c r="AD46" s="159">
        <f t="shared" si="2"/>
        <v>482707.60321980069</v>
      </c>
      <c r="AE46" s="3"/>
      <c r="AF46" s="162">
        <f t="shared" si="12"/>
        <v>149.35765364492431</v>
      </c>
      <c r="AG46" s="3"/>
      <c r="AH46" s="162">
        <f t="shared" si="13"/>
        <v>29.916986924690562</v>
      </c>
      <c r="AI46" s="3"/>
      <c r="AJ46" s="162">
        <f t="shared" si="14"/>
        <v>3.0530889057436315</v>
      </c>
      <c r="AK46" s="3"/>
      <c r="AL46" s="161">
        <f t="shared" si="7"/>
        <v>15528.809126706112</v>
      </c>
      <c r="AM46" s="3"/>
      <c r="AN46" s="162">
        <f>INDEX('(2.2)_Forward_Price_Curve'!$G:$G,MATCH($AB46,'(2.2)_Forward_Price_Curve'!$C:$C,0),1)</f>
        <v>6.7722499999999988</v>
      </c>
      <c r="AO46" s="3"/>
      <c r="AP46" s="162">
        <f t="shared" si="18"/>
        <v>44.485831833345848</v>
      </c>
      <c r="AQ46" s="3"/>
      <c r="AR46" s="162">
        <f t="shared" si="15"/>
        <v>3.4452472676362582</v>
      </c>
      <c r="AS46" s="162"/>
      <c r="AT46" s="161">
        <f t="shared" si="3"/>
        <v>9366.5999198768641</v>
      </c>
      <c r="AU46" s="3"/>
      <c r="AV46" s="161">
        <f t="shared" si="4"/>
        <v>23136.696312573749</v>
      </c>
      <c r="AW46" s="299"/>
      <c r="AX46" s="163">
        <f t="shared" si="8"/>
        <v>32503.296232450615</v>
      </c>
      <c r="AZ46" s="154">
        <f>+IF(AZ45&gt;$G$13+$G$14,XX,AZ45+1)</f>
        <v>2039</v>
      </c>
      <c r="BA46" s="124"/>
      <c r="BB46" s="162">
        <f t="shared" si="16"/>
        <v>97.267012854134492</v>
      </c>
      <c r="BC46" s="3"/>
      <c r="BD46" s="162">
        <f t="shared" si="17"/>
        <v>6.4047704274410941</v>
      </c>
      <c r="BE46" s="3"/>
      <c r="BF46" s="161">
        <f t="shared" si="9"/>
        <v>6162.2092068292477</v>
      </c>
      <c r="BG46" s="3"/>
      <c r="BH46" s="165"/>
    </row>
    <row r="47" spans="2:60" ht="12">
      <c r="B47" s="2"/>
      <c r="C47" s="6">
        <f>+IF(C46&gt;$G$13+$G$14,XX,C46+1)</f>
        <v>2040</v>
      </c>
      <c r="D47" s="6"/>
      <c r="E47" s="292">
        <f>'(2.2)_Forward_Price_Curve'!P52</f>
        <v>2.1000000000000001E-2</v>
      </c>
      <c r="F47" s="6"/>
      <c r="G47" s="20">
        <v>482707.60321980069</v>
      </c>
      <c r="H47" s="6"/>
      <c r="I47" s="30">
        <f t="shared" si="10"/>
        <v>0</v>
      </c>
      <c r="J47" s="6"/>
      <c r="K47" s="30">
        <v>15.5</v>
      </c>
      <c r="L47" s="6"/>
      <c r="M47" s="30"/>
      <c r="N47" s="6"/>
      <c r="O47" s="295">
        <f>'(2.2)_Forward_Price_Curve'!Y52</f>
        <v>1.7664344168351047</v>
      </c>
      <c r="P47" s="6"/>
      <c r="Q47" s="30"/>
      <c r="R47" s="6"/>
      <c r="S47" s="20">
        <f t="shared" si="5"/>
        <v>8334.6391735023499</v>
      </c>
      <c r="T47" s="6"/>
      <c r="U47" s="20">
        <f t="shared" si="0"/>
        <v>33697.358017871564</v>
      </c>
      <c r="V47" s="6"/>
      <c r="W47" s="20">
        <f t="shared" si="1"/>
        <v>-25362.718844369214</v>
      </c>
      <c r="X47" s="6"/>
      <c r="Y47" s="296">
        <f t="shared" si="6"/>
        <v>-52.542613116496348</v>
      </c>
      <c r="Z47" s="255"/>
      <c r="AB47" s="154">
        <f>+IF(AB46&gt;$G$13+$G$14,XX,AB46+1)</f>
        <v>2040</v>
      </c>
      <c r="AC47" s="124"/>
      <c r="AD47" s="159">
        <f t="shared" si="2"/>
        <v>482707.60321980069</v>
      </c>
      <c r="AE47" s="3"/>
      <c r="AF47" s="162">
        <f t="shared" si="12"/>
        <v>152.49416437146772</v>
      </c>
      <c r="AG47" s="3"/>
      <c r="AH47" s="162">
        <f t="shared" si="13"/>
        <v>30.545243650109061</v>
      </c>
      <c r="AI47" s="3"/>
      <c r="AJ47" s="162">
        <f t="shared" si="14"/>
        <v>3.1172037727642476</v>
      </c>
      <c r="AK47" s="3"/>
      <c r="AL47" s="161">
        <f t="shared" si="7"/>
        <v>15854.91411836694</v>
      </c>
      <c r="AM47" s="3"/>
      <c r="AN47" s="162">
        <f>INDEX('(2.2)_Forward_Price_Curve'!$G:$G,MATCH($AB47,'(2.2)_Forward_Price_Curve'!$C:$C,0),1)</f>
        <v>7.075779166666667</v>
      </c>
      <c r="AO47" s="3"/>
      <c r="AP47" s="162">
        <f t="shared" si="18"/>
        <v>46.479666595034949</v>
      </c>
      <c r="AQ47" s="3"/>
      <c r="AR47" s="162">
        <f t="shared" si="15"/>
        <v>3.5175974602566193</v>
      </c>
      <c r="AS47" s="162"/>
      <c r="AT47" s="161">
        <f t="shared" si="3"/>
        <v>9563.2985181942786</v>
      </c>
      <c r="AU47" s="3"/>
      <c r="AV47" s="161">
        <f t="shared" si="4"/>
        <v>24134.059499677285</v>
      </c>
      <c r="AW47" s="299"/>
      <c r="AX47" s="163">
        <f t="shared" si="8"/>
        <v>33697.358017871564</v>
      </c>
      <c r="AZ47" s="154">
        <f>+IF(AZ46&gt;$G$13+$G$14,XX,AZ46+1)</f>
        <v>2040</v>
      </c>
      <c r="BA47" s="124"/>
      <c r="BB47" s="162">
        <f t="shared" si="16"/>
        <v>99.309620124071301</v>
      </c>
      <c r="BC47" s="3"/>
      <c r="BD47" s="162">
        <f t="shared" si="17"/>
        <v>6.5392706064173565</v>
      </c>
      <c r="BE47" s="3"/>
      <c r="BF47" s="161">
        <f t="shared" si="9"/>
        <v>6291.6156001726613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6.57%</v>
      </c>
      <c r="E58" s="178"/>
      <c r="F58" s="3"/>
      <c r="G58" s="20">
        <f>+-PMT($G$18,$G$14,NPV($G$18,G28:G56))</f>
        <v>482707.60321980028</v>
      </c>
      <c r="H58" s="6"/>
      <c r="I58" s="30">
        <f>+-PMT($G$18,$G$14,NPV($G$18,I28:I56))</f>
        <v>0</v>
      </c>
      <c r="J58" s="30"/>
      <c r="K58" s="30">
        <f>+-PMT($G$18,$G$14,NPV($G$18,K28:K56))</f>
        <v>15.499999999999993</v>
      </c>
      <c r="L58" s="6"/>
      <c r="M58" s="30">
        <f>+-PMT($G$18,$G$14,NPV($G$18,M28:M56))</f>
        <v>0</v>
      </c>
      <c r="N58" s="6"/>
      <c r="O58" s="30">
        <f>+-PMT($G$18,$G$14,NPV($G$18,O28:O56))</f>
        <v>1.3915143264500005</v>
      </c>
      <c r="P58" s="6"/>
      <c r="Q58" s="30">
        <f>+-PMT($G$18,$G$14,NPV($G$18,Q28:Q56))</f>
        <v>0</v>
      </c>
      <c r="R58" s="6"/>
      <c r="S58" s="20">
        <f>+-PMT($G$18,$G$14,NPV($G$18,S28:S56))</f>
        <v>8153.6623952735999</v>
      </c>
      <c r="T58" s="6"/>
      <c r="U58" s="20">
        <f>+-PMT($G$18,$G$14,NPV($G$18,U28:U56))</f>
        <v>23515.342020079479</v>
      </c>
      <c r="V58" s="3"/>
      <c r="W58" s="20">
        <f>+-PMT($G$18,$G$14,NPV($G$18,W28:W56))</f>
        <v>-15361.679624805871</v>
      </c>
      <c r="X58" s="3"/>
      <c r="Y58" s="296">
        <f>+-PMT($G$18,$G$14,NPV($G$18,Y28:Y56))</f>
        <v>-31.823985208310333</v>
      </c>
      <c r="Z58" s="255"/>
      <c r="AB58" s="2"/>
      <c r="AC58" s="3"/>
      <c r="AD58" s="159">
        <f>+-PMT($G$18,$G$14,NPV($G$18,AD28:AD56))</f>
        <v>482707.60321980028</v>
      </c>
      <c r="AE58" s="3"/>
      <c r="AF58" s="162">
        <f>+-PMT($G$18,$G$14,NPV($G$18,AF28:AF56))</f>
        <v>120.24366524670354</v>
      </c>
      <c r="AG58" s="3"/>
      <c r="AH58" s="162">
        <f>+-PMT($G$18,$G$14,NPV($G$18,AH28:AH56))</f>
        <v>24.085328559824685</v>
      </c>
      <c r="AI58" s="3"/>
      <c r="AJ58" s="162">
        <f>+-PMT($G$18,$G$14,NPV($G$18,AJ28:AJ56))</f>
        <v>2.4579563978918837</v>
      </c>
      <c r="AK58" s="3"/>
      <c r="AL58" s="161">
        <f>+-PMT($G$18,$G$14,NPV($G$18,AL28:AL56))</f>
        <v>12501.809453640006</v>
      </c>
      <c r="AM58" s="3"/>
      <c r="AN58" s="162">
        <f>+-PMT($G$18,$G$14,NPV($G$18,AN28:AN56))</f>
        <v>4.6157267710799834</v>
      </c>
      <c r="AO58" s="3"/>
      <c r="AP58" s="162">
        <f>+-PMT($G$18,$G$14,NPV($G$18,AP28:AP56))</f>
        <v>30.31997414846419</v>
      </c>
      <c r="AQ58" s="3"/>
      <c r="AR58" s="162">
        <f>+-PMT($G$18,$G$14,NPV($G$18,AR28:AR56))</f>
        <v>2.7736721154353288</v>
      </c>
      <c r="AS58" s="162"/>
      <c r="AT58" s="161">
        <f>+-PMT($G$18,$G$14,NPV($G$18,AT28:AT56))</f>
        <v>7540.7873502286266</v>
      </c>
      <c r="AU58" s="3"/>
      <c r="AV58" s="161">
        <f>+-PMT($G$18,$G$14,NPV($G$18,AV28:AV56))</f>
        <v>15974.554669850851</v>
      </c>
      <c r="AW58" s="299"/>
      <c r="AX58" s="163">
        <f>+-PMT($G$18,$G$14,NPV($G$18,AX28:AX56))</f>
        <v>23515.342020079479</v>
      </c>
      <c r="AZ58" s="2"/>
      <c r="BA58" s="3"/>
      <c r="BB58" s="162">
        <f>+-PMT($G$18,$G$14,NPV($G$18,BB28:BB56))</f>
        <v>78.306948775348715</v>
      </c>
      <c r="BC58" s="3"/>
      <c r="BD58" s="162">
        <f>+-PMT($G$18,$G$14,NPV($G$18,BD28:BD56))</f>
        <v>5.1563013509176479</v>
      </c>
      <c r="BE58" s="3"/>
      <c r="BF58" s="161">
        <f>+-PMT($G$18,$G$14,NPV($G$18,BF28:BF56))</f>
        <v>4961.0221034113811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2B760-CED5-4B4E-B037-16AAE7AF13F8}">
  <sheetPr codeName="Sheet39">
    <tabColor theme="4" tint="0.59999389629810485"/>
    <pageSetUpPr fitToPage="1"/>
  </sheetPr>
  <dimension ref="A1:BL101"/>
  <sheetViews>
    <sheetView topLeftCell="L58" workbookViewId="0">
      <selection activeCell="S75" sqref="S75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64" s="250" customFormat="1">
      <c r="A1" s="250" t="str">
        <f>+'Workpaper Index'!C3</f>
        <v>PACIFICORP</v>
      </c>
    </row>
    <row r="2" spans="1:64" s="250" customFormat="1">
      <c r="A2" s="250" t="str">
        <f>+'Workpaper Index'!C4</f>
        <v xml:space="preserve">WASHINGTON JUNE, 1 2022 RENEWABLES REPORT </v>
      </c>
    </row>
    <row r="3" spans="1:64" s="250" customFormat="1">
      <c r="A3" s="250" t="str">
        <f>+'Workpaper Index'!C5</f>
        <v>EVALUATION OF RENEWABLE RESOURCE COST</v>
      </c>
    </row>
    <row r="4" spans="1:64" s="250" customFormat="1"/>
    <row r="5" spans="1:64" s="250" customFormat="1"/>
    <row r="7" spans="1:64">
      <c r="AB7" s="143" t="s">
        <v>315</v>
      </c>
    </row>
    <row r="8" spans="1:64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265" t="s">
        <v>97</v>
      </c>
      <c r="BA8" s="266"/>
      <c r="BB8" s="266"/>
      <c r="BC8" s="266"/>
      <c r="BD8" s="266"/>
      <c r="BE8" s="267"/>
      <c r="BG8" s="431" t="s">
        <v>97</v>
      </c>
      <c r="BH8" s="432"/>
      <c r="BI8" s="432"/>
      <c r="BJ8" s="432"/>
      <c r="BK8" s="432"/>
      <c r="BL8" s="433"/>
    </row>
    <row r="9" spans="1:64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123"/>
      <c r="BA9" s="124"/>
      <c r="BB9" s="124"/>
      <c r="BC9" s="124"/>
      <c r="BD9" s="125"/>
      <c r="BE9" s="128"/>
      <c r="BG9" s="570"/>
      <c r="BH9" s="571"/>
      <c r="BI9" s="571"/>
      <c r="BJ9" s="571"/>
      <c r="BK9" s="572"/>
      <c r="BL9" s="575"/>
    </row>
    <row r="10" spans="1:64" ht="12">
      <c r="B10" s="272"/>
      <c r="C10" s="273" t="s">
        <v>98</v>
      </c>
      <c r="D10" s="273"/>
      <c r="E10" s="273"/>
      <c r="F10" s="273"/>
      <c r="G10" s="274" t="s">
        <v>344</v>
      </c>
      <c r="H10" s="275"/>
      <c r="I10" s="576" t="s">
        <v>227</v>
      </c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129"/>
      <c r="BA10" s="130"/>
      <c r="BB10" s="130"/>
      <c r="BC10" s="130"/>
      <c r="BD10" s="131"/>
      <c r="BE10" s="135"/>
      <c r="BG10" s="434" t="s">
        <v>229</v>
      </c>
      <c r="BH10" s="577"/>
      <c r="BI10" s="577"/>
      <c r="BJ10" s="577"/>
      <c r="BK10" s="578"/>
      <c r="BL10" s="444"/>
    </row>
    <row r="11" spans="1:64" ht="12">
      <c r="B11" s="272"/>
      <c r="C11" s="273" t="s">
        <v>31</v>
      </c>
      <c r="D11" s="273"/>
      <c r="E11" s="273"/>
      <c r="F11" s="273"/>
      <c r="G11" s="311">
        <v>111</v>
      </c>
      <c r="H11" s="275"/>
      <c r="I11" s="621">
        <v>111</v>
      </c>
      <c r="AB11" s="129" t="s">
        <v>99</v>
      </c>
      <c r="AC11" s="130"/>
      <c r="AD11" s="130"/>
      <c r="AE11" s="130"/>
      <c r="AF11" s="312">
        <f>+G11*(G12/AJ16)</f>
        <v>91.93965074327572</v>
      </c>
      <c r="AG11" s="134"/>
      <c r="AH11" s="130" t="s">
        <v>100</v>
      </c>
      <c r="AI11" s="131"/>
      <c r="AJ11" s="174">
        <f>'(2.1)_Proxy Resources'!N70</f>
        <v>7.5808934397681389</v>
      </c>
      <c r="AK11" s="255"/>
      <c r="AN11" s="586" t="s">
        <v>99</v>
      </c>
      <c r="AO11" s="587"/>
      <c r="AP11" s="587"/>
      <c r="AQ11" s="587"/>
      <c r="AR11" s="588">
        <f>+I11*(I12/AV16)</f>
        <v>65.133191198492042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129" t="s">
        <v>99</v>
      </c>
      <c r="BA11" s="130"/>
      <c r="BB11" s="130"/>
      <c r="BC11" s="130"/>
      <c r="BD11" s="141">
        <f>(AF11*AF13-G11*G19)</f>
        <v>86.755950743275719</v>
      </c>
      <c r="BE11" s="137"/>
      <c r="BG11" s="586" t="s">
        <v>99</v>
      </c>
      <c r="BH11" s="587"/>
      <c r="BI11" s="587"/>
      <c r="BJ11" s="587"/>
      <c r="BK11" s="591">
        <f>(AR11*AR13-I11*I19)</f>
        <v>47.595191198492046</v>
      </c>
      <c r="BL11" s="592"/>
    </row>
    <row r="12" spans="1:64" ht="12">
      <c r="B12" s="272"/>
      <c r="C12" s="273" t="s">
        <v>32</v>
      </c>
      <c r="D12" s="273"/>
      <c r="E12" s="273"/>
      <c r="F12" s="273"/>
      <c r="G12" s="313">
        <v>0.40330056606909381</v>
      </c>
      <c r="H12" s="275"/>
      <c r="I12" s="593">
        <v>0.41242555849043083</v>
      </c>
      <c r="AB12" s="129" t="s">
        <v>32</v>
      </c>
      <c r="AC12" s="130"/>
      <c r="AD12" s="130"/>
      <c r="AE12" s="130"/>
      <c r="AF12" s="138">
        <f>+AD75/8760/AF11</f>
        <v>0.50058109469574208</v>
      </c>
      <c r="AG12" s="134"/>
      <c r="AH12" s="124" t="s">
        <v>101</v>
      </c>
      <c r="AI12" s="125"/>
      <c r="AJ12" s="124">
        <v>2008</v>
      </c>
      <c r="AK12" s="255"/>
      <c r="AN12" s="586" t="s">
        <v>32</v>
      </c>
      <c r="AO12" s="587"/>
      <c r="AP12" s="587"/>
      <c r="AQ12" s="587"/>
      <c r="AR12" s="520">
        <f>AD70/8760/AR11</f>
        <v>0</v>
      </c>
      <c r="AS12" s="589"/>
      <c r="AT12" s="571" t="s">
        <v>101</v>
      </c>
      <c r="AU12" s="572"/>
      <c r="AV12" s="594">
        <v>2016</v>
      </c>
      <c r="AW12" s="516"/>
      <c r="AZ12" s="129"/>
      <c r="BA12" s="130"/>
      <c r="BB12" s="130"/>
      <c r="BC12" s="130"/>
      <c r="BD12" s="138"/>
      <c r="BE12" s="139"/>
      <c r="BG12" s="586"/>
      <c r="BH12" s="587"/>
      <c r="BI12" s="587"/>
      <c r="BJ12" s="587"/>
      <c r="BK12" s="595"/>
      <c r="BL12" s="596"/>
    </row>
    <row r="13" spans="1:64" ht="12">
      <c r="B13" s="272"/>
      <c r="C13" s="273" t="s">
        <v>33</v>
      </c>
      <c r="D13" s="273"/>
      <c r="E13" s="273"/>
      <c r="F13" s="273"/>
      <c r="G13" s="274">
        <v>2010</v>
      </c>
      <c r="H13" s="275"/>
      <c r="I13" s="597">
        <v>2019</v>
      </c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Resources'!$O$70</f>
        <v>2.8538881199911357</v>
      </c>
      <c r="AK13" s="255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129" t="s">
        <v>102</v>
      </c>
      <c r="BA13" s="130"/>
      <c r="BB13" s="130"/>
      <c r="BC13" s="130"/>
      <c r="BD13" s="140">
        <v>1</v>
      </c>
      <c r="BE13" s="139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272"/>
      <c r="C14" s="273" t="s">
        <v>34</v>
      </c>
      <c r="D14" s="273"/>
      <c r="E14" s="273"/>
      <c r="F14" s="273"/>
      <c r="G14" s="274">
        <v>20</v>
      </c>
      <c r="H14" s="275"/>
      <c r="I14" s="599">
        <v>30</v>
      </c>
      <c r="AB14" s="129" t="s">
        <v>104</v>
      </c>
      <c r="AC14" s="130"/>
      <c r="AD14" s="130"/>
      <c r="AE14" s="130"/>
      <c r="AF14" s="141">
        <f>'(2.1)_Proxy Resources'!H70*(1+E28)</f>
        <v>7277.4747099407059</v>
      </c>
      <c r="AG14" s="134"/>
      <c r="AH14" s="124"/>
      <c r="AI14" s="125"/>
      <c r="AJ14" s="174"/>
      <c r="AK14" s="255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s="143" t="s">
        <v>138</v>
      </c>
      <c r="B15" s="272"/>
      <c r="C15" s="273" t="s">
        <v>107</v>
      </c>
      <c r="D15" s="273"/>
      <c r="E15" s="273"/>
      <c r="F15" s="273"/>
      <c r="G15" s="314">
        <v>181.96328000344269</v>
      </c>
      <c r="H15" s="275"/>
      <c r="I15" s="428">
        <v>105.49341773922377</v>
      </c>
      <c r="AB15" s="129" t="s">
        <v>192</v>
      </c>
      <c r="AC15" s="130"/>
      <c r="AD15" s="130"/>
      <c r="AE15" s="130"/>
      <c r="AF15" s="175">
        <f>'(2.1)_Proxy Resources'!J70</f>
        <v>1174.8198494434653</v>
      </c>
      <c r="AG15" s="134"/>
      <c r="AH15" s="124" t="s">
        <v>145</v>
      </c>
      <c r="AI15" s="125"/>
      <c r="AJ15" s="174">
        <f>'(2.1)_Proxy Resources'!$P$57</f>
        <v>2.302423580786026</v>
      </c>
      <c r="AK15" s="255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s="143" t="s">
        <v>138</v>
      </c>
      <c r="B16" s="272"/>
      <c r="C16" s="273" t="s">
        <v>109</v>
      </c>
      <c r="D16" s="273"/>
      <c r="E16" s="273"/>
      <c r="F16" s="273"/>
      <c r="G16" s="314">
        <v>4.1883704162822877</v>
      </c>
      <c r="H16" s="275"/>
      <c r="I16"/>
      <c r="AB16" s="129" t="s">
        <v>108</v>
      </c>
      <c r="AC16" s="130"/>
      <c r="AD16" s="130"/>
      <c r="AE16" s="130"/>
      <c r="AF16" s="144">
        <f>'(2.1)_Proxy Resources'!K68</f>
        <v>8.5860000000000006E-2</v>
      </c>
      <c r="AG16" s="134"/>
      <c r="AH16" s="124" t="s">
        <v>110</v>
      </c>
      <c r="AI16" s="131"/>
      <c r="AJ16" s="145">
        <f>'(2.1)_Proxy Resources'!$D$57</f>
        <v>0.48691029900332239</v>
      </c>
      <c r="AK16" s="255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  <c r="BG16" s="586" t="s">
        <v>100</v>
      </c>
      <c r="BH16" s="590"/>
      <c r="BI16" s="442">
        <f>'(2.1)_Proxy Resources'!L30</f>
        <v>15.97</v>
      </c>
      <c r="BJ16"/>
      <c r="BK16"/>
      <c r="BL16" s="592"/>
    </row>
    <row r="17" spans="1:64" ht="12">
      <c r="A17" s="143" t="s">
        <v>138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I17"/>
      <c r="AB17" s="2"/>
      <c r="AG17" s="134"/>
      <c r="AH17" s="3"/>
      <c r="AI17" s="134"/>
      <c r="AJ17" s="130"/>
      <c r="AK17" s="137"/>
      <c r="AN17" s="526"/>
      <c r="AO17"/>
      <c r="AP17"/>
      <c r="AQ17"/>
      <c r="AR17"/>
      <c r="AS17" s="589"/>
      <c r="AT17"/>
      <c r="AU17" s="589"/>
      <c r="AV17" s="587"/>
      <c r="AW17" s="592"/>
      <c r="AZ17" s="123" t="s">
        <v>101</v>
      </c>
      <c r="BA17" s="125"/>
      <c r="BB17" s="124">
        <v>2008</v>
      </c>
      <c r="BC17" s="3"/>
      <c r="BD17" s="3"/>
      <c r="BE17" s="135"/>
      <c r="BG17" s="570" t="s">
        <v>101</v>
      </c>
      <c r="BH17" s="572"/>
      <c r="BI17" s="594">
        <v>2016</v>
      </c>
      <c r="BJ17"/>
      <c r="BK17"/>
      <c r="BL17" s="603"/>
    </row>
    <row r="18" spans="1:64" ht="12">
      <c r="B18" s="272"/>
      <c r="C18" s="273" t="s">
        <v>112</v>
      </c>
      <c r="D18" s="273"/>
      <c r="E18" s="273"/>
      <c r="F18" s="273"/>
      <c r="G18" s="313">
        <f>'(2.2)_Forward_Price_Curve'!W5</f>
        <v>7.3164524549999999E-2</v>
      </c>
      <c r="H18" s="275"/>
      <c r="I18" s="604">
        <f>'(2.2)_Forward_Price_Curve'!W8</f>
        <v>6.5699999999999995E-2</v>
      </c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146"/>
      <c r="BA18" s="147"/>
      <c r="BB18" s="147"/>
      <c r="BC18" s="147"/>
      <c r="BD18" s="147"/>
      <c r="BE18" s="149"/>
      <c r="BG18" s="605"/>
      <c r="BH18" s="606"/>
      <c r="BI18" s="606"/>
      <c r="BJ18" s="606"/>
      <c r="BK18" s="606"/>
      <c r="BL18" s="608"/>
    </row>
    <row r="19" spans="1:64" ht="12">
      <c r="B19" s="279"/>
      <c r="C19" s="280" t="s">
        <v>102</v>
      </c>
      <c r="D19" s="280"/>
      <c r="E19" s="280"/>
      <c r="F19" s="280"/>
      <c r="G19" s="176">
        <f>'(2.2)_Forward_Price_Curve'!G80</f>
        <v>4.6699999999999998E-2</v>
      </c>
      <c r="H19" s="282"/>
      <c r="I19" s="604">
        <f>'(2.2)_Forward_Price_Curve'!E80</f>
        <v>0.158</v>
      </c>
    </row>
    <row r="20" spans="1:64">
      <c r="B20" s="250"/>
      <c r="C20" s="250"/>
      <c r="D20" s="250"/>
      <c r="E20" s="250"/>
      <c r="F20" s="250"/>
      <c r="G20" s="250"/>
      <c r="H20" s="250"/>
      <c r="I20" s="143">
        <v>41</v>
      </c>
      <c r="J20" s="143" t="s">
        <v>345</v>
      </c>
    </row>
    <row r="23" spans="1:64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4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4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4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4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4" ht="12">
      <c r="B28" s="2"/>
      <c r="C28" s="6">
        <f>+G13</f>
        <v>2010</v>
      </c>
      <c r="D28" s="6"/>
      <c r="E28" s="292">
        <f>+INDEX('(2.2)_Forward_Price_Curve'!$R:$R,MATCH($C28,'(2.2)_Forward_Price_Curve'!C:C,0))</f>
        <v>1.7999999999999999E-2</v>
      </c>
      <c r="F28" s="6"/>
      <c r="G28" s="20">
        <v>382696</v>
      </c>
      <c r="H28" s="6"/>
      <c r="I28" s="293">
        <f>$G$15*(1+E28)</f>
        <v>185.23861904350466</v>
      </c>
      <c r="J28" s="293"/>
      <c r="K28" s="293">
        <f>G16</f>
        <v>4.1883704162822877</v>
      </c>
      <c r="L28" s="294"/>
      <c r="M28" s="293">
        <f>$G$17</f>
        <v>0</v>
      </c>
      <c r="N28" s="6"/>
      <c r="O28" s="295">
        <f>'(2.2)_Forward_Price_Curve'!U21</f>
        <v>5.2748738999999985</v>
      </c>
      <c r="P28" s="6"/>
      <c r="Q28" s="295">
        <f>-'(2.2)_Forward_Price_Curve'!AG19</f>
        <v>-35.45584940933778</v>
      </c>
      <c r="R28" s="6"/>
      <c r="S28" s="20">
        <f>(I28*$G$11*1000+(K28+M28+O28+Q28)*G28)/1000</f>
        <v>10614.220715137053</v>
      </c>
      <c r="T28" s="6"/>
      <c r="U28" s="20">
        <f t="shared" ref="U28:U47" si="0">AX28</f>
        <v>36279.230866665086</v>
      </c>
      <c r="V28" s="6"/>
      <c r="W28" s="20">
        <f t="shared" ref="W28:W47" si="1">S28-U28</f>
        <v>-25665.010151528033</v>
      </c>
      <c r="X28" s="6"/>
      <c r="Y28" s="296">
        <f>+W28*1000/G28</f>
        <v>-67.063701087881853</v>
      </c>
      <c r="Z28" s="255"/>
      <c r="AB28" s="154">
        <f>$C$28</f>
        <v>2010</v>
      </c>
      <c r="AC28" s="124"/>
      <c r="AD28" s="159">
        <f t="shared" ref="AD28:AD47" si="2">G28</f>
        <v>382696</v>
      </c>
      <c r="AE28" s="3"/>
      <c r="AF28" s="160">
        <f>$AF$15*$AF$16*(1+E28)</f>
        <v>102.68569285413383</v>
      </c>
      <c r="AG28" s="297"/>
      <c r="AH28" s="160">
        <f>$AJ$11*(1+E28)</f>
        <v>7.7173495216839658</v>
      </c>
      <c r="AI28" s="297"/>
      <c r="AJ28" s="160">
        <f>$AJ$13*(1+E28)</f>
        <v>2.9052581061509763</v>
      </c>
      <c r="AK28" s="298"/>
      <c r="AL28" s="161">
        <f>((AF28+AH28)*$AF$11*1000+AJ28*AD28)/1000</f>
        <v>11262.24781321931</v>
      </c>
      <c r="AM28" s="3"/>
      <c r="AN28" s="162">
        <f>INDEX('(2.2)_Forward_Price_Curve'!$L:$L,MATCH($AB28,'(2.2)_Forward_Price_Curve'!$C:$C,0),1)</f>
        <v>10.836874999999999</v>
      </c>
      <c r="AO28" s="310"/>
      <c r="AP28" s="162">
        <f>AN28*$AF$14/1000+$AJ$14/(1+E29)</f>
        <v>78.865083747288679</v>
      </c>
      <c r="AQ28" s="297"/>
      <c r="AR28" s="160">
        <f>$AJ$15*(1+E28)</f>
        <v>2.3438672052401746</v>
      </c>
      <c r="AS28" s="160"/>
      <c r="AT28" s="161">
        <f>AL28-BF28</f>
        <v>5200.8901729360996</v>
      </c>
      <c r="AU28" s="298"/>
      <c r="AV28" s="161">
        <f t="shared" ref="AV28:AV68" si="3">(AP28+AR28)*AD28/1000</f>
        <v>31078.340693728984</v>
      </c>
      <c r="AW28" s="299"/>
      <c r="AX28" s="163">
        <f>AT28+AV28</f>
        <v>36279.230866665086</v>
      </c>
      <c r="AZ28" s="154">
        <f>$C$28</f>
        <v>2010</v>
      </c>
      <c r="BA28" s="124"/>
      <c r="BB28" s="160">
        <f>$BD$14*$BD$15*(1+E28)</f>
        <v>65.550445199999999</v>
      </c>
      <c r="BC28" s="3"/>
      <c r="BD28" s="160">
        <f>$BB$16*(1+E28)</f>
        <v>4.3163200000000002</v>
      </c>
      <c r="BE28" s="297"/>
      <c r="BF28" s="161">
        <f>(BB28+BD28)*$BD$11</f>
        <v>6061.3576402832105</v>
      </c>
      <c r="BG28" s="297"/>
      <c r="BH28" s="164"/>
    </row>
    <row r="29" spans="1:64" ht="12">
      <c r="B29" s="2"/>
      <c r="C29" s="6">
        <f>+IF(C28&gt;$G$13+$G$14,XX,C28+1)</f>
        <v>2011</v>
      </c>
      <c r="D29" s="6"/>
      <c r="E29" s="292">
        <f>+INDEX('(2.2)_Forward_Price_Curve'!$R:$R,MATCH($C29,'(2.2)_Forward_Price_Curve'!C:C,0))</f>
        <v>1.9E-2</v>
      </c>
      <c r="F29" s="6"/>
      <c r="G29" s="20">
        <v>382696</v>
      </c>
      <c r="H29" s="6"/>
      <c r="I29" s="30">
        <f>I28*(1+$E29)</f>
        <v>188.75815280533124</v>
      </c>
      <c r="J29" s="6"/>
      <c r="K29" s="30">
        <f>K28*(1+$E29)</f>
        <v>4.2679494541916512</v>
      </c>
      <c r="L29" s="6"/>
      <c r="M29" s="30">
        <f>M28*(1+$E29)</f>
        <v>0</v>
      </c>
      <c r="N29" s="6"/>
      <c r="O29" s="295">
        <f>'(2.2)_Forward_Price_Curve'!U22</f>
        <v>5.3750965040999983</v>
      </c>
      <c r="P29" s="6"/>
      <c r="Q29" s="295">
        <f>-'(2.2)_Forward_Price_Curve'!AG20</f>
        <v>-35.45584940933778</v>
      </c>
      <c r="R29" s="6"/>
      <c r="S29" s="20">
        <f t="shared" ref="S29:S47" si="4">(I29*$G$11*1000+(K29+M29+O29+Q29)*G29)/1000</f>
        <v>11073.698331890217</v>
      </c>
      <c r="T29" s="6"/>
      <c r="U29" s="20">
        <f t="shared" si="0"/>
        <v>35232.617931175067</v>
      </c>
      <c r="V29" s="6"/>
      <c r="W29" s="20">
        <f t="shared" si="1"/>
        <v>-24158.919599284851</v>
      </c>
      <c r="X29" s="6"/>
      <c r="Y29" s="296">
        <f t="shared" ref="Y29:Y47" si="5">+W29*1000/G29</f>
        <v>-63.128226057457745</v>
      </c>
      <c r="Z29" s="255"/>
      <c r="AB29" s="154">
        <f>+IF(AB28&gt;$G$13+$G$14,XX,AB28+1)</f>
        <v>2011</v>
      </c>
      <c r="AC29" s="124"/>
      <c r="AD29" s="159">
        <f t="shared" si="2"/>
        <v>382696</v>
      </c>
      <c r="AE29" s="3"/>
      <c r="AF29" s="162">
        <f>AF28*(1+$E29)</f>
        <v>104.63672101836237</v>
      </c>
      <c r="AG29" s="3"/>
      <c r="AH29" s="162">
        <f>AH28*(1+$E29)</f>
        <v>7.8639791625959603</v>
      </c>
      <c r="AI29" s="3"/>
      <c r="AJ29" s="162">
        <f>AJ28*(1+$E29)</f>
        <v>2.9604580101678448</v>
      </c>
      <c r="AK29" s="3"/>
      <c r="AL29" s="161">
        <f t="shared" ref="AL29:AL66" si="6">((AF29+AH29)*$AF$11*1000+AJ29*AD29)/1000</f>
        <v>11476.230521670477</v>
      </c>
      <c r="AM29" s="3"/>
      <c r="AN29" s="162">
        <f>INDEX('(2.2)_Forward_Price_Curve'!$L:$L,MATCH($AB29,'(2.2)_Forward_Price_Curve'!$C:$C,0),1)</f>
        <v>10.419479166666667</v>
      </c>
      <c r="AO29" s="3"/>
      <c r="AP29" s="162">
        <f>AN29*$AF$14/1000+$AJ$14</f>
        <v>75.827496126170729</v>
      </c>
      <c r="AQ29" s="3"/>
      <c r="AR29" s="162">
        <f>AR28*(1+$E29)</f>
        <v>2.3884006821397374</v>
      </c>
      <c r="AS29" s="162"/>
      <c r="AT29" s="161">
        <f t="shared" ref="AT29:AT68" si="7">AL29-BF29</f>
        <v>5299.7070862218879</v>
      </c>
      <c r="AU29" s="3"/>
      <c r="AV29" s="161">
        <f t="shared" si="3"/>
        <v>29932.910844953178</v>
      </c>
      <c r="AW29" s="299"/>
      <c r="AX29" s="163">
        <f t="shared" ref="AX29:AX68" si="8">AT29+AV29</f>
        <v>35232.617931175067</v>
      </c>
      <c r="AZ29" s="154">
        <f>+IF(AZ28&gt;$G$13+$G$14,XX,AZ28+1)</f>
        <v>2011</v>
      </c>
      <c r="BA29" s="124"/>
      <c r="BB29" s="162">
        <f>BB28*(1+$E29)</f>
        <v>66.795903658799986</v>
      </c>
      <c r="BC29" s="3"/>
      <c r="BD29" s="162">
        <f>BD28*(1+$E29)</f>
        <v>4.39833008</v>
      </c>
      <c r="BE29" s="3"/>
      <c r="BF29" s="161">
        <f t="shared" ref="BF29:BF68" si="9">(BB29+BD29)*$BD$11</f>
        <v>6176.5234354485892</v>
      </c>
      <c r="BG29" s="3"/>
      <c r="BH29" s="165"/>
    </row>
    <row r="30" spans="1:64" ht="15.75" customHeight="1">
      <c r="B30" s="2"/>
      <c r="C30" s="6">
        <f>+IF(C29&gt;$G$13+$G$14,XX,C29+1)</f>
        <v>2012</v>
      </c>
      <c r="D30" s="6"/>
      <c r="E30" s="292">
        <f>+INDEX('(2.2)_Forward_Price_Curve'!$R:$R,MATCH($C30,'(2.2)_Forward_Price_Curve'!C:C,0))</f>
        <v>0.02</v>
      </c>
      <c r="F30" s="6"/>
      <c r="G30" s="20">
        <v>382696</v>
      </c>
      <c r="H30" s="6"/>
      <c r="I30" s="30">
        <f t="shared" ref="I30:I37" si="10">I29*(1+$E30)</f>
        <v>192.53331586143787</v>
      </c>
      <c r="J30" s="6"/>
      <c r="K30" s="30">
        <f t="shared" ref="K30:K36" si="11">K29*(1+$E30)</f>
        <v>4.3533084432754841</v>
      </c>
      <c r="L30" s="6"/>
      <c r="M30" s="30">
        <f t="shared" ref="M30:M68" si="12">M29*(1+$E30)</f>
        <v>0</v>
      </c>
      <c r="N30" s="6"/>
      <c r="O30" s="295">
        <f>'(2.2)_Forward_Price_Curve'!U23</f>
        <v>5.4772233376778976</v>
      </c>
      <c r="P30" s="6"/>
      <c r="Q30" s="295">
        <f>-'(2.2)_Forward_Price_Curve'!AG21</f>
        <v>-35.45584940933778</v>
      </c>
      <c r="R30" s="6"/>
      <c r="S30" s="20">
        <f t="shared" si="4"/>
        <v>11564.491505507407</v>
      </c>
      <c r="T30" s="6"/>
      <c r="U30" s="20">
        <f t="shared" si="0"/>
        <v>35382.522511977717</v>
      </c>
      <c r="V30" s="6"/>
      <c r="W30" s="20">
        <f t="shared" si="1"/>
        <v>-23818.031006470308</v>
      </c>
      <c r="X30" s="6"/>
      <c r="Y30" s="296">
        <f t="shared" si="5"/>
        <v>-62.237470489553871</v>
      </c>
      <c r="Z30" s="255"/>
      <c r="AB30" s="154">
        <f>+IF(AB29&gt;$G$13+$G$14,XX,AB29+1)</f>
        <v>2012</v>
      </c>
      <c r="AC30" s="124"/>
      <c r="AD30" s="159">
        <f t="shared" si="2"/>
        <v>382696</v>
      </c>
      <c r="AE30" s="3"/>
      <c r="AF30" s="162">
        <f t="shared" ref="AF30:AF36" si="13">AF29*(1+$E30)</f>
        <v>106.72945543872962</v>
      </c>
      <c r="AG30" s="3"/>
      <c r="AH30" s="162">
        <f t="shared" ref="AH30:AH37" si="14">AH29*(1+$E30)</f>
        <v>8.021258745847879</v>
      </c>
      <c r="AI30" s="3"/>
      <c r="AJ30" s="162">
        <f t="shared" ref="AJ30:AJ37" si="15">AJ29*(1+$E30)</f>
        <v>3.0196671703712017</v>
      </c>
      <c r="AK30" s="3"/>
      <c r="AL30" s="161">
        <f t="shared" si="6"/>
        <v>11705.755132103888</v>
      </c>
      <c r="AM30" s="3"/>
      <c r="AN30" s="162">
        <f>INDEX('(2.2)_Forward_Price_Curve'!$L:$L,MATCH($AB30,'(2.2)_Forward_Price_Curve'!$C:$C,0),1)</f>
        <v>10.428681771666666</v>
      </c>
      <c r="AO30" s="3"/>
      <c r="AP30" s="162">
        <f>AN30*$AF$14/1000+$AJ$14*(1+E30)</f>
        <v>75.894467851323782</v>
      </c>
      <c r="AQ30" s="3"/>
      <c r="AR30" s="162">
        <f t="shared" ref="AR30:AR37" si="16">AR29*(1+$E30)</f>
        <v>2.4361686957825324</v>
      </c>
      <c r="AS30" s="162"/>
      <c r="AT30" s="161">
        <f t="shared" si="7"/>
        <v>5405.701227946327</v>
      </c>
      <c r="AU30" s="3"/>
      <c r="AV30" s="161">
        <f t="shared" si="3"/>
        <v>29976.821284031394</v>
      </c>
      <c r="AW30" s="299"/>
      <c r="AX30" s="163">
        <f t="shared" si="8"/>
        <v>35382.522511977717</v>
      </c>
      <c r="AZ30" s="154">
        <f>+IF(AZ29&gt;$G$13+$G$14,XX,AZ29+1)</f>
        <v>2012</v>
      </c>
      <c r="BA30" s="124"/>
      <c r="BB30" s="162">
        <f t="shared" ref="BB30:BB68" si="17">BB29*(1+$E30)</f>
        <v>68.13182173197599</v>
      </c>
      <c r="BC30" s="3"/>
      <c r="BD30" s="162">
        <f t="shared" ref="BD30:BD68" si="18">BD29*(1+$E30)</f>
        <v>4.4862966815999998</v>
      </c>
      <c r="BE30" s="3"/>
      <c r="BF30" s="161">
        <f t="shared" si="9"/>
        <v>6300.0539041575612</v>
      </c>
      <c r="BG30" s="3"/>
      <c r="BH30" s="165"/>
    </row>
    <row r="31" spans="1:64" ht="12">
      <c r="B31" s="2"/>
      <c r="C31" s="6">
        <f>+IF(C30&gt;$G$13+$G$14,XX,C30+1)</f>
        <v>2013</v>
      </c>
      <c r="D31" s="6"/>
      <c r="E31" s="292">
        <f>+INDEX('(2.2)_Forward_Price_Curve'!$R:$R,MATCH($C31,'(2.2)_Forward_Price_Curve'!C:C,0))</f>
        <v>0.02</v>
      </c>
      <c r="F31" s="6"/>
      <c r="G31" s="20">
        <v>382696</v>
      </c>
      <c r="H31" s="6"/>
      <c r="I31" s="30">
        <f t="shared" si="10"/>
        <v>196.38398217866663</v>
      </c>
      <c r="J31" s="6"/>
      <c r="K31" s="30">
        <f t="shared" si="11"/>
        <v>4.4403746121409942</v>
      </c>
      <c r="L31" s="6"/>
      <c r="M31" s="30">
        <f t="shared" si="12"/>
        <v>0</v>
      </c>
      <c r="N31" s="6"/>
      <c r="O31" s="295">
        <f>'(2.2)_Forward_Price_Curve'!U24</f>
        <v>5.5867678044314557</v>
      </c>
      <c r="P31" s="6"/>
      <c r="Q31" s="295">
        <f>-'(2.2)_Forward_Price_Curve'!AG22</f>
        <v>-37.067478927944045</v>
      </c>
      <c r="R31" s="6"/>
      <c r="S31" s="20">
        <f t="shared" si="4"/>
        <v>11450.393400276129</v>
      </c>
      <c r="T31" s="6"/>
      <c r="U31" s="20">
        <f t="shared" si="0"/>
        <v>36077.899287749744</v>
      </c>
      <c r="V31" s="6"/>
      <c r="W31" s="20">
        <f t="shared" si="1"/>
        <v>-24627.505887473613</v>
      </c>
      <c r="X31" s="6"/>
      <c r="Y31" s="296">
        <f t="shared" si="5"/>
        <v>-64.352660826017555</v>
      </c>
      <c r="Z31" s="255"/>
      <c r="AB31" s="154">
        <f>+IF(AB30&gt;$G$13+$G$14,XX,AB30+1)</f>
        <v>2013</v>
      </c>
      <c r="AC31" s="124"/>
      <c r="AD31" s="159">
        <f t="shared" si="2"/>
        <v>382696</v>
      </c>
      <c r="AE31" s="3"/>
      <c r="AF31" s="162">
        <f t="shared" si="13"/>
        <v>108.86404454750421</v>
      </c>
      <c r="AG31" s="3"/>
      <c r="AH31" s="162">
        <f t="shared" si="14"/>
        <v>8.1816839207648364</v>
      </c>
      <c r="AI31" s="3"/>
      <c r="AJ31" s="162">
        <f t="shared" si="15"/>
        <v>3.0800605137786259</v>
      </c>
      <c r="AK31" s="3"/>
      <c r="AL31" s="161">
        <f t="shared" si="6"/>
        <v>11939.870234745964</v>
      </c>
      <c r="AM31" s="3"/>
      <c r="AN31" s="162">
        <f>INDEX('(2.2)_Forward_Price_Curve'!$L:$L,MATCH($AB31,'(2.2)_Forward_Price_Curve'!$C:$C,0),1)</f>
        <v>10.632848438333333</v>
      </c>
      <c r="AO31" s="3"/>
      <c r="AP31" s="162">
        <f>AN31*$AF$14/1000+$AJ$14*(1+E31)</f>
        <v>77.380285604603358</v>
      </c>
      <c r="AQ31" s="3"/>
      <c r="AR31" s="162">
        <f t="shared" si="16"/>
        <v>2.4848920696981831</v>
      </c>
      <c r="AS31" s="162"/>
      <c r="AT31" s="161">
        <f t="shared" si="7"/>
        <v>5513.8152525052492</v>
      </c>
      <c r="AU31" s="3"/>
      <c r="AV31" s="161">
        <f t="shared" si="3"/>
        <v>30564.084035244497</v>
      </c>
      <c r="AW31" s="299"/>
      <c r="AX31" s="163">
        <f t="shared" si="8"/>
        <v>36077.899287749744</v>
      </c>
      <c r="AZ31" s="154">
        <f>+IF(AZ30&gt;$G$13+$G$14,XX,AZ30+1)</f>
        <v>2013</v>
      </c>
      <c r="BA31" s="124"/>
      <c r="BB31" s="162">
        <f t="shared" si="17"/>
        <v>69.494458166615516</v>
      </c>
      <c r="BC31" s="3"/>
      <c r="BD31" s="162">
        <f t="shared" si="18"/>
        <v>4.5760226152319996</v>
      </c>
      <c r="BE31" s="3"/>
      <c r="BF31" s="161">
        <f t="shared" si="9"/>
        <v>6426.0549822407147</v>
      </c>
      <c r="BG31" s="3"/>
      <c r="BH31" s="165"/>
    </row>
    <row r="32" spans="1:64" ht="12">
      <c r="B32" s="2"/>
      <c r="C32" s="6">
        <f>+IF(C31&gt;$G$13+$G$14,XX,C31+1)</f>
        <v>2014</v>
      </c>
      <c r="D32" s="6"/>
      <c r="E32" s="292">
        <f>+INDEX('(2.2)_Forward_Price_Curve'!$R:$R,MATCH($C32,'(2.2)_Forward_Price_Curve'!C:C,0))</f>
        <v>0.02</v>
      </c>
      <c r="F32" s="6"/>
      <c r="G32" s="20">
        <v>382696</v>
      </c>
      <c r="H32" s="6"/>
      <c r="I32" s="30">
        <f t="shared" si="10"/>
        <v>200.31166182223996</v>
      </c>
      <c r="J32" s="6"/>
      <c r="K32" s="30">
        <f t="shared" si="11"/>
        <v>4.5291821043838141</v>
      </c>
      <c r="L32" s="6"/>
      <c r="M32" s="30">
        <f t="shared" si="12"/>
        <v>0</v>
      </c>
      <c r="N32" s="6"/>
      <c r="O32" s="295">
        <f>'(2.2)_Forward_Price_Curve'!U25</f>
        <v>5.6929163927156532</v>
      </c>
      <c r="P32" s="6"/>
      <c r="Q32" s="295">
        <f>-'(2.2)_Forward_Price_Curve'!AG23</f>
        <v>-37.067478927944045</v>
      </c>
      <c r="R32" s="6"/>
      <c r="S32" s="20">
        <f t="shared" si="4"/>
        <v>11960.974752906139</v>
      </c>
      <c r="T32" s="6"/>
      <c r="U32" s="20">
        <f t="shared" si="0"/>
        <v>35410.964078314144</v>
      </c>
      <c r="V32" s="6"/>
      <c r="W32" s="20">
        <f t="shared" si="1"/>
        <v>-23449.989325408005</v>
      </c>
      <c r="X32" s="6"/>
      <c r="Y32" s="296">
        <f t="shared" si="5"/>
        <v>-61.275762812801815</v>
      </c>
      <c r="Z32" s="255"/>
      <c r="AB32" s="154">
        <f>+IF(AB31&gt;$G$13+$G$14,XX,AB31+1)</f>
        <v>2014</v>
      </c>
      <c r="AC32" s="124"/>
      <c r="AD32" s="159">
        <f t="shared" si="2"/>
        <v>382696</v>
      </c>
      <c r="AE32" s="3"/>
      <c r="AF32" s="162">
        <f t="shared" si="13"/>
        <v>111.04132543845429</v>
      </c>
      <c r="AG32" s="3"/>
      <c r="AH32" s="162">
        <f t="shared" si="14"/>
        <v>8.3453175991801327</v>
      </c>
      <c r="AI32" s="3"/>
      <c r="AJ32" s="162">
        <f t="shared" si="15"/>
        <v>3.1416617240541984</v>
      </c>
      <c r="AK32" s="3"/>
      <c r="AL32" s="161">
        <f t="shared" si="6"/>
        <v>12178.667639440882</v>
      </c>
      <c r="AM32" s="3"/>
      <c r="AN32" s="162">
        <f>INDEX('(2.2)_Forward_Price_Curve'!$L:$L,MATCH($AB32,'(2.2)_Forward_Price_Curve'!$C:$C,0),1)</f>
        <v>10.346954939583332</v>
      </c>
      <c r="AO32" s="3"/>
      <c r="AP32" s="162">
        <f t="shared" ref="AP32:AP37" si="19">AN32*$AF$14/1000+$AJ$14*(1+E32)</f>
        <v>75.299702897713772</v>
      </c>
      <c r="AQ32" s="3"/>
      <c r="AR32" s="162">
        <f t="shared" si="16"/>
        <v>2.5345899110921466</v>
      </c>
      <c r="AS32" s="162"/>
      <c r="AT32" s="161">
        <f t="shared" si="7"/>
        <v>5624.0915575553536</v>
      </c>
      <c r="AU32" s="3"/>
      <c r="AV32" s="161">
        <f t="shared" si="3"/>
        <v>29786.872520758789</v>
      </c>
      <c r="AW32" s="299"/>
      <c r="AX32" s="163">
        <f t="shared" si="8"/>
        <v>35410.964078314144</v>
      </c>
      <c r="AZ32" s="154">
        <f>+IF(AZ31&gt;$G$13+$G$14,XX,AZ31+1)</f>
        <v>2014</v>
      </c>
      <c r="BA32" s="124"/>
      <c r="BB32" s="162">
        <f t="shared" si="17"/>
        <v>70.884347329947829</v>
      </c>
      <c r="BC32" s="3"/>
      <c r="BD32" s="162">
        <f t="shared" si="18"/>
        <v>4.6675430675366396</v>
      </c>
      <c r="BE32" s="3"/>
      <c r="BF32" s="161">
        <f t="shared" si="9"/>
        <v>6554.5760818855288</v>
      </c>
      <c r="BG32" s="3"/>
      <c r="BH32" s="165"/>
    </row>
    <row r="33" spans="2:60" ht="12">
      <c r="B33" s="2"/>
      <c r="C33" s="6">
        <f>+IF(C32&gt;$G$13+$G$14,XX,C32+1)</f>
        <v>2015</v>
      </c>
      <c r="D33" s="6"/>
      <c r="E33" s="292">
        <f>+INDEX('(2.2)_Forward_Price_Curve'!$R:$R,MATCH($C33,'(2.2)_Forward_Price_Curve'!C:C,0))</f>
        <v>0.02</v>
      </c>
      <c r="F33" s="6"/>
      <c r="G33" s="20">
        <v>382696</v>
      </c>
      <c r="H33" s="6"/>
      <c r="I33" s="30">
        <f t="shared" si="10"/>
        <v>204.31789505868477</v>
      </c>
      <c r="J33" s="6"/>
      <c r="K33" s="30">
        <f t="shared" si="11"/>
        <v>4.6197657464714901</v>
      </c>
      <c r="L33" s="6"/>
      <c r="M33" s="30">
        <f t="shared" si="12"/>
        <v>0</v>
      </c>
      <c r="N33" s="6"/>
      <c r="O33" s="295">
        <f>'(2.2)_Forward_Price_Curve'!U26</f>
        <v>5.7953888877845348</v>
      </c>
      <c r="P33" s="6"/>
      <c r="Q33" s="295">
        <f>-'(2.2)_Forward_Price_Curve'!AG24</f>
        <v>-37.067478927944045</v>
      </c>
      <c r="R33" s="6"/>
      <c r="S33" s="20">
        <f t="shared" si="4"/>
        <v>12479.548453616777</v>
      </c>
      <c r="T33" s="6"/>
      <c r="U33" s="20">
        <f t="shared" si="0"/>
        <v>32718.969880172233</v>
      </c>
      <c r="V33" s="6"/>
      <c r="W33" s="20">
        <f t="shared" si="1"/>
        <v>-20239.421426555455</v>
      </c>
      <c r="X33" s="6"/>
      <c r="Y33" s="296">
        <f t="shared" si="5"/>
        <v>-52.886420099910779</v>
      </c>
      <c r="Z33" s="255"/>
      <c r="AB33" s="154">
        <f>+IF(AB32&gt;$G$13+$G$14,XX,AB32+1)</f>
        <v>2015</v>
      </c>
      <c r="AC33" s="124"/>
      <c r="AD33" s="159">
        <f t="shared" si="2"/>
        <v>382696</v>
      </c>
      <c r="AE33" s="3"/>
      <c r="AF33" s="162">
        <f t="shared" si="13"/>
        <v>113.26215194722339</v>
      </c>
      <c r="AG33" s="3"/>
      <c r="AH33" s="162">
        <f t="shared" si="14"/>
        <v>8.512223951163735</v>
      </c>
      <c r="AI33" s="3"/>
      <c r="AJ33" s="162">
        <f t="shared" si="15"/>
        <v>3.2044949585352827</v>
      </c>
      <c r="AK33" s="3"/>
      <c r="AL33" s="161">
        <f t="shared" si="6"/>
        <v>12422.240992229705</v>
      </c>
      <c r="AM33" s="3"/>
      <c r="AN33" s="162">
        <f>INDEX('(2.2)_Forward_Price_Curve'!$L:$L,MATCH($AB33,'(2.2)_Forward_Price_Curve'!$C:$C,0),1)</f>
        <v>9.3330180370833329</v>
      </c>
      <c r="AO33" s="3"/>
      <c r="AP33" s="162">
        <f>AN33*$AF$14/1000+$AJ$14*(1+E33)</f>
        <v>67.920802732294405</v>
      </c>
      <c r="AQ33" s="3"/>
      <c r="AR33" s="162">
        <f t="shared" si="16"/>
        <v>2.5852817093139895</v>
      </c>
      <c r="AS33" s="162"/>
      <c r="AT33" s="161">
        <f t="shared" si="7"/>
        <v>5736.5733887064653</v>
      </c>
      <c r="AU33" s="3"/>
      <c r="AV33" s="161">
        <f t="shared" si="3"/>
        <v>26982.396491465766</v>
      </c>
      <c r="AW33" s="299"/>
      <c r="AX33" s="163">
        <f t="shared" si="8"/>
        <v>32718.969880172233</v>
      </c>
      <c r="AZ33" s="154">
        <f>+IF(AZ32&gt;$G$13+$G$14,XX,AZ32+1)</f>
        <v>2015</v>
      </c>
      <c r="BA33" s="124"/>
      <c r="BB33" s="162">
        <f t="shared" si="17"/>
        <v>72.302034276546792</v>
      </c>
      <c r="BC33" s="3"/>
      <c r="BD33" s="162">
        <f t="shared" si="18"/>
        <v>4.7608939288873726</v>
      </c>
      <c r="BE33" s="3"/>
      <c r="BF33" s="161">
        <f t="shared" si="9"/>
        <v>6685.6676035232394</v>
      </c>
      <c r="BG33" s="3"/>
      <c r="BH33" s="165"/>
    </row>
    <row r="34" spans="2:60" ht="12">
      <c r="B34" s="2"/>
      <c r="C34" s="6">
        <f>+IF(C33&gt;$G$13+$G$14,XX,C33+1)</f>
        <v>2016</v>
      </c>
      <c r="D34" s="6"/>
      <c r="E34" s="292">
        <f>+INDEX('(2.2)_Forward_Price_Curve'!$R:$R,MATCH($C34,'(2.2)_Forward_Price_Curve'!C:C,0))</f>
        <v>0.02</v>
      </c>
      <c r="F34" s="6"/>
      <c r="G34" s="20">
        <v>382696</v>
      </c>
      <c r="H34" s="6"/>
      <c r="I34" s="30">
        <f t="shared" si="10"/>
        <v>208.40425295985847</v>
      </c>
      <c r="J34" s="6"/>
      <c r="K34" s="30">
        <f t="shared" si="11"/>
        <v>4.7121610614009199</v>
      </c>
      <c r="L34" s="6"/>
      <c r="M34" s="30">
        <f t="shared" si="12"/>
        <v>0</v>
      </c>
      <c r="N34" s="6"/>
      <c r="O34" s="295">
        <f>'(2.2)_Forward_Price_Curve'!U27</f>
        <v>5.8997058877646564</v>
      </c>
      <c r="P34" s="6"/>
      <c r="Q34" s="295">
        <f>-'(2.2)_Forward_Price_Curve'!AG25</f>
        <v>-37.067478927944045</v>
      </c>
      <c r="R34" s="6"/>
      <c r="S34" s="20">
        <f t="shared" si="4"/>
        <v>13008.415196713684</v>
      </c>
      <c r="T34" s="6"/>
      <c r="U34" s="20">
        <f t="shared" si="0"/>
        <v>31798.364914758193</v>
      </c>
      <c r="V34" s="6"/>
      <c r="W34" s="20">
        <f t="shared" si="1"/>
        <v>-18789.949718044511</v>
      </c>
      <c r="X34" s="6"/>
      <c r="Y34" s="296">
        <f t="shared" si="5"/>
        <v>-49.09889237944612</v>
      </c>
      <c r="Z34" s="255"/>
      <c r="AB34" s="154">
        <f>+IF(AB33&gt;$G$13+$G$14,XX,AB33+1)</f>
        <v>2016</v>
      </c>
      <c r="AC34" s="124"/>
      <c r="AD34" s="159">
        <f t="shared" si="2"/>
        <v>382696</v>
      </c>
      <c r="AE34" s="3"/>
      <c r="AF34" s="162">
        <f t="shared" si="13"/>
        <v>115.52739498616786</v>
      </c>
      <c r="AG34" s="3"/>
      <c r="AH34" s="162">
        <f t="shared" si="14"/>
        <v>8.6824684301870096</v>
      </c>
      <c r="AI34" s="3"/>
      <c r="AJ34" s="162">
        <f t="shared" si="15"/>
        <v>3.2685848577059882</v>
      </c>
      <c r="AK34" s="3"/>
      <c r="AL34" s="161">
        <f t="shared" si="6"/>
        <v>12670.685812074298</v>
      </c>
      <c r="AM34" s="3"/>
      <c r="AN34" s="162">
        <f>INDEX('(2.2)_Forward_Price_Curve'!$L:$L,MATCH($AB34,'(2.2)_Forward_Price_Curve'!$C:$C,0),1)</f>
        <v>8.9541666666666657</v>
      </c>
      <c r="AO34" s="3"/>
      <c r="AP34" s="162">
        <f t="shared" si="19"/>
        <v>65.163721465260735</v>
      </c>
      <c r="AQ34" s="3"/>
      <c r="AR34" s="162">
        <f t="shared" si="16"/>
        <v>2.6369873435002695</v>
      </c>
      <c r="AS34" s="162"/>
      <c r="AT34" s="161">
        <f t="shared" si="7"/>
        <v>5851.304856480594</v>
      </c>
      <c r="AU34" s="3"/>
      <c r="AV34" s="161">
        <f t="shared" si="3"/>
        <v>25947.060058277599</v>
      </c>
      <c r="AW34" s="299"/>
      <c r="AX34" s="163">
        <f t="shared" si="8"/>
        <v>31798.364914758193</v>
      </c>
      <c r="AZ34" s="154">
        <f>+IF(AZ33&gt;$G$13+$G$14,XX,AZ33+1)</f>
        <v>2016</v>
      </c>
      <c r="BA34" s="124"/>
      <c r="BB34" s="162">
        <f t="shared" si="17"/>
        <v>73.748074962077723</v>
      </c>
      <c r="BC34" s="3"/>
      <c r="BD34" s="162">
        <f t="shared" si="18"/>
        <v>4.8561118074651199</v>
      </c>
      <c r="BE34" s="3"/>
      <c r="BF34" s="161">
        <f t="shared" si="9"/>
        <v>6819.3809555937041</v>
      </c>
      <c r="BG34" s="3"/>
      <c r="BH34" s="165"/>
    </row>
    <row r="35" spans="2:60" ht="12">
      <c r="B35" s="2"/>
      <c r="C35" s="6">
        <f>+IF(C34&gt;$G$13+$G$14,XX,C34+1)</f>
        <v>2017</v>
      </c>
      <c r="D35" s="6"/>
      <c r="E35" s="292">
        <f>+INDEX('(2.2)_Forward_Price_Curve'!$R:$R,MATCH($C35,'(2.2)_Forward_Price_Curve'!C:C,0))</f>
        <v>1.9E-2</v>
      </c>
      <c r="F35" s="6"/>
      <c r="G35" s="20">
        <v>382696</v>
      </c>
      <c r="H35" s="6"/>
      <c r="I35" s="30">
        <f t="shared" si="10"/>
        <v>212.36393376609576</v>
      </c>
      <c r="J35" s="6"/>
      <c r="K35" s="30">
        <f t="shared" si="11"/>
        <v>4.8016921215675366</v>
      </c>
      <c r="L35" s="6"/>
      <c r="M35" s="30">
        <f t="shared" si="12"/>
        <v>0</v>
      </c>
      <c r="N35" s="6"/>
      <c r="O35" s="295">
        <f>'(2.2)_Forward_Price_Curve'!U28</f>
        <v>6.0059005937444203</v>
      </c>
      <c r="P35" s="6"/>
      <c r="Q35" s="295">
        <f>-'(2.2)_Forward_Price_Curve'!AG26</f>
        <v>-38.679108446550309</v>
      </c>
      <c r="R35" s="6"/>
      <c r="S35" s="20">
        <f t="shared" si="4"/>
        <v>12906.079063754636</v>
      </c>
      <c r="T35" s="6"/>
      <c r="U35" s="20">
        <f t="shared" si="0"/>
        <v>33844.60334189696</v>
      </c>
      <c r="V35" s="6"/>
      <c r="W35" s="20">
        <f t="shared" si="1"/>
        <v>-20938.524278142322</v>
      </c>
      <c r="X35" s="6"/>
      <c r="Y35" s="296">
        <f t="shared" si="5"/>
        <v>-54.7132038958921</v>
      </c>
      <c r="Z35" s="255"/>
      <c r="AB35" s="154">
        <f>+IF(AB34&gt;$G$13+$G$14,XX,AB34+1)</f>
        <v>2017</v>
      </c>
      <c r="AC35" s="124"/>
      <c r="AD35" s="159">
        <f t="shared" si="2"/>
        <v>382696</v>
      </c>
      <c r="AE35" s="3"/>
      <c r="AF35" s="162">
        <f t="shared" si="13"/>
        <v>117.72241549090504</v>
      </c>
      <c r="AG35" s="3"/>
      <c r="AH35" s="162">
        <f t="shared" si="14"/>
        <v>8.8474353303605628</v>
      </c>
      <c r="AI35" s="3"/>
      <c r="AJ35" s="162">
        <f t="shared" si="15"/>
        <v>3.3306879700024017</v>
      </c>
      <c r="AK35" s="3"/>
      <c r="AL35" s="161">
        <f t="shared" si="6"/>
        <v>12911.428842503708</v>
      </c>
      <c r="AM35" s="3"/>
      <c r="AN35" s="162">
        <f>INDEX('(2.2)_Forward_Price_Curve'!$L:$L,MATCH($AB35,'(2.2)_Forward_Price_Curve'!$C:$C,0),1)</f>
        <v>9.6420833333333338</v>
      </c>
      <c r="AO35" s="3"/>
      <c r="AP35" s="162">
        <f t="shared" si="19"/>
        <v>70.170017609474115</v>
      </c>
      <c r="AQ35" s="3"/>
      <c r="AR35" s="162">
        <f t="shared" si="16"/>
        <v>2.6870901030267742</v>
      </c>
      <c r="AS35" s="162"/>
      <c r="AT35" s="161">
        <f t="shared" si="7"/>
        <v>5962.4796487537242</v>
      </c>
      <c r="AU35" s="3"/>
      <c r="AV35" s="161">
        <f t="shared" si="3"/>
        <v>27882.12369314324</v>
      </c>
      <c r="AW35" s="299"/>
      <c r="AX35" s="163">
        <f t="shared" si="8"/>
        <v>33844.60334189696</v>
      </c>
      <c r="AZ35" s="154">
        <f>+IF(AZ34&gt;$G$13+$G$14,XX,AZ34+1)</f>
        <v>2017</v>
      </c>
      <c r="BA35" s="124"/>
      <c r="BB35" s="162">
        <f t="shared" si="17"/>
        <v>75.149288386357199</v>
      </c>
      <c r="BC35" s="3"/>
      <c r="BD35" s="162">
        <f t="shared" si="18"/>
        <v>4.9483779318069567</v>
      </c>
      <c r="BE35" s="3"/>
      <c r="BF35" s="161">
        <f t="shared" si="9"/>
        <v>6948.9491937499843</v>
      </c>
      <c r="BG35" s="3"/>
      <c r="BH35" s="165"/>
    </row>
    <row r="36" spans="2:60" ht="12">
      <c r="B36" s="2"/>
      <c r="C36" s="6">
        <f>+IF(C35&gt;$G$13+$G$14,XX,C35+1)</f>
        <v>2018</v>
      </c>
      <c r="D36" s="6"/>
      <c r="E36" s="292">
        <f>+INDEX('(2.2)_Forward_Price_Curve'!$R:$R,MATCH($C36,'(2.2)_Forward_Price_Curve'!C:C,0))</f>
        <v>1.9E-2</v>
      </c>
      <c r="F36" s="6"/>
      <c r="G36" s="20">
        <v>382696</v>
      </c>
      <c r="H36" s="6"/>
      <c r="I36" s="30">
        <f t="shared" si="10"/>
        <v>216.39884850765156</v>
      </c>
      <c r="J36" s="6"/>
      <c r="K36" s="30">
        <f t="shared" si="11"/>
        <v>4.8929242718773196</v>
      </c>
      <c r="L36" s="6"/>
      <c r="M36" s="30">
        <f t="shared" si="12"/>
        <v>0</v>
      </c>
      <c r="N36" s="6"/>
      <c r="O36" s="295">
        <f>'(2.2)_Forward_Price_Curve'!U29</f>
        <v>6.1140068044318197</v>
      </c>
      <c r="P36" s="6"/>
      <c r="Q36" s="295">
        <f>-'(2.2)_Forward_Price_Curve'!AG27</f>
        <v>-38.679108446550309</v>
      </c>
      <c r="R36" s="6"/>
      <c r="S36" s="20">
        <f t="shared" si="4"/>
        <v>13430.24059346751</v>
      </c>
      <c r="T36" s="6"/>
      <c r="U36" s="20">
        <f t="shared" si="0"/>
        <v>38612.23367410904</v>
      </c>
      <c r="V36" s="6"/>
      <c r="W36" s="20">
        <f t="shared" si="1"/>
        <v>-25181.993080641529</v>
      </c>
      <c r="X36" s="6"/>
      <c r="Y36" s="296">
        <f t="shared" si="5"/>
        <v>-65.801558105236353</v>
      </c>
      <c r="Z36" s="255"/>
      <c r="AB36" s="154">
        <f>+IF(AB35&gt;$G$13+$G$14,XX,AB35+1)</f>
        <v>2018</v>
      </c>
      <c r="AC36" s="124"/>
      <c r="AD36" s="159">
        <f t="shared" si="2"/>
        <v>382696</v>
      </c>
      <c r="AE36" s="3"/>
      <c r="AF36" s="162">
        <f t="shared" si="13"/>
        <v>119.95914138523221</v>
      </c>
      <c r="AG36" s="3"/>
      <c r="AH36" s="162">
        <f t="shared" si="14"/>
        <v>9.0155366016374128</v>
      </c>
      <c r="AI36" s="3"/>
      <c r="AJ36" s="162">
        <f t="shared" si="15"/>
        <v>3.3939710414324469</v>
      </c>
      <c r="AK36" s="3"/>
      <c r="AL36" s="161">
        <f t="shared" si="6"/>
        <v>13156.745990511277</v>
      </c>
      <c r="AM36" s="3"/>
      <c r="AN36" s="162">
        <f>INDEX('(2.2)_Forward_Price_Curve'!$L:$L,MATCH($AB36,'(2.2)_Forward_Price_Curve'!$C:$C,0),1)</f>
        <v>11.30625</v>
      </c>
      <c r="AO36" s="3"/>
      <c r="AP36" s="162">
        <f t="shared" si="19"/>
        <v>82.280948439267121</v>
      </c>
      <c r="AQ36" s="3"/>
      <c r="AR36" s="162">
        <f t="shared" si="16"/>
        <v>2.7381448149842829</v>
      </c>
      <c r="AS36" s="162"/>
      <c r="AT36" s="161">
        <f t="shared" si="7"/>
        <v>6075.7667620800448</v>
      </c>
      <c r="AU36" s="3"/>
      <c r="AV36" s="161">
        <f t="shared" si="3"/>
        <v>32536.466912028995</v>
      </c>
      <c r="AW36" s="299"/>
      <c r="AX36" s="163">
        <f t="shared" si="8"/>
        <v>38612.23367410904</v>
      </c>
      <c r="AZ36" s="154">
        <f>+IF(AZ35&gt;$G$13+$G$14,XX,AZ35+1)</f>
        <v>2018</v>
      </c>
      <c r="BA36" s="124"/>
      <c r="BB36" s="162">
        <f t="shared" si="17"/>
        <v>76.577124865697982</v>
      </c>
      <c r="BC36" s="3"/>
      <c r="BD36" s="162">
        <f t="shared" si="18"/>
        <v>5.0423971125112885</v>
      </c>
      <c r="BE36" s="3"/>
      <c r="BF36" s="161">
        <f t="shared" si="9"/>
        <v>7080.9792284312325</v>
      </c>
      <c r="BG36" s="3"/>
      <c r="BH36" s="165"/>
    </row>
    <row r="37" spans="2:60" ht="12">
      <c r="B37" s="2"/>
      <c r="C37" s="6">
        <f>+IF(C36&gt;$G$13+$G$14,XX,C36+1)</f>
        <v>2019</v>
      </c>
      <c r="D37" s="6"/>
      <c r="E37" s="292">
        <f>+INDEX('(2.2)_Forward_Price_Curve'!$R:$R,MATCH($C37,'(2.2)_Forward_Price_Curve'!C:C,0))</f>
        <v>1.9E-2</v>
      </c>
      <c r="F37" s="6"/>
      <c r="G37" s="20">
        <v>382696</v>
      </c>
      <c r="H37" s="6"/>
      <c r="I37" s="30">
        <f t="shared" si="10"/>
        <v>220.51042662929692</v>
      </c>
      <c r="J37" s="6"/>
      <c r="K37" s="30">
        <f>K36*(1+$E37)</f>
        <v>4.9858898330429886</v>
      </c>
      <c r="L37" s="6"/>
      <c r="M37" s="30">
        <f t="shared" si="12"/>
        <v>0</v>
      </c>
      <c r="N37" s="6"/>
      <c r="O37" s="295">
        <f>'(2.2)_Forward_Price_Curve'!U30</f>
        <v>6.2240589269115922</v>
      </c>
      <c r="P37" s="6"/>
      <c r="Q37" s="295">
        <f>-'(2.2)_Forward_Price_Curve'!AG28</f>
        <v>-40.290737965156573</v>
      </c>
      <c r="R37" s="6"/>
      <c r="S37" s="20">
        <f t="shared" si="4"/>
        <v>13347.555650177977</v>
      </c>
      <c r="T37" s="6"/>
      <c r="U37" s="20">
        <f t="shared" si="0"/>
        <v>39989.255696010725</v>
      </c>
      <c r="V37" s="6"/>
      <c r="W37" s="20">
        <f t="shared" si="1"/>
        <v>-26641.700045832746</v>
      </c>
      <c r="X37" s="6"/>
      <c r="Y37" s="296">
        <f t="shared" si="5"/>
        <v>-69.615830961997887</v>
      </c>
      <c r="Z37" s="255"/>
      <c r="AB37" s="154">
        <f>+IF(AB36&gt;$G$13+$G$14,XX,AB36+1)</f>
        <v>2019</v>
      </c>
      <c r="AC37" s="124"/>
      <c r="AD37" s="159">
        <f t="shared" si="2"/>
        <v>382696</v>
      </c>
      <c r="AE37" s="3"/>
      <c r="AF37" s="162">
        <f>AF36*(1+$E37)</f>
        <v>122.23836507155161</v>
      </c>
      <c r="AG37" s="3"/>
      <c r="AH37" s="162">
        <f t="shared" si="14"/>
        <v>9.1868317970685229</v>
      </c>
      <c r="AI37" s="3"/>
      <c r="AJ37" s="162">
        <f t="shared" si="15"/>
        <v>3.4584564912196631</v>
      </c>
      <c r="AK37" s="3"/>
      <c r="AL37" s="161">
        <f t="shared" si="6"/>
        <v>13406.72416433099</v>
      </c>
      <c r="AM37" s="3"/>
      <c r="AN37" s="162">
        <f>INDEX('(2.2)_Forward_Price_Curve'!$L:$L,MATCH($AB37,'(2.2)_Forward_Price_Curve'!$C:$C,0),1)</f>
        <v>11.752083333333331</v>
      </c>
      <c r="AO37" s="3"/>
      <c r="AP37" s="162">
        <f t="shared" si="19"/>
        <v>85.525489247448988</v>
      </c>
      <c r="AQ37" s="3"/>
      <c r="AR37" s="162">
        <f t="shared" si="16"/>
        <v>2.7901695664689838</v>
      </c>
      <c r="AS37" s="162"/>
      <c r="AT37" s="161">
        <f t="shared" si="7"/>
        <v>6191.206330559563</v>
      </c>
      <c r="AU37" s="3"/>
      <c r="AV37" s="161">
        <f t="shared" si="3"/>
        <v>33798.049365451159</v>
      </c>
      <c r="AW37" s="299"/>
      <c r="AX37" s="163">
        <f t="shared" si="8"/>
        <v>39989.255696010725</v>
      </c>
      <c r="AZ37" s="154">
        <f>+IF(AZ36&gt;$G$13+$G$14,XX,AZ36+1)</f>
        <v>2019</v>
      </c>
      <c r="BA37" s="124"/>
      <c r="BB37" s="162">
        <f t="shared" si="17"/>
        <v>78.032090238146239</v>
      </c>
      <c r="BC37" s="3"/>
      <c r="BD37" s="162">
        <f t="shared" si="18"/>
        <v>5.1382026576490025</v>
      </c>
      <c r="BE37" s="3"/>
      <c r="BF37" s="161">
        <f t="shared" si="9"/>
        <v>7215.5178337714269</v>
      </c>
      <c r="BG37" s="3"/>
      <c r="BH37" s="165"/>
    </row>
    <row r="38" spans="2:60" ht="12">
      <c r="B38" s="2"/>
      <c r="C38" s="6">
        <f>+IF(C37&gt;$G$13+$G$14,XX,C37+1)</f>
        <v>2020</v>
      </c>
      <c r="D38" s="6"/>
      <c r="E38" s="292">
        <f>+INDEX('(2.2)_Forward_Price_Curve'!$R:$R,MATCH($C38,'(2.2)_Forward_Price_Curve'!C:C,0))</f>
        <v>1.9E-2</v>
      </c>
      <c r="F38" s="6"/>
      <c r="G38" s="733">
        <v>355863</v>
      </c>
      <c r="H38" s="6"/>
      <c r="I38" s="735">
        <v>214.28385699702636</v>
      </c>
      <c r="J38" s="6"/>
      <c r="K38" s="735">
        <v>9.2737432604549515</v>
      </c>
      <c r="L38" s="6"/>
      <c r="M38" s="30">
        <f t="shared" si="12"/>
        <v>0</v>
      </c>
      <c r="N38" s="6"/>
      <c r="O38" s="736">
        <v>0.63</v>
      </c>
      <c r="P38" s="6"/>
      <c r="Q38" s="739">
        <v>-32.06642661499032</v>
      </c>
      <c r="R38" s="6"/>
      <c r="S38" s="20">
        <f t="shared" si="4"/>
        <v>15898.629140074909</v>
      </c>
      <c r="T38" s="6"/>
      <c r="U38" s="20">
        <f t="shared" si="0"/>
        <v>12067.745420271458</v>
      </c>
      <c r="V38" s="6"/>
      <c r="W38" s="20">
        <f t="shared" si="1"/>
        <v>3830.8837198034507</v>
      </c>
      <c r="X38" s="6"/>
      <c r="Y38" s="296">
        <f t="shared" si="5"/>
        <v>10.765052055997534</v>
      </c>
      <c r="Z38" s="255"/>
      <c r="AB38" s="154">
        <f>+IF(AB37&gt;$G$13+$G$14,XX,AB37+1)</f>
        <v>2020</v>
      </c>
      <c r="AC38" s="124"/>
      <c r="AD38" s="159">
        <f t="shared" si="2"/>
        <v>355863</v>
      </c>
      <c r="AE38" s="3"/>
      <c r="AF38" s="445">
        <f>AR15*AR16</f>
        <v>98.875745606933918</v>
      </c>
      <c r="AG38"/>
      <c r="AH38" s="445">
        <f>AV11</f>
        <v>19.805241420865066</v>
      </c>
      <c r="AI38"/>
      <c r="AJ38" s="445">
        <f>AV13</f>
        <v>2.02116486562735</v>
      </c>
      <c r="AK38"/>
      <c r="AL38" s="558">
        <f t="shared" si="6"/>
        <v>11630.74628977982</v>
      </c>
      <c r="AM38"/>
      <c r="AN38" s="445">
        <f>INDEX('(2.2)_Forward_Price_Curve'!$G:$G,MATCH($AB38,'(2.2)_Forward_Price_Curve'!$C:$C,0),1)</f>
        <v>2.6944208333333339</v>
      </c>
      <c r="AO38"/>
      <c r="AP38" s="555">
        <f t="shared" ref="AP38:AP68" si="20">AN38*$AF$14/1000</f>
        <v>19.608579472520699</v>
      </c>
      <c r="AQ38"/>
      <c r="AR38" s="445">
        <f>AV15</f>
        <v>2.2807762714164963</v>
      </c>
      <c r="AS38" s="555"/>
      <c r="AT38" s="558">
        <f t="shared" si="7"/>
        <v>4278.1336171667363</v>
      </c>
      <c r="AU38"/>
      <c r="AV38" s="558">
        <f t="shared" si="3"/>
        <v>7789.6118031047217</v>
      </c>
      <c r="AW38" s="560"/>
      <c r="AX38" s="561">
        <f t="shared" si="8"/>
        <v>12067.745420271458</v>
      </c>
      <c r="AY38"/>
      <c r="AZ38" s="429">
        <f>+IF(AZ37&gt;$G$13+$G$14,XX,AZ37+1)</f>
        <v>2020</v>
      </c>
      <c r="BA38" s="503"/>
      <c r="BB38" s="445">
        <f t="shared" si="17"/>
        <v>79.514699952671009</v>
      </c>
      <c r="BC38"/>
      <c r="BD38" s="445">
        <f t="shared" si="18"/>
        <v>5.2358285081443334</v>
      </c>
      <c r="BE38"/>
      <c r="BF38" s="558">
        <f t="shared" si="9"/>
        <v>7352.6126726130833</v>
      </c>
      <c r="BG38" s="3"/>
      <c r="BH38" s="165"/>
    </row>
    <row r="39" spans="2:60" ht="12">
      <c r="B39" s="2"/>
      <c r="C39" s="6">
        <f>+IF(C38&gt;$G$13+$G$14,XX,C38+1)</f>
        <v>2021</v>
      </c>
      <c r="D39" s="6"/>
      <c r="E39" s="292">
        <f>+INDEX('(2.2)_Forward_Price_Curve'!$R:$R,MATCH($C39,'(2.2)_Forward_Price_Curve'!C:C,0))</f>
        <v>1.7999999999999999E-2</v>
      </c>
      <c r="F39" s="6"/>
      <c r="G39" s="734">
        <v>429997.99999999994</v>
      </c>
      <c r="H39" s="6"/>
      <c r="I39" s="726">
        <v>303.06365391318457</v>
      </c>
      <c r="J39" s="6"/>
      <c r="K39" s="726">
        <v>14.391339302287342</v>
      </c>
      <c r="L39" s="6"/>
      <c r="M39" s="30">
        <f t="shared" si="12"/>
        <v>0</v>
      </c>
      <c r="N39" s="6"/>
      <c r="O39" s="737">
        <v>0.6399999999999999</v>
      </c>
      <c r="P39" s="6"/>
      <c r="Q39" s="738">
        <v>-34.476814342354764</v>
      </c>
      <c r="R39" s="6"/>
      <c r="S39" s="20">
        <f t="shared" si="4"/>
        <v>25278.55020808458</v>
      </c>
      <c r="T39" s="6"/>
      <c r="U39" s="20">
        <f t="shared" si="0"/>
        <v>14508.310199187341</v>
      </c>
      <c r="V39" s="6"/>
      <c r="W39" s="20">
        <f t="shared" si="1"/>
        <v>10770.240008897239</v>
      </c>
      <c r="X39" s="6"/>
      <c r="Y39" s="296">
        <f t="shared" si="5"/>
        <v>25.047186286673988</v>
      </c>
      <c r="Z39" s="255"/>
      <c r="AB39" s="154">
        <f>+IF(AB38&gt;$G$13+$G$14,XX,AB38+1)</f>
        <v>2021</v>
      </c>
      <c r="AC39" s="124"/>
      <c r="AD39" s="159">
        <f t="shared" si="2"/>
        <v>429997.99999999994</v>
      </c>
      <c r="AE39" s="3"/>
      <c r="AF39" s="555">
        <f t="shared" ref="AF39:AF68" si="21">AF38*(1+$E39)</f>
        <v>100.65550902785873</v>
      </c>
      <c r="AG39"/>
      <c r="AH39" s="555">
        <f t="shared" ref="AH39:AH68" si="22">AH38*(1+$E39)</f>
        <v>20.161735766440639</v>
      </c>
      <c r="AI39"/>
      <c r="AJ39" s="555">
        <f t="shared" ref="AJ39:AJ68" si="23">AJ38*(1+$E39)</f>
        <v>2.0575458332086423</v>
      </c>
      <c r="AK39"/>
      <c r="AL39" s="558">
        <f t="shared" si="6"/>
        <v>11992.635883340779</v>
      </c>
      <c r="AM39"/>
      <c r="AN39" s="162">
        <f>INDEX('(2.2)_Forward_Price_Curve'!$G:$G,MATCH($AB39,'(2.2)_Forward_Price_Curve'!$C:$C,0),1)</f>
        <v>2.8767624999999999</v>
      </c>
      <c r="AO39"/>
      <c r="AP39" s="555">
        <f t="shared" si="20"/>
        <v>20.9355663402558</v>
      </c>
      <c r="AQ39"/>
      <c r="AR39" s="162">
        <f>AR38*(1+$E39)</f>
        <v>2.3218302443019931</v>
      </c>
      <c r="AS39" s="555"/>
      <c r="AT39" s="558">
        <f t="shared" si="7"/>
        <v>4507.6761826206612</v>
      </c>
      <c r="AU39"/>
      <c r="AV39" s="558">
        <f t="shared" si="3"/>
        <v>10000.634016566681</v>
      </c>
      <c r="AW39" s="560"/>
      <c r="AX39" s="561">
        <f t="shared" si="8"/>
        <v>14508.310199187341</v>
      </c>
      <c r="AY39"/>
      <c r="AZ39" s="430">
        <f>+IF(AZ38&gt;$I$13+$I$14,XX,AZ38+1)</f>
        <v>2021</v>
      </c>
      <c r="BA39" s="503"/>
      <c r="BB39" s="555">
        <f t="shared" si="17"/>
        <v>80.945964551819088</v>
      </c>
      <c r="BC39"/>
      <c r="BD39" s="555">
        <f t="shared" si="18"/>
        <v>5.3300734212909315</v>
      </c>
      <c r="BE39"/>
      <c r="BF39" s="558">
        <f t="shared" si="9"/>
        <v>7484.9597007201182</v>
      </c>
      <c r="BG39" s="3"/>
      <c r="BH39" s="165"/>
    </row>
    <row r="40" spans="2:60" ht="12">
      <c r="B40" s="2"/>
      <c r="C40" s="6">
        <f>+IF(C39&gt;$G$13+$G$14,XX,C39+1)</f>
        <v>2022</v>
      </c>
      <c r="D40" s="6"/>
      <c r="E40" s="292">
        <f>+INDEX('(2.2)_Forward_Price_Curve'!$R:$R,MATCH($C40,'(2.2)_Forward_Price_Curve'!C:C,0))</f>
        <v>1.7999999999999999E-2</v>
      </c>
      <c r="F40" s="6"/>
      <c r="G40" s="734">
        <v>429997.99999999994</v>
      </c>
      <c r="H40" s="6"/>
      <c r="I40" s="726">
        <v>308.82186333753498</v>
      </c>
      <c r="J40" s="6"/>
      <c r="K40" s="726">
        <v>14.722340106239955</v>
      </c>
      <c r="L40" s="6"/>
      <c r="M40" s="30">
        <f t="shared" si="12"/>
        <v>0</v>
      </c>
      <c r="N40" s="6"/>
      <c r="O40" s="737">
        <v>0.66</v>
      </c>
      <c r="P40" s="6"/>
      <c r="Q40" s="738">
        <v>-34.476814342354764</v>
      </c>
      <c r="R40" s="6"/>
      <c r="S40" s="20">
        <f t="shared" si="4"/>
        <v>26068.641097885491</v>
      </c>
      <c r="T40" s="6"/>
      <c r="U40" s="20">
        <f t="shared" si="0"/>
        <v>15023.902948293369</v>
      </c>
      <c r="V40" s="6"/>
      <c r="W40" s="20">
        <f t="shared" si="1"/>
        <v>11044.738149592122</v>
      </c>
      <c r="X40" s="6"/>
      <c r="Y40" s="296">
        <f t="shared" si="5"/>
        <v>25.685557024898078</v>
      </c>
      <c r="Z40" s="255"/>
      <c r="AB40" s="154">
        <f>+IF(AB39&gt;$G$13+$G$14,XX,AB39+1)</f>
        <v>2022</v>
      </c>
      <c r="AC40" s="124"/>
      <c r="AD40" s="159">
        <f t="shared" si="2"/>
        <v>429997.99999999994</v>
      </c>
      <c r="AE40" s="3"/>
      <c r="AF40" s="555">
        <f t="shared" si="21"/>
        <v>102.46730819036019</v>
      </c>
      <c r="AG40"/>
      <c r="AH40" s="555">
        <f t="shared" si="22"/>
        <v>20.524647010236571</v>
      </c>
      <c r="AI40"/>
      <c r="AJ40" s="555">
        <f t="shared" si="23"/>
        <v>2.0945816582063976</v>
      </c>
      <c r="AK40"/>
      <c r="AL40" s="558">
        <f t="shared" si="6"/>
        <v>12208.503329240913</v>
      </c>
      <c r="AM40"/>
      <c r="AN40" s="162">
        <f>INDEX('(2.2)_Forward_Price_Curve'!$G:$G,MATCH($AB40,'(2.2)_Forward_Price_Curve'!$C:$C,0),1)</f>
        <v>3.0098541666666665</v>
      </c>
      <c r="AO40"/>
      <c r="AP40" s="555">
        <f t="shared" si="20"/>
        <v>21.904137578526324</v>
      </c>
      <c r="AQ40"/>
      <c r="AR40" s="162">
        <f t="shared" ref="AR40:AR68" si="24">AR39*(1+$E40)</f>
        <v>2.363623188699429</v>
      </c>
      <c r="AS40" s="555"/>
      <c r="AT40" s="558">
        <f t="shared" si="7"/>
        <v>4588.8143539078328</v>
      </c>
      <c r="AU40"/>
      <c r="AV40" s="558">
        <f t="shared" si="3"/>
        <v>10435.088594385537</v>
      </c>
      <c r="AW40" s="560"/>
      <c r="AX40" s="561">
        <f t="shared" si="8"/>
        <v>15023.902948293369</v>
      </c>
      <c r="AY40"/>
      <c r="AZ40" s="430">
        <f>+IF(AZ39&gt;$I$13+$I$14,XX,AZ39+1)</f>
        <v>2022</v>
      </c>
      <c r="BA40" s="503"/>
      <c r="BB40" s="555">
        <f t="shared" si="17"/>
        <v>82.402991913751833</v>
      </c>
      <c r="BC40"/>
      <c r="BD40" s="555">
        <f t="shared" si="18"/>
        <v>5.4260147428741687</v>
      </c>
      <c r="BE40"/>
      <c r="BF40" s="558">
        <f t="shared" si="9"/>
        <v>7619.6889753330806</v>
      </c>
      <c r="BG40" s="3"/>
      <c r="BH40" s="165"/>
    </row>
    <row r="41" spans="2:60" ht="12">
      <c r="B41" s="2"/>
      <c r="C41" s="6">
        <f>+IF(C40&gt;$G$13+$G$14,XX,C40+1)</f>
        <v>2023</v>
      </c>
      <c r="D41" s="6"/>
      <c r="E41" s="292">
        <f>+INDEX('(2.2)_Forward_Price_Curve'!$R:$R,MATCH($C41,'(2.2)_Forward_Price_Curve'!C:C,0))</f>
        <v>1.9E-2</v>
      </c>
      <c r="F41" s="6"/>
      <c r="G41" s="734">
        <v>429997.99999999994</v>
      </c>
      <c r="H41" s="6"/>
      <c r="I41" s="726">
        <v>314.68947874094818</v>
      </c>
      <c r="J41" s="6"/>
      <c r="K41" s="726">
        <v>15.060953928683469</v>
      </c>
      <c r="L41" s="6"/>
      <c r="M41" s="30">
        <f t="shared" si="12"/>
        <v>0</v>
      </c>
      <c r="N41" s="6"/>
      <c r="O41" s="737">
        <v>0.67</v>
      </c>
      <c r="P41" s="6"/>
      <c r="Q41" s="738">
        <v>-35.802845663214562</v>
      </c>
      <c r="R41" s="6"/>
      <c r="S41" s="20">
        <f t="shared" si="4"/>
        <v>26299.658838180345</v>
      </c>
      <c r="T41" s="6"/>
      <c r="U41" s="20">
        <f t="shared" si="0"/>
        <v>16592.553318137798</v>
      </c>
      <c r="V41" s="6"/>
      <c r="W41" s="20">
        <f t="shared" si="1"/>
        <v>9707.1055200425471</v>
      </c>
      <c r="X41" s="6"/>
      <c r="Y41" s="296">
        <f t="shared" si="5"/>
        <v>22.574768999024528</v>
      </c>
      <c r="Z41" s="255"/>
      <c r="AB41" s="154">
        <f>+IF(AB40&gt;$G$13+$G$14,XX,AB40+1)</f>
        <v>2023</v>
      </c>
      <c r="AC41" s="124"/>
      <c r="AD41" s="159">
        <f t="shared" si="2"/>
        <v>429997.99999999994</v>
      </c>
      <c r="AE41" s="3"/>
      <c r="AF41" s="555">
        <f t="shared" si="21"/>
        <v>104.41418704597702</v>
      </c>
      <c r="AG41"/>
      <c r="AH41" s="555">
        <f t="shared" si="22"/>
        <v>20.914615303431063</v>
      </c>
      <c r="AI41"/>
      <c r="AJ41" s="555">
        <f t="shared" si="23"/>
        <v>2.134378709712319</v>
      </c>
      <c r="AK41"/>
      <c r="AL41" s="558">
        <f t="shared" si="6"/>
        <v>12440.464892496489</v>
      </c>
      <c r="AM41"/>
      <c r="AN41" s="162">
        <f>INDEX('(2.2)_Forward_Price_Curve'!$G:$G,MATCH($AB41,'(2.2)_Forward_Price_Curve'!$C:$C,0),1)</f>
        <v>3.4771000000000001</v>
      </c>
      <c r="AO41"/>
      <c r="AP41" s="555">
        <f t="shared" si="20"/>
        <v>25.304507313934828</v>
      </c>
      <c r="AQ41"/>
      <c r="AR41" s="162">
        <f t="shared" si="24"/>
        <v>2.4085320292847179</v>
      </c>
      <c r="AS41" s="555"/>
      <c r="AT41" s="558">
        <f t="shared" si="7"/>
        <v>4676.0018266320812</v>
      </c>
      <c r="AU41"/>
      <c r="AV41" s="558">
        <f t="shared" si="3"/>
        <v>11916.551491505716</v>
      </c>
      <c r="AW41" s="560"/>
      <c r="AX41" s="561">
        <f t="shared" si="8"/>
        <v>16592.553318137798</v>
      </c>
      <c r="AY41"/>
      <c r="AZ41" s="430">
        <f>+IF(AZ40&gt;$I$13+$I$14,XX,AZ40+1)</f>
        <v>2023</v>
      </c>
      <c r="BA41" s="503"/>
      <c r="BB41" s="555">
        <f t="shared" si="17"/>
        <v>83.968648760113112</v>
      </c>
      <c r="BC41"/>
      <c r="BD41" s="555">
        <f t="shared" si="18"/>
        <v>5.5291090229887772</v>
      </c>
      <c r="BE41"/>
      <c r="BF41" s="558">
        <f t="shared" si="9"/>
        <v>7764.4630658644082</v>
      </c>
      <c r="BG41" s="3"/>
      <c r="BH41" s="165"/>
    </row>
    <row r="42" spans="2:60" ht="12">
      <c r="B42" s="2"/>
      <c r="C42" s="6">
        <f>+IF(C41&gt;$G$13+$G$14,XX,C41+1)</f>
        <v>2024</v>
      </c>
      <c r="D42" s="6"/>
      <c r="E42" s="292">
        <f>+INDEX('(2.2)_Forward_Price_Curve'!$R:$R,MATCH($C42,'(2.2)_Forward_Price_Curve'!C:C,0))</f>
        <v>1.9E-2</v>
      </c>
      <c r="F42" s="6"/>
      <c r="G42" s="734">
        <v>430004.99999999994</v>
      </c>
      <c r="H42" s="6"/>
      <c r="I42" s="726">
        <v>320.66857883702613</v>
      </c>
      <c r="J42" s="6"/>
      <c r="K42" s="726">
        <v>15.449567802930979</v>
      </c>
      <c r="L42" s="6"/>
      <c r="M42" s="30">
        <f t="shared" si="12"/>
        <v>0</v>
      </c>
      <c r="N42" s="6"/>
      <c r="O42" s="737">
        <v>0.69</v>
      </c>
      <c r="P42" s="6"/>
      <c r="Q42" s="738">
        <v>-35.802845663214569</v>
      </c>
      <c r="R42" s="6"/>
      <c r="S42" s="20">
        <f t="shared" si="4"/>
        <v>27138.904454598658</v>
      </c>
      <c r="T42" s="6"/>
      <c r="U42" s="20">
        <f t="shared" si="0"/>
        <v>18192.993737669793</v>
      </c>
      <c r="V42" s="6"/>
      <c r="W42" s="20">
        <f t="shared" si="1"/>
        <v>8945.9107169288654</v>
      </c>
      <c r="X42" s="6"/>
      <c r="Y42" s="296">
        <f t="shared" si="5"/>
        <v>20.804201618420407</v>
      </c>
      <c r="Z42" s="255"/>
      <c r="AB42" s="154">
        <f>+IF(AB41&gt;$G$13+$G$14,XX,AB41+1)</f>
        <v>2024</v>
      </c>
      <c r="AC42" s="124"/>
      <c r="AD42" s="159">
        <f t="shared" si="2"/>
        <v>430004.99999999994</v>
      </c>
      <c r="AE42" s="3"/>
      <c r="AF42" s="555">
        <f t="shared" si="21"/>
        <v>106.39805659985056</v>
      </c>
      <c r="AG42"/>
      <c r="AH42" s="555">
        <f t="shared" si="22"/>
        <v>21.311992994196252</v>
      </c>
      <c r="AI42"/>
      <c r="AJ42" s="555">
        <f t="shared" si="23"/>
        <v>2.174931905196853</v>
      </c>
      <c r="AK42"/>
      <c r="AL42" s="558">
        <f t="shared" si="6"/>
        <v>12676.848949977257</v>
      </c>
      <c r="AM42"/>
      <c r="AN42" s="162">
        <f>INDEX('(2.2)_Forward_Price_Curve'!$G:$G,MATCH($AB42,'(2.2)_Forward_Price_Curve'!$C:$C,0),1)</f>
        <v>3.9537833333333325</v>
      </c>
      <c r="AO42"/>
      <c r="AP42" s="555">
        <f t="shared" si="20"/>
        <v>28.773558216918392</v>
      </c>
      <c r="AQ42"/>
      <c r="AR42" s="555">
        <f t="shared" si="24"/>
        <v>2.4542941378411274</v>
      </c>
      <c r="AS42" s="555"/>
      <c r="AT42" s="558">
        <f t="shared" si="7"/>
        <v>4764.8610858614256</v>
      </c>
      <c r="AU42"/>
      <c r="AV42" s="558">
        <f t="shared" si="3"/>
        <v>13428.132651808366</v>
      </c>
      <c r="AW42" s="560"/>
      <c r="AX42" s="561">
        <f t="shared" si="8"/>
        <v>18192.993737669793</v>
      </c>
      <c r="AY42"/>
      <c r="AZ42" s="430">
        <f>+IF(AZ41&gt;$I$13+$I$14,XX,AZ41+1)</f>
        <v>2024</v>
      </c>
      <c r="BA42" s="503"/>
      <c r="BB42" s="555">
        <f t="shared" si="17"/>
        <v>85.564053086555248</v>
      </c>
      <c r="BC42"/>
      <c r="BD42" s="555">
        <f t="shared" si="18"/>
        <v>5.6341620944255633</v>
      </c>
      <c r="BE42"/>
      <c r="BF42" s="558">
        <f t="shared" si="9"/>
        <v>7911.9878641158311</v>
      </c>
      <c r="BG42" s="3"/>
      <c r="BH42" s="165"/>
    </row>
    <row r="43" spans="2:60" ht="12">
      <c r="B43" s="2"/>
      <c r="C43" s="6">
        <f>+IF(C42&gt;$G$13+$G$14,XX,C42+1)</f>
        <v>2025</v>
      </c>
      <c r="D43" s="6"/>
      <c r="E43" s="292">
        <f>+INDEX('(2.2)_Forward_Price_Curve'!$R:$R,MATCH($C43,'(2.2)_Forward_Price_Curve'!C:C,0))</f>
        <v>1.9E-2</v>
      </c>
      <c r="F43" s="6"/>
      <c r="G43" s="734">
        <v>429997.99999999994</v>
      </c>
      <c r="H43" s="6"/>
      <c r="I43" s="726">
        <v>326.7612818349296</v>
      </c>
      <c r="J43" s="6"/>
      <c r="K43" s="726">
        <v>15.746317698162139</v>
      </c>
      <c r="L43" s="6"/>
      <c r="M43" s="30">
        <f t="shared" si="12"/>
        <v>0</v>
      </c>
      <c r="N43" s="6"/>
      <c r="O43" s="737">
        <v>0.69999999999999984</v>
      </c>
      <c r="P43" s="6"/>
      <c r="Q43" s="738">
        <v>-37.128876984074367</v>
      </c>
      <c r="R43" s="6"/>
      <c r="S43" s="20">
        <f t="shared" si="4"/>
        <v>27377.043155853506</v>
      </c>
      <c r="T43" s="6"/>
      <c r="U43" s="20">
        <f t="shared" si="0"/>
        <v>18788.032866587109</v>
      </c>
      <c r="V43" s="6"/>
      <c r="W43" s="20">
        <f t="shared" si="1"/>
        <v>8589.0102892663963</v>
      </c>
      <c r="X43" s="6"/>
      <c r="Y43" s="296">
        <f t="shared" si="5"/>
        <v>19.974535437993659</v>
      </c>
      <c r="Z43" s="255"/>
      <c r="AB43" s="154">
        <f>+IF(AB42&gt;$G$13+$G$14,XX,AB42+1)</f>
        <v>2025</v>
      </c>
      <c r="AC43" s="124"/>
      <c r="AD43" s="159">
        <f t="shared" si="2"/>
        <v>429997.99999999994</v>
      </c>
      <c r="AE43" s="3"/>
      <c r="AF43" s="555">
        <f t="shared" si="21"/>
        <v>108.41961967524772</v>
      </c>
      <c r="AG43"/>
      <c r="AH43" s="555">
        <f t="shared" si="22"/>
        <v>21.716920861085978</v>
      </c>
      <c r="AI43"/>
      <c r="AJ43" s="555">
        <f t="shared" si="23"/>
        <v>2.2162556113955931</v>
      </c>
      <c r="AK43"/>
      <c r="AL43" s="558">
        <f t="shared" si="6"/>
        <v>12917.693566237545</v>
      </c>
      <c r="AM43"/>
      <c r="AN43" s="162">
        <f>INDEX('(2.2)_Forward_Price_Curve'!$G:$G,MATCH($AB43,'(2.2)_Forward_Price_Curve'!$C:$C,0),1)</f>
        <v>4.1086708333333339</v>
      </c>
      <c r="AO43"/>
      <c r="AP43" s="555">
        <f t="shared" si="20"/>
        <v>29.900748081054342</v>
      </c>
      <c r="AQ43"/>
      <c r="AR43" s="555">
        <f t="shared" si="24"/>
        <v>2.5009257264601086</v>
      </c>
      <c r="AS43" s="555"/>
      <c r="AT43" s="558">
        <f t="shared" si="7"/>
        <v>4855.3779327035145</v>
      </c>
      <c r="AU43"/>
      <c r="AV43" s="558">
        <f t="shared" si="3"/>
        <v>13932.654933883596</v>
      </c>
      <c r="AW43" s="560"/>
      <c r="AX43" s="561">
        <f t="shared" si="8"/>
        <v>18788.032866587109</v>
      </c>
      <c r="AY43"/>
      <c r="AZ43" s="430">
        <f>+IF(AZ42&gt;$I$13+$I$14,XX,AZ42+1)</f>
        <v>2025</v>
      </c>
      <c r="BA43" s="503"/>
      <c r="BB43" s="555">
        <f t="shared" si="17"/>
        <v>87.18977009519979</v>
      </c>
      <c r="BC43"/>
      <c r="BD43" s="555">
        <f t="shared" si="18"/>
        <v>5.7412111742196483</v>
      </c>
      <c r="BE43"/>
      <c r="BF43" s="558">
        <f t="shared" si="9"/>
        <v>8062.3156335340309</v>
      </c>
      <c r="BG43" s="3"/>
      <c r="BH43" s="165"/>
    </row>
    <row r="44" spans="2:60" ht="12">
      <c r="B44" s="2"/>
      <c r="C44" s="6">
        <f>+IF(C43&gt;$G$13+$G$14,XX,C43+1)</f>
        <v>2026</v>
      </c>
      <c r="D44" s="6"/>
      <c r="E44" s="292">
        <f>+INDEX('(2.2)_Forward_Price_Curve'!$R:$R,MATCH($C44,'(2.2)_Forward_Price_Curve'!C:C,0))</f>
        <v>1.9E-2</v>
      </c>
      <c r="F44" s="6"/>
      <c r="G44" s="734">
        <v>429997.99999999994</v>
      </c>
      <c r="H44" s="6"/>
      <c r="I44" s="726">
        <v>332.73408592429303</v>
      </c>
      <c r="J44" s="6"/>
      <c r="K44" s="726">
        <v>16.092736687521707</v>
      </c>
      <c r="L44" s="6"/>
      <c r="M44" s="30">
        <f t="shared" si="12"/>
        <v>0</v>
      </c>
      <c r="N44" s="6"/>
      <c r="O44" s="737">
        <v>0.72</v>
      </c>
      <c r="P44" s="6"/>
      <c r="Q44" s="738">
        <v>-38.454908304934165</v>
      </c>
      <c r="R44" s="6"/>
      <c r="S44" s="20">
        <f t="shared" si="4"/>
        <v>27627.393026452402</v>
      </c>
      <c r="T44" s="6"/>
      <c r="U44" s="20">
        <f t="shared" si="0"/>
        <v>19144.268293267232</v>
      </c>
      <c r="V44" s="6"/>
      <c r="W44" s="20">
        <f t="shared" si="1"/>
        <v>8483.12473318517</v>
      </c>
      <c r="X44" s="6"/>
      <c r="Y44" s="296">
        <f t="shared" si="5"/>
        <v>19.728288813401857</v>
      </c>
      <c r="Z44" s="255"/>
      <c r="AB44" s="154">
        <f>+IF(AB43&gt;$G$13+$G$14,XX,AB43+1)</f>
        <v>2026</v>
      </c>
      <c r="AC44" s="124"/>
      <c r="AD44" s="159">
        <f t="shared" si="2"/>
        <v>429997.99999999994</v>
      </c>
      <c r="AE44" s="3"/>
      <c r="AF44" s="555">
        <f t="shared" si="21"/>
        <v>110.47959244907742</v>
      </c>
      <c r="AG44"/>
      <c r="AH44" s="555">
        <f t="shared" si="22"/>
        <v>22.12954235744661</v>
      </c>
      <c r="AI44"/>
      <c r="AJ44" s="555">
        <f t="shared" si="23"/>
        <v>2.2583644680121093</v>
      </c>
      <c r="AK44"/>
      <c r="AL44" s="558">
        <f t="shared" si="6"/>
        <v>13163.129743996058</v>
      </c>
      <c r="AM44"/>
      <c r="AN44" s="162">
        <f>INDEX('(2.2)_Forward_Price_Curve'!$G:$G,MATCH($AB44,'(2.2)_Forward_Price_Curve'!$C:$C,0),1)</f>
        <v>4.1864999999999997</v>
      </c>
      <c r="AO44"/>
      <c r="AP44" s="555">
        <f t="shared" si="20"/>
        <v>30.467147873166763</v>
      </c>
      <c r="AQ44"/>
      <c r="AR44" s="555">
        <f t="shared" si="24"/>
        <v>2.5484433152628503</v>
      </c>
      <c r="AS44" s="555"/>
      <c r="AT44" s="558">
        <f t="shared" si="7"/>
        <v>4947.6301134248806</v>
      </c>
      <c r="AU44"/>
      <c r="AV44" s="558">
        <f t="shared" si="3"/>
        <v>14196.638179842354</v>
      </c>
      <c r="AW44" s="560"/>
      <c r="AX44" s="561">
        <f t="shared" si="8"/>
        <v>19144.268293267232</v>
      </c>
      <c r="AY44"/>
      <c r="AZ44" s="430">
        <f>+IF(AZ43&gt;$I$13+$I$14,XX,AZ43+1)</f>
        <v>2026</v>
      </c>
      <c r="BA44" s="503"/>
      <c r="BB44" s="555">
        <f t="shared" si="17"/>
        <v>88.846375727008578</v>
      </c>
      <c r="BC44"/>
      <c r="BD44" s="555">
        <f t="shared" si="18"/>
        <v>5.8502941865298208</v>
      </c>
      <c r="BE44"/>
      <c r="BF44" s="558">
        <f t="shared" si="9"/>
        <v>8215.4996305711775</v>
      </c>
      <c r="BG44" s="3"/>
      <c r="BH44" s="165"/>
    </row>
    <row r="45" spans="2:60" ht="12">
      <c r="B45" s="2"/>
      <c r="C45" s="6">
        <f>+IF(C44&gt;$G$13+$G$14,XX,C44+1)</f>
        <v>2027</v>
      </c>
      <c r="D45" s="6"/>
      <c r="E45" s="292">
        <f>+INDEX('(2.2)_Forward_Price_Curve'!$R:$R,MATCH($C45,'(2.2)_Forward_Price_Curve'!C:C,0))</f>
        <v>1.9E-2</v>
      </c>
      <c r="F45" s="6"/>
      <c r="G45" s="734">
        <v>429997.99999999994</v>
      </c>
      <c r="H45" s="6"/>
      <c r="I45" s="726">
        <v>338.81613140657532</v>
      </c>
      <c r="J45" s="6"/>
      <c r="K45" s="726">
        <v>16.446776894647183</v>
      </c>
      <c r="L45" s="6"/>
      <c r="M45" s="30">
        <f t="shared" si="12"/>
        <v>0</v>
      </c>
      <c r="N45" s="6"/>
      <c r="O45" s="737">
        <v>0.74</v>
      </c>
      <c r="P45" s="6"/>
      <c r="Q45" s="738">
        <v>-38.454908304934165</v>
      </c>
      <c r="R45" s="6"/>
      <c r="S45" s="20">
        <f t="shared" si="4"/>
        <v>28463.336615969278</v>
      </c>
      <c r="T45" s="6"/>
      <c r="U45" s="20">
        <f t="shared" si="0"/>
        <v>20106.547390355823</v>
      </c>
      <c r="V45" s="6"/>
      <c r="W45" s="20">
        <f t="shared" si="1"/>
        <v>8356.7892256134546</v>
      </c>
      <c r="X45" s="6"/>
      <c r="Y45" s="296">
        <f t="shared" si="5"/>
        <v>19.434483940886832</v>
      </c>
      <c r="Z45" s="255"/>
      <c r="AB45" s="154">
        <f>+IF(AB44&gt;$G$13+$G$14,XX,AB44+1)</f>
        <v>2027</v>
      </c>
      <c r="AC45" s="124"/>
      <c r="AD45" s="159">
        <f t="shared" si="2"/>
        <v>429997.99999999994</v>
      </c>
      <c r="AE45" s="3"/>
      <c r="AF45" s="555">
        <f t="shared" si="21"/>
        <v>112.57870470560988</v>
      </c>
      <c r="AG45"/>
      <c r="AH45" s="555">
        <f t="shared" si="22"/>
        <v>22.550003662238094</v>
      </c>
      <c r="AI45"/>
      <c r="AJ45" s="555">
        <f t="shared" si="23"/>
        <v>2.3012733929043394</v>
      </c>
      <c r="AK45"/>
      <c r="AL45" s="558">
        <f t="shared" si="6"/>
        <v>13413.229209131981</v>
      </c>
      <c r="AM45"/>
      <c r="AN45" s="162">
        <f>INDEX('(2.2)_Forward_Price_Curve'!$G:$G,MATCH($AB45,'(2.2)_Forward_Price_Curve'!$C:$C,0),1)</f>
        <v>4.4573125000000005</v>
      </c>
      <c r="AO45"/>
      <c r="AP45" s="555">
        <f t="shared" si="20"/>
        <v>32.437978993052589</v>
      </c>
      <c r="AQ45"/>
      <c r="AR45" s="555">
        <f t="shared" si="24"/>
        <v>2.5968637382528441</v>
      </c>
      <c r="AS45" s="555"/>
      <c r="AT45" s="558">
        <f t="shared" si="7"/>
        <v>5041.6350855799519</v>
      </c>
      <c r="AU45"/>
      <c r="AV45" s="558">
        <f t="shared" si="3"/>
        <v>15064.912304775871</v>
      </c>
      <c r="AW45" s="560"/>
      <c r="AX45" s="561">
        <f t="shared" si="8"/>
        <v>20106.547390355823</v>
      </c>
      <c r="AY45"/>
      <c r="AZ45" s="430">
        <f>+IF(AZ44&gt;$I$13+$I$14,XX,AZ44+1)</f>
        <v>2027</v>
      </c>
      <c r="BA45" s="503"/>
      <c r="BB45" s="555">
        <f t="shared" si="17"/>
        <v>90.534456865821738</v>
      </c>
      <c r="BC45"/>
      <c r="BD45" s="555">
        <f t="shared" si="18"/>
        <v>5.9614497760738869</v>
      </c>
      <c r="BE45"/>
      <c r="BF45" s="558">
        <f t="shared" si="9"/>
        <v>8371.5941235520295</v>
      </c>
      <c r="BG45" s="3"/>
      <c r="BH45" s="165"/>
    </row>
    <row r="46" spans="2:60" ht="12">
      <c r="B46" s="2"/>
      <c r="C46" s="6">
        <f>+IF(C45&gt;$G$13+$G$14,XX,C45+1)</f>
        <v>2028</v>
      </c>
      <c r="D46" s="6"/>
      <c r="E46" s="292">
        <f>+INDEX('(2.2)_Forward_Price_Curve'!$R:$R,MATCH($C46,'(2.2)_Forward_Price_Curve'!C:C,0))</f>
        <v>1.9E-2</v>
      </c>
      <c r="F46" s="6"/>
      <c r="G46" s="734">
        <v>430004.99999999994</v>
      </c>
      <c r="H46" s="6"/>
      <c r="I46" s="726">
        <v>345.25363790330022</v>
      </c>
      <c r="J46" s="6"/>
      <c r="K46" s="726">
        <v>16.854656961634433</v>
      </c>
      <c r="L46" s="6"/>
      <c r="M46" s="30">
        <f t="shared" si="12"/>
        <v>0</v>
      </c>
      <c r="N46" s="6"/>
      <c r="O46" s="737">
        <v>0.75000000000000011</v>
      </c>
      <c r="P46" s="6"/>
      <c r="Q46" s="738">
        <v>-39.78093962579397</v>
      </c>
      <c r="R46" s="6"/>
      <c r="S46" s="20">
        <f t="shared" si="4"/>
        <v>28787.241380264404</v>
      </c>
      <c r="T46" s="6"/>
      <c r="U46" s="20">
        <f t="shared" si="0"/>
        <v>20712.908146513608</v>
      </c>
      <c r="V46" s="6"/>
      <c r="W46" s="20">
        <f t="shared" si="1"/>
        <v>8074.3332337507964</v>
      </c>
      <c r="X46" s="6"/>
      <c r="Y46" s="296">
        <f t="shared" si="5"/>
        <v>18.777300807550603</v>
      </c>
      <c r="Z46" s="255"/>
      <c r="AB46" s="154">
        <f>+IF(AB45&gt;$G$13+$G$14,XX,AB45+1)</f>
        <v>2028</v>
      </c>
      <c r="AC46" s="124"/>
      <c r="AD46" s="159">
        <f t="shared" si="2"/>
        <v>430004.99999999994</v>
      </c>
      <c r="AE46" s="3"/>
      <c r="AF46" s="555">
        <f t="shared" si="21"/>
        <v>114.71770009501645</v>
      </c>
      <c r="AG46"/>
      <c r="AH46" s="555">
        <f t="shared" si="22"/>
        <v>22.978453731820615</v>
      </c>
      <c r="AI46"/>
      <c r="AJ46" s="555">
        <f t="shared" si="23"/>
        <v>2.3449975873695217</v>
      </c>
      <c r="AK46"/>
      <c r="AL46" s="558">
        <f t="shared" si="6"/>
        <v>13668.096979088601</v>
      </c>
      <c r="AM46"/>
      <c r="AN46" s="162">
        <f>INDEX('(2.2)_Forward_Price_Curve'!$G:$G,MATCH($AB46,'(2.2)_Forward_Price_Curve'!$C:$C,0),1)</f>
        <v>4.6136041666666676</v>
      </c>
      <c r="AO46"/>
      <c r="AP46" s="555">
        <f t="shared" si="20"/>
        <v>33.575387644593739</v>
      </c>
      <c r="AQ46"/>
      <c r="AR46" s="555">
        <f t="shared" si="24"/>
        <v>2.6462041492796478</v>
      </c>
      <c r="AS46" s="555"/>
      <c r="AT46" s="558">
        <f t="shared" si="7"/>
        <v>5137.442567189084</v>
      </c>
      <c r="AU46"/>
      <c r="AV46" s="558">
        <f t="shared" si="3"/>
        <v>15575.465579324524</v>
      </c>
      <c r="AW46" s="560"/>
      <c r="AX46" s="561">
        <f t="shared" si="8"/>
        <v>20712.908146513608</v>
      </c>
      <c r="AY46"/>
      <c r="AZ46" s="430">
        <f>+IF(AZ45&gt;$I$13+$I$14,XX,AZ45+1)</f>
        <v>2028</v>
      </c>
      <c r="BA46" s="503"/>
      <c r="BB46" s="555">
        <f t="shared" si="17"/>
        <v>92.254611546272344</v>
      </c>
      <c r="BC46"/>
      <c r="BD46" s="555">
        <f t="shared" si="18"/>
        <v>6.07471732181929</v>
      </c>
      <c r="BE46"/>
      <c r="BF46" s="558">
        <f t="shared" si="9"/>
        <v>8530.6544118995171</v>
      </c>
      <c r="BG46" s="3"/>
      <c r="BH46" s="165"/>
    </row>
    <row r="47" spans="2:60" ht="11.25" customHeight="1">
      <c r="B47" s="2"/>
      <c r="C47" s="6">
        <f>+IF(C46&gt;$G$13+$G$14,XX,C46+1)</f>
        <v>2029</v>
      </c>
      <c r="D47" s="6"/>
      <c r="E47" s="292">
        <f>+INDEX('(2.2)_Forward_Price_Curve'!$R:$R,MATCH($C47,'(2.2)_Forward_Price_Curve'!C:C,0))</f>
        <v>1.7999999999999999E-2</v>
      </c>
      <c r="F47" s="6"/>
      <c r="G47" s="734">
        <v>429997.99999999994</v>
      </c>
      <c r="H47" s="6"/>
      <c r="I47" s="726">
        <v>351.81345702346289</v>
      </c>
      <c r="J47" s="6"/>
      <c r="K47" s="726">
        <v>17.161586712042336</v>
      </c>
      <c r="L47" s="6"/>
      <c r="M47" s="30"/>
      <c r="N47" s="6"/>
      <c r="O47" s="737">
        <v>0.76999999999999991</v>
      </c>
      <c r="P47" s="6"/>
      <c r="Q47" s="738">
        <v>-39.78093962579397</v>
      </c>
      <c r="R47" s="6"/>
      <c r="S47" s="20">
        <f t="shared" si="4"/>
        <v>29656.115675397006</v>
      </c>
      <c r="T47" s="6"/>
      <c r="U47" s="20">
        <f t="shared" si="0"/>
        <v>21265.455546833542</v>
      </c>
      <c r="V47" s="6"/>
      <c r="W47" s="20">
        <f t="shared" si="1"/>
        <v>8390.6601285634642</v>
      </c>
      <c r="X47" s="6"/>
      <c r="Y47" s="296">
        <f t="shared" si="5"/>
        <v>19.513253849002705</v>
      </c>
      <c r="Z47" s="255"/>
      <c r="AB47" s="154">
        <f>+IF(AB46&gt;$G$13+$G$14,XX,AB46+1)</f>
        <v>2029</v>
      </c>
      <c r="AC47" s="124"/>
      <c r="AD47" s="159">
        <f t="shared" si="2"/>
        <v>429997.99999999994</v>
      </c>
      <c r="AE47" s="3"/>
      <c r="AF47" s="555">
        <f t="shared" si="21"/>
        <v>116.78261869672676</v>
      </c>
      <c r="AG47"/>
      <c r="AH47" s="555">
        <f t="shared" si="22"/>
        <v>23.392065898993387</v>
      </c>
      <c r="AI47"/>
      <c r="AJ47" s="555">
        <f t="shared" si="23"/>
        <v>2.3872075439421732</v>
      </c>
      <c r="AK47"/>
      <c r="AL47" s="558">
        <f t="shared" si="6"/>
        <v>13914.106014259389</v>
      </c>
      <c r="AM47"/>
      <c r="AN47" s="162">
        <f>INDEX('(2.2)_Forward_Price_Curve'!$G:$G,MATCH($AB47,'(2.2)_Forward_Price_Curve'!$C:$C,0),1)</f>
        <v>4.7541666666666673</v>
      </c>
      <c r="AO47"/>
      <c r="AP47" s="555">
        <f t="shared" si="20"/>
        <v>34.59832768350978</v>
      </c>
      <c r="AQ47"/>
      <c r="AR47" s="555">
        <f t="shared" si="24"/>
        <v>2.6938358239666815</v>
      </c>
      <c r="AS47" s="555"/>
      <c r="AT47" s="558">
        <f t="shared" si="7"/>
        <v>5229.8998229456811</v>
      </c>
      <c r="AU47"/>
      <c r="AV47" s="558">
        <f t="shared" si="3"/>
        <v>16035.555723887861</v>
      </c>
      <c r="AW47" s="560"/>
      <c r="AX47" s="561">
        <f t="shared" si="8"/>
        <v>21265.455546833542</v>
      </c>
      <c r="AY47"/>
      <c r="AZ47" s="430">
        <f>+IF(AZ46&gt;$I$13+$I$14,XX,AZ46+1)</f>
        <v>2029</v>
      </c>
      <c r="BA47" s="503"/>
      <c r="BB47" s="555">
        <f t="shared" si="17"/>
        <v>93.915194554105241</v>
      </c>
      <c r="BC47"/>
      <c r="BD47" s="555">
        <f t="shared" si="18"/>
        <v>6.1840622336120372</v>
      </c>
      <c r="BE47"/>
      <c r="BF47" s="558">
        <f t="shared" si="9"/>
        <v>8684.2061913137077</v>
      </c>
      <c r="BG47" s="3"/>
      <c r="BH47" s="165"/>
    </row>
    <row r="48" spans="2:60" ht="12">
      <c r="B48" s="2"/>
      <c r="C48" s="6">
        <f>+IF(C47&gt;$G$13+$G$14,XX,C47+1)</f>
        <v>2030</v>
      </c>
      <c r="D48" s="6"/>
      <c r="E48" s="292">
        <f>+INDEX('(2.2)_Forward_Price_Curve'!$R:$R,MATCH($C48,'(2.2)_Forward_Price_Curve'!C:C,0))</f>
        <v>1.7999999999999999E-2</v>
      </c>
      <c r="F48" s="6"/>
      <c r="G48" s="734">
        <v>429997.99999999994</v>
      </c>
      <c r="H48" s="6"/>
      <c r="I48" s="726">
        <v>358.49791270690872</v>
      </c>
      <c r="J48" s="6"/>
      <c r="K48" s="726">
        <v>17.539141619707269</v>
      </c>
      <c r="L48" s="6"/>
      <c r="M48" s="30">
        <f t="shared" si="12"/>
        <v>0</v>
      </c>
      <c r="N48" s="6"/>
      <c r="O48" s="737">
        <v>0.78</v>
      </c>
      <c r="P48" s="6"/>
      <c r="Q48" s="738">
        <v>-41.10697094665376</v>
      </c>
      <c r="R48" s="6"/>
      <c r="S48" s="20">
        <f t="shared" ref="S48:S64" si="25">(I48*$G$11*1000+(K48+M48+O48+Q48)*G48)/1000</f>
        <v>29994.547275538534</v>
      </c>
      <c r="T48" s="6"/>
      <c r="U48" s="20">
        <f t="shared" ref="U48:U68" si="26">AX48</f>
        <v>22314.109578997093</v>
      </c>
      <c r="V48" s="6"/>
      <c r="W48" s="20">
        <f t="shared" ref="W48:W64" si="27">S48-U48</f>
        <v>7680.4376965414413</v>
      </c>
      <c r="X48" s="6"/>
      <c r="Y48" s="296">
        <f t="shared" ref="Y48:Y64" si="28">+W48*1000/G48</f>
        <v>17.861566092264248</v>
      </c>
      <c r="Z48" s="255"/>
      <c r="AB48" s="154">
        <f>+IF(AB47&gt;$G$13+$G$14,XX,AB47+1)</f>
        <v>2030</v>
      </c>
      <c r="AC48" s="124"/>
      <c r="AD48" s="159">
        <f t="shared" ref="AD48:AD64" si="29">G48</f>
        <v>429997.99999999994</v>
      </c>
      <c r="AE48" s="3"/>
      <c r="AF48" s="555">
        <f t="shared" si="21"/>
        <v>118.88470583326784</v>
      </c>
      <c r="AG48"/>
      <c r="AH48" s="555">
        <f t="shared" si="22"/>
        <v>23.813123085175267</v>
      </c>
      <c r="AI48"/>
      <c r="AJ48" s="555">
        <f t="shared" si="23"/>
        <v>2.4301772797331322</v>
      </c>
      <c r="AK48"/>
      <c r="AL48" s="558">
        <f t="shared" si="6"/>
        <v>14164.559922516057</v>
      </c>
      <c r="AM48"/>
      <c r="AN48" s="162">
        <f>INDEX('(2.2)_Forward_Price_Curve'!$G:$G,MATCH($AB48,'(2.2)_Forward_Price_Curve'!$C:$C,0),1)</f>
        <v>5.052529166666667</v>
      </c>
      <c r="AO48"/>
      <c r="AP48" s="555">
        <f t="shared" si="20"/>
        <v>36.769653231654459</v>
      </c>
      <c r="AQ48"/>
      <c r="AR48" s="555">
        <f t="shared" si="24"/>
        <v>2.7423248687980819</v>
      </c>
      <c r="AS48" s="555"/>
      <c r="AT48" s="558">
        <f t="shared" si="7"/>
        <v>5324.0380197587019</v>
      </c>
      <c r="AU48"/>
      <c r="AV48" s="558">
        <f t="shared" si="3"/>
        <v>16990.071559238389</v>
      </c>
      <c r="AW48" s="560"/>
      <c r="AX48" s="561">
        <f t="shared" si="8"/>
        <v>22314.109578997093</v>
      </c>
      <c r="AY48"/>
      <c r="AZ48" s="430">
        <f>+IF(AZ47&gt;$I$13+$I$14,XX,AZ47+1)</f>
        <v>2030</v>
      </c>
      <c r="BA48" s="503"/>
      <c r="BB48" s="555">
        <f t="shared" si="17"/>
        <v>95.605668056079139</v>
      </c>
      <c r="BC48"/>
      <c r="BD48" s="555">
        <f t="shared" si="18"/>
        <v>6.2953753538170538</v>
      </c>
      <c r="BE48"/>
      <c r="BF48" s="558">
        <f t="shared" si="9"/>
        <v>8840.5219027573548</v>
      </c>
      <c r="BG48" s="3"/>
      <c r="BH48" s="165"/>
    </row>
    <row r="49" spans="2:60" ht="12">
      <c r="B49" s="2"/>
      <c r="C49" s="6">
        <f>+IF(C48&gt;$G$13+$G$14,XX,C48+1)</f>
        <v>2031</v>
      </c>
      <c r="D49" s="6"/>
      <c r="E49" s="292">
        <f>+INDEX('(2.2)_Forward_Price_Curve'!$R:$R,MATCH($C49,'(2.2)_Forward_Price_Curve'!C:C,0))</f>
        <v>1.7999999999999999E-2</v>
      </c>
      <c r="F49" s="6"/>
      <c r="G49" s="734">
        <v>429997.99999999994</v>
      </c>
      <c r="H49" s="6"/>
      <c r="I49" s="726">
        <v>365.30937304833992</v>
      </c>
      <c r="J49" s="6"/>
      <c r="K49" s="726">
        <v>17.925002735340829</v>
      </c>
      <c r="L49" s="6"/>
      <c r="M49" s="30">
        <f t="shared" si="12"/>
        <v>0</v>
      </c>
      <c r="N49" s="6"/>
      <c r="O49" s="737">
        <v>0.8</v>
      </c>
      <c r="P49" s="6"/>
      <c r="Q49" s="30"/>
      <c r="R49" s="6"/>
      <c r="S49" s="20">
        <f t="shared" si="25"/>
        <v>48601.054134556813</v>
      </c>
      <c r="T49" s="6"/>
      <c r="U49" s="20">
        <f t="shared" si="26"/>
        <v>22860.977055097701</v>
      </c>
      <c r="V49" s="6"/>
      <c r="W49" s="20">
        <f t="shared" si="27"/>
        <v>25740.077079459112</v>
      </c>
      <c r="X49" s="6"/>
      <c r="Y49" s="296">
        <f t="shared" si="28"/>
        <v>59.860922793731866</v>
      </c>
      <c r="Z49" s="255"/>
      <c r="AB49" s="154">
        <f>+IF(AB48&gt;$G$13+$G$14,XX,AB48+1)</f>
        <v>2031</v>
      </c>
      <c r="AC49" s="124"/>
      <c r="AD49" s="159">
        <f t="shared" si="29"/>
        <v>429997.99999999994</v>
      </c>
      <c r="AE49" s="3"/>
      <c r="AF49" s="555">
        <f t="shared" si="21"/>
        <v>121.02463053826666</v>
      </c>
      <c r="AG49"/>
      <c r="AH49" s="555">
        <f t="shared" si="22"/>
        <v>24.241759300708424</v>
      </c>
      <c r="AI49"/>
      <c r="AJ49" s="555">
        <f t="shared" si="23"/>
        <v>2.4739204707683289</v>
      </c>
      <c r="AK49"/>
      <c r="AL49" s="558">
        <f t="shared" si="6"/>
        <v>14419.522001121348</v>
      </c>
      <c r="AM49"/>
      <c r="AN49" s="162">
        <f>INDEX('(2.2)_Forward_Price_Curve'!$G:$G,MATCH($AB49,'(2.2)_Forward_Price_Curve'!$C:$C,0),1)</f>
        <v>5.1898791666666666</v>
      </c>
      <c r="AO49"/>
      <c r="AP49" s="555">
        <f t="shared" si="20"/>
        <v>37.769214383064813</v>
      </c>
      <c r="AQ49"/>
      <c r="AR49" s="555">
        <f t="shared" si="24"/>
        <v>2.7916867164364474</v>
      </c>
      <c r="AS49" s="555"/>
      <c r="AT49" s="558">
        <f t="shared" si="7"/>
        <v>5419.8707041143607</v>
      </c>
      <c r="AU49"/>
      <c r="AV49" s="558">
        <f t="shared" si="3"/>
        <v>17441.10635098334</v>
      </c>
      <c r="AW49" s="560"/>
      <c r="AX49" s="561">
        <f t="shared" si="8"/>
        <v>22860.977055097701</v>
      </c>
      <c r="AY49"/>
      <c r="AZ49" s="430">
        <f>+IF(AZ48&gt;$I$13+$I$14,XX,AZ48+1)</f>
        <v>2031</v>
      </c>
      <c r="BA49" s="503"/>
      <c r="BB49" s="555">
        <f t="shared" si="17"/>
        <v>97.326570081088562</v>
      </c>
      <c r="BC49"/>
      <c r="BD49" s="555">
        <f t="shared" si="18"/>
        <v>6.4086921101857612</v>
      </c>
      <c r="BE49"/>
      <c r="BF49" s="558">
        <f t="shared" si="9"/>
        <v>8999.6512970069871</v>
      </c>
      <c r="BG49" s="3"/>
      <c r="BH49" s="165"/>
    </row>
    <row r="50" spans="2:60" ht="12">
      <c r="B50" s="2"/>
      <c r="C50" s="6">
        <f>C49+1</f>
        <v>2032</v>
      </c>
      <c r="D50" s="6"/>
      <c r="E50" s="292">
        <f>+INDEX('(2.2)_Forward_Price_Curve'!$R:$R,MATCH($C50,'(2.2)_Forward_Price_Curve'!C:C,0))</f>
        <v>1.7999999999999999E-2</v>
      </c>
      <c r="F50" s="6"/>
      <c r="G50" s="734">
        <v>430004.99999999994</v>
      </c>
      <c r="H50" s="6"/>
      <c r="I50" s="726">
        <v>372.25025113625833</v>
      </c>
      <c r="J50" s="6"/>
      <c r="K50" s="726">
        <v>18.369542803177282</v>
      </c>
      <c r="L50" s="6"/>
      <c r="M50" s="30">
        <f t="shared" si="12"/>
        <v>0</v>
      </c>
      <c r="N50" s="6"/>
      <c r="O50" s="737">
        <v>0.82</v>
      </c>
      <c r="P50" s="6"/>
      <c r="Q50" s="30"/>
      <c r="R50" s="6"/>
      <c r="S50" s="20">
        <f t="shared" si="25"/>
        <v>49571.377229204925</v>
      </c>
      <c r="T50" s="6"/>
      <c r="U50" s="20">
        <f t="shared" si="26"/>
        <v>23427.34152080083</v>
      </c>
      <c r="V50" s="6"/>
      <c r="W50" s="20">
        <f t="shared" si="27"/>
        <v>26144.035708404095</v>
      </c>
      <c r="X50" s="6"/>
      <c r="Y50" s="296">
        <f t="shared" si="28"/>
        <v>60.799376073311002</v>
      </c>
      <c r="Z50" s="255"/>
      <c r="AB50" s="154">
        <f>AB49+1</f>
        <v>2032</v>
      </c>
      <c r="AC50" s="124"/>
      <c r="AD50" s="159">
        <f t="shared" si="29"/>
        <v>430004.99999999994</v>
      </c>
      <c r="AE50" s="3"/>
      <c r="AF50" s="555">
        <f t="shared" si="21"/>
        <v>123.20307388795547</v>
      </c>
      <c r="AG50"/>
      <c r="AH50" s="555">
        <f t="shared" si="22"/>
        <v>24.678110968121175</v>
      </c>
      <c r="AI50"/>
      <c r="AJ50" s="555">
        <f t="shared" si="23"/>
        <v>2.5184510392421586</v>
      </c>
      <c r="AK50"/>
      <c r="AL50" s="558">
        <f t="shared" si="6"/>
        <v>14679.091026298804</v>
      </c>
      <c r="AM50"/>
      <c r="AN50" s="162">
        <f>INDEX('(2.2)_Forward_Price_Curve'!$G:$G,MATCH($AB50,'(2.2)_Forward_Price_Curve'!$C:$C,0),1)</f>
        <v>5.3326874999999996</v>
      </c>
      <c r="AO50"/>
      <c r="AP50" s="555">
        <f t="shared" si="20"/>
        <v>38.808498417266925</v>
      </c>
      <c r="AQ50"/>
      <c r="AR50" s="555">
        <f t="shared" si="24"/>
        <v>2.8419370773323034</v>
      </c>
      <c r="AS50" s="555"/>
      <c r="AT50" s="558">
        <f t="shared" si="7"/>
        <v>5517.4460059456906</v>
      </c>
      <c r="AU50"/>
      <c r="AV50" s="558">
        <f t="shared" si="3"/>
        <v>17909.895514855139</v>
      </c>
      <c r="AW50" s="560"/>
      <c r="AX50" s="561">
        <f t="shared" si="8"/>
        <v>23427.34152080083</v>
      </c>
      <c r="AY50"/>
      <c r="AZ50" s="430">
        <f>+IF(AZ49&gt;$I$13+$I$14,XX,AZ49+1)</f>
        <v>2032</v>
      </c>
      <c r="BA50" s="503"/>
      <c r="BB50" s="555">
        <f t="shared" si="17"/>
        <v>99.078448342548157</v>
      </c>
      <c r="BC50"/>
      <c r="BD50" s="555">
        <f t="shared" si="18"/>
        <v>6.5240485681691052</v>
      </c>
      <c r="BE50"/>
      <c r="BF50" s="558">
        <f t="shared" si="9"/>
        <v>9161.6450203531131</v>
      </c>
      <c r="BG50" s="3"/>
      <c r="BH50" s="165"/>
    </row>
    <row r="51" spans="2:60" ht="12">
      <c r="B51" s="2"/>
      <c r="C51" s="6">
        <f t="shared" ref="C51:C68" si="30">C50+1</f>
        <v>2033</v>
      </c>
      <c r="D51" s="6"/>
      <c r="E51" s="292">
        <f>+INDEX('(2.2)_Forward_Price_Curve'!$R:$R,MATCH($C51,'(2.2)_Forward_Price_Curve'!C:C,0))</f>
        <v>1.9E-2</v>
      </c>
      <c r="F51" s="6"/>
      <c r="G51" s="734">
        <v>429997.99999999994</v>
      </c>
      <c r="H51" s="6"/>
      <c r="I51" s="726">
        <v>379.32300590784723</v>
      </c>
      <c r="J51" s="6"/>
      <c r="K51" s="726">
        <v>18.722378557019731</v>
      </c>
      <c r="L51" s="6"/>
      <c r="M51" s="30">
        <f t="shared" si="12"/>
        <v>0</v>
      </c>
      <c r="N51" s="6"/>
      <c r="O51" s="737">
        <v>0.84000000000000008</v>
      </c>
      <c r="P51" s="6"/>
      <c r="Q51" s="30"/>
      <c r="R51" s="6"/>
      <c r="S51" s="20">
        <f t="shared" si="25"/>
        <v>50516.637310532409</v>
      </c>
      <c r="T51" s="6"/>
      <c r="U51" s="20">
        <f t="shared" si="26"/>
        <v>24131.355550305845</v>
      </c>
      <c r="V51" s="6"/>
      <c r="W51" s="20">
        <f t="shared" si="27"/>
        <v>26385.281760226564</v>
      </c>
      <c r="X51" s="6"/>
      <c r="Y51" s="296">
        <f t="shared" si="28"/>
        <v>61.361405774507247</v>
      </c>
      <c r="Z51" s="255"/>
      <c r="AB51" s="154">
        <f t="shared" ref="AB51:AB68" si="31">AB50+1</f>
        <v>2033</v>
      </c>
      <c r="AC51" s="124"/>
      <c r="AD51" s="159">
        <f t="shared" si="29"/>
        <v>429997.99999999994</v>
      </c>
      <c r="AE51" s="3"/>
      <c r="AF51" s="555">
        <f t="shared" si="21"/>
        <v>125.54393229182661</v>
      </c>
      <c r="AG51"/>
      <c r="AH51" s="555">
        <f t="shared" si="22"/>
        <v>25.146995076515473</v>
      </c>
      <c r="AI51"/>
      <c r="AJ51" s="555">
        <f t="shared" si="23"/>
        <v>2.5663016089877595</v>
      </c>
      <c r="AK51"/>
      <c r="AL51" s="558">
        <f t="shared" si="6"/>
        <v>14957.975791687217</v>
      </c>
      <c r="AM51"/>
      <c r="AN51" s="162">
        <f>INDEX('(2.2)_Forward_Price_Curve'!$G:$G,MATCH($AB51,'(2.2)_Forward_Price_Curve'!$C:$C,0),1)</f>
        <v>5.5168416666666671</v>
      </c>
      <c r="AO51"/>
      <c r="AP51" s="555">
        <f t="shared" si="20"/>
        <v>40.148675707913803</v>
      </c>
      <c r="AQ51"/>
      <c r="AR51" s="555">
        <f t="shared" si="24"/>
        <v>2.8959338818016169</v>
      </c>
      <c r="AS51" s="555"/>
      <c r="AT51" s="558">
        <f t="shared" si="7"/>
        <v>5622.2595159473949</v>
      </c>
      <c r="AU51"/>
      <c r="AV51" s="558">
        <f t="shared" si="3"/>
        <v>18509.096034358448</v>
      </c>
      <c r="AW51" s="560"/>
      <c r="AX51" s="561">
        <f t="shared" si="8"/>
        <v>24131.355550305845</v>
      </c>
      <c r="AY51"/>
      <c r="AZ51" s="430">
        <f>+IF(AZ50&gt;$I$13+$I$14,XX,AZ50+1)</f>
        <v>2033</v>
      </c>
      <c r="BA51" s="503"/>
      <c r="BB51" s="555">
        <f t="shared" si="17"/>
        <v>100.96093886105656</v>
      </c>
      <c r="BC51"/>
      <c r="BD51" s="555">
        <f t="shared" si="18"/>
        <v>6.6480054909643176</v>
      </c>
      <c r="BE51"/>
      <c r="BF51" s="558">
        <f t="shared" si="9"/>
        <v>9335.7162757398219</v>
      </c>
      <c r="BG51" s="3"/>
      <c r="BH51" s="165"/>
    </row>
    <row r="52" spans="2:60" ht="12">
      <c r="B52" s="2"/>
      <c r="C52" s="6">
        <f t="shared" si="30"/>
        <v>2034</v>
      </c>
      <c r="D52" s="6"/>
      <c r="E52" s="292">
        <f>+INDEX('(2.2)_Forward_Price_Curve'!$R:$R,MATCH($C52,'(2.2)_Forward_Price_Curve'!C:C,0))</f>
        <v>1.7999999999999999E-2</v>
      </c>
      <c r="F52" s="6"/>
      <c r="G52" s="734">
        <v>429997.99999999994</v>
      </c>
      <c r="H52" s="6"/>
      <c r="I52" s="726">
        <v>386.25672507016304</v>
      </c>
      <c r="J52" s="6"/>
      <c r="K52" s="726">
        <v>19.134270885274169</v>
      </c>
      <c r="L52" s="6"/>
      <c r="M52" s="30">
        <f t="shared" si="12"/>
        <v>0</v>
      </c>
      <c r="N52" s="6"/>
      <c r="O52" s="737">
        <v>0.85999999999999988</v>
      </c>
      <c r="P52" s="6"/>
      <c r="Q52" s="30"/>
      <c r="R52" s="6"/>
      <c r="S52" s="20">
        <f t="shared" si="25"/>
        <v>51471.992974914225</v>
      </c>
      <c r="T52" s="6"/>
      <c r="U52" s="20">
        <f t="shared" si="26"/>
        <v>24791.502095664866</v>
      </c>
      <c r="V52" s="6"/>
      <c r="W52" s="20">
        <f t="shared" si="27"/>
        <v>26680.490879249359</v>
      </c>
      <c r="X52" s="6"/>
      <c r="Y52" s="296">
        <f t="shared" si="28"/>
        <v>62.04794180263481</v>
      </c>
      <c r="Z52" s="255"/>
      <c r="AB52" s="154">
        <f t="shared" si="31"/>
        <v>2034</v>
      </c>
      <c r="AC52" s="124"/>
      <c r="AD52" s="159">
        <f t="shared" si="29"/>
        <v>429997.99999999994</v>
      </c>
      <c r="AE52" s="3"/>
      <c r="AF52" s="555">
        <f t="shared" si="21"/>
        <v>127.80372307307948</v>
      </c>
      <c r="AG52"/>
      <c r="AH52" s="555">
        <f t="shared" si="22"/>
        <v>25.599640987892752</v>
      </c>
      <c r="AI52"/>
      <c r="AJ52" s="555">
        <f t="shared" si="23"/>
        <v>2.6124950379495391</v>
      </c>
      <c r="AK52"/>
      <c r="AL52" s="558">
        <f t="shared" si="6"/>
        <v>15227.219355937585</v>
      </c>
      <c r="AM52"/>
      <c r="AN52" s="162">
        <f>INDEX('(2.2)_Forward_Price_Curve'!$G:$G,MATCH($AB52,'(2.2)_Forward_Price_Curve'!$C:$C,0),1)</f>
        <v>5.688295833333334</v>
      </c>
      <c r="AO52"/>
      <c r="AP52" s="555">
        <f t="shared" si="20"/>
        <v>41.396429069744428</v>
      </c>
      <c r="AQ52"/>
      <c r="AR52" s="555">
        <f t="shared" si="24"/>
        <v>2.9480606916740459</v>
      </c>
      <c r="AS52" s="555"/>
      <c r="AT52" s="558">
        <f t="shared" si="7"/>
        <v>5723.4601872344483</v>
      </c>
      <c r="AU52"/>
      <c r="AV52" s="558">
        <f t="shared" si="3"/>
        <v>19068.041908430416</v>
      </c>
      <c r="AW52" s="560"/>
      <c r="AX52" s="561">
        <f t="shared" si="8"/>
        <v>24791.502095664866</v>
      </c>
      <c r="AY52"/>
      <c r="AZ52" s="430">
        <f>+IF(AZ51&gt;$I$13+$I$14,XX,AZ51+1)</f>
        <v>2034</v>
      </c>
      <c r="BA52" s="503"/>
      <c r="BB52" s="555">
        <f t="shared" si="17"/>
        <v>102.77823576055557</v>
      </c>
      <c r="BC52"/>
      <c r="BD52" s="555">
        <f t="shared" si="18"/>
        <v>6.7676695898016757</v>
      </c>
      <c r="BE52"/>
      <c r="BF52" s="558">
        <f t="shared" si="9"/>
        <v>9503.7591687031363</v>
      </c>
      <c r="BG52" s="3"/>
      <c r="BH52" s="165"/>
    </row>
    <row r="53" spans="2:60" ht="12">
      <c r="B53" s="2"/>
      <c r="C53" s="6">
        <f t="shared" si="30"/>
        <v>2035</v>
      </c>
      <c r="D53" s="6"/>
      <c r="E53" s="292">
        <f>+INDEX('(2.2)_Forward_Price_Curve'!$R:$R,MATCH($C53,'(2.2)_Forward_Price_Curve'!C:C,0))</f>
        <v>1.7999999999999999E-2</v>
      </c>
      <c r="F53" s="6"/>
      <c r="G53" s="734">
        <v>429997.99999999994</v>
      </c>
      <c r="H53" s="6"/>
      <c r="I53" s="726">
        <v>109.96767982682951</v>
      </c>
      <c r="J53" s="6"/>
      <c r="K53" s="726">
        <v>19.5552248447502</v>
      </c>
      <c r="L53" s="6"/>
      <c r="M53" s="30">
        <f t="shared" si="12"/>
        <v>0</v>
      </c>
      <c r="N53" s="6"/>
      <c r="O53" s="737">
        <v>0.86999999999999988</v>
      </c>
      <c r="P53" s="6"/>
      <c r="Q53" s="30"/>
      <c r="R53" s="6"/>
      <c r="S53" s="20">
        <f t="shared" si="25"/>
        <v>20989.218293570972</v>
      </c>
      <c r="T53" s="6"/>
      <c r="U53" s="20">
        <f t="shared" si="26"/>
        <v>25410.845843646937</v>
      </c>
      <c r="V53" s="6"/>
      <c r="W53" s="20">
        <f t="shared" si="27"/>
        <v>-4421.6275500759657</v>
      </c>
      <c r="X53" s="6"/>
      <c r="Y53" s="296">
        <f t="shared" si="28"/>
        <v>-10.282902595072457</v>
      </c>
      <c r="Z53" s="255"/>
      <c r="AB53" s="154">
        <f t="shared" si="31"/>
        <v>2035</v>
      </c>
      <c r="AC53" s="124"/>
      <c r="AD53" s="159">
        <f t="shared" si="29"/>
        <v>429997.99999999994</v>
      </c>
      <c r="AE53" s="3"/>
      <c r="AF53" s="555">
        <f t="shared" si="21"/>
        <v>130.10419008839492</v>
      </c>
      <c r="AG53"/>
      <c r="AH53" s="555">
        <f t="shared" si="22"/>
        <v>26.060434525674822</v>
      </c>
      <c r="AI53"/>
      <c r="AJ53" s="555">
        <f t="shared" si="23"/>
        <v>2.6595199486326306</v>
      </c>
      <c r="AK53"/>
      <c r="AL53" s="558">
        <f t="shared" si="6"/>
        <v>15501.309304344464</v>
      </c>
      <c r="AM53"/>
      <c r="AN53" s="162">
        <f>INDEX('(2.2)_Forward_Price_Curve'!$G:$G,MATCH($AB53,'(2.2)_Forward_Price_Curve'!$C:$C,0),1)</f>
        <v>5.846000000000001</v>
      </c>
      <c r="AO53"/>
      <c r="AP53" s="555">
        <f t="shared" si="20"/>
        <v>42.544117154313376</v>
      </c>
      <c r="AQ53"/>
      <c r="AR53" s="555">
        <f t="shared" si="24"/>
        <v>3.001125784124179</v>
      </c>
      <c r="AS53" s="555"/>
      <c r="AT53" s="558">
        <f t="shared" si="7"/>
        <v>5826.4824706046711</v>
      </c>
      <c r="AU53"/>
      <c r="AV53" s="558">
        <f t="shared" si="3"/>
        <v>19584.363373042266</v>
      </c>
      <c r="AW53" s="560"/>
      <c r="AX53" s="561">
        <f t="shared" si="8"/>
        <v>25410.845843646937</v>
      </c>
      <c r="AY53"/>
      <c r="AZ53" s="430">
        <f>+IF(AZ52&gt;$I$13+$I$14,XX,AZ52+1)</f>
        <v>2035</v>
      </c>
      <c r="BA53" s="503"/>
      <c r="BB53" s="555">
        <f t="shared" si="17"/>
        <v>104.62824400424557</v>
      </c>
      <c r="BC53"/>
      <c r="BD53" s="555">
        <f t="shared" si="18"/>
        <v>6.8894876424181062</v>
      </c>
      <c r="BE53"/>
      <c r="BF53" s="558">
        <f t="shared" si="9"/>
        <v>9674.8268337397931</v>
      </c>
      <c r="BG53" s="3"/>
      <c r="BH53" s="165"/>
    </row>
    <row r="54" spans="2:60" ht="12">
      <c r="B54" s="2"/>
      <c r="C54" s="6">
        <f t="shared" si="30"/>
        <v>2036</v>
      </c>
      <c r="D54" s="6"/>
      <c r="E54" s="292">
        <f>+INDEX('(2.2)_Forward_Price_Curve'!$R:$R,MATCH($C54,'(2.2)_Forward_Price_Curve'!C:C,0))</f>
        <v>1.7999999999999999E-2</v>
      </c>
      <c r="F54" s="6"/>
      <c r="G54" s="734">
        <v>430004.99999999994</v>
      </c>
      <c r="H54" s="6"/>
      <c r="I54" s="726">
        <v>112.05706574353927</v>
      </c>
      <c r="J54" s="6"/>
      <c r="K54" s="726">
        <v>20.040194420900004</v>
      </c>
      <c r="L54" s="6"/>
      <c r="M54" s="30">
        <f t="shared" si="12"/>
        <v>0</v>
      </c>
      <c r="N54" s="6"/>
      <c r="O54" s="737">
        <v>0.89000000000000024</v>
      </c>
      <c r="P54" s="6"/>
      <c r="Q54" s="30"/>
      <c r="R54" s="6"/>
      <c r="S54" s="20">
        <f t="shared" si="25"/>
        <v>21438.422549491963</v>
      </c>
      <c r="T54" s="6"/>
      <c r="U54" s="20">
        <f t="shared" si="26"/>
        <v>26245.753197418751</v>
      </c>
      <c r="V54" s="6"/>
      <c r="W54" s="20">
        <f t="shared" si="27"/>
        <v>-4807.3306479267885</v>
      </c>
      <c r="X54" s="6"/>
      <c r="Y54" s="296">
        <f t="shared" si="28"/>
        <v>-11.179708719495796</v>
      </c>
      <c r="Z54" s="255"/>
      <c r="AB54" s="154">
        <f t="shared" si="31"/>
        <v>2036</v>
      </c>
      <c r="AC54" s="124"/>
      <c r="AD54" s="159">
        <f t="shared" si="29"/>
        <v>430004.99999999994</v>
      </c>
      <c r="AE54" s="3"/>
      <c r="AF54" s="555">
        <f t="shared" si="21"/>
        <v>132.44606550998603</v>
      </c>
      <c r="AG54"/>
      <c r="AH54" s="555">
        <f t="shared" si="22"/>
        <v>26.529522347136968</v>
      </c>
      <c r="AI54"/>
      <c r="AJ54" s="555">
        <f t="shared" si="23"/>
        <v>2.7073913077080181</v>
      </c>
      <c r="AK54"/>
      <c r="AL54" s="558">
        <f t="shared" si="6"/>
        <v>15780.351823561819</v>
      </c>
      <c r="AM54"/>
      <c r="AN54" s="162">
        <f>INDEX('(2.2)_Forward_Price_Curve'!$G:$G,MATCH($AB54,'(2.2)_Forward_Price_Curve'!$C:$C,0),1)</f>
        <v>6.0717541666666675</v>
      </c>
      <c r="AO54"/>
      <c r="AP54" s="555">
        <f t="shared" si="20"/>
        <v>44.187037392893778</v>
      </c>
      <c r="AQ54"/>
      <c r="AR54" s="555">
        <f t="shared" si="24"/>
        <v>3.0551460482384143</v>
      </c>
      <c r="AS54" s="555"/>
      <c r="AT54" s="558">
        <f t="shared" si="7"/>
        <v>5931.3781068147091</v>
      </c>
      <c r="AU54"/>
      <c r="AV54" s="558">
        <f t="shared" si="3"/>
        <v>20314.375090604044</v>
      </c>
      <c r="AW54" s="560"/>
      <c r="AX54" s="561">
        <f t="shared" si="8"/>
        <v>26245.753197418751</v>
      </c>
      <c r="AY54"/>
      <c r="AZ54" s="430">
        <f>+IF(AZ53&gt;$I$13+$I$14,XX,AZ53+1)</f>
        <v>2036</v>
      </c>
      <c r="BA54" s="503"/>
      <c r="BB54" s="555">
        <f t="shared" si="17"/>
        <v>106.51155239632199</v>
      </c>
      <c r="BC54"/>
      <c r="BD54" s="555">
        <f t="shared" si="18"/>
        <v>7.0134984199816319</v>
      </c>
      <c r="BE54"/>
      <c r="BF54" s="558">
        <f t="shared" si="9"/>
        <v>9848.9737167471103</v>
      </c>
      <c r="BG54" s="3"/>
      <c r="BH54" s="165"/>
    </row>
    <row r="55" spans="2:60" ht="12">
      <c r="B55" s="2"/>
      <c r="C55" s="6">
        <f t="shared" si="30"/>
        <v>2037</v>
      </c>
      <c r="D55" s="6"/>
      <c r="E55" s="292">
        <f>+INDEX('(2.2)_Forward_Price_Curve'!$R:$R,MATCH($C55,'(2.2)_Forward_Price_Curve'!C:C,0))</f>
        <v>1.7999999999999999E-2</v>
      </c>
      <c r="F55" s="6"/>
      <c r="G55" s="734">
        <v>430004.99999999994</v>
      </c>
      <c r="H55" s="6"/>
      <c r="I55" s="726">
        <v>114.18614999266651</v>
      </c>
      <c r="J55" s="6"/>
      <c r="K55" s="726">
        <v>20.425119466744064</v>
      </c>
      <c r="L55" s="6"/>
      <c r="M55" s="30">
        <f t="shared" si="12"/>
        <v>0</v>
      </c>
      <c r="N55" s="6"/>
      <c r="O55" s="737">
        <v>0.91000000000000025</v>
      </c>
      <c r="P55" s="6"/>
      <c r="Q55" s="30"/>
      <c r="R55" s="6"/>
      <c r="S55" s="20">
        <f t="shared" si="25"/>
        <v>21848.87069548326</v>
      </c>
      <c r="T55" s="6"/>
      <c r="U55" s="20">
        <f t="shared" si="26"/>
        <v>26902.834799996592</v>
      </c>
      <c r="V55" s="6"/>
      <c r="W55" s="20">
        <f t="shared" si="27"/>
        <v>-5053.9641045133321</v>
      </c>
      <c r="X55" s="6"/>
      <c r="Y55" s="296">
        <f t="shared" si="28"/>
        <v>-11.753268228307421</v>
      </c>
      <c r="Z55" s="255"/>
      <c r="AB55" s="154">
        <f t="shared" si="31"/>
        <v>2037</v>
      </c>
      <c r="AC55" s="124"/>
      <c r="AD55" s="159">
        <f t="shared" si="29"/>
        <v>430004.99999999994</v>
      </c>
      <c r="AE55" s="3"/>
      <c r="AF55" s="555">
        <f t="shared" si="21"/>
        <v>134.83009468916578</v>
      </c>
      <c r="AG55"/>
      <c r="AH55" s="555">
        <f t="shared" si="22"/>
        <v>27.007053749385435</v>
      </c>
      <c r="AI55"/>
      <c r="AJ55" s="555">
        <f t="shared" si="23"/>
        <v>2.7561243512467626</v>
      </c>
      <c r="AK55"/>
      <c r="AL55" s="558">
        <f t="shared" si="6"/>
        <v>16064.398156385932</v>
      </c>
      <c r="AM55"/>
      <c r="AN55" s="162">
        <f>INDEX('(2.2)_Forward_Price_Curve'!$G:$G,MATCH($AB55,'(2.2)_Forward_Price_Curve'!$C:$C,0),1)</f>
        <v>6.240054166666666</v>
      </c>
      <c r="AO55"/>
      <c r="AP55" s="555">
        <f t="shared" si="20"/>
        <v>45.411836386576788</v>
      </c>
      <c r="AQ55"/>
      <c r="AR55" s="555">
        <f t="shared" si="24"/>
        <v>3.1101386771067059</v>
      </c>
      <c r="AS55" s="555"/>
      <c r="AT55" s="558">
        <f t="shared" si="7"/>
        <v>6038.142912737374</v>
      </c>
      <c r="AU55"/>
      <c r="AV55" s="558">
        <f t="shared" si="3"/>
        <v>20864.691887259218</v>
      </c>
      <c r="AW55" s="560"/>
      <c r="AX55" s="561">
        <f t="shared" si="8"/>
        <v>26902.834799996592</v>
      </c>
      <c r="AY55"/>
      <c r="AZ55" s="430">
        <f>+IF(AZ54&gt;$I$13+$I$14,XX,AZ54+1)</f>
        <v>2037</v>
      </c>
      <c r="BA55" s="503"/>
      <c r="BB55" s="555">
        <f t="shared" si="17"/>
        <v>108.42876033945579</v>
      </c>
      <c r="BC55"/>
      <c r="BD55" s="555">
        <f t="shared" si="18"/>
        <v>7.1397413915413015</v>
      </c>
      <c r="BE55"/>
      <c r="BF55" s="558">
        <f t="shared" si="9"/>
        <v>10026.255243648558</v>
      </c>
      <c r="BG55" s="3"/>
      <c r="BH55" s="165"/>
    </row>
    <row r="56" spans="2:60" ht="12">
      <c r="B56" s="2"/>
      <c r="C56" s="6">
        <f t="shared" si="30"/>
        <v>2038</v>
      </c>
      <c r="D56" s="6"/>
      <c r="E56" s="292">
        <f>+INDEX('(2.2)_Forward_Price_Curve'!$R:$R,MATCH($C56,'(2.2)_Forward_Price_Curve'!C:C,0))</f>
        <v>1.7999999999999999E-2</v>
      </c>
      <c r="F56" s="6"/>
      <c r="G56" s="734">
        <v>430004.99999999994</v>
      </c>
      <c r="H56" s="6"/>
      <c r="I56" s="726">
        <v>116.35568684252718</v>
      </c>
      <c r="J56" s="6"/>
      <c r="K56" s="726">
        <v>20.89489721447918</v>
      </c>
      <c r="L56" s="6"/>
      <c r="M56" s="30">
        <f t="shared" si="12"/>
        <v>0</v>
      </c>
      <c r="N56" s="6"/>
      <c r="O56" s="737">
        <v>0.92999999999999994</v>
      </c>
      <c r="P56" s="6"/>
      <c r="Q56" s="30"/>
      <c r="R56" s="6"/>
      <c r="S56" s="20">
        <f t="shared" si="25"/>
        <v>22300.296166232638</v>
      </c>
      <c r="T56" s="6"/>
      <c r="U56" s="20">
        <f t="shared" si="26"/>
        <v>28038.081562425956</v>
      </c>
      <c r="V56" s="6"/>
      <c r="W56" s="20">
        <f t="shared" si="27"/>
        <v>-5737.7853961933179</v>
      </c>
      <c r="X56" s="6"/>
      <c r="Y56" s="296">
        <f t="shared" si="28"/>
        <v>-13.343531810544805</v>
      </c>
      <c r="Z56" s="255"/>
      <c r="AB56" s="154">
        <f t="shared" si="31"/>
        <v>2038</v>
      </c>
      <c r="AC56" s="124"/>
      <c r="AD56" s="159">
        <f t="shared" si="29"/>
        <v>430004.99999999994</v>
      </c>
      <c r="AE56" s="3"/>
      <c r="AF56" s="555">
        <f t="shared" si="21"/>
        <v>137.25703639357076</v>
      </c>
      <c r="AG56"/>
      <c r="AH56" s="555">
        <f t="shared" si="22"/>
        <v>27.493180716874374</v>
      </c>
      <c r="AI56"/>
      <c r="AJ56" s="555">
        <f t="shared" si="23"/>
        <v>2.8057345895692043</v>
      </c>
      <c r="AK56"/>
      <c r="AL56" s="558">
        <f t="shared" si="6"/>
        <v>16353.557323200877</v>
      </c>
      <c r="AM56"/>
      <c r="AN56" s="162">
        <f>INDEX('(2.2)_Forward_Price_Curve'!$G:$G,MATCH($AB56,'(2.2)_Forward_Price_Curve'!$C:$C,0),1)</f>
        <v>6.5604041666666673</v>
      </c>
      <c r="AO56"/>
      <c r="AP56" s="555">
        <f t="shared" si="20"/>
        <v>47.743175409906307</v>
      </c>
      <c r="AQ56"/>
      <c r="AR56" s="555">
        <f t="shared" si="24"/>
        <v>3.1661211732946266</v>
      </c>
      <c r="AS56" s="555"/>
      <c r="AT56" s="558">
        <f t="shared" si="7"/>
        <v>6146.8294851666451</v>
      </c>
      <c r="AU56"/>
      <c r="AV56" s="558">
        <f t="shared" si="3"/>
        <v>21891.252077259313</v>
      </c>
      <c r="AW56" s="560"/>
      <c r="AX56" s="561">
        <f t="shared" si="8"/>
        <v>28038.081562425956</v>
      </c>
      <c r="AY56"/>
      <c r="AZ56" s="430">
        <f>+IF(AZ55&gt;$I$13+$I$14,XX,AZ55+1)</f>
        <v>2038</v>
      </c>
      <c r="BA56" s="503"/>
      <c r="BB56" s="555">
        <f t="shared" si="17"/>
        <v>110.38047802556599</v>
      </c>
      <c r="BC56"/>
      <c r="BD56" s="555">
        <f t="shared" si="18"/>
        <v>7.2682567365890449</v>
      </c>
      <c r="BE56"/>
      <c r="BF56" s="558">
        <f t="shared" si="9"/>
        <v>10206.727838034232</v>
      </c>
      <c r="BG56" s="3"/>
      <c r="BH56" s="165"/>
    </row>
    <row r="57" spans="2:60" ht="12">
      <c r="B57" s="2"/>
      <c r="C57" s="6">
        <f t="shared" si="30"/>
        <v>2039</v>
      </c>
      <c r="D57" s="6"/>
      <c r="E57" s="292">
        <f>+INDEX('(2.2)_Forward_Price_Curve'!$R:$R,MATCH($C57,'(2.2)_Forward_Price_Curve'!C:C,0))</f>
        <v>1.7999999999999999E-2</v>
      </c>
      <c r="F57" s="6"/>
      <c r="G57" s="734">
        <v>430004.99999999994</v>
      </c>
      <c r="H57" s="6"/>
      <c r="I57" s="726">
        <v>118.56644489253517</v>
      </c>
      <c r="J57" s="6"/>
      <c r="K57" s="726">
        <v>21.375479850412194</v>
      </c>
      <c r="L57" s="6"/>
      <c r="M57" s="30">
        <f t="shared" si="12"/>
        <v>0</v>
      </c>
      <c r="N57" s="6"/>
      <c r="O57" s="737">
        <v>0.95999999999999985</v>
      </c>
      <c r="P57" s="6"/>
      <c r="Q57" s="30"/>
      <c r="R57" s="6"/>
      <c r="S57" s="20">
        <f t="shared" si="25"/>
        <v>22765.2433961479</v>
      </c>
      <c r="T57" s="6"/>
      <c r="U57" s="20">
        <f t="shared" si="26"/>
        <v>28836.170423135183</v>
      </c>
      <c r="V57" s="6"/>
      <c r="W57" s="20">
        <f t="shared" si="27"/>
        <v>-6070.9270269872832</v>
      </c>
      <c r="X57" s="6"/>
      <c r="Y57" s="296">
        <f t="shared" si="28"/>
        <v>-14.118270780542748</v>
      </c>
      <c r="Z57" s="255"/>
      <c r="AB57" s="154">
        <f t="shared" si="31"/>
        <v>2039</v>
      </c>
      <c r="AC57" s="124"/>
      <c r="AD57" s="159">
        <f t="shared" si="29"/>
        <v>430004.99999999994</v>
      </c>
      <c r="AE57" s="3"/>
      <c r="AF57" s="555">
        <f t="shared" si="21"/>
        <v>139.72766304865505</v>
      </c>
      <c r="AG57"/>
      <c r="AH57" s="555">
        <f t="shared" si="22"/>
        <v>27.988057969778112</v>
      </c>
      <c r="AI57"/>
      <c r="AJ57" s="555">
        <f t="shared" si="23"/>
        <v>2.8562378121814502</v>
      </c>
      <c r="AK57"/>
      <c r="AL57" s="558">
        <f t="shared" si="6"/>
        <v>16647.921355018498</v>
      </c>
      <c r="AM57"/>
      <c r="AN57" s="162">
        <f>INDEX('(2.2)_Forward_Price_Curve'!$G:$G,MATCH($AB57,'(2.2)_Forward_Price_Curve'!$C:$C,0),1)</f>
        <v>6.7722499999999988</v>
      </c>
      <c r="AO57"/>
      <c r="AP57" s="555">
        <f t="shared" si="20"/>
        <v>49.284878104395936</v>
      </c>
      <c r="AQ57"/>
      <c r="AR57" s="555">
        <f t="shared" si="24"/>
        <v>3.22311135441393</v>
      </c>
      <c r="AS57" s="555"/>
      <c r="AT57" s="558">
        <f t="shared" si="7"/>
        <v>6257.4724158996487</v>
      </c>
      <c r="AU57"/>
      <c r="AV57" s="558">
        <f t="shared" si="3"/>
        <v>22578.698007235533</v>
      </c>
      <c r="AW57" s="560"/>
      <c r="AX57" s="561">
        <f t="shared" si="8"/>
        <v>28836.170423135183</v>
      </c>
      <c r="AY57"/>
      <c r="AZ57" s="430">
        <f>+IF(AZ56&gt;$I$13+$I$14,XX,AZ56+1)</f>
        <v>2039</v>
      </c>
      <c r="BA57" s="503"/>
      <c r="BB57" s="555">
        <f t="shared" si="17"/>
        <v>112.36732663002618</v>
      </c>
      <c r="BC57"/>
      <c r="BD57" s="555">
        <f t="shared" si="18"/>
        <v>7.3990853578476479</v>
      </c>
      <c r="BE57"/>
      <c r="BF57" s="558">
        <f t="shared" si="9"/>
        <v>10390.448939118849</v>
      </c>
      <c r="BG57" s="3"/>
      <c r="BH57" s="165"/>
    </row>
    <row r="58" spans="2:60" ht="12">
      <c r="B58" s="2"/>
      <c r="C58" s="6">
        <f t="shared" si="30"/>
        <v>2040</v>
      </c>
      <c r="D58" s="6"/>
      <c r="E58" s="292">
        <f>+INDEX('(2.2)_Forward_Price_Curve'!$R:$R,MATCH($C58,'(2.2)_Forward_Price_Curve'!C:C,0))</f>
        <v>1.7999999999999999E-2</v>
      </c>
      <c r="F58" s="6"/>
      <c r="G58" s="734">
        <v>430004.99999999994</v>
      </c>
      <c r="H58" s="6"/>
      <c r="I58" s="726">
        <v>120.81920734549334</v>
      </c>
      <c r="J58" s="6"/>
      <c r="K58" s="726">
        <v>21.927025793511323</v>
      </c>
      <c r="L58" s="6"/>
      <c r="M58" s="30">
        <f t="shared" si="12"/>
        <v>0</v>
      </c>
      <c r="N58" s="6"/>
      <c r="O58" s="737">
        <v>0.9800000000000002</v>
      </c>
      <c r="P58" s="6"/>
      <c r="Q58" s="30"/>
      <c r="R58" s="6"/>
      <c r="S58" s="20">
        <f t="shared" si="25"/>
        <v>23261.067641688598</v>
      </c>
      <c r="T58" s="6"/>
      <c r="U58" s="20">
        <f t="shared" si="26"/>
        <v>29923.601251896536</v>
      </c>
      <c r="V58" s="6"/>
      <c r="W58" s="20">
        <f t="shared" si="27"/>
        <v>-6662.5336102079382</v>
      </c>
      <c r="X58" s="6"/>
      <c r="Y58" s="296">
        <f t="shared" si="28"/>
        <v>-15.494084046017928</v>
      </c>
      <c r="Z58" s="255"/>
      <c r="AB58" s="154">
        <f t="shared" si="31"/>
        <v>2040</v>
      </c>
      <c r="AC58" s="124"/>
      <c r="AD58" s="159">
        <f t="shared" si="29"/>
        <v>430004.99999999994</v>
      </c>
      <c r="AE58" s="3"/>
      <c r="AF58" s="555">
        <f t="shared" si="21"/>
        <v>142.24276098353084</v>
      </c>
      <c r="AG58"/>
      <c r="AH58" s="555">
        <f t="shared" si="22"/>
        <v>28.491843013234117</v>
      </c>
      <c r="AI58"/>
      <c r="AJ58" s="555">
        <f t="shared" si="23"/>
        <v>2.9076500928007163</v>
      </c>
      <c r="AK58"/>
      <c r="AL58" s="558">
        <f t="shared" si="6"/>
        <v>16947.583939408833</v>
      </c>
      <c r="AM58"/>
      <c r="AN58" s="162">
        <f>INDEX('(2.2)_Forward_Price_Curve'!$G:$G,MATCH($AB58,'(2.2)_Forward_Price_Curve'!$C:$C,0),1)</f>
        <v>7.075779166666667</v>
      </c>
      <c r="AO58"/>
      <c r="AP58" s="555">
        <f t="shared" si="20"/>
        <v>51.493803938541994</v>
      </c>
      <c r="AQ58"/>
      <c r="AR58" s="555">
        <f t="shared" si="24"/>
        <v>3.2811273587933809</v>
      </c>
      <c r="AS58" s="555"/>
      <c r="AT58" s="558">
        <f t="shared" si="7"/>
        <v>6370.1069193858439</v>
      </c>
      <c r="AU58"/>
      <c r="AV58" s="558">
        <f t="shared" si="3"/>
        <v>23553.494332510694</v>
      </c>
      <c r="AW58" s="560"/>
      <c r="AX58" s="561">
        <f t="shared" si="8"/>
        <v>29923.601251896536</v>
      </c>
      <c r="AY58"/>
      <c r="AZ58" s="430">
        <f>+IF(AZ57&gt;$I$13+$I$14,XX,AZ57+1)</f>
        <v>2040</v>
      </c>
      <c r="BA58" s="503"/>
      <c r="BB58" s="555">
        <f t="shared" si="17"/>
        <v>114.38993850936666</v>
      </c>
      <c r="BC58"/>
      <c r="BD58" s="555">
        <f t="shared" si="18"/>
        <v>7.5322688942889053</v>
      </c>
      <c r="BE58"/>
      <c r="BF58" s="558">
        <f t="shared" si="9"/>
        <v>10577.477020022989</v>
      </c>
      <c r="BG58" s="3"/>
      <c r="BH58" s="165"/>
    </row>
    <row r="59" spans="2:60" ht="12">
      <c r="B59" s="2"/>
      <c r="C59" s="6">
        <f t="shared" si="30"/>
        <v>2041</v>
      </c>
      <c r="D59" s="6"/>
      <c r="E59" s="292">
        <f>+INDEX('(2.2)_Forward_Price_Curve'!$R:$R,MATCH($C59,'(2.2)_Forward_Price_Curve'!C:C,0))</f>
        <v>1.7999999999999999E-2</v>
      </c>
      <c r="F59" s="6"/>
      <c r="G59" s="734">
        <v>430004.99999999994</v>
      </c>
      <c r="H59" s="6"/>
      <c r="I59" s="726">
        <v>123.11477228505774</v>
      </c>
      <c r="J59" s="6"/>
      <c r="K59" s="726">
        <v>22.37005955237202</v>
      </c>
      <c r="L59" s="6"/>
      <c r="M59" s="30">
        <f t="shared" si="12"/>
        <v>0</v>
      </c>
      <c r="N59" s="6"/>
      <c r="O59" s="737">
        <v>1</v>
      </c>
      <c r="P59" s="6"/>
      <c r="Q59" s="30"/>
      <c r="R59" s="6"/>
      <c r="S59" s="20">
        <f t="shared" si="25"/>
        <v>23714.982181459138</v>
      </c>
      <c r="T59" s="6"/>
      <c r="U59" s="20">
        <f t="shared" si="26"/>
        <v>30572.961193437477</v>
      </c>
      <c r="V59" s="6"/>
      <c r="W59" s="20">
        <f t="shared" si="27"/>
        <v>-6857.9790119783393</v>
      </c>
      <c r="X59" s="6"/>
      <c r="Y59" s="296">
        <f t="shared" si="28"/>
        <v>-15.948602951078104</v>
      </c>
      <c r="Z59" s="255"/>
      <c r="AB59" s="154">
        <f t="shared" si="31"/>
        <v>2041</v>
      </c>
      <c r="AC59" s="124"/>
      <c r="AD59" s="159">
        <f t="shared" si="29"/>
        <v>430004.99999999994</v>
      </c>
      <c r="AE59" s="3"/>
      <c r="AF59" s="555">
        <f t="shared" si="21"/>
        <v>144.80313068123439</v>
      </c>
      <c r="AG59"/>
      <c r="AH59" s="555">
        <f t="shared" si="22"/>
        <v>29.00469618747233</v>
      </c>
      <c r="AI59"/>
      <c r="AJ59" s="555">
        <f t="shared" si="23"/>
        <v>2.9599877944711293</v>
      </c>
      <c r="AK59"/>
      <c r="AL59" s="558">
        <f t="shared" si="6"/>
        <v>17252.640450318188</v>
      </c>
      <c r="AM59"/>
      <c r="AN59" s="162">
        <f>INDEX('(2.2)_Forward_Price_Curve'!$G:$G,MATCH($AB59,'(2.2)_Forward_Price_Curve'!$C:$C,0),1)</f>
        <v>7.2385291666666687</v>
      </c>
      <c r="AO59"/>
      <c r="AP59" s="555">
        <f t="shared" si="20"/>
        <v>52.678212947584854</v>
      </c>
      <c r="AQ59"/>
      <c r="AR59" s="555">
        <f t="shared" si="24"/>
        <v>3.3401876512516617</v>
      </c>
      <c r="AS59" s="555"/>
      <c r="AT59" s="558">
        <f t="shared" si="7"/>
        <v>6484.7688439347858</v>
      </c>
      <c r="AU59"/>
      <c r="AV59" s="558">
        <f t="shared" si="3"/>
        <v>24088.192349502693</v>
      </c>
      <c r="AW59" s="560"/>
      <c r="AX59" s="561">
        <f t="shared" si="8"/>
        <v>30572.961193437477</v>
      </c>
      <c r="AY59"/>
      <c r="AZ59" s="430">
        <f>+IF(AZ58&gt;$I$13+$I$14,XX,AZ58+1)</f>
        <v>2041</v>
      </c>
      <c r="BA59" s="503"/>
      <c r="BB59" s="555">
        <f t="shared" si="17"/>
        <v>116.44895740253526</v>
      </c>
      <c r="BC59"/>
      <c r="BD59" s="555">
        <f t="shared" si="18"/>
        <v>7.6678497343861061</v>
      </c>
      <c r="BE59"/>
      <c r="BF59" s="558">
        <f t="shared" si="9"/>
        <v>10767.871606383402</v>
      </c>
      <c r="BG59" s="3"/>
      <c r="BH59" s="165"/>
    </row>
    <row r="60" spans="2:60" ht="12">
      <c r="B60" s="2"/>
      <c r="C60" s="6">
        <f t="shared" si="30"/>
        <v>2042</v>
      </c>
      <c r="D60" s="6"/>
      <c r="E60" s="292">
        <f>+INDEX('(2.2)_Forward_Price_Curve'!$R:$R,MATCH($C60,'(2.2)_Forward_Price_Curve'!C:C,0))</f>
        <v>1.7999999999999999E-2</v>
      </c>
      <c r="F60" s="6"/>
      <c r="G60" s="734">
        <v>430004.99999999994</v>
      </c>
      <c r="H60" s="6"/>
      <c r="I60" s="726">
        <v>125.45395295847381</v>
      </c>
      <c r="J60" s="6"/>
      <c r="K60" s="726">
        <v>22.884570922076581</v>
      </c>
      <c r="L60" s="6"/>
      <c r="M60" s="30">
        <f t="shared" si="12"/>
        <v>0</v>
      </c>
      <c r="N60" s="6"/>
      <c r="O60" s="737">
        <v>1.0199999999999998</v>
      </c>
      <c r="P60" s="6"/>
      <c r="Q60" s="30"/>
      <c r="R60" s="6"/>
      <c r="S60" s="20">
        <f t="shared" si="25"/>
        <v>24204.47379773813</v>
      </c>
      <c r="T60" s="6"/>
      <c r="U60" s="20">
        <f t="shared" si="26"/>
        <v>31236.485973298491</v>
      </c>
      <c r="V60" s="6"/>
      <c r="W60" s="20">
        <f t="shared" si="27"/>
        <v>-7032.0121755603614</v>
      </c>
      <c r="X60" s="6"/>
      <c r="Y60" s="296">
        <f t="shared" si="28"/>
        <v>-16.353326532390003</v>
      </c>
      <c r="Z60" s="255"/>
      <c r="AB60" s="154">
        <f t="shared" si="31"/>
        <v>2042</v>
      </c>
      <c r="AC60" s="124"/>
      <c r="AD60" s="159">
        <f t="shared" si="29"/>
        <v>430004.99999999994</v>
      </c>
      <c r="AE60" s="3"/>
      <c r="AF60" s="555">
        <f t="shared" si="21"/>
        <v>147.40958703349662</v>
      </c>
      <c r="AG60"/>
      <c r="AH60" s="555">
        <f t="shared" si="22"/>
        <v>29.526780718846833</v>
      </c>
      <c r="AI60"/>
      <c r="AJ60" s="555">
        <f t="shared" si="23"/>
        <v>3.0132675747716098</v>
      </c>
      <c r="AK60"/>
      <c r="AL60" s="558">
        <f t="shared" si="6"/>
        <v>17563.187978423917</v>
      </c>
      <c r="AM60"/>
      <c r="AN60" s="162">
        <f>INDEX('(2.2)_Forward_Price_Curve'!$G:$G,MATCH($AB60,'(2.2)_Forward_Price_Curve'!$C:$C,0),1)</f>
        <v>7.4050000000000002</v>
      </c>
      <c r="AO60"/>
      <c r="AP60" s="555">
        <f t="shared" si="20"/>
        <v>53.889700227110929</v>
      </c>
      <c r="AQ60"/>
      <c r="AR60" s="555">
        <f t="shared" si="24"/>
        <v>3.4003110289741918</v>
      </c>
      <c r="AS60" s="555"/>
      <c r="AT60" s="558">
        <f t="shared" si="7"/>
        <v>6601.4946831256129</v>
      </c>
      <c r="AU60"/>
      <c r="AV60" s="558">
        <f t="shared" si="3"/>
        <v>24634.991290172879</v>
      </c>
      <c r="AW60" s="560"/>
      <c r="AX60" s="561">
        <f t="shared" si="8"/>
        <v>31236.485973298491</v>
      </c>
      <c r="AY60"/>
      <c r="AZ60" s="430">
        <f>+IF(AZ59&gt;$I$13+$I$14,XX,AZ59+1)</f>
        <v>2042</v>
      </c>
      <c r="BA60" s="503"/>
      <c r="BB60" s="555">
        <f t="shared" si="17"/>
        <v>118.5450386357809</v>
      </c>
      <c r="BC60"/>
      <c r="BD60" s="555">
        <f t="shared" si="18"/>
        <v>7.805871029605056</v>
      </c>
      <c r="BE60"/>
      <c r="BF60" s="558">
        <f t="shared" si="9"/>
        <v>10961.693295298304</v>
      </c>
      <c r="BG60" s="3"/>
      <c r="BH60" s="165"/>
    </row>
    <row r="61" spans="2:60" ht="12">
      <c r="B61" s="2"/>
      <c r="C61" s="6">
        <f t="shared" si="30"/>
        <v>2043</v>
      </c>
      <c r="D61" s="6"/>
      <c r="E61" s="292">
        <f>+INDEX('(2.2)_Forward_Price_Curve'!$R:$R,MATCH($C61,'(2.2)_Forward_Price_Curve'!C:C,0))</f>
        <v>1.7999999999999999E-2</v>
      </c>
      <c r="F61" s="6"/>
      <c r="G61" s="734">
        <v>430004.99999999994</v>
      </c>
      <c r="H61" s="6"/>
      <c r="I61" s="726">
        <v>127.83757806468481</v>
      </c>
      <c r="J61" s="6"/>
      <c r="K61" s="726">
        <v>23.410916053284335</v>
      </c>
      <c r="L61" s="6"/>
      <c r="M61" s="30">
        <f t="shared" si="12"/>
        <v>0</v>
      </c>
      <c r="N61" s="6"/>
      <c r="O61" s="737">
        <v>1.05</v>
      </c>
      <c r="P61" s="6"/>
      <c r="Q61" s="30"/>
      <c r="R61" s="6"/>
      <c r="S61" s="20">
        <f t="shared" si="25"/>
        <v>24708.287372672545</v>
      </c>
      <c r="T61" s="6"/>
      <c r="U61" s="20">
        <f t="shared" si="26"/>
        <v>31891.434083002499</v>
      </c>
      <c r="V61" s="6"/>
      <c r="W61" s="20">
        <f t="shared" si="27"/>
        <v>-7183.1467103299547</v>
      </c>
      <c r="X61" s="6"/>
      <c r="Y61" s="296">
        <f t="shared" si="28"/>
        <v>-16.704798107766084</v>
      </c>
      <c r="Z61" s="255"/>
      <c r="AB61" s="154">
        <f t="shared" si="31"/>
        <v>2043</v>
      </c>
      <c r="AC61" s="124"/>
      <c r="AD61" s="159">
        <f t="shared" si="29"/>
        <v>430004.99999999994</v>
      </c>
      <c r="AE61" s="3"/>
      <c r="AF61" s="555">
        <f t="shared" si="21"/>
        <v>150.06295960009956</v>
      </c>
      <c r="AG61"/>
      <c r="AH61" s="555">
        <f t="shared" si="22"/>
        <v>30.058262771786076</v>
      </c>
      <c r="AI61"/>
      <c r="AJ61" s="555">
        <f t="shared" si="23"/>
        <v>3.0675063911174987</v>
      </c>
      <c r="AK61"/>
      <c r="AL61" s="558">
        <f t="shared" si="6"/>
        <v>17879.325362035546</v>
      </c>
      <c r="AM61"/>
      <c r="AN61" s="162">
        <f>INDEX('(2.2)_Forward_Price_Curve'!$G:$G,MATCH($AB61,'(2.2)_Forward_Price_Curve'!$C:$C,0),1)</f>
        <v>7.5679100000000004</v>
      </c>
      <c r="AO61"/>
      <c r="AP61" s="555">
        <f t="shared" si="20"/>
        <v>55.075273632107368</v>
      </c>
      <c r="AQ61"/>
      <c r="AR61" s="555">
        <f t="shared" si="24"/>
        <v>3.4615166274957274</v>
      </c>
      <c r="AS61" s="555"/>
      <c r="AT61" s="558">
        <f t="shared" si="7"/>
        <v>6720.3215874218731</v>
      </c>
      <c r="AU61"/>
      <c r="AV61" s="558">
        <f t="shared" si="3"/>
        <v>25171.112495580626</v>
      </c>
      <c r="AW61" s="560"/>
      <c r="AX61" s="561">
        <f t="shared" si="8"/>
        <v>31891.434083002499</v>
      </c>
      <c r="AY61"/>
      <c r="AZ61" s="430">
        <f>+IF(AZ60&gt;$I$13+$I$14,XX,AZ60+1)</f>
        <v>2043</v>
      </c>
      <c r="BA61" s="503"/>
      <c r="BB61" s="555">
        <f t="shared" si="17"/>
        <v>120.67884933122495</v>
      </c>
      <c r="BC61"/>
      <c r="BD61" s="555">
        <f t="shared" si="18"/>
        <v>7.9463767081379473</v>
      </c>
      <c r="BE61"/>
      <c r="BF61" s="558">
        <f t="shared" si="9"/>
        <v>11159.003774613673</v>
      </c>
      <c r="BG61" s="3"/>
      <c r="BH61" s="165"/>
    </row>
    <row r="62" spans="2:60" ht="12">
      <c r="B62" s="2"/>
      <c r="C62" s="6">
        <f t="shared" si="30"/>
        <v>2044</v>
      </c>
      <c r="D62" s="6"/>
      <c r="E62" s="292">
        <f>+INDEX('(2.2)_Forward_Price_Curve'!$R:$R,MATCH($C62,'(2.2)_Forward_Price_Curve'!C:C,0))</f>
        <v>1.7999999999999999E-2</v>
      </c>
      <c r="F62" s="6"/>
      <c r="G62" s="734">
        <v>430004.99999999994</v>
      </c>
      <c r="H62" s="6"/>
      <c r="I62" s="726">
        <v>130.2664920479138</v>
      </c>
      <c r="J62" s="6"/>
      <c r="K62" s="726">
        <v>24.014981826955104</v>
      </c>
      <c r="L62" s="6"/>
      <c r="M62" s="30">
        <f t="shared" si="12"/>
        <v>0</v>
      </c>
      <c r="N62" s="6"/>
      <c r="O62" s="737">
        <v>1.0700000000000003</v>
      </c>
      <c r="P62" s="6"/>
      <c r="Q62" s="30"/>
      <c r="R62" s="6"/>
      <c r="S62" s="20">
        <f t="shared" si="25"/>
        <v>25246.248227818262</v>
      </c>
      <c r="T62" s="6"/>
      <c r="U62" s="20">
        <f t="shared" si="26"/>
        <v>32560.210468649238</v>
      </c>
      <c r="V62" s="6"/>
      <c r="W62" s="20">
        <f t="shared" si="27"/>
        <v>-7313.962240830977</v>
      </c>
      <c r="X62" s="6"/>
      <c r="Y62" s="296">
        <f t="shared" si="28"/>
        <v>-17.009016734296061</v>
      </c>
      <c r="Z62" s="255"/>
      <c r="AB62" s="154">
        <f t="shared" si="31"/>
        <v>2044</v>
      </c>
      <c r="AC62" s="124"/>
      <c r="AD62" s="159">
        <f t="shared" si="29"/>
        <v>430004.99999999994</v>
      </c>
      <c r="AE62" s="3"/>
      <c r="AF62" s="555">
        <f t="shared" si="21"/>
        <v>152.76409287290136</v>
      </c>
      <c r="AG62"/>
      <c r="AH62" s="555">
        <f t="shared" si="22"/>
        <v>30.599311501678226</v>
      </c>
      <c r="AI62"/>
      <c r="AJ62" s="555">
        <f t="shared" si="23"/>
        <v>3.1227215061576139</v>
      </c>
      <c r="AK62"/>
      <c r="AL62" s="558">
        <f t="shared" si="6"/>
        <v>18201.153218552183</v>
      </c>
      <c r="AM62"/>
      <c r="AN62" s="162">
        <f>INDEX('(2.2)_Forward_Price_Curve'!$G:$G,MATCH($AB62,'(2.2)_Forward_Price_Curve'!$C:$C,0),1)</f>
        <v>7.7344040200000004</v>
      </c>
      <c r="AO62"/>
      <c r="AP62" s="555">
        <f t="shared" si="20"/>
        <v>56.286929652013733</v>
      </c>
      <c r="AQ62"/>
      <c r="AR62" s="555">
        <f t="shared" si="24"/>
        <v>3.5238239267906506</v>
      </c>
      <c r="AS62" s="555"/>
      <c r="AT62" s="558">
        <f t="shared" si="7"/>
        <v>6841.2873759954637</v>
      </c>
      <c r="AU62"/>
      <c r="AV62" s="558">
        <f t="shared" si="3"/>
        <v>25718.923092653775</v>
      </c>
      <c r="AW62" s="560"/>
      <c r="AX62" s="561">
        <f t="shared" si="8"/>
        <v>32560.210468649238</v>
      </c>
      <c r="AY62"/>
      <c r="AZ62" s="430">
        <f>+IF(AZ61&gt;$I$13+$I$14,XX,AZ61+1)</f>
        <v>2044</v>
      </c>
      <c r="BA62" s="503"/>
      <c r="BB62" s="555">
        <f t="shared" si="17"/>
        <v>122.851068619187</v>
      </c>
      <c r="BC62"/>
      <c r="BD62" s="555">
        <f t="shared" si="18"/>
        <v>8.08941148888443</v>
      </c>
      <c r="BE62"/>
      <c r="BF62" s="558">
        <f t="shared" si="9"/>
        <v>11359.865842556719</v>
      </c>
      <c r="BG62" s="3"/>
      <c r="BH62" s="165"/>
    </row>
    <row r="63" spans="2:60" ht="12">
      <c r="B63" s="2"/>
      <c r="C63" s="6">
        <f t="shared" si="30"/>
        <v>2045</v>
      </c>
      <c r="D63" s="6"/>
      <c r="E63" s="292">
        <f>+INDEX('(2.2)_Forward_Price_Curve'!$R:$R,MATCH($C63,'(2.2)_Forward_Price_Curve'!C:C,0))</f>
        <v>1.7999999999999999E-2</v>
      </c>
      <c r="F63" s="6"/>
      <c r="G63" s="734">
        <v>430004.99999999994</v>
      </c>
      <c r="H63" s="6"/>
      <c r="I63" s="726">
        <v>132.74155539682417</v>
      </c>
      <c r="J63" s="6"/>
      <c r="K63" s="726">
        <v>24.500202566327598</v>
      </c>
      <c r="L63" s="6"/>
      <c r="M63" s="30">
        <f t="shared" si="12"/>
        <v>0</v>
      </c>
      <c r="N63" s="6"/>
      <c r="O63" s="737">
        <v>1.1000000000000001</v>
      </c>
      <c r="P63" s="6"/>
      <c r="Q63" s="30"/>
      <c r="R63" s="6"/>
      <c r="S63" s="20">
        <f t="shared" si="25"/>
        <v>25742.52775358118</v>
      </c>
      <c r="T63" s="6"/>
      <c r="U63" s="20">
        <f t="shared" si="26"/>
        <v>33243.108901824991</v>
      </c>
      <c r="V63" s="6"/>
      <c r="W63" s="20">
        <f t="shared" si="27"/>
        <v>-7500.5811482438112</v>
      </c>
      <c r="X63" s="6"/>
      <c r="Y63" s="296">
        <f t="shared" si="28"/>
        <v>-17.443009146972273</v>
      </c>
      <c r="Z63" s="255"/>
      <c r="AB63" s="154">
        <f t="shared" si="31"/>
        <v>2045</v>
      </c>
      <c r="AC63" s="124"/>
      <c r="AD63" s="159">
        <f t="shared" si="29"/>
        <v>430004.99999999994</v>
      </c>
      <c r="AE63" s="3"/>
      <c r="AF63" s="555">
        <f t="shared" si="21"/>
        <v>155.51384654461359</v>
      </c>
      <c r="AG63"/>
      <c r="AH63" s="555">
        <f t="shared" si="22"/>
        <v>31.150099108708435</v>
      </c>
      <c r="AI63"/>
      <c r="AJ63" s="555">
        <f t="shared" si="23"/>
        <v>3.1789304932684508</v>
      </c>
      <c r="AK63"/>
      <c r="AL63" s="558">
        <f t="shared" si="6"/>
        <v>18528.773976486129</v>
      </c>
      <c r="AM63"/>
      <c r="AN63" s="162">
        <f>INDEX('(2.2)_Forward_Price_Curve'!$G:$G,MATCH($AB63,'(2.2)_Forward_Price_Curve'!$C:$C,0),1)</f>
        <v>7.9045609084400006</v>
      </c>
      <c r="AO63"/>
      <c r="AP63" s="555">
        <f t="shared" si="20"/>
        <v>57.525242104358036</v>
      </c>
      <c r="AQ63"/>
      <c r="AR63" s="555">
        <f t="shared" si="24"/>
        <v>3.5872527574728825</v>
      </c>
      <c r="AS63" s="555"/>
      <c r="AT63" s="558">
        <f t="shared" si="7"/>
        <v>6964.4305487633883</v>
      </c>
      <c r="AU63"/>
      <c r="AV63" s="558">
        <f t="shared" si="3"/>
        <v>26278.678353061601</v>
      </c>
      <c r="AW63" s="560"/>
      <c r="AX63" s="561">
        <f t="shared" si="8"/>
        <v>33243.108901824991</v>
      </c>
      <c r="AY63"/>
      <c r="AZ63" s="430">
        <f>+IF(AZ62&gt;$I$13+$I$14,XX,AZ62+1)</f>
        <v>2045</v>
      </c>
      <c r="BA63" s="503"/>
      <c r="BB63" s="555">
        <f t="shared" si="17"/>
        <v>125.06238785433237</v>
      </c>
      <c r="BC63"/>
      <c r="BD63" s="555">
        <f t="shared" si="18"/>
        <v>8.2350208956843503</v>
      </c>
      <c r="BE63"/>
      <c r="BF63" s="558">
        <f t="shared" si="9"/>
        <v>11564.343427722741</v>
      </c>
      <c r="BG63" s="3"/>
      <c r="BH63" s="165"/>
    </row>
    <row r="64" spans="2:60" ht="11.25" customHeight="1">
      <c r="B64" s="2"/>
      <c r="C64" s="6">
        <f t="shared" si="30"/>
        <v>2046</v>
      </c>
      <c r="D64" s="6"/>
      <c r="E64" s="292">
        <f>+INDEX('(2.2)_Forward_Price_Curve'!$R:$R,MATCH($C64,'(2.2)_Forward_Price_Curve'!C:C,0))</f>
        <v>1.7999999999999999E-2</v>
      </c>
      <c r="F64" s="6"/>
      <c r="G64" s="734">
        <v>430004.99999999994</v>
      </c>
      <c r="H64" s="6"/>
      <c r="I64" s="726">
        <v>135.26364494936382</v>
      </c>
      <c r="J64" s="6"/>
      <c r="K64" s="726">
        <v>25.063707225353131</v>
      </c>
      <c r="L64" s="6"/>
      <c r="M64" s="30">
        <f t="shared" si="12"/>
        <v>0</v>
      </c>
      <c r="N64" s="6"/>
      <c r="O64" s="737">
        <v>1.1200000000000001</v>
      </c>
      <c r="P64" s="6"/>
      <c r="Q64" s="30"/>
      <c r="R64" s="6"/>
      <c r="S64" s="20">
        <f t="shared" si="25"/>
        <v>26273.389614817359</v>
      </c>
      <c r="T64" s="6"/>
      <c r="U64" s="20">
        <f t="shared" si="26"/>
        <v>33940.42942898217</v>
      </c>
      <c r="V64" s="6"/>
      <c r="W64" s="20">
        <f t="shared" si="27"/>
        <v>-7667.0398141648111</v>
      </c>
      <c r="X64" s="6"/>
      <c r="Y64" s="296">
        <f t="shared" si="28"/>
        <v>-17.83011782226907</v>
      </c>
      <c r="Z64" s="255"/>
      <c r="AB64" s="154">
        <f t="shared" si="31"/>
        <v>2046</v>
      </c>
      <c r="AC64" s="124"/>
      <c r="AD64" s="159">
        <f t="shared" si="29"/>
        <v>430004.99999999994</v>
      </c>
      <c r="AE64" s="3"/>
      <c r="AF64" s="555">
        <f t="shared" si="21"/>
        <v>158.31309578241664</v>
      </c>
      <c r="AG64"/>
      <c r="AH64" s="555">
        <f t="shared" si="22"/>
        <v>31.710800892665187</v>
      </c>
      <c r="AI64"/>
      <c r="AJ64" s="555">
        <f t="shared" si="23"/>
        <v>3.2361512421472831</v>
      </c>
      <c r="AK64"/>
      <c r="AL64" s="558">
        <f t="shared" si="6"/>
        <v>18862.291908062878</v>
      </c>
      <c r="AM64"/>
      <c r="AN64" s="162">
        <f>INDEX('(2.2)_Forward_Price_Curve'!$G:$G,MATCH($AB64,'(2.2)_Forward_Price_Curve'!$C:$C,0),1)</f>
        <v>8.0784612484256808</v>
      </c>
      <c r="AO64"/>
      <c r="AP64" s="555">
        <f t="shared" si="20"/>
        <v>58.79079743065391</v>
      </c>
      <c r="AQ64"/>
      <c r="AR64" s="555">
        <f t="shared" si="24"/>
        <v>3.6518233071073944</v>
      </c>
      <c r="AS64" s="555"/>
      <c r="AT64" s="558">
        <f t="shared" si="7"/>
        <v>7089.7902986411282</v>
      </c>
      <c r="AU64"/>
      <c r="AV64" s="558">
        <f t="shared" si="3"/>
        <v>26850.639130341046</v>
      </c>
      <c r="AW64" s="560"/>
      <c r="AX64" s="561">
        <f t="shared" si="8"/>
        <v>33940.42942898217</v>
      </c>
      <c r="AY64"/>
      <c r="AZ64" s="430">
        <f>+IF(AZ63&gt;$I$13+$I$14,XX,AZ63+1)</f>
        <v>2046</v>
      </c>
      <c r="BA64" s="503"/>
      <c r="BB64" s="555">
        <f t="shared" si="17"/>
        <v>127.31351083571036</v>
      </c>
      <c r="BC64"/>
      <c r="BD64" s="555">
        <f t="shared" si="18"/>
        <v>8.3832512718066692</v>
      </c>
      <c r="BE64"/>
      <c r="BF64" s="558">
        <f t="shared" si="9"/>
        <v>11772.50160942175</v>
      </c>
      <c r="BG64" s="3"/>
      <c r="BH64" s="165"/>
    </row>
    <row r="65" spans="2:60" ht="12">
      <c r="B65" s="2"/>
      <c r="C65" s="6">
        <f>C64+1</f>
        <v>2047</v>
      </c>
      <c r="D65" s="6"/>
      <c r="E65" s="292">
        <f>+INDEX('(2.2)_Forward_Price_Curve'!$R:$R,MATCH($C65,'(2.2)_Forward_Price_Curve'!C:C,0))</f>
        <v>1.7999999999999999E-2</v>
      </c>
      <c r="F65" s="6"/>
      <c r="G65" s="734">
        <v>430004.99999999994</v>
      </c>
      <c r="H65" s="6"/>
      <c r="I65" s="726">
        <v>137.83365420340172</v>
      </c>
      <c r="J65" s="6"/>
      <c r="K65" s="726">
        <v>25.640172491536251</v>
      </c>
      <c r="L65" s="6"/>
      <c r="M65" s="30">
        <f t="shared" si="12"/>
        <v>0</v>
      </c>
      <c r="N65" s="6"/>
      <c r="O65" s="737">
        <v>1.1499999999999997</v>
      </c>
      <c r="P65" s="6"/>
      <c r="Q65" s="30"/>
      <c r="R65" s="6"/>
      <c r="S65" s="20">
        <f t="shared" ref="S65:S68" si="32">(I65*$G$11*1000+(K65+M65+O65+Q65)*G65)/1000</f>
        <v>26819.443738800634</v>
      </c>
      <c r="T65" s="6"/>
      <c r="U65" s="20">
        <f t="shared" si="26"/>
        <v>34652.478506100531</v>
      </c>
      <c r="V65" s="6"/>
      <c r="W65" s="20">
        <f t="shared" ref="W65:W68" si="33">S65-U65</f>
        <v>-7833.0347672998978</v>
      </c>
      <c r="X65" s="6"/>
      <c r="Y65" s="296">
        <f t="shared" ref="Y65:Y68" si="34">+W65*1000/G65</f>
        <v>-18.216148108277576</v>
      </c>
      <c r="Z65" s="255"/>
      <c r="AB65" s="154">
        <f t="shared" si="31"/>
        <v>2047</v>
      </c>
      <c r="AC65" s="124"/>
      <c r="AD65" s="159">
        <f t="shared" ref="AD65:AD68" si="35">G65</f>
        <v>430004.99999999994</v>
      </c>
      <c r="AE65" s="3"/>
      <c r="AF65" s="555">
        <f t="shared" si="21"/>
        <v>161.16273150650014</v>
      </c>
      <c r="AG65"/>
      <c r="AH65" s="555">
        <f t="shared" si="22"/>
        <v>32.281595308733159</v>
      </c>
      <c r="AI65"/>
      <c r="AJ65" s="555">
        <f t="shared" si="23"/>
        <v>3.2944019645059344</v>
      </c>
      <c r="AK65"/>
      <c r="AL65" s="558">
        <f t="shared" si="6"/>
        <v>19201.813162408009</v>
      </c>
      <c r="AM65"/>
      <c r="AN65" s="162">
        <f>INDEX('(2.2)_Forward_Price_Curve'!$G:$G,MATCH($AB65,'(2.2)_Forward_Price_Curve'!$C:$C,0),1)</f>
        <v>8.2561873958910468</v>
      </c>
      <c r="AO65"/>
      <c r="AP65" s="555">
        <f t="shared" si="20"/>
        <v>60.084194974128309</v>
      </c>
      <c r="AQ65"/>
      <c r="AR65" s="555">
        <f t="shared" si="24"/>
        <v>3.7175561266353276</v>
      </c>
      <c r="AS65" s="555"/>
      <c r="AT65" s="558">
        <f t="shared" si="7"/>
        <v>7217.4065240166692</v>
      </c>
      <c r="AU65"/>
      <c r="AV65" s="558">
        <f t="shared" si="3"/>
        <v>27435.071982083864</v>
      </c>
      <c r="AW65" s="560"/>
      <c r="AX65" s="561">
        <f t="shared" si="8"/>
        <v>34652.478506100531</v>
      </c>
      <c r="AY65"/>
      <c r="AZ65" s="430">
        <f>+IF(AZ64&gt;$I$13+$I$14,XX,AZ64+1)</f>
        <v>2047</v>
      </c>
      <c r="BA65" s="503"/>
      <c r="BB65" s="555">
        <f t="shared" si="17"/>
        <v>129.60515403075314</v>
      </c>
      <c r="BC65"/>
      <c r="BD65" s="555">
        <f t="shared" si="18"/>
        <v>8.5341497946991893</v>
      </c>
      <c r="BE65"/>
      <c r="BF65" s="558">
        <f t="shared" si="9"/>
        <v>11984.40663839134</v>
      </c>
      <c r="BG65" s="3"/>
      <c r="BH65" s="165"/>
    </row>
    <row r="66" spans="2:60" ht="12">
      <c r="B66" s="2"/>
      <c r="C66" s="6">
        <f t="shared" si="30"/>
        <v>2048</v>
      </c>
      <c r="D66" s="6"/>
      <c r="E66" s="292">
        <f>+INDEX('(2.2)_Forward_Price_Curve'!$R:$R,MATCH($C66,'(2.2)_Forward_Price_Curve'!C:C,0))</f>
        <v>1.7999999999999999E-2</v>
      </c>
      <c r="F66" s="6"/>
      <c r="G66" s="734">
        <v>430004.99999999994</v>
      </c>
      <c r="H66" s="6"/>
      <c r="I66" s="726">
        <v>140.45249363326633</v>
      </c>
      <c r="J66" s="6"/>
      <c r="K66" s="726">
        <v>26.301759188865805</v>
      </c>
      <c r="L66" s="6"/>
      <c r="M66" s="30">
        <f t="shared" si="12"/>
        <v>0</v>
      </c>
      <c r="N66" s="6"/>
      <c r="O66" s="737">
        <v>1.17</v>
      </c>
      <c r="P66" s="6"/>
      <c r="Q66" s="30"/>
      <c r="R66" s="6"/>
      <c r="S66" s="20">
        <f t="shared" si="32"/>
        <v>27403.220603300804</v>
      </c>
      <c r="T66" s="6"/>
      <c r="U66" s="20">
        <f t="shared" si="26"/>
        <v>35379.569136249745</v>
      </c>
      <c r="V66" s="6"/>
      <c r="W66" s="20">
        <f t="shared" si="33"/>
        <v>-7976.3485329489413</v>
      </c>
      <c r="X66" s="6"/>
      <c r="Y66" s="296">
        <f t="shared" si="34"/>
        <v>-18.549432059973586</v>
      </c>
      <c r="Z66" s="255"/>
      <c r="AB66" s="154">
        <f t="shared" si="31"/>
        <v>2048</v>
      </c>
      <c r="AC66" s="124"/>
      <c r="AD66" s="159">
        <f t="shared" si="35"/>
        <v>430004.99999999994</v>
      </c>
      <c r="AE66" s="3"/>
      <c r="AF66" s="555">
        <f t="shared" si="21"/>
        <v>164.06366067361714</v>
      </c>
      <c r="AG66"/>
      <c r="AH66" s="555">
        <f t="shared" si="22"/>
        <v>32.862664024290353</v>
      </c>
      <c r="AI66"/>
      <c r="AJ66" s="555">
        <f t="shared" si="23"/>
        <v>3.3537011998670412</v>
      </c>
      <c r="AK66"/>
      <c r="AL66" s="558">
        <f t="shared" si="6"/>
        <v>19547.445799331352</v>
      </c>
      <c r="AM66"/>
      <c r="AN66" s="162">
        <f>INDEX('(2.2)_Forward_Price_Curve'!$G:$G,MATCH($AB66,'(2.2)_Forward_Price_Curve'!$C:$C,0),1)</f>
        <v>8.4378235186006503</v>
      </c>
      <c r="AO66"/>
      <c r="AP66" s="555">
        <f t="shared" si="20"/>
        <v>61.406047263559138</v>
      </c>
      <c r="AQ66"/>
      <c r="AR66" s="555">
        <f t="shared" si="24"/>
        <v>3.7844721369147636</v>
      </c>
      <c r="AS66" s="555"/>
      <c r="AT66" s="558">
        <f t="shared" si="7"/>
        <v>7347.3198414489671</v>
      </c>
      <c r="AU66"/>
      <c r="AV66" s="558">
        <f t="shared" si="3"/>
        <v>28032.249294800778</v>
      </c>
      <c r="AW66" s="560"/>
      <c r="AX66" s="561">
        <f t="shared" si="8"/>
        <v>35379.569136249745</v>
      </c>
      <c r="AY66"/>
      <c r="AZ66" s="430">
        <f>+IF(AZ65&gt;$I$13+$I$14,XX,AZ65+1)</f>
        <v>2048</v>
      </c>
      <c r="BA66" s="503"/>
      <c r="BB66" s="555">
        <f t="shared" si="17"/>
        <v>131.93804680330669</v>
      </c>
      <c r="BC66"/>
      <c r="BD66" s="555">
        <f t="shared" si="18"/>
        <v>8.6877644910037741</v>
      </c>
      <c r="BE66"/>
      <c r="BF66" s="558">
        <f t="shared" si="9"/>
        <v>12200.125957882385</v>
      </c>
      <c r="BG66" s="3"/>
      <c r="BH66" s="165"/>
    </row>
    <row r="67" spans="2:60" ht="12">
      <c r="B67" s="2"/>
      <c r="C67" s="6">
        <f t="shared" si="30"/>
        <v>2049</v>
      </c>
      <c r="D67" s="6"/>
      <c r="E67" s="292">
        <f>+INDEX('(2.2)_Forward_Price_Curve'!$R:$R,MATCH($C67,'(2.2)_Forward_Price_Curve'!C:C,0))</f>
        <v>1.7999999999999999E-2</v>
      </c>
      <c r="F67" s="6"/>
      <c r="G67" s="734">
        <v>430004.99999999994</v>
      </c>
      <c r="H67" s="6"/>
      <c r="I67" s="726">
        <v>143.12109101229842</v>
      </c>
      <c r="J67" s="6"/>
      <c r="K67" s="726">
        <v>26.833184077394939</v>
      </c>
      <c r="L67" s="6"/>
      <c r="M67" s="30">
        <f t="shared" si="12"/>
        <v>0</v>
      </c>
      <c r="N67" s="6"/>
      <c r="O67" s="737">
        <v>1.2000000000000002</v>
      </c>
      <c r="P67" s="6"/>
      <c r="Q67" s="30"/>
      <c r="R67" s="6"/>
      <c r="S67" s="20">
        <f t="shared" si="32"/>
        <v>27940.85042156533</v>
      </c>
      <c r="T67" s="6"/>
      <c r="U67" s="20">
        <f t="shared" si="26"/>
        <v>36122.021010116507</v>
      </c>
      <c r="V67" s="6"/>
      <c r="W67" s="20">
        <f t="shared" si="33"/>
        <v>-8181.1705885511765</v>
      </c>
      <c r="X67" s="6"/>
      <c r="Y67" s="296">
        <f t="shared" si="34"/>
        <v>-19.025756883178516</v>
      </c>
      <c r="Z67" s="255"/>
      <c r="AB67" s="154">
        <f t="shared" si="31"/>
        <v>2049</v>
      </c>
      <c r="AC67" s="124"/>
      <c r="AD67" s="159">
        <f t="shared" si="35"/>
        <v>430004.99999999994</v>
      </c>
      <c r="AE67" s="3"/>
      <c r="AF67" s="555">
        <f t="shared" si="21"/>
        <v>167.01680656574226</v>
      </c>
      <c r="AG67"/>
      <c r="AH67" s="555">
        <f t="shared" si="22"/>
        <v>33.454191976727579</v>
      </c>
      <c r="AI67"/>
      <c r="AJ67" s="555">
        <f t="shared" si="23"/>
        <v>3.414067821464648</v>
      </c>
      <c r="AK67"/>
      <c r="AL67" s="558">
        <f>((AF67+AH67)*$AF$11*1000+AJ67*AD67)/1000</f>
        <v>19899.299823719321</v>
      </c>
      <c r="AM67"/>
      <c r="AN67" s="162">
        <f>INDEX('(2.2)_Forward_Price_Curve'!$G:$G,MATCH($AB67,'(2.2)_Forward_Price_Curve'!$C:$C,0),1)</f>
        <v>8.6234556360098651</v>
      </c>
      <c r="AO67"/>
      <c r="AP67" s="555">
        <f t="shared" si="20"/>
        <v>62.756980303357437</v>
      </c>
      <c r="AQ67"/>
      <c r="AR67" s="555">
        <f t="shared" si="24"/>
        <v>3.8525926353792292</v>
      </c>
      <c r="AS67" s="555"/>
      <c r="AT67" s="558">
        <f t="shared" si="7"/>
        <v>7479.5715985950519</v>
      </c>
      <c r="AU67"/>
      <c r="AV67" s="558">
        <f t="shared" si="3"/>
        <v>28642.449411521455</v>
      </c>
      <c r="AW67" s="560"/>
      <c r="AX67" s="561">
        <f t="shared" si="8"/>
        <v>36122.021010116507</v>
      </c>
      <c r="AY67"/>
      <c r="AZ67" s="430">
        <f>+IF(AZ66&gt;$I$13+$I$14,XX,AZ66+1)</f>
        <v>2049</v>
      </c>
      <c r="BA67" s="503"/>
      <c r="BB67" s="555">
        <f t="shared" si="17"/>
        <v>134.31293164576621</v>
      </c>
      <c r="BC67"/>
      <c r="BD67" s="555">
        <f t="shared" si="18"/>
        <v>8.8441442518418416</v>
      </c>
      <c r="BE67"/>
      <c r="BF67" s="558">
        <f t="shared" si="9"/>
        <v>12419.728225124269</v>
      </c>
      <c r="BG67" s="3"/>
      <c r="BH67" s="165"/>
    </row>
    <row r="68" spans="2:60" ht="12">
      <c r="B68" s="2"/>
      <c r="C68" s="6">
        <f t="shared" si="30"/>
        <v>2050</v>
      </c>
      <c r="D68" s="6"/>
      <c r="E68" s="292">
        <f>+INDEX('(2.2)_Forward_Price_Curve'!$R:$R,MATCH($C68,'(2.2)_Forward_Price_Curve'!C:C,0))</f>
        <v>1.7999999999999999E-2</v>
      </c>
      <c r="F68" s="6"/>
      <c r="G68" s="734">
        <v>394171.24999999994</v>
      </c>
      <c r="H68" s="6"/>
      <c r="I68" s="726">
        <v>133.68702576307106</v>
      </c>
      <c r="J68" s="6"/>
      <c r="K68" s="726">
        <v>25.162818368577099</v>
      </c>
      <c r="L68" s="6"/>
      <c r="M68" s="30">
        <f t="shared" si="12"/>
        <v>0</v>
      </c>
      <c r="N68" s="6"/>
      <c r="O68" s="737">
        <v>1.2228000000000001</v>
      </c>
      <c r="P68" s="6"/>
      <c r="Q68" s="30"/>
      <c r="R68" s="6"/>
      <c r="S68" s="20">
        <f t="shared" si="32"/>
        <v>25239.71203406588</v>
      </c>
      <c r="T68" s="6"/>
      <c r="U68" s="20">
        <f t="shared" si="26"/>
        <v>28846.141736076635</v>
      </c>
      <c r="V68" s="6"/>
      <c r="W68" s="20">
        <f t="shared" si="33"/>
        <v>-3606.4297020107551</v>
      </c>
      <c r="X68" s="6"/>
      <c r="Y68" s="296">
        <f t="shared" si="34"/>
        <v>-9.1493981410637009</v>
      </c>
      <c r="Z68" s="255"/>
      <c r="AB68" s="154">
        <f t="shared" si="31"/>
        <v>2050</v>
      </c>
      <c r="AC68" s="124"/>
      <c r="AD68" s="159">
        <f t="shared" si="35"/>
        <v>394171.24999999994</v>
      </c>
      <c r="AE68" s="3"/>
      <c r="AF68" s="555">
        <f t="shared" si="21"/>
        <v>170.02310908392562</v>
      </c>
      <c r="AG68"/>
      <c r="AH68" s="555">
        <f t="shared" si="22"/>
        <v>34.056367432308676</v>
      </c>
      <c r="AI68"/>
      <c r="AJ68" s="555">
        <f t="shared" si="23"/>
        <v>3.4755210422510117</v>
      </c>
      <c r="AK68"/>
      <c r="AL68" s="558">
        <f>((AF68+AH68)*$AR$11*1000+AJ68*AD68)/1000</f>
        <v>14662.29803724544</v>
      </c>
      <c r="AM68"/>
      <c r="AN68" s="162">
        <f>INDEX('(2.2)_Forward_Price_Curve'!$G:$G,MATCH($AB68,'(2.2)_Forward_Price_Curve'!$C:$C,0),1)</f>
        <v>8.813171660002082</v>
      </c>
      <c r="AO68"/>
      <c r="AP68" s="555">
        <f t="shared" si="20"/>
        <v>64.137633870031294</v>
      </c>
      <c r="AQ68"/>
      <c r="AR68" s="555">
        <f t="shared" si="24"/>
        <v>3.9219393028160554</v>
      </c>
      <c r="AS68" s="555"/>
      <c r="AT68" s="558">
        <f t="shared" si="7"/>
        <v>2019.0147040689353</v>
      </c>
      <c r="AU68"/>
      <c r="AV68" s="558">
        <f t="shared" si="3"/>
        <v>26827.127032007702</v>
      </c>
      <c r="AW68" s="560"/>
      <c r="AX68" s="561">
        <f t="shared" si="8"/>
        <v>28846.141736076635</v>
      </c>
      <c r="AY68"/>
      <c r="AZ68" s="430">
        <f>+IF(AZ67&gt;$I$13+$I$14,XX,AZ67+1)</f>
        <v>2050</v>
      </c>
      <c r="BA68" s="503"/>
      <c r="BB68" s="555">
        <f t="shared" si="17"/>
        <v>136.73056441539001</v>
      </c>
      <c r="BC68"/>
      <c r="BD68" s="555">
        <f t="shared" si="18"/>
        <v>9.0033388483749945</v>
      </c>
      <c r="BE68"/>
      <c r="BF68" s="558">
        <f t="shared" si="9"/>
        <v>12643.283333176505</v>
      </c>
      <c r="BG68" s="3"/>
      <c r="BH68" s="165"/>
    </row>
    <row r="69" spans="2:60" ht="12">
      <c r="B69" s="2"/>
      <c r="C69" s="6"/>
      <c r="D69" s="6"/>
      <c r="E69" s="292"/>
      <c r="F69" s="6"/>
      <c r="G69" s="20"/>
      <c r="H69" s="6"/>
      <c r="I69" s="30"/>
      <c r="J69" s="6"/>
      <c r="K69" s="30"/>
      <c r="L69" s="6"/>
      <c r="M69" s="30"/>
      <c r="N69" s="6"/>
      <c r="O69" s="295"/>
      <c r="P69" s="6"/>
      <c r="Q69" s="30" t="s">
        <v>299</v>
      </c>
      <c r="R69" s="6"/>
      <c r="S69" s="20"/>
      <c r="T69" s="6"/>
      <c r="U69" s="20"/>
      <c r="V69" s="6"/>
      <c r="W69" s="20"/>
      <c r="X69" s="6"/>
      <c r="Y69" s="296"/>
      <c r="Z69" s="255"/>
      <c r="AB69" s="154"/>
      <c r="AC69" s="124"/>
      <c r="AD69" s="159"/>
      <c r="AE69" s="3"/>
      <c r="AF69" s="162"/>
      <c r="AG69" s="3"/>
      <c r="AH69" s="162"/>
      <c r="AI69" s="3"/>
      <c r="AJ69" s="162"/>
      <c r="AK69" s="3"/>
      <c r="AL69" s="161"/>
      <c r="AM69" s="3"/>
      <c r="AN69" s="162"/>
      <c r="AO69" s="3"/>
      <c r="AP69" s="162"/>
      <c r="AQ69" s="3"/>
      <c r="AR69" s="162"/>
      <c r="AS69" s="162"/>
      <c r="AT69" s="161"/>
      <c r="AU69" s="3"/>
      <c r="AV69" s="161"/>
      <c r="AW69" s="299"/>
      <c r="AX69" s="163"/>
      <c r="AZ69" s="154"/>
      <c r="BA69" s="124"/>
      <c r="BB69" s="162"/>
      <c r="BC69" s="3"/>
      <c r="BD69" s="162"/>
      <c r="BE69" s="3"/>
      <c r="BF69" s="161"/>
      <c r="BG69" s="3"/>
      <c r="BH69" s="165"/>
    </row>
    <row r="70" spans="2:60" ht="12">
      <c r="B70" s="2"/>
      <c r="C70" s="6"/>
      <c r="D70" s="6"/>
      <c r="E70" s="292"/>
      <c r="F70" s="6"/>
      <c r="G70" s="20"/>
      <c r="H70" s="6"/>
      <c r="I70" s="30"/>
      <c r="J70" s="6"/>
      <c r="K70" s="30"/>
      <c r="L70" s="6"/>
      <c r="M70" s="30"/>
      <c r="N70" s="6"/>
      <c r="O70" s="295"/>
      <c r="P70" s="6"/>
      <c r="Q70" s="30"/>
      <c r="R70" s="6"/>
      <c r="S70" s="20"/>
      <c r="T70" s="6"/>
      <c r="U70" s="20"/>
      <c r="V70" s="6"/>
      <c r="W70" s="20"/>
      <c r="X70" s="6"/>
      <c r="Y70" s="296"/>
      <c r="Z70" s="255"/>
      <c r="AB70" s="154"/>
      <c r="AC70" s="124"/>
      <c r="AD70" s="159"/>
      <c r="AE70" s="3"/>
      <c r="AF70" s="162"/>
      <c r="AG70" s="3"/>
      <c r="AH70" s="162"/>
      <c r="AI70" s="3"/>
      <c r="AJ70" s="162"/>
      <c r="AK70" s="3"/>
      <c r="AL70" s="161"/>
      <c r="AM70" s="3"/>
      <c r="AN70" s="162"/>
      <c r="AO70" s="3"/>
      <c r="AP70" s="162"/>
      <c r="AQ70" s="3"/>
      <c r="AR70" s="162"/>
      <c r="AS70" s="162"/>
      <c r="AT70" s="161"/>
      <c r="AU70" s="3"/>
      <c r="AV70" s="161"/>
      <c r="AW70" s="299"/>
      <c r="AX70" s="163"/>
      <c r="AZ70" s="154"/>
      <c r="BA70" s="124"/>
      <c r="BB70" s="162"/>
      <c r="BC70" s="3"/>
      <c r="BD70" s="162"/>
      <c r="BE70" s="3"/>
      <c r="BF70" s="161"/>
      <c r="BG70" s="3"/>
      <c r="BH70" s="165"/>
    </row>
    <row r="71" spans="2:60" ht="12">
      <c r="B71" s="2"/>
      <c r="C71" s="6"/>
      <c r="D71" s="6"/>
      <c r="E71" s="292"/>
      <c r="F71" s="6"/>
      <c r="G71" s="20"/>
      <c r="H71" s="6"/>
      <c r="I71" s="30"/>
      <c r="J71" s="6"/>
      <c r="K71" s="30"/>
      <c r="L71" s="6"/>
      <c r="M71" s="30"/>
      <c r="N71" s="6"/>
      <c r="O71" s="295"/>
      <c r="P71" s="6"/>
      <c r="Q71" s="30"/>
      <c r="R71" s="6"/>
      <c r="S71" s="20"/>
      <c r="T71" s="6"/>
      <c r="U71" s="20"/>
      <c r="V71" s="6"/>
      <c r="W71" s="20"/>
      <c r="X71" s="6"/>
      <c r="Y71" s="296"/>
      <c r="Z71" s="255"/>
      <c r="AB71" s="154"/>
      <c r="AC71" s="124"/>
      <c r="AD71" s="159"/>
      <c r="AE71" s="3"/>
      <c r="AF71" s="162"/>
      <c r="AG71" s="3"/>
      <c r="AH71" s="162"/>
      <c r="AI71" s="3"/>
      <c r="AJ71" s="162"/>
      <c r="AK71" s="3"/>
      <c r="AL71" s="161"/>
      <c r="AM71" s="3"/>
      <c r="AN71" s="162"/>
      <c r="AO71" s="3"/>
      <c r="AP71" s="162"/>
      <c r="AQ71" s="3"/>
      <c r="AR71" s="162"/>
      <c r="AS71" s="162"/>
      <c r="AT71" s="161"/>
      <c r="AU71" s="3"/>
      <c r="AV71" s="161"/>
      <c r="AW71" s="299"/>
      <c r="AX71" s="163"/>
      <c r="AZ71" s="154"/>
      <c r="BA71" s="124"/>
      <c r="BB71" s="162"/>
      <c r="BC71" s="3"/>
      <c r="BD71" s="162"/>
      <c r="BE71" s="3"/>
      <c r="BF71" s="161"/>
      <c r="BG71" s="3"/>
      <c r="BH71" s="165"/>
    </row>
    <row r="72" spans="2:60" ht="12">
      <c r="B72" s="2"/>
      <c r="C72" s="6"/>
      <c r="D72" s="6"/>
      <c r="E72" s="292"/>
      <c r="F72" s="6"/>
      <c r="G72" s="20"/>
      <c r="H72" s="6"/>
      <c r="I72" s="30"/>
      <c r="J72" s="6"/>
      <c r="K72" s="30"/>
      <c r="L72" s="6"/>
      <c r="M72" s="30"/>
      <c r="N72" s="6"/>
      <c r="O72" s="295"/>
      <c r="P72" s="6"/>
      <c r="Q72" s="30"/>
      <c r="R72" s="6"/>
      <c r="S72" s="20"/>
      <c r="T72" s="6"/>
      <c r="U72" s="20"/>
      <c r="V72" s="6"/>
      <c r="W72" s="20"/>
      <c r="X72" s="6"/>
      <c r="Y72" s="296"/>
      <c r="Z72" s="255"/>
      <c r="AB72" s="154"/>
      <c r="AC72" s="124"/>
      <c r="AD72" s="159"/>
      <c r="AE72" s="3"/>
      <c r="AF72" s="162"/>
      <c r="AG72" s="3"/>
      <c r="AH72" s="162"/>
      <c r="AI72" s="3"/>
      <c r="AJ72" s="162"/>
      <c r="AK72" s="3"/>
      <c r="AL72" s="161"/>
      <c r="AM72" s="3"/>
      <c r="AN72" s="162"/>
      <c r="AO72" s="3"/>
      <c r="AP72" s="162"/>
      <c r="AQ72" s="3"/>
      <c r="AR72" s="162"/>
      <c r="AS72" s="162"/>
      <c r="AT72" s="161"/>
      <c r="AU72" s="3"/>
      <c r="AV72" s="161"/>
      <c r="AW72" s="299"/>
      <c r="AX72" s="163"/>
      <c r="AZ72" s="154"/>
      <c r="BA72" s="124"/>
      <c r="BB72" s="162"/>
      <c r="BC72" s="3"/>
      <c r="BD72" s="162"/>
      <c r="BE72" s="3"/>
      <c r="BF72" s="161"/>
      <c r="BG72" s="3"/>
      <c r="BH72" s="165"/>
    </row>
    <row r="73" spans="2:60" ht="12">
      <c r="B73" s="2"/>
      <c r="C73" s="6"/>
      <c r="D73" s="6"/>
      <c r="E73" s="292"/>
      <c r="F73" s="6"/>
      <c r="G73" s="20"/>
      <c r="H73" s="6"/>
      <c r="I73" s="30"/>
      <c r="J73" s="6"/>
      <c r="K73" s="30"/>
      <c r="L73" s="6"/>
      <c r="M73" s="30"/>
      <c r="N73" s="6"/>
      <c r="O73" s="295"/>
      <c r="P73" s="6"/>
      <c r="Q73" s="30"/>
      <c r="R73" s="6"/>
      <c r="S73" s="20"/>
      <c r="T73" s="6"/>
      <c r="U73" s="20"/>
      <c r="V73" s="6"/>
      <c r="W73" s="20"/>
      <c r="X73" s="6"/>
      <c r="Y73" s="296"/>
      <c r="Z73" s="255"/>
      <c r="AB73" s="154"/>
      <c r="AC73" s="124"/>
      <c r="AD73" s="159"/>
      <c r="AE73" s="3"/>
      <c r="AF73" s="162"/>
      <c r="AG73" s="3"/>
      <c r="AH73" s="162"/>
      <c r="AI73" s="3"/>
      <c r="AJ73" s="162"/>
      <c r="AK73" s="3"/>
      <c r="AL73" s="161"/>
      <c r="AM73" s="3"/>
      <c r="AN73" s="162"/>
      <c r="AO73" s="3"/>
      <c r="AP73" s="162"/>
      <c r="AQ73" s="3"/>
      <c r="AR73" s="162"/>
      <c r="AS73" s="162"/>
      <c r="AT73" s="161"/>
      <c r="AU73" s="3"/>
      <c r="AV73" s="161"/>
      <c r="AW73" s="299"/>
      <c r="AX73" s="163"/>
      <c r="AZ73" s="154"/>
      <c r="BA73" s="124"/>
      <c r="BB73" s="162"/>
      <c r="BC73" s="3"/>
      <c r="BD73" s="162"/>
      <c r="BE73" s="3"/>
      <c r="BF73" s="161"/>
      <c r="BG73" s="3"/>
      <c r="BH73" s="165"/>
    </row>
    <row r="74" spans="2:60">
      <c r="B74" s="2"/>
      <c r="C74" s="3"/>
      <c r="D74" s="3"/>
      <c r="E74" s="178"/>
      <c r="F74" s="3"/>
      <c r="G74" s="290"/>
      <c r="H74" s="3"/>
      <c r="I74" s="290"/>
      <c r="J74" s="3"/>
      <c r="K74" s="290"/>
      <c r="L74" s="3"/>
      <c r="M74" s="290"/>
      <c r="N74" s="3"/>
      <c r="O74" s="290"/>
      <c r="P74" s="3"/>
      <c r="Q74" s="290"/>
      <c r="R74" s="3"/>
      <c r="S74" s="290"/>
      <c r="T74" s="3"/>
      <c r="U74" s="290"/>
      <c r="V74" s="3"/>
      <c r="W74" s="290"/>
      <c r="X74" s="3"/>
      <c r="Y74" s="300"/>
      <c r="Z74" s="255"/>
      <c r="AB74" s="2"/>
      <c r="AC74" s="3"/>
      <c r="AD74" s="3"/>
      <c r="AE74" s="3"/>
      <c r="AF74" s="301"/>
      <c r="AG74" s="3"/>
      <c r="AH74" s="301"/>
      <c r="AI74" s="3"/>
      <c r="AJ74" s="301"/>
      <c r="AK74" s="3"/>
      <c r="AL74" s="299"/>
      <c r="AM74" s="3"/>
      <c r="AN74" s="301"/>
      <c r="AO74" s="3"/>
      <c r="AP74" s="301"/>
      <c r="AQ74" s="3"/>
      <c r="AR74" s="301"/>
      <c r="AS74" s="301"/>
      <c r="AT74" s="301"/>
      <c r="AU74" s="3"/>
      <c r="AV74" s="299"/>
      <c r="AW74" s="299"/>
      <c r="AX74" s="302"/>
      <c r="AZ74" s="2"/>
      <c r="BA74" s="3"/>
      <c r="BB74" s="301"/>
      <c r="BC74" s="3"/>
      <c r="BD74" s="3"/>
      <c r="BE74" s="3"/>
      <c r="BF74" s="299"/>
      <c r="BG74" s="3"/>
      <c r="BH74" s="255"/>
    </row>
    <row r="75" spans="2:60" ht="12">
      <c r="B75" s="2"/>
      <c r="C75" s="303" t="str">
        <f>41&amp;"-year Nominal Levelized at "&amp;TEXT($G$18,"#.00%")</f>
        <v>41-year Nominal Levelized at 7.32%</v>
      </c>
      <c r="E75" s="178"/>
      <c r="F75" s="3"/>
      <c r="G75" s="407">
        <f>+-PMT($I$18,$I$20,NPV($I$18,G28:G73))</f>
        <v>403163.6788915153</v>
      </c>
      <c r="H75" s="6"/>
      <c r="I75" s="30">
        <f>+-PMT($I$18,$I$20,NPV($I$18,I28:I73))</f>
        <v>233.1960835102029</v>
      </c>
      <c r="J75" s="30"/>
      <c r="K75" s="30">
        <f>+-PMT($I$18,$I$20,NPV($I$18,K28:K73))</f>
        <v>10.950970267202965</v>
      </c>
      <c r="L75" s="6"/>
      <c r="M75" s="30">
        <f>+-PMT($G$18,$G$14,NPV($G$18,M28:M73))</f>
        <v>0</v>
      </c>
      <c r="N75" s="6"/>
      <c r="O75" s="30">
        <f>+-PMT($I$18,$I$20,NPV($I$18,O28:O73))</f>
        <v>3.2856519937031532</v>
      </c>
      <c r="P75" s="6"/>
      <c r="Q75" s="30">
        <f>+-PMT($I$18,$I$20,NPV($I$18,Q28:Q73))</f>
        <v>-29.287899466160269</v>
      </c>
      <c r="R75" s="6"/>
      <c r="S75" s="317">
        <f>+-PMT($I$18,$I$20,NPV($I$18,S28:S73))</f>
        <v>20108.704376956124</v>
      </c>
      <c r="T75" s="6"/>
      <c r="U75" s="317">
        <f>+-PMT($I$18,$I$20,NPV($I$18,U28:U73))</f>
        <v>28774.506728027667</v>
      </c>
      <c r="V75" s="3"/>
      <c r="W75" s="317">
        <f>+-PMT($I$18,$I$20,NPV($I$18,W28:W73))</f>
        <v>-8665.8023510715375</v>
      </c>
      <c r="X75" s="3"/>
      <c r="Y75" s="296">
        <f>+-PMT($I$18,$I$20,NPV($I$18,Y28:Y73))</f>
        <v>-23.515096713077824</v>
      </c>
      <c r="Z75" s="255"/>
      <c r="AB75" s="2"/>
      <c r="AC75" s="3"/>
      <c r="AD75" s="459">
        <f>+-PMT($I$18,$I$20,NPV($I$18,AD28:AD73))</f>
        <v>403163.6788915153</v>
      </c>
      <c r="AE75" s="3"/>
      <c r="AF75" s="162">
        <f>+-PMT($I$18,$I$20,NPV($I$18,AF28:AF73))</f>
        <v>115.73219543411302</v>
      </c>
      <c r="AG75" s="3"/>
      <c r="AH75" s="162">
        <f>+-PMT($I$18,$I$20,NPV($I$18,AH28:AH73))</f>
        <v>16.114130281186522</v>
      </c>
      <c r="AI75" s="3"/>
      <c r="AJ75" s="162">
        <f>+-PMT($I$18,$I$20,NPV($I$18,AJ28:AJ73))</f>
        <v>2.8091181932379072</v>
      </c>
      <c r="AK75" s="3"/>
      <c r="AL75" s="162">
        <f>+-PMT($I$18,$I$20,NPV($I$18,AL28:AL73))</f>
        <v>13219.757464690578</v>
      </c>
      <c r="AM75" s="3"/>
      <c r="AN75" s="162">
        <f>+-PMT($I$18,$I$20,NPV($I$18,AN28:AN73))</f>
        <v>7.7000721299225594</v>
      </c>
      <c r="AO75" s="3"/>
      <c r="AP75" s="162">
        <f>+-PMT($I$18,$I$20,NPV($I$18,AP28:AP73))</f>
        <v>56.037080190230697</v>
      </c>
      <c r="AQ75" s="3"/>
      <c r="AR75" s="162">
        <f>+-PMT($I$18,$I$20,NPV($I$18,AR28:AR73))</f>
        <v>2.6559702385098962</v>
      </c>
      <c r="AS75" s="162"/>
      <c r="AT75" s="162">
        <f>+-PMT($I$18,$I$20,NPV($I$18,AT28:AT73))</f>
        <v>5479.6106779791426</v>
      </c>
      <c r="AU75" s="3"/>
      <c r="AV75" s="162">
        <f>+-PMT($I$18,$I$20,NPV($I$18,AV28:AV73))</f>
        <v>23294.896050048523</v>
      </c>
      <c r="AW75" s="299"/>
      <c r="AX75" s="162">
        <f>+-PMT($I$18,$I$20,NPV($I$18,AX28:AX73))</f>
        <v>28774.506728027667</v>
      </c>
      <c r="AZ75" s="2"/>
      <c r="BA75" s="3"/>
      <c r="BB75" s="162">
        <f>+-PMT($I$18,$I$20,NPV($I$18,BB28:BB73))</f>
        <v>83.705680788467347</v>
      </c>
      <c r="BC75" s="3"/>
      <c r="BD75" s="162">
        <f>+-PMT($I$18,$I$20,NPV($I$18,BD28:BD73))</f>
        <v>5.5117932913883143</v>
      </c>
      <c r="BE75" s="3"/>
      <c r="BF75" s="162">
        <f>+-PMT($I$18,$I$20,NPV($I$18,BF28:BF73))</f>
        <v>7740.1467867114352</v>
      </c>
      <c r="BG75" s="3"/>
      <c r="BH75" s="165"/>
    </row>
    <row r="76" spans="2:60">
      <c r="B76" s="2"/>
      <c r="C76" s="3"/>
      <c r="D76" s="3"/>
      <c r="E76" s="178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04"/>
      <c r="X76" s="3"/>
      <c r="Y76" s="305"/>
      <c r="Z76" s="255"/>
      <c r="AB76" s="2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299"/>
      <c r="AU76" s="3"/>
      <c r="AV76" s="3"/>
      <c r="AW76" s="3"/>
      <c r="AX76" s="255"/>
      <c r="AZ76" s="2"/>
      <c r="BA76" s="3"/>
      <c r="BB76" s="3"/>
      <c r="BC76" s="3"/>
      <c r="BD76" s="3"/>
      <c r="BE76" s="3"/>
      <c r="BF76" s="3"/>
      <c r="BG76" s="3"/>
      <c r="BH76" s="255"/>
    </row>
    <row r="77" spans="2:60">
      <c r="B77" s="258"/>
      <c r="C77" s="306"/>
      <c r="D77" s="306"/>
      <c r="E77" s="307"/>
      <c r="F77" s="306"/>
      <c r="G77" s="306"/>
      <c r="H77" s="306"/>
      <c r="I77" s="306"/>
      <c r="J77" s="306"/>
      <c r="K77" s="306"/>
      <c r="L77" s="306"/>
      <c r="M77" s="306"/>
      <c r="N77" s="306"/>
      <c r="O77" s="306"/>
      <c r="P77" s="306"/>
      <c r="Q77" s="306"/>
      <c r="R77" s="306"/>
      <c r="S77" s="306"/>
      <c r="T77" s="306"/>
      <c r="U77" s="306"/>
      <c r="V77" s="306"/>
      <c r="W77" s="306"/>
      <c r="X77" s="306"/>
      <c r="Y77" s="306"/>
      <c r="Z77" s="259"/>
      <c r="AB77" s="258"/>
      <c r="AC77" s="306"/>
      <c r="AD77" s="306"/>
      <c r="AE77" s="306"/>
      <c r="AF77" s="306"/>
      <c r="AG77" s="306"/>
      <c r="AH77" s="306"/>
      <c r="AI77" s="306"/>
      <c r="AJ77" s="306"/>
      <c r="AK77" s="306"/>
      <c r="AL77" s="306"/>
      <c r="AM77" s="306"/>
      <c r="AN77" s="306"/>
      <c r="AO77" s="306"/>
      <c r="AP77" s="306"/>
      <c r="AQ77" s="306"/>
      <c r="AR77" s="306"/>
      <c r="AS77" s="306"/>
      <c r="AT77" s="306"/>
      <c r="AU77" s="306"/>
      <c r="AV77" s="306"/>
      <c r="AW77" s="306"/>
      <c r="AX77" s="259"/>
      <c r="AZ77" s="258"/>
      <c r="BA77" s="306"/>
      <c r="BB77" s="306"/>
      <c r="BC77" s="306"/>
      <c r="BD77" s="306"/>
      <c r="BE77" s="306"/>
      <c r="BF77" s="306"/>
      <c r="BG77" s="306"/>
      <c r="BH77" s="259"/>
    </row>
    <row r="78" spans="2:60">
      <c r="E78" s="308"/>
    </row>
    <row r="79" spans="2:60">
      <c r="E79" s="308"/>
      <c r="G79" s="309"/>
      <c r="I79" s="309"/>
      <c r="K79" s="309"/>
      <c r="O79" s="309"/>
      <c r="Q79" s="309"/>
      <c r="S79" s="309"/>
      <c r="U79" s="309"/>
      <c r="W79" s="309"/>
    </row>
    <row r="80" spans="2:60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  <row r="88" spans="5:5">
      <c r="E88" s="308"/>
    </row>
    <row r="89" spans="5:5">
      <c r="E89" s="308"/>
    </row>
    <row r="90" spans="5:5">
      <c r="E90" s="308"/>
    </row>
    <row r="91" spans="5:5">
      <c r="E91" s="308"/>
    </row>
    <row r="92" spans="5:5">
      <c r="E92" s="308"/>
    </row>
    <row r="93" spans="5:5">
      <c r="E93" s="308"/>
    </row>
    <row r="94" spans="5:5">
      <c r="E94" s="308"/>
    </row>
    <row r="95" spans="5:5">
      <c r="E95" s="308"/>
    </row>
    <row r="96" spans="5:5">
      <c r="E96" s="308"/>
    </row>
    <row r="97" spans="5:5">
      <c r="E97" s="308"/>
    </row>
    <row r="98" spans="5:5">
      <c r="E98" s="308"/>
    </row>
    <row r="99" spans="5:5">
      <c r="E99" s="308"/>
    </row>
    <row r="100" spans="5:5">
      <c r="E100" s="308"/>
    </row>
    <row r="101" spans="5:5">
      <c r="E101" s="308"/>
    </row>
  </sheetData>
  <pageMargins left="0.25" right="0.25" top="0.25" bottom="0.75" header="0.3" footer="0.3"/>
  <pageSetup paperSize="5" scale="4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15340-8340-48B8-9A36-CDDDF997DF48}">
  <sheetPr codeName="Sheet20">
    <tabColor theme="0" tint="-0.249977111117893"/>
    <pageSetUpPr fitToPage="1"/>
  </sheetPr>
  <dimension ref="A1:BH85"/>
  <sheetViews>
    <sheetView topLeftCell="C49" workbookViewId="0">
      <selection activeCell="Y59" sqref="Y59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252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249.8</v>
      </c>
      <c r="H11" s="275"/>
      <c r="AB11" s="129" t="s">
        <v>99</v>
      </c>
      <c r="AC11" s="130"/>
      <c r="AD11" s="130"/>
      <c r="AE11" s="130"/>
      <c r="AF11" s="312">
        <f>+G11*(G12/AJ16)</f>
        <v>133.96707805814552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94.498678058145515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0.37417</v>
      </c>
      <c r="H12" s="275"/>
      <c r="AB12" s="129" t="s">
        <v>32</v>
      </c>
      <c r="AC12" s="130"/>
      <c r="AD12" s="130"/>
      <c r="AE12" s="130"/>
      <c r="AF12" s="138">
        <f>+AD59/8760/AF11</f>
        <v>0.65428529592035756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2020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57.878729999999997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1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2020</v>
      </c>
      <c r="D28" s="6"/>
      <c r="E28" s="292">
        <f>'(2.2)_Forward_Price_Curve'!P32</f>
        <v>2.5000000000000001E-2</v>
      </c>
      <c r="F28" s="6"/>
      <c r="G28" s="20">
        <v>136836.66302400001</v>
      </c>
      <c r="H28" s="6"/>
      <c r="I28" s="293">
        <f>$G$15*(1+E28)</f>
        <v>59.325698249999995</v>
      </c>
      <c r="J28" s="293"/>
      <c r="K28" s="293">
        <f>$G$16*(1+E28)</f>
        <v>1.0249999999999999</v>
      </c>
      <c r="L28" s="294"/>
      <c r="M28" s="293">
        <f>$G$17</f>
        <v>0</v>
      </c>
      <c r="N28" s="6"/>
      <c r="O28" s="295">
        <f>'(2.2)_Forward_Price_Curve'!Y32</f>
        <v>1.1390234818202254</v>
      </c>
      <c r="P28" s="6"/>
      <c r="Q28" s="30">
        <v>0</v>
      </c>
      <c r="R28" s="6"/>
      <c r="S28" s="20">
        <f>(I28*$G$11*1000+(K28+M28+O28+Q28)*G28)/1000</f>
        <v>15115.677174807857</v>
      </c>
      <c r="T28" s="6"/>
      <c r="U28" s="20">
        <f t="shared" ref="U28:U29" si="0">AX28</f>
        <v>11216.245626969043</v>
      </c>
      <c r="V28" s="6"/>
      <c r="W28" s="20">
        <f t="shared" ref="W28:W29" si="1">S28-U28</f>
        <v>3899.4315478388144</v>
      </c>
      <c r="X28" s="6"/>
      <c r="Y28" s="296">
        <f>+W28*1000/G28</f>
        <v>28.496979257341923</v>
      </c>
      <c r="Z28" s="255"/>
      <c r="AB28" s="154">
        <f>$C$28</f>
        <v>2020</v>
      </c>
      <c r="AC28" s="124"/>
      <c r="AD28" s="159">
        <f t="shared" ref="AD28:AD29" si="2">G28</f>
        <v>136836.66302400001</v>
      </c>
      <c r="AE28" s="3"/>
      <c r="AF28" s="160">
        <f>$AF$15*$AF$16*(1+E28)</f>
        <v>94.009729576375292</v>
      </c>
      <c r="AG28" s="297"/>
      <c r="AH28" s="160">
        <f>$AJ$11*(1+E28)</f>
        <v>19.695652748329682</v>
      </c>
      <c r="AI28" s="297"/>
      <c r="AJ28" s="160">
        <f>$AJ$13*(1+E28)</f>
        <v>2.2655451212747471</v>
      </c>
      <c r="AK28" s="298"/>
      <c r="AL28" s="161">
        <f>((AF28+AH28)*$AF$11*1000+AJ28*AD28)/1000</f>
        <v>15542.787463850569</v>
      </c>
      <c r="AM28" s="3"/>
      <c r="AN28" s="162">
        <f>INDEX('(2.2)_Forward_Price_Curve'!$H:$H,MATCH($AB28,'(2.2)_Forward_Price_Curve'!$C:$C,0),1)</f>
        <v>1.8849916666666668</v>
      </c>
      <c r="AO28" s="310"/>
      <c r="AP28" s="162">
        <f>AN28*$AF$14/1000+$AJ$14/(1+E29)</f>
        <v>12.254140101750828</v>
      </c>
      <c r="AQ28" s="297"/>
      <c r="AR28" s="160">
        <f>$AJ$15*(1+E28)</f>
        <v>2.3386223671856223</v>
      </c>
      <c r="AS28" s="160"/>
      <c r="AT28" s="161">
        <f t="shared" ref="AT28:AT29" si="3">AL28-BF28</f>
        <v>9219.4207064179118</v>
      </c>
      <c r="AU28" s="298"/>
      <c r="AV28" s="161">
        <f t="shared" ref="AV28:AV29" si="4">(AP28+AR28)*AD28/1000</f>
        <v>1996.8249205511313</v>
      </c>
      <c r="AW28" s="299"/>
      <c r="AX28" s="163">
        <f>AT28+AV28</f>
        <v>11216.245626969043</v>
      </c>
      <c r="AZ28" s="154">
        <f>$C$28</f>
        <v>2020</v>
      </c>
      <c r="BA28" s="124"/>
      <c r="BB28" s="160">
        <f>$BD$14*$BD$15*(1+E28)</f>
        <v>60.139619999999987</v>
      </c>
      <c r="BC28" s="3"/>
      <c r="BD28" s="160">
        <f>$BB$16*(1+E28)</f>
        <v>6.7752499999999998</v>
      </c>
      <c r="BE28" s="297"/>
      <c r="BF28" s="161">
        <f>(BB28+BD28)*$BD$11</f>
        <v>6323.3667574326573</v>
      </c>
      <c r="BG28" s="297"/>
      <c r="BH28" s="164"/>
    </row>
    <row r="29" spans="1:60" ht="12">
      <c r="B29" s="2"/>
      <c r="C29" s="6">
        <f>+IF(C28&gt;$G$13+$G$14,XX,C28+1)</f>
        <v>2021</v>
      </c>
      <c r="D29" s="6"/>
      <c r="E29" s="292">
        <f>'(2.2)_Forward_Price_Curve'!P33</f>
        <v>2.4E-2</v>
      </c>
      <c r="F29" s="6"/>
      <c r="G29" s="20">
        <v>818776.75416000001</v>
      </c>
      <c r="H29" s="6"/>
      <c r="I29" s="30">
        <f>I28*(1+$E29)</f>
        <v>60.749515007999996</v>
      </c>
      <c r="J29" s="6"/>
      <c r="K29" s="30">
        <f>K28*(1+$E29)</f>
        <v>1.0495999999999999</v>
      </c>
      <c r="L29" s="6"/>
      <c r="M29" s="30">
        <f>M28*(1+$E29)</f>
        <v>0</v>
      </c>
      <c r="N29" s="6"/>
      <c r="O29" s="295">
        <f>'(2.2)_Forward_Price_Curve'!Y33</f>
        <v>1.1679956801767024</v>
      </c>
      <c r="P29" s="6"/>
      <c r="Q29" s="30">
        <v>-34.476814342354771</v>
      </c>
      <c r="R29" s="6"/>
      <c r="S29" s="20">
        <f t="shared" ref="S29" si="5">(I29*$G$11*1000+(K29+M29+O29+Q29)*G29)/1000</f>
        <v>-11237.869498957461</v>
      </c>
      <c r="T29" s="6"/>
      <c r="U29" s="20">
        <f t="shared" si="0"/>
        <v>23366.520405232419</v>
      </c>
      <c r="V29" s="6"/>
      <c r="W29" s="20">
        <f t="shared" si="1"/>
        <v>-34604.389904189884</v>
      </c>
      <c r="X29" s="6"/>
      <c r="Y29" s="296">
        <f t="shared" ref="Y29" si="6">+W29*1000/G29</f>
        <v>-42.263522661548009</v>
      </c>
      <c r="Z29" s="255"/>
      <c r="AB29" s="154">
        <f>+IF(AB28&gt;$G$13+$G$14,XX,AB28+1)</f>
        <v>2021</v>
      </c>
      <c r="AC29" s="124"/>
      <c r="AD29" s="159">
        <f t="shared" si="2"/>
        <v>818776.75416000001</v>
      </c>
      <c r="AE29" s="3"/>
      <c r="AF29" s="162">
        <f>AF28*(1+$E29)</f>
        <v>96.265963086208302</v>
      </c>
      <c r="AG29" s="3"/>
      <c r="AH29" s="162">
        <f>AH28*(1+$E29)</f>
        <v>20.168348414289593</v>
      </c>
      <c r="AI29" s="3"/>
      <c r="AJ29" s="162">
        <f>AJ28*(1+$E29)</f>
        <v>2.319918204185341</v>
      </c>
      <c r="AK29" s="3"/>
      <c r="AL29" s="161">
        <f t="shared" ref="AL29" si="7">((AF29+AH29)*$AF$11*1000+AJ29*AD29)/1000</f>
        <v>17497.859594573205</v>
      </c>
      <c r="AM29" s="3"/>
      <c r="AN29" s="162">
        <f>INDEX('(2.2)_Forward_Price_Curve'!$H:$H,MATCH($AB29,'(2.2)_Forward_Price_Curve'!$C:$C,0),1)</f>
        <v>1.9506749999999997</v>
      </c>
      <c r="AO29" s="3"/>
      <c r="AP29" s="162">
        <f>AN29*$AF$14/1000+$AJ$14</f>
        <v>12.681140805918394</v>
      </c>
      <c r="AQ29" s="3"/>
      <c r="AR29" s="162">
        <f>AR28*(1+$E29)</f>
        <v>2.3947493039980774</v>
      </c>
      <c r="AS29" s="162"/>
      <c r="AT29" s="161">
        <f t="shared" si="3"/>
        <v>11022.732034962162</v>
      </c>
      <c r="AU29" s="3"/>
      <c r="AV29" s="161">
        <f t="shared" si="4"/>
        <v>12343.788370270255</v>
      </c>
      <c r="AW29" s="299"/>
      <c r="AX29" s="163">
        <f t="shared" ref="AX29" si="8">AT29+AV29</f>
        <v>23366.520405232419</v>
      </c>
      <c r="AZ29" s="154">
        <f>+IF(AZ28&gt;$G$13+$G$14,XX,AZ28+1)</f>
        <v>2021</v>
      </c>
      <c r="BA29" s="124"/>
      <c r="BB29" s="162">
        <f>BB28*(1+$E29)</f>
        <v>61.582970879999991</v>
      </c>
      <c r="BC29" s="3"/>
      <c r="BD29" s="162">
        <f>BD28*(1+$E29)</f>
        <v>6.937856</v>
      </c>
      <c r="BE29" s="3"/>
      <c r="BF29" s="161">
        <f t="shared" ref="BF29" si="9">(BB29+BD29)*$BD$11</f>
        <v>6475.1275596110418</v>
      </c>
      <c r="BG29" s="3"/>
      <c r="BH29" s="165"/>
    </row>
    <row r="30" spans="1:60" ht="12">
      <c r="B30" s="2"/>
      <c r="C30" s="6">
        <f>+IF(C29&gt;$G$13+$G$14,XX,C29+1)</f>
        <v>2022</v>
      </c>
      <c r="D30" s="6"/>
      <c r="E30" s="292">
        <f>'(2.2)_Forward_Price_Curve'!P34</f>
        <v>2.4E-2</v>
      </c>
      <c r="F30" s="6"/>
      <c r="G30" s="20">
        <v>818776.75416000001</v>
      </c>
      <c r="H30" s="6"/>
      <c r="I30" s="30">
        <f t="shared" ref="I30:K57" si="10">I29*(1+$E30)</f>
        <v>62.207503368192</v>
      </c>
      <c r="J30" s="6"/>
      <c r="K30" s="30">
        <f t="shared" si="10"/>
        <v>1.0747903999999999</v>
      </c>
      <c r="L30" s="6"/>
      <c r="M30" s="30">
        <f t="shared" ref="M30:M57" si="11">M29*(1+$E30)</f>
        <v>0</v>
      </c>
      <c r="N30" s="6"/>
      <c r="O30" s="295">
        <f>'(2.2)_Forward_Price_Curve'!Y34</f>
        <v>1.1974836718320334</v>
      </c>
      <c r="P30" s="6"/>
      <c r="Q30" s="30">
        <v>-34.476814342354771</v>
      </c>
      <c r="R30" s="6"/>
      <c r="S30" s="20">
        <f t="shared" ref="S30:S57" si="12">(I30*$G$11*1000+(K30+M30+O30+Q30)*G30)/1000</f>
        <v>-10828.894610539255</v>
      </c>
      <c r="T30" s="6"/>
      <c r="U30" s="20">
        <f t="shared" ref="U30:U57" si="13">AX30</f>
        <v>26236.365618640109</v>
      </c>
      <c r="V30" s="6"/>
      <c r="W30" s="20">
        <f t="shared" ref="W30:W57" si="14">S30-U30</f>
        <v>-37065.260229179366</v>
      </c>
      <c r="X30" s="6"/>
      <c r="Y30" s="296">
        <f t="shared" ref="Y30:Y57" si="15">+W30*1000/G30</f>
        <v>-45.269067594872531</v>
      </c>
      <c r="Z30" s="255"/>
      <c r="AB30" s="154">
        <f>+IF(AB29&gt;$G$13+$G$14,XX,AB29+1)</f>
        <v>2022</v>
      </c>
      <c r="AC30" s="124"/>
      <c r="AD30" s="159">
        <f t="shared" ref="AD30:AD57" si="16">G30</f>
        <v>818776.75416000001</v>
      </c>
      <c r="AE30" s="3"/>
      <c r="AF30" s="162">
        <f t="shared" ref="AF30:AF57" si="17">AF29*(1+$E30)</f>
        <v>98.5763462002773</v>
      </c>
      <c r="AG30" s="3"/>
      <c r="AH30" s="162">
        <f t="shared" ref="AH30:AH57" si="18">AH29*(1+$E30)</f>
        <v>20.652388776232545</v>
      </c>
      <c r="AI30" s="3"/>
      <c r="AJ30" s="162">
        <f t="shared" ref="AJ30:AJ57" si="19">AJ29*(1+$E30)</f>
        <v>2.3755962410857894</v>
      </c>
      <c r="AK30" s="3"/>
      <c r="AL30" s="161">
        <f t="shared" ref="AL30:AL57" si="20">((AF30+AH30)*$AF$11*1000+AJ30*AD30)/1000</f>
        <v>17917.808224842956</v>
      </c>
      <c r="AM30" s="3"/>
      <c r="AN30" s="162">
        <f>INDEX('(2.2)_Forward_Price_Curve'!$H:$H,MATCH($AB30,'(2.2)_Forward_Price_Curve'!$C:$C,0),1)</f>
        <v>2.431295833333333</v>
      </c>
      <c r="AO30" s="3"/>
      <c r="AP30" s="162">
        <f t="shared" ref="AP30:AP57" si="21">AN30*$AF$14/1000+$AJ$14</f>
        <v>15.805608214255424</v>
      </c>
      <c r="AQ30" s="3"/>
      <c r="AR30" s="162">
        <f t="shared" ref="AR30:AR57" si="22">AR29*(1+$E30)</f>
        <v>2.4522232872940313</v>
      </c>
      <c r="AS30" s="162"/>
      <c r="AT30" s="161">
        <f t="shared" ref="AT30:AT57" si="23">AL30-BF30</f>
        <v>11287.277603801249</v>
      </c>
      <c r="AU30" s="3"/>
      <c r="AV30" s="161">
        <f t="shared" ref="AV30:AV57" si="24">(AP30+AR30)*AD30/1000</f>
        <v>14949.088014838861</v>
      </c>
      <c r="AW30" s="299"/>
      <c r="AX30" s="163">
        <f t="shared" ref="AX30:AX57" si="25">AT30+AV30</f>
        <v>26236.365618640109</v>
      </c>
      <c r="AZ30" s="154">
        <f>+IF(AZ29&gt;$G$13+$G$14,XX,AZ29+1)</f>
        <v>2022</v>
      </c>
      <c r="BA30" s="124"/>
      <c r="BB30" s="162">
        <f t="shared" ref="BB30:BB57" si="26">BB29*(1+$E30)</f>
        <v>63.06096218111999</v>
      </c>
      <c r="BC30" s="3"/>
      <c r="BD30" s="162">
        <f t="shared" ref="BD30:BD57" si="27">BD29*(1+$E30)</f>
        <v>7.1043645440000001</v>
      </c>
      <c r="BE30" s="3"/>
      <c r="BF30" s="161">
        <f t="shared" ref="BF30:BF57" si="28">(BB30+BD30)*$BD$11</f>
        <v>6630.5306210417084</v>
      </c>
      <c r="BG30" s="3"/>
      <c r="BH30" s="165"/>
    </row>
    <row r="31" spans="1:60" ht="12">
      <c r="B31" s="2"/>
      <c r="C31" s="6">
        <f>+IF(C30&gt;$G$13+$G$14,XX,C30+1)</f>
        <v>2023</v>
      </c>
      <c r="D31" s="6"/>
      <c r="E31" s="292">
        <f>'(2.2)_Forward_Price_Curve'!P35</f>
        <v>2.4E-2</v>
      </c>
      <c r="F31" s="6"/>
      <c r="G31" s="20">
        <v>818776.75416000001</v>
      </c>
      <c r="H31" s="6"/>
      <c r="I31" s="30">
        <f t="shared" si="10"/>
        <v>63.70048344902861</v>
      </c>
      <c r="J31" s="6"/>
      <c r="K31" s="30">
        <f t="shared" si="10"/>
        <v>1.1005853695999999</v>
      </c>
      <c r="L31" s="6"/>
      <c r="M31" s="30">
        <f t="shared" si="11"/>
        <v>0</v>
      </c>
      <c r="N31" s="6"/>
      <c r="O31" s="295">
        <f>'(2.2)_Forward_Price_Curve'!Y35</f>
        <v>1.2269144627008759</v>
      </c>
      <c r="P31" s="6"/>
      <c r="Q31" s="30">
        <v>-35.802845663214576</v>
      </c>
      <c r="R31" s="6"/>
      <c r="S31" s="20">
        <f t="shared" si="12"/>
        <v>-11496.454238251663</v>
      </c>
      <c r="T31" s="6"/>
      <c r="U31" s="20">
        <f t="shared" si="13"/>
        <v>29248.267069621998</v>
      </c>
      <c r="V31" s="6"/>
      <c r="W31" s="20">
        <f t="shared" si="14"/>
        <v>-40744.72130787366</v>
      </c>
      <c r="X31" s="6"/>
      <c r="Y31" s="296">
        <f t="shared" si="15"/>
        <v>-49.762919014077909</v>
      </c>
      <c r="Z31" s="255"/>
      <c r="AB31" s="154">
        <f>+IF(AB30&gt;$G$13+$G$14,XX,AB30+1)</f>
        <v>2023</v>
      </c>
      <c r="AC31" s="124"/>
      <c r="AD31" s="159">
        <f t="shared" si="16"/>
        <v>818776.75416000001</v>
      </c>
      <c r="AE31" s="3"/>
      <c r="AF31" s="162">
        <f t="shared" si="17"/>
        <v>100.94217850908396</v>
      </c>
      <c r="AG31" s="3"/>
      <c r="AH31" s="162">
        <f t="shared" si="18"/>
        <v>21.148046106862125</v>
      </c>
      <c r="AI31" s="3"/>
      <c r="AJ31" s="162">
        <f t="shared" si="19"/>
        <v>2.4326105508718485</v>
      </c>
      <c r="AK31" s="3"/>
      <c r="AL31" s="161">
        <f t="shared" si="20"/>
        <v>18347.835622239192</v>
      </c>
      <c r="AM31" s="3"/>
      <c r="AN31" s="162">
        <f>INDEX('(2.2)_Forward_Price_Curve'!$H:$H,MATCH($AB31,'(2.2)_Forward_Price_Curve'!$C:$C,0),1)</f>
        <v>2.9371999999999994</v>
      </c>
      <c r="AO31" s="3"/>
      <c r="AP31" s="162">
        <f t="shared" si="21"/>
        <v>19.094440014427573</v>
      </c>
      <c r="AQ31" s="3"/>
      <c r="AR31" s="162">
        <f t="shared" si="22"/>
        <v>2.5110766461890881</v>
      </c>
      <c r="AS31" s="162"/>
      <c r="AT31" s="161">
        <f t="shared" si="23"/>
        <v>11558.172266292484</v>
      </c>
      <c r="AU31" s="3"/>
      <c r="AV31" s="161">
        <f t="shared" si="24"/>
        <v>17690.094803329514</v>
      </c>
      <c r="AW31" s="299"/>
      <c r="AX31" s="163">
        <f t="shared" si="25"/>
        <v>29248.267069621998</v>
      </c>
      <c r="AZ31" s="154">
        <f>+IF(AZ30&gt;$G$13+$G$14,XX,AZ30+1)</f>
        <v>2023</v>
      </c>
      <c r="BA31" s="124"/>
      <c r="BB31" s="162">
        <f t="shared" si="26"/>
        <v>64.574425273466872</v>
      </c>
      <c r="BC31" s="3"/>
      <c r="BD31" s="162">
        <f t="shared" si="27"/>
        <v>7.2748692930560006</v>
      </c>
      <c r="BE31" s="3"/>
      <c r="BF31" s="161">
        <f t="shared" si="28"/>
        <v>6789.6633559467091</v>
      </c>
      <c r="BG31" s="3"/>
      <c r="BH31" s="165"/>
    </row>
    <row r="32" spans="1:60" ht="12">
      <c r="B32" s="2"/>
      <c r="C32" s="6">
        <f>+IF(C31&gt;$G$13+$G$14,XX,C31+1)</f>
        <v>2024</v>
      </c>
      <c r="D32" s="6"/>
      <c r="E32" s="292">
        <f>'(2.2)_Forward_Price_Curve'!P36</f>
        <v>2.3E-2</v>
      </c>
      <c r="F32" s="6"/>
      <c r="G32" s="20">
        <v>818776.75416000001</v>
      </c>
      <c r="H32" s="6"/>
      <c r="I32" s="30">
        <f t="shared" si="10"/>
        <v>65.165594568356269</v>
      </c>
      <c r="J32" s="6"/>
      <c r="K32" s="30">
        <f t="shared" si="10"/>
        <v>1.1258988331007997</v>
      </c>
      <c r="L32" s="6"/>
      <c r="M32" s="30">
        <f t="shared" si="11"/>
        <v>0</v>
      </c>
      <c r="N32" s="6"/>
      <c r="O32" s="295">
        <f>'(2.2)_Forward_Price_Curve'!Y36</f>
        <v>1.2554480395092353</v>
      </c>
      <c r="P32" s="6"/>
      <c r="Q32" s="30">
        <v>-35.802845663214576</v>
      </c>
      <c r="R32" s="6"/>
      <c r="S32" s="20">
        <f t="shared" si="12"/>
        <v>-11086.380775758154</v>
      </c>
      <c r="T32" s="6"/>
      <c r="U32" s="20">
        <f t="shared" si="13"/>
        <v>32384.398761100903</v>
      </c>
      <c r="V32" s="6"/>
      <c r="W32" s="20">
        <f t="shared" si="14"/>
        <v>-43470.77953685906</v>
      </c>
      <c r="X32" s="6"/>
      <c r="Y32" s="296">
        <f t="shared" si="15"/>
        <v>-53.092346987130369</v>
      </c>
      <c r="Z32" s="255"/>
      <c r="AB32" s="154">
        <f>+IF(AB31&gt;$G$13+$G$14,XX,AB31+1)</f>
        <v>2024</v>
      </c>
      <c r="AC32" s="124"/>
      <c r="AD32" s="159">
        <f t="shared" si="16"/>
        <v>818776.75416000001</v>
      </c>
      <c r="AE32" s="3"/>
      <c r="AF32" s="162">
        <f t="shared" si="17"/>
        <v>103.26384861479288</v>
      </c>
      <c r="AG32" s="3"/>
      <c r="AH32" s="162">
        <f t="shared" si="18"/>
        <v>21.634451167319952</v>
      </c>
      <c r="AI32" s="3"/>
      <c r="AJ32" s="162">
        <f t="shared" si="19"/>
        <v>2.4885605935419006</v>
      </c>
      <c r="AK32" s="3"/>
      <c r="AL32" s="161">
        <f t="shared" si="20"/>
        <v>18769.835841550688</v>
      </c>
      <c r="AM32" s="3"/>
      <c r="AN32" s="162">
        <f>INDEX('(2.2)_Forward_Price_Curve'!$H:$H,MATCH($AB32,'(2.2)_Forward_Price_Curve'!$C:$C,0),1)</f>
        <v>3.4675625000000001</v>
      </c>
      <c r="AO32" s="3"/>
      <c r="AP32" s="162">
        <f t="shared" si="21"/>
        <v>22.542272964908253</v>
      </c>
      <c r="AQ32" s="3"/>
      <c r="AR32" s="162">
        <f t="shared" si="22"/>
        <v>2.568831409051437</v>
      </c>
      <c r="AS32" s="162"/>
      <c r="AT32" s="161">
        <f t="shared" si="23"/>
        <v>11824.010228417206</v>
      </c>
      <c r="AU32" s="3"/>
      <c r="AV32" s="161">
        <f t="shared" si="24"/>
        <v>20560.388532683697</v>
      </c>
      <c r="AW32" s="299"/>
      <c r="AX32" s="163">
        <f t="shared" si="25"/>
        <v>32384.398761100903</v>
      </c>
      <c r="AZ32" s="154">
        <f>+IF(AZ31&gt;$G$13+$G$14,XX,AZ31+1)</f>
        <v>2024</v>
      </c>
      <c r="BA32" s="124"/>
      <c r="BB32" s="162">
        <f t="shared" si="26"/>
        <v>66.059637054756607</v>
      </c>
      <c r="BC32" s="3"/>
      <c r="BD32" s="162">
        <f t="shared" si="27"/>
        <v>7.4421912867962883</v>
      </c>
      <c r="BE32" s="3"/>
      <c r="BF32" s="161">
        <f t="shared" si="28"/>
        <v>6945.8256131334829</v>
      </c>
      <c r="BG32" s="3"/>
      <c r="BH32" s="165"/>
    </row>
    <row r="33" spans="2:60" ht="12">
      <c r="B33" s="2"/>
      <c r="C33" s="6">
        <f>+IF(C32&gt;$G$13+$G$14,XX,C32+1)</f>
        <v>2025</v>
      </c>
      <c r="D33" s="6"/>
      <c r="E33" s="292">
        <f>'(2.2)_Forward_Price_Curve'!P37</f>
        <v>2.1999999999999999E-2</v>
      </c>
      <c r="F33" s="6"/>
      <c r="G33" s="20">
        <v>818776.75416000001</v>
      </c>
      <c r="H33" s="6"/>
      <c r="I33" s="30">
        <f t="shared" si="10"/>
        <v>66.599237648860111</v>
      </c>
      <c r="J33" s="6"/>
      <c r="K33" s="30">
        <f t="shared" si="10"/>
        <v>1.1506686074290173</v>
      </c>
      <c r="L33" s="6"/>
      <c r="M33" s="30">
        <f t="shared" si="11"/>
        <v>0</v>
      </c>
      <c r="N33" s="6"/>
      <c r="O33" s="295">
        <f>'(2.2)_Forward_Price_Curve'!Y37</f>
        <v>1.2834505366016622</v>
      </c>
      <c r="P33" s="6"/>
      <c r="Q33" s="30">
        <v>-37.128876984074367</v>
      </c>
      <c r="R33" s="6"/>
      <c r="S33" s="20">
        <f t="shared" si="12"/>
        <v>-11770.771645952924</v>
      </c>
      <c r="T33" s="6"/>
      <c r="U33" s="20">
        <f t="shared" si="13"/>
        <v>34594.227430888728</v>
      </c>
      <c r="V33" s="6"/>
      <c r="W33" s="20">
        <f t="shared" si="14"/>
        <v>-46364.999076841654</v>
      </c>
      <c r="X33" s="6"/>
      <c r="Y33" s="296">
        <f t="shared" si="15"/>
        <v>-56.627156109736482</v>
      </c>
      <c r="Z33" s="255"/>
      <c r="AB33" s="154">
        <f>+IF(AB32&gt;$G$13+$G$14,XX,AB32+1)</f>
        <v>2025</v>
      </c>
      <c r="AC33" s="124"/>
      <c r="AD33" s="159">
        <f t="shared" si="16"/>
        <v>818776.75416000001</v>
      </c>
      <c r="AE33" s="3"/>
      <c r="AF33" s="162">
        <f t="shared" si="17"/>
        <v>105.53565328431833</v>
      </c>
      <c r="AG33" s="3"/>
      <c r="AH33" s="162">
        <f t="shared" si="18"/>
        <v>22.110409093000992</v>
      </c>
      <c r="AI33" s="3"/>
      <c r="AJ33" s="162">
        <f t="shared" si="19"/>
        <v>2.5433089265998223</v>
      </c>
      <c r="AK33" s="3"/>
      <c r="AL33" s="161">
        <f t="shared" si="20"/>
        <v>19182.772230064806</v>
      </c>
      <c r="AM33" s="3"/>
      <c r="AN33" s="162">
        <f>INDEX('(2.2)_Forward_Price_Curve'!$H:$H,MATCH($AB33,'(2.2)_Forward_Price_Curve'!$C:$C,0),1)</f>
        <v>3.8251624999999998</v>
      </c>
      <c r="AO33" s="3"/>
      <c r="AP33" s="162">
        <f t="shared" si="21"/>
        <v>24.866994382979648</v>
      </c>
      <c r="AQ33" s="3"/>
      <c r="AR33" s="162">
        <f t="shared" si="22"/>
        <v>2.6253457000505689</v>
      </c>
      <c r="AS33" s="162"/>
      <c r="AT33" s="161">
        <f t="shared" si="23"/>
        <v>12084.138453442385</v>
      </c>
      <c r="AU33" s="3"/>
      <c r="AV33" s="161">
        <f t="shared" si="24"/>
        <v>22510.088977446347</v>
      </c>
      <c r="AW33" s="299"/>
      <c r="AX33" s="163">
        <f t="shared" si="25"/>
        <v>34594.227430888728</v>
      </c>
      <c r="AZ33" s="154">
        <f>+IF(AZ32&gt;$G$13+$G$14,XX,AZ32+1)</f>
        <v>2025</v>
      </c>
      <c r="BA33" s="124"/>
      <c r="BB33" s="162">
        <f t="shared" si="26"/>
        <v>67.512949069961252</v>
      </c>
      <c r="BC33" s="3"/>
      <c r="BD33" s="162">
        <f t="shared" si="27"/>
        <v>7.6059194951058071</v>
      </c>
      <c r="BE33" s="3"/>
      <c r="BF33" s="161">
        <f t="shared" si="28"/>
        <v>7098.6337766224196</v>
      </c>
      <c r="BG33" s="3"/>
      <c r="BH33" s="165"/>
    </row>
    <row r="34" spans="2:60" ht="12">
      <c r="B34" s="2"/>
      <c r="C34" s="6">
        <f>+IF(C33&gt;$G$13+$G$14,XX,C33+1)</f>
        <v>2026</v>
      </c>
      <c r="D34" s="6"/>
      <c r="E34" s="292">
        <f>'(2.2)_Forward_Price_Curve'!P38</f>
        <v>2.1999999999999999E-2</v>
      </c>
      <c r="F34" s="6"/>
      <c r="G34" s="20">
        <v>818776.75416000001</v>
      </c>
      <c r="H34" s="6"/>
      <c r="I34" s="30">
        <f t="shared" si="10"/>
        <v>68.064420877135035</v>
      </c>
      <c r="J34" s="6"/>
      <c r="K34" s="30">
        <f t="shared" si="10"/>
        <v>1.1759833167924558</v>
      </c>
      <c r="L34" s="6"/>
      <c r="M34" s="30">
        <f t="shared" si="11"/>
        <v>0</v>
      </c>
      <c r="N34" s="6"/>
      <c r="O34" s="295">
        <f>'(2.2)_Forward_Price_Curve'!Y38</f>
        <v>1.3117597482561225</v>
      </c>
      <c r="P34" s="6"/>
      <c r="Q34" s="30">
        <v>-37.128876984074367</v>
      </c>
      <c r="R34" s="6"/>
      <c r="S34" s="20">
        <f t="shared" si="12"/>
        <v>-11360.862855533484</v>
      </c>
      <c r="T34" s="6"/>
      <c r="U34" s="20">
        <f t="shared" si="13"/>
        <v>36021.206144817843</v>
      </c>
      <c r="V34" s="6"/>
      <c r="W34" s="20">
        <f t="shared" si="14"/>
        <v>-47382.06900035133</v>
      </c>
      <c r="X34" s="6"/>
      <c r="Y34" s="296">
        <f t="shared" si="15"/>
        <v>-57.869338326491174</v>
      </c>
      <c r="Z34" s="255"/>
      <c r="AB34" s="154">
        <f>+IF(AB33&gt;$G$13+$G$14,XX,AB33+1)</f>
        <v>2026</v>
      </c>
      <c r="AC34" s="124"/>
      <c r="AD34" s="159">
        <f t="shared" si="16"/>
        <v>818776.75416000001</v>
      </c>
      <c r="AE34" s="3"/>
      <c r="AF34" s="162">
        <f t="shared" si="17"/>
        <v>107.85743765657334</v>
      </c>
      <c r="AG34" s="3"/>
      <c r="AH34" s="162">
        <f t="shared" si="18"/>
        <v>22.596838093047015</v>
      </c>
      <c r="AI34" s="3"/>
      <c r="AJ34" s="162">
        <f t="shared" si="19"/>
        <v>2.5992617229850183</v>
      </c>
      <c r="AK34" s="3"/>
      <c r="AL34" s="161">
        <f t="shared" si="20"/>
        <v>19604.793219126233</v>
      </c>
      <c r="AM34" s="3"/>
      <c r="AN34" s="162">
        <f>INDEX('(2.2)_Forward_Price_Curve'!$H:$H,MATCH($AB34,'(2.2)_Forward_Price_Curve'!$C:$C,0),1)</f>
        <v>4.0344208333333329</v>
      </c>
      <c r="AO34" s="3"/>
      <c r="AP34" s="162">
        <f t="shared" si="21"/>
        <v>26.227361635244531</v>
      </c>
      <c r="AQ34" s="3"/>
      <c r="AR34" s="162">
        <f t="shared" si="22"/>
        <v>2.6831033054516813</v>
      </c>
      <c r="AS34" s="162"/>
      <c r="AT34" s="161">
        <f t="shared" si="23"/>
        <v>12349.98949941812</v>
      </c>
      <c r="AU34" s="3"/>
      <c r="AV34" s="161">
        <f t="shared" si="24"/>
        <v>23671.216645399723</v>
      </c>
      <c r="AW34" s="299"/>
      <c r="AX34" s="163">
        <f t="shared" si="25"/>
        <v>36021.206144817843</v>
      </c>
      <c r="AZ34" s="154">
        <f>+IF(AZ33&gt;$G$13+$G$14,XX,AZ33+1)</f>
        <v>2026</v>
      </c>
      <c r="BA34" s="124"/>
      <c r="BB34" s="162">
        <f t="shared" si="26"/>
        <v>68.998233949500403</v>
      </c>
      <c r="BC34" s="3"/>
      <c r="BD34" s="162">
        <f t="shared" si="27"/>
        <v>7.7732497239981351</v>
      </c>
      <c r="BE34" s="3"/>
      <c r="BF34" s="161">
        <f t="shared" si="28"/>
        <v>7254.803719708113</v>
      </c>
      <c r="BG34" s="3"/>
      <c r="BH34" s="165"/>
    </row>
    <row r="35" spans="2:60" ht="12">
      <c r="B35" s="2"/>
      <c r="C35" s="6">
        <f>+IF(C34&gt;$G$13+$G$14,XX,C34+1)</f>
        <v>2027</v>
      </c>
      <c r="D35" s="6"/>
      <c r="E35" s="292">
        <f>'(2.2)_Forward_Price_Curve'!P39</f>
        <v>2.1999999999999999E-2</v>
      </c>
      <c r="F35" s="6"/>
      <c r="G35" s="20">
        <v>818776.75416000001</v>
      </c>
      <c r="H35" s="6"/>
      <c r="I35" s="30">
        <f t="shared" si="10"/>
        <v>69.561838136432002</v>
      </c>
      <c r="J35" s="6"/>
      <c r="K35" s="30">
        <f t="shared" si="10"/>
        <v>1.2018549497618898</v>
      </c>
      <c r="L35" s="6"/>
      <c r="M35" s="30">
        <f t="shared" si="11"/>
        <v>0</v>
      </c>
      <c r="N35" s="6"/>
      <c r="O35" s="295">
        <f>'(2.2)_Forward_Price_Curve'!Y39</f>
        <v>1.3408534982838876</v>
      </c>
      <c r="P35" s="6"/>
      <c r="Q35" s="30">
        <v>-38.454908304934172</v>
      </c>
      <c r="R35" s="6"/>
      <c r="S35" s="20">
        <f t="shared" si="12"/>
        <v>-12027.527267087578</v>
      </c>
      <c r="T35" s="6"/>
      <c r="U35" s="20">
        <f t="shared" si="13"/>
        <v>36118.23438502779</v>
      </c>
      <c r="V35" s="6"/>
      <c r="W35" s="20">
        <f t="shared" si="14"/>
        <v>-48145.761652115369</v>
      </c>
      <c r="X35" s="6"/>
      <c r="Y35" s="296">
        <f t="shared" si="15"/>
        <v>-58.802062231858422</v>
      </c>
      <c r="Z35" s="255"/>
      <c r="AB35" s="154">
        <f>+IF(AB34&gt;$G$13+$G$14,XX,AB34+1)</f>
        <v>2027</v>
      </c>
      <c r="AC35" s="124"/>
      <c r="AD35" s="159">
        <f t="shared" si="16"/>
        <v>818776.75416000001</v>
      </c>
      <c r="AE35" s="3"/>
      <c r="AF35" s="162">
        <f t="shared" si="17"/>
        <v>110.23030128501796</v>
      </c>
      <c r="AG35" s="3"/>
      <c r="AH35" s="162">
        <f t="shared" si="18"/>
        <v>23.093968531094049</v>
      </c>
      <c r="AI35" s="3"/>
      <c r="AJ35" s="162">
        <f t="shared" si="19"/>
        <v>2.6564454808906888</v>
      </c>
      <c r="AK35" s="3"/>
      <c r="AL35" s="161">
        <f t="shared" si="20"/>
        <v>20036.098669947012</v>
      </c>
      <c r="AM35" s="3"/>
      <c r="AN35" s="162">
        <f>INDEX('(2.2)_Forward_Price_Curve'!$H:$H,MATCH($AB35,'(2.2)_Forward_Price_Curve'!$C:$C,0),1)</f>
        <v>3.9925249999999992</v>
      </c>
      <c r="AO35" s="3"/>
      <c r="AP35" s="162">
        <f t="shared" si="21"/>
        <v>25.955001061760328</v>
      </c>
      <c r="AQ35" s="3"/>
      <c r="AR35" s="162">
        <f t="shared" si="22"/>
        <v>2.7421315781716182</v>
      </c>
      <c r="AS35" s="162"/>
      <c r="AT35" s="161">
        <f t="shared" si="23"/>
        <v>12621.68926840532</v>
      </c>
      <c r="AU35" s="3"/>
      <c r="AV35" s="161">
        <f t="shared" si="24"/>
        <v>23496.54511662247</v>
      </c>
      <c r="AW35" s="299"/>
      <c r="AX35" s="163">
        <f t="shared" si="25"/>
        <v>36118.23438502779</v>
      </c>
      <c r="AZ35" s="154">
        <f>+IF(AZ34&gt;$G$13+$G$14,XX,AZ34+1)</f>
        <v>2027</v>
      </c>
      <c r="BA35" s="124"/>
      <c r="BB35" s="162">
        <f t="shared" si="26"/>
        <v>70.51619509638941</v>
      </c>
      <c r="BC35" s="3"/>
      <c r="BD35" s="162">
        <f t="shared" si="27"/>
        <v>7.9442612179260941</v>
      </c>
      <c r="BE35" s="3"/>
      <c r="BF35" s="161">
        <f t="shared" si="28"/>
        <v>7414.4094015416913</v>
      </c>
      <c r="BG35" s="3"/>
      <c r="BH35" s="165"/>
    </row>
    <row r="36" spans="2:60" ht="12">
      <c r="B36" s="2"/>
      <c r="C36" s="6">
        <f>+IF(C35&gt;$G$13+$G$14,XX,C35+1)</f>
        <v>2028</v>
      </c>
      <c r="D36" s="6"/>
      <c r="E36" s="292">
        <f>'(2.2)_Forward_Price_Curve'!P40</f>
        <v>2.1999999999999999E-2</v>
      </c>
      <c r="F36" s="6"/>
      <c r="G36" s="20">
        <v>818776.75416000001</v>
      </c>
      <c r="H36" s="6"/>
      <c r="I36" s="30">
        <f t="shared" si="10"/>
        <v>71.092198575433514</v>
      </c>
      <c r="J36" s="6"/>
      <c r="K36" s="30">
        <f t="shared" si="10"/>
        <v>1.2282957586566514</v>
      </c>
      <c r="L36" s="6"/>
      <c r="M36" s="30">
        <f t="shared" si="11"/>
        <v>0</v>
      </c>
      <c r="N36" s="6"/>
      <c r="O36" s="295">
        <f>'(2.2)_Forward_Price_Curve'!Y40</f>
        <v>1.3709529466223729</v>
      </c>
      <c r="P36" s="6"/>
      <c r="Q36" s="30">
        <v>-38.454908304934172</v>
      </c>
      <c r="R36" s="6"/>
      <c r="S36" s="20">
        <f t="shared" si="12"/>
        <v>-11598.949381128199</v>
      </c>
      <c r="T36" s="6"/>
      <c r="U36" s="20">
        <f t="shared" si="13"/>
        <v>36125.938717876779</v>
      </c>
      <c r="V36" s="6"/>
      <c r="W36" s="20">
        <f t="shared" si="14"/>
        <v>-47724.88809900498</v>
      </c>
      <c r="X36" s="6"/>
      <c r="Y36" s="296">
        <f t="shared" si="15"/>
        <v>-58.2880349943092</v>
      </c>
      <c r="Z36" s="255"/>
      <c r="AB36" s="154">
        <f>+IF(AB35&gt;$G$13+$G$14,XX,AB35+1)</f>
        <v>2028</v>
      </c>
      <c r="AC36" s="124"/>
      <c r="AD36" s="159">
        <f t="shared" si="16"/>
        <v>818776.75416000001</v>
      </c>
      <c r="AE36" s="3"/>
      <c r="AF36" s="162">
        <f t="shared" si="17"/>
        <v>112.65536791328836</v>
      </c>
      <c r="AG36" s="3"/>
      <c r="AH36" s="162">
        <f t="shared" si="18"/>
        <v>23.602035838778118</v>
      </c>
      <c r="AI36" s="3"/>
      <c r="AJ36" s="162">
        <f t="shared" si="19"/>
        <v>2.714887281470284</v>
      </c>
      <c r="AK36" s="3"/>
      <c r="AL36" s="161">
        <f t="shared" si="20"/>
        <v>20476.892840685843</v>
      </c>
      <c r="AM36" s="3"/>
      <c r="AN36" s="162">
        <f>INDEX('(2.2)_Forward_Price_Curve'!$H:$H,MATCH($AB36,'(2.2)_Forward_Price_Curve'!$C:$C,0),1)</f>
        <v>3.9325250000000005</v>
      </c>
      <c r="AO36" s="3"/>
      <c r="AP36" s="162">
        <f t="shared" si="21"/>
        <v>25.564947132553726</v>
      </c>
      <c r="AQ36" s="3"/>
      <c r="AR36" s="162">
        <f t="shared" si="22"/>
        <v>2.8024584728913937</v>
      </c>
      <c r="AS36" s="162"/>
      <c r="AT36" s="161">
        <f t="shared" si="23"/>
        <v>12899.366432310235</v>
      </c>
      <c r="AU36" s="3"/>
      <c r="AV36" s="161">
        <f t="shared" si="24"/>
        <v>23226.572285566544</v>
      </c>
      <c r="AW36" s="299"/>
      <c r="AX36" s="163">
        <f t="shared" si="25"/>
        <v>36125.938717876779</v>
      </c>
      <c r="AZ36" s="154">
        <f>+IF(AZ35&gt;$G$13+$G$14,XX,AZ35+1)</f>
        <v>2028</v>
      </c>
      <c r="BA36" s="124"/>
      <c r="BB36" s="162">
        <f t="shared" si="26"/>
        <v>72.067551388509983</v>
      </c>
      <c r="BC36" s="3"/>
      <c r="BD36" s="162">
        <f t="shared" si="27"/>
        <v>8.119034964720468</v>
      </c>
      <c r="BE36" s="3"/>
      <c r="BF36" s="161">
        <f t="shared" si="28"/>
        <v>7577.5264083756092</v>
      </c>
      <c r="BG36" s="3"/>
      <c r="BH36" s="165"/>
    </row>
    <row r="37" spans="2:60" ht="12">
      <c r="B37" s="2"/>
      <c r="C37" s="6">
        <f>+IF(C36&gt;$G$13+$G$14,XX,C36+1)</f>
        <v>2029</v>
      </c>
      <c r="D37" s="6"/>
      <c r="E37" s="292">
        <f>'(2.2)_Forward_Price_Curve'!P41</f>
        <v>2.1999999999999999E-2</v>
      </c>
      <c r="F37" s="6"/>
      <c r="G37" s="20">
        <v>818776.75416000001</v>
      </c>
      <c r="H37" s="6"/>
      <c r="I37" s="30">
        <f t="shared" si="10"/>
        <v>72.656226944093049</v>
      </c>
      <c r="J37" s="6"/>
      <c r="K37" s="30">
        <f t="shared" si="10"/>
        <v>1.2553182653470978</v>
      </c>
      <c r="L37" s="6"/>
      <c r="M37" s="30">
        <f t="shared" si="11"/>
        <v>0</v>
      </c>
      <c r="N37" s="6"/>
      <c r="O37" s="295">
        <f>'(2.2)_Forward_Price_Curve'!Y41</f>
        <v>1.4021626326399876</v>
      </c>
      <c r="P37" s="6"/>
      <c r="Q37" s="30">
        <v>-39.780939625793962</v>
      </c>
      <c r="R37" s="6"/>
      <c r="S37" s="20">
        <f t="shared" si="12"/>
        <v>-12246.299549711995</v>
      </c>
      <c r="T37" s="6"/>
      <c r="U37" s="20">
        <f t="shared" si="13"/>
        <v>38158.240609326007</v>
      </c>
      <c r="V37" s="6"/>
      <c r="W37" s="20">
        <f t="shared" si="14"/>
        <v>-50404.540159038006</v>
      </c>
      <c r="X37" s="6"/>
      <c r="Y37" s="296">
        <f t="shared" si="15"/>
        <v>-61.560785529077542</v>
      </c>
      <c r="Z37" s="255"/>
      <c r="AB37" s="154">
        <f>+IF(AB36&gt;$G$13+$G$14,XX,AB36+1)</f>
        <v>2029</v>
      </c>
      <c r="AC37" s="124"/>
      <c r="AD37" s="159">
        <f t="shared" si="16"/>
        <v>818776.75416000001</v>
      </c>
      <c r="AE37" s="3"/>
      <c r="AF37" s="162">
        <f t="shared" si="17"/>
        <v>115.13378600738071</v>
      </c>
      <c r="AG37" s="3"/>
      <c r="AH37" s="162">
        <f t="shared" si="18"/>
        <v>24.121280627231236</v>
      </c>
      <c r="AI37" s="3"/>
      <c r="AJ37" s="162">
        <f t="shared" si="19"/>
        <v>2.7746148016626302</v>
      </c>
      <c r="AK37" s="3"/>
      <c r="AL37" s="161">
        <f t="shared" si="20"/>
        <v>20927.384483180937</v>
      </c>
      <c r="AM37" s="3"/>
      <c r="AN37" s="162">
        <f>INDEX('(2.2)_Forward_Price_Curve'!$H:$H,MATCH($AB37,'(2.2)_Forward_Price_Curve'!$C:$C,0),1)</f>
        <v>4.2515375000000004</v>
      </c>
      <c r="AO37" s="3"/>
      <c r="AP37" s="162">
        <f t="shared" si="21"/>
        <v>27.638815117404125</v>
      </c>
      <c r="AQ37" s="3"/>
      <c r="AR37" s="162">
        <f t="shared" si="22"/>
        <v>2.8641125592950045</v>
      </c>
      <c r="AS37" s="162"/>
      <c r="AT37" s="161">
        <f t="shared" si="23"/>
        <v>13183.152493821064</v>
      </c>
      <c r="AU37" s="3"/>
      <c r="AV37" s="161">
        <f t="shared" si="24"/>
        <v>24975.088115504943</v>
      </c>
      <c r="AW37" s="299"/>
      <c r="AX37" s="163">
        <f t="shared" si="25"/>
        <v>38158.240609326007</v>
      </c>
      <c r="AZ37" s="154">
        <f>+IF(AZ36&gt;$G$13+$G$14,XX,AZ36+1)</f>
        <v>2029</v>
      </c>
      <c r="BA37" s="124"/>
      <c r="BB37" s="162">
        <f t="shared" si="26"/>
        <v>73.653037519057207</v>
      </c>
      <c r="BC37" s="3"/>
      <c r="BD37" s="162">
        <f t="shared" si="27"/>
        <v>8.297653733944319</v>
      </c>
      <c r="BE37" s="3"/>
      <c r="BF37" s="161">
        <f t="shared" si="28"/>
        <v>7744.2319893598724</v>
      </c>
      <c r="BG37" s="3"/>
      <c r="BH37" s="165"/>
    </row>
    <row r="38" spans="2:60" ht="12">
      <c r="B38" s="2"/>
      <c r="C38" s="6">
        <f>+IF(C37&gt;$G$13+$G$14,XX,C37+1)</f>
        <v>2030</v>
      </c>
      <c r="D38" s="6"/>
      <c r="E38" s="292">
        <f>'(2.2)_Forward_Price_Curve'!P42</f>
        <v>2.1999999999999999E-2</v>
      </c>
      <c r="F38" s="6"/>
      <c r="G38" s="20">
        <v>818776.75416000001</v>
      </c>
      <c r="H38" s="6"/>
      <c r="I38" s="30">
        <f t="shared" si="10"/>
        <v>74.254663936863096</v>
      </c>
      <c r="J38" s="6"/>
      <c r="K38" s="30">
        <f t="shared" si="10"/>
        <v>1.2829352671847341</v>
      </c>
      <c r="L38" s="6"/>
      <c r="M38" s="30">
        <f t="shared" si="11"/>
        <v>0</v>
      </c>
      <c r="N38" s="6"/>
      <c r="O38" s="295">
        <f>'(2.2)_Forward_Price_Curve'!Y42</f>
        <v>1.4335840474923813</v>
      </c>
      <c r="P38" s="6"/>
      <c r="Q38" s="30">
        <v>-41.10697094665376</v>
      </c>
      <c r="R38" s="6"/>
      <c r="S38" s="20">
        <f t="shared" si="12"/>
        <v>-12884.394326537911</v>
      </c>
      <c r="T38" s="6"/>
      <c r="U38" s="20">
        <f t="shared" si="13"/>
        <v>41472.481559942462</v>
      </c>
      <c r="V38" s="6"/>
      <c r="W38" s="20">
        <f t="shared" si="14"/>
        <v>-54356.875886480375</v>
      </c>
      <c r="X38" s="6"/>
      <c r="Y38" s="296">
        <f t="shared" si="15"/>
        <v>-66.387908071774973</v>
      </c>
      <c r="Z38" s="255"/>
      <c r="AB38" s="154">
        <f>+IF(AB37&gt;$G$13+$G$14,XX,AB37+1)</f>
        <v>2030</v>
      </c>
      <c r="AC38" s="124"/>
      <c r="AD38" s="159">
        <f t="shared" si="16"/>
        <v>818776.75416000001</v>
      </c>
      <c r="AE38" s="3"/>
      <c r="AF38" s="162">
        <f t="shared" si="17"/>
        <v>117.66672929954308</v>
      </c>
      <c r="AG38" s="3"/>
      <c r="AH38" s="162">
        <f t="shared" si="18"/>
        <v>24.651948801030326</v>
      </c>
      <c r="AI38" s="3"/>
      <c r="AJ38" s="162">
        <f t="shared" si="19"/>
        <v>2.8356563272992079</v>
      </c>
      <c r="AK38" s="3"/>
      <c r="AL38" s="161">
        <f t="shared" si="20"/>
        <v>21387.786941810915</v>
      </c>
      <c r="AM38" s="3"/>
      <c r="AN38" s="162">
        <f>INDEX('(2.2)_Forward_Price_Curve'!$H:$H,MATCH($AB38,'(2.2)_Forward_Price_Curve'!$C:$C,0),1)</f>
        <v>4.8100083333333341</v>
      </c>
      <c r="AO38" s="3"/>
      <c r="AP38" s="162">
        <f t="shared" si="21"/>
        <v>31.26937749888673</v>
      </c>
      <c r="AQ38" s="3"/>
      <c r="AR38" s="162">
        <f t="shared" si="22"/>
        <v>2.9271230355994948</v>
      </c>
      <c r="AS38" s="162"/>
      <c r="AT38" s="161">
        <f t="shared" si="23"/>
        <v>13473.181848685126</v>
      </c>
      <c r="AU38" s="3"/>
      <c r="AV38" s="161">
        <f t="shared" si="24"/>
        <v>27999.299711257339</v>
      </c>
      <c r="AW38" s="299"/>
      <c r="AX38" s="163">
        <f t="shared" si="25"/>
        <v>41472.481559942462</v>
      </c>
      <c r="AZ38" s="154">
        <f>+IF(AZ37&gt;$G$13+$G$14,XX,AZ37+1)</f>
        <v>2030</v>
      </c>
      <c r="BA38" s="124"/>
      <c r="BB38" s="162">
        <f t="shared" si="26"/>
        <v>75.273404344476461</v>
      </c>
      <c r="BC38" s="3"/>
      <c r="BD38" s="162">
        <f t="shared" si="27"/>
        <v>8.4802021160910943</v>
      </c>
      <c r="BE38" s="3"/>
      <c r="BF38" s="161">
        <f t="shared" si="28"/>
        <v>7914.6050931257896</v>
      </c>
      <c r="BG38" s="3"/>
      <c r="BH38" s="165"/>
    </row>
    <row r="39" spans="2:60" ht="12">
      <c r="B39" s="2"/>
      <c r="C39" s="6">
        <f>+IF(C38&gt;$G$13+$G$14,XX,C38+1)</f>
        <v>2031</v>
      </c>
      <c r="D39" s="6"/>
      <c r="E39" s="292">
        <f>'(2.2)_Forward_Price_Curve'!P43</f>
        <v>2.1999999999999999E-2</v>
      </c>
      <c r="F39" s="6"/>
      <c r="G39" s="20">
        <v>818776.75416000001</v>
      </c>
      <c r="H39" s="6"/>
      <c r="I39" s="30">
        <f t="shared" si="10"/>
        <v>75.888266543474089</v>
      </c>
      <c r="J39" s="6"/>
      <c r="K39" s="30">
        <f t="shared" si="10"/>
        <v>1.3111598430627982</v>
      </c>
      <c r="L39" s="6"/>
      <c r="M39" s="30">
        <f t="shared" si="11"/>
        <v>0</v>
      </c>
      <c r="N39" s="6"/>
      <c r="O39" s="295">
        <f>'(2.2)_Forward_Price_Curve'!Y43</f>
        <v>1.4649463685254571</v>
      </c>
      <c r="P39" s="6"/>
      <c r="Q39" s="30">
        <v>0</v>
      </c>
      <c r="R39" s="6"/>
      <c r="S39" s="20">
        <f t="shared" si="12"/>
        <v>21229.900215687474</v>
      </c>
      <c r="T39" s="6"/>
      <c r="U39" s="20">
        <f t="shared" si="13"/>
        <v>43477.203775304675</v>
      </c>
      <c r="V39" s="6"/>
      <c r="W39" s="20">
        <f t="shared" si="14"/>
        <v>-22247.303559617201</v>
      </c>
      <c r="X39" s="6"/>
      <c r="Y39" s="296">
        <f t="shared" si="15"/>
        <v>-27.171391281670143</v>
      </c>
      <c r="Z39" s="255"/>
      <c r="AB39" s="154">
        <f>+IF(AB38&gt;$G$13+$G$14,XX,AB38+1)</f>
        <v>2031</v>
      </c>
      <c r="AC39" s="124"/>
      <c r="AD39" s="159">
        <f t="shared" si="16"/>
        <v>818776.75416000001</v>
      </c>
      <c r="AE39" s="3"/>
      <c r="AF39" s="162">
        <f t="shared" si="17"/>
        <v>120.25539734413303</v>
      </c>
      <c r="AG39" s="3"/>
      <c r="AH39" s="162">
        <f t="shared" si="18"/>
        <v>25.194291674652995</v>
      </c>
      <c r="AI39" s="3"/>
      <c r="AJ39" s="162">
        <f t="shared" si="19"/>
        <v>2.8980407664997907</v>
      </c>
      <c r="AK39" s="3"/>
      <c r="AL39" s="161">
        <f t="shared" si="20"/>
        <v>21858.318254530754</v>
      </c>
      <c r="AM39" s="3"/>
      <c r="AN39" s="162">
        <f>INDEX('(2.2)_Forward_Price_Curve'!$H:$H,MATCH($AB39,'(2.2)_Forward_Price_Curve'!$C:$C,0),1)</f>
        <v>5.1210458333333335</v>
      </c>
      <c r="AO39" s="3"/>
      <c r="AP39" s="162">
        <f t="shared" si="21"/>
        <v>33.291400815646746</v>
      </c>
      <c r="AQ39" s="3"/>
      <c r="AR39" s="162">
        <f t="shared" si="22"/>
        <v>2.9915197423826836</v>
      </c>
      <c r="AS39" s="162"/>
      <c r="AT39" s="161">
        <f t="shared" si="23"/>
        <v>13769.591849356199</v>
      </c>
      <c r="AU39" s="3"/>
      <c r="AV39" s="161">
        <f t="shared" si="24"/>
        <v>29707.611925948473</v>
      </c>
      <c r="AW39" s="299"/>
      <c r="AX39" s="163">
        <f t="shared" si="25"/>
        <v>43477.203775304675</v>
      </c>
      <c r="AZ39" s="154">
        <f>+IF(AZ38&gt;$G$13+$G$14,XX,AZ38+1)</f>
        <v>2031</v>
      </c>
      <c r="BA39" s="124"/>
      <c r="BB39" s="162">
        <f t="shared" si="26"/>
        <v>76.929419240054941</v>
      </c>
      <c r="BC39" s="3"/>
      <c r="BD39" s="162">
        <f t="shared" si="27"/>
        <v>8.6667665626450994</v>
      </c>
      <c r="BE39" s="3"/>
      <c r="BF39" s="161">
        <f t="shared" si="28"/>
        <v>8088.726405174556</v>
      </c>
      <c r="BG39" s="3"/>
      <c r="BH39" s="165"/>
    </row>
    <row r="40" spans="2:60" ht="12">
      <c r="B40" s="2"/>
      <c r="C40" s="6">
        <f>+IF(C39&gt;$G$13+$G$14,XX,C39+1)</f>
        <v>2032</v>
      </c>
      <c r="D40" s="6"/>
      <c r="E40" s="292">
        <f>'(2.2)_Forward_Price_Curve'!P44</f>
        <v>2.1000000000000001E-2</v>
      </c>
      <c r="F40" s="6"/>
      <c r="G40" s="20">
        <v>818776.75416000001</v>
      </c>
      <c r="H40" s="6"/>
      <c r="I40" s="30">
        <f t="shared" si="10"/>
        <v>77.481920140887041</v>
      </c>
      <c r="J40" s="6"/>
      <c r="K40" s="30">
        <f t="shared" si="10"/>
        <v>1.3386941997671169</v>
      </c>
      <c r="L40" s="6"/>
      <c r="M40" s="30">
        <f t="shared" si="11"/>
        <v>0</v>
      </c>
      <c r="N40" s="6"/>
      <c r="O40" s="295">
        <f>'(2.2)_Forward_Price_Curve'!Y44</f>
        <v>1.4965465421812867</v>
      </c>
      <c r="P40" s="6"/>
      <c r="Q40" s="30">
        <v>0</v>
      </c>
      <c r="R40" s="6"/>
      <c r="S40" s="20">
        <f t="shared" si="12"/>
        <v>21676.412863148285</v>
      </c>
      <c r="T40" s="6"/>
      <c r="U40" s="20">
        <f t="shared" si="13"/>
        <v>45425.859982668902</v>
      </c>
      <c r="V40" s="6"/>
      <c r="W40" s="20">
        <f t="shared" si="14"/>
        <v>-23749.447119520617</v>
      </c>
      <c r="X40" s="6"/>
      <c r="Y40" s="296">
        <f t="shared" si="15"/>
        <v>-29.006010489251938</v>
      </c>
      <c r="Z40" s="255"/>
      <c r="AB40" s="154">
        <f>+IF(AB39&gt;$G$13+$G$14,XX,AB39+1)</f>
        <v>2032</v>
      </c>
      <c r="AC40" s="124"/>
      <c r="AD40" s="159">
        <f t="shared" si="16"/>
        <v>818776.75416000001</v>
      </c>
      <c r="AE40" s="3"/>
      <c r="AF40" s="162">
        <f t="shared" si="17"/>
        <v>122.78076068835981</v>
      </c>
      <c r="AG40" s="3"/>
      <c r="AH40" s="162">
        <f t="shared" si="18"/>
        <v>25.723371799820704</v>
      </c>
      <c r="AI40" s="3"/>
      <c r="AJ40" s="162">
        <f t="shared" si="19"/>
        <v>2.9588996225962862</v>
      </c>
      <c r="AK40" s="3"/>
      <c r="AL40" s="161">
        <f t="shared" si="20"/>
        <v>22317.342937875896</v>
      </c>
      <c r="AM40" s="3"/>
      <c r="AN40" s="162">
        <f>INDEX('(2.2)_Forward_Price_Curve'!$H:$H,MATCH($AB40,'(2.2)_Forward_Price_Curve'!$C:$C,0),1)</f>
        <v>5.4231541666666665</v>
      </c>
      <c r="AO40" s="3"/>
      <c r="AP40" s="162">
        <f t="shared" si="21"/>
        <v>35.255376523358855</v>
      </c>
      <c r="AQ40" s="3"/>
      <c r="AR40" s="162">
        <f t="shared" si="22"/>
        <v>3.0543416569727198</v>
      </c>
      <c r="AS40" s="162"/>
      <c r="AT40" s="161">
        <f t="shared" si="23"/>
        <v>14058.753278192673</v>
      </c>
      <c r="AU40" s="3"/>
      <c r="AV40" s="161">
        <f t="shared" si="24"/>
        <v>31367.106704476228</v>
      </c>
      <c r="AW40" s="299"/>
      <c r="AX40" s="163">
        <f t="shared" si="25"/>
        <v>45425.859982668902</v>
      </c>
      <c r="AZ40" s="154">
        <f>+IF(AZ39&gt;$G$13+$G$14,XX,AZ39+1)</f>
        <v>2032</v>
      </c>
      <c r="BA40" s="124"/>
      <c r="BB40" s="162">
        <f t="shared" si="26"/>
        <v>78.544937044096088</v>
      </c>
      <c r="BC40" s="3"/>
      <c r="BD40" s="162">
        <f t="shared" si="27"/>
        <v>8.8487686604606459</v>
      </c>
      <c r="BE40" s="3"/>
      <c r="BF40" s="161">
        <f t="shared" si="28"/>
        <v>8258.5896596832226</v>
      </c>
      <c r="BG40" s="3"/>
      <c r="BH40" s="165"/>
    </row>
    <row r="41" spans="2:60" ht="12">
      <c r="B41" s="2"/>
      <c r="C41" s="6">
        <f>+IF(C40&gt;$G$13+$G$14,XX,C40+1)</f>
        <v>2033</v>
      </c>
      <c r="D41" s="6"/>
      <c r="E41" s="292">
        <f>'(2.2)_Forward_Price_Curve'!P45</f>
        <v>2.1000000000000001E-2</v>
      </c>
      <c r="F41" s="6"/>
      <c r="G41" s="20">
        <v>818776.75416000001</v>
      </c>
      <c r="H41" s="6"/>
      <c r="I41" s="30">
        <f t="shared" si="10"/>
        <v>79.109040463845659</v>
      </c>
      <c r="J41" s="6"/>
      <c r="K41" s="30">
        <f t="shared" si="10"/>
        <v>1.3668067779622262</v>
      </c>
      <c r="L41" s="6"/>
      <c r="M41" s="30">
        <f t="shared" si="11"/>
        <v>0</v>
      </c>
      <c r="N41" s="6"/>
      <c r="O41" s="295">
        <f>'(2.2)_Forward_Price_Curve'!Y45</f>
        <v>1.5286401492284176</v>
      </c>
      <c r="P41" s="6"/>
      <c r="Q41" s="30">
        <v>0</v>
      </c>
      <c r="R41" s="6"/>
      <c r="S41" s="20">
        <f t="shared" si="12"/>
        <v>22132.16294475635</v>
      </c>
      <c r="T41" s="6"/>
      <c r="U41" s="20">
        <f t="shared" si="13"/>
        <v>47461.621423504912</v>
      </c>
      <c r="V41" s="6"/>
      <c r="W41" s="20">
        <f t="shared" si="14"/>
        <v>-25329.458478748562</v>
      </c>
      <c r="X41" s="6"/>
      <c r="Y41" s="296">
        <f t="shared" si="15"/>
        <v>-30.935732298280229</v>
      </c>
      <c r="Z41" s="255"/>
      <c r="AB41" s="154">
        <f>+IF(AB40&gt;$G$13+$G$14,XX,AB40+1)</f>
        <v>2033</v>
      </c>
      <c r="AC41" s="124"/>
      <c r="AD41" s="159">
        <f t="shared" si="16"/>
        <v>818776.75416000001</v>
      </c>
      <c r="AE41" s="3"/>
      <c r="AF41" s="162">
        <f t="shared" si="17"/>
        <v>125.35915666281535</v>
      </c>
      <c r="AG41" s="3"/>
      <c r="AH41" s="162">
        <f t="shared" si="18"/>
        <v>26.263562607616937</v>
      </c>
      <c r="AI41" s="3"/>
      <c r="AJ41" s="162">
        <f t="shared" si="19"/>
        <v>3.0210365146708078</v>
      </c>
      <c r="AK41" s="3"/>
      <c r="AL41" s="161">
        <f t="shared" si="20"/>
        <v>22786.007139571291</v>
      </c>
      <c r="AM41" s="3"/>
      <c r="AN41" s="162">
        <f>INDEX('(2.2)_Forward_Price_Curve'!$H:$H,MATCH($AB41,'(2.2)_Forward_Price_Curve'!$C:$C,0),1)</f>
        <v>5.7402833333333332</v>
      </c>
      <c r="AO41" s="3"/>
      <c r="AP41" s="162">
        <f t="shared" si="21"/>
        <v>37.317001148764703</v>
      </c>
      <c r="AQ41" s="3"/>
      <c r="AR41" s="162">
        <f t="shared" si="22"/>
        <v>3.1184828317691466</v>
      </c>
      <c r="AS41" s="162"/>
      <c r="AT41" s="161">
        <f t="shared" si="23"/>
        <v>14353.987097034722</v>
      </c>
      <c r="AU41" s="3"/>
      <c r="AV41" s="161">
        <f t="shared" si="24"/>
        <v>33107.634326470186</v>
      </c>
      <c r="AW41" s="299"/>
      <c r="AX41" s="163">
        <f t="shared" si="25"/>
        <v>47461.621423504912</v>
      </c>
      <c r="AZ41" s="154">
        <f>+IF(AZ40&gt;$G$13+$G$14,XX,AZ40+1)</f>
        <v>2033</v>
      </c>
      <c r="BA41" s="124"/>
      <c r="BB41" s="162">
        <f t="shared" si="26"/>
        <v>80.194380722022103</v>
      </c>
      <c r="BC41" s="3"/>
      <c r="BD41" s="162">
        <f t="shared" si="27"/>
        <v>9.0345928023303195</v>
      </c>
      <c r="BE41" s="3"/>
      <c r="BF41" s="161">
        <f t="shared" si="28"/>
        <v>8432.0200425365692</v>
      </c>
      <c r="BG41" s="3"/>
      <c r="BH41" s="165"/>
    </row>
    <row r="42" spans="2:60" ht="12">
      <c r="B42" s="2"/>
      <c r="C42" s="6">
        <f>+IF(C41&gt;$G$13+$G$14,XX,C41+1)</f>
        <v>2034</v>
      </c>
      <c r="D42" s="6"/>
      <c r="E42" s="292">
        <f>'(2.2)_Forward_Price_Curve'!P46</f>
        <v>2.1000000000000001E-2</v>
      </c>
      <c r="F42" s="6"/>
      <c r="G42" s="20">
        <v>818776.75416000001</v>
      </c>
      <c r="H42" s="6"/>
      <c r="I42" s="30">
        <f t="shared" si="10"/>
        <v>80.770330313586413</v>
      </c>
      <c r="J42" s="6"/>
      <c r="K42" s="30">
        <f t="shared" si="10"/>
        <v>1.3955097202994329</v>
      </c>
      <c r="L42" s="6"/>
      <c r="M42" s="30">
        <f t="shared" si="11"/>
        <v>0</v>
      </c>
      <c r="N42" s="6"/>
      <c r="O42" s="295">
        <f>'(2.2)_Forward_Price_Curve'!Y46</f>
        <v>1.5607569013547813</v>
      </c>
      <c r="P42" s="6"/>
      <c r="Q42" s="30">
        <v>0</v>
      </c>
      <c r="R42" s="6"/>
      <c r="S42" s="20">
        <f t="shared" si="12"/>
        <v>22596.950901243476</v>
      </c>
      <c r="T42" s="6"/>
      <c r="U42" s="20">
        <f t="shared" si="13"/>
        <v>49458.998401396791</v>
      </c>
      <c r="V42" s="6"/>
      <c r="W42" s="20">
        <f t="shared" si="14"/>
        <v>-26862.047500153316</v>
      </c>
      <c r="X42" s="6"/>
      <c r="Y42" s="296">
        <f t="shared" si="15"/>
        <v>-32.807535587294055</v>
      </c>
      <c r="Z42" s="255"/>
      <c r="AB42" s="154">
        <f>+IF(AB41&gt;$G$13+$G$14,XX,AB41+1)</f>
        <v>2034</v>
      </c>
      <c r="AC42" s="124"/>
      <c r="AD42" s="159">
        <f t="shared" si="16"/>
        <v>818776.75416000001</v>
      </c>
      <c r="AE42" s="3"/>
      <c r="AF42" s="162">
        <f t="shared" si="17"/>
        <v>127.99169895273447</v>
      </c>
      <c r="AG42" s="3"/>
      <c r="AH42" s="162">
        <f t="shared" si="18"/>
        <v>26.815097422376891</v>
      </c>
      <c r="AI42" s="3"/>
      <c r="AJ42" s="162">
        <f t="shared" si="19"/>
        <v>3.0844782814788947</v>
      </c>
      <c r="AK42" s="3"/>
      <c r="AL42" s="161">
        <f t="shared" si="20"/>
        <v>23264.513289502287</v>
      </c>
      <c r="AM42" s="3"/>
      <c r="AN42" s="162">
        <f>INDEX('(2.2)_Forward_Price_Curve'!$H:$H,MATCH($AB42,'(2.2)_Forward_Price_Curve'!$C:$C,0),1)</f>
        <v>6.0488291666666667</v>
      </c>
      <c r="AO42" s="3"/>
      <c r="AP42" s="162">
        <f t="shared" si="21"/>
        <v>39.322826392631285</v>
      </c>
      <c r="AQ42" s="3"/>
      <c r="AR42" s="162">
        <f t="shared" si="22"/>
        <v>3.1839709712362985</v>
      </c>
      <c r="AS42" s="162"/>
      <c r="AT42" s="161">
        <f t="shared" si="23"/>
        <v>14655.42082607245</v>
      </c>
      <c r="AU42" s="3"/>
      <c r="AV42" s="161">
        <f t="shared" si="24"/>
        <v>34803.577575324343</v>
      </c>
      <c r="AW42" s="299"/>
      <c r="AX42" s="163">
        <f t="shared" si="25"/>
        <v>49458.998401396791</v>
      </c>
      <c r="AZ42" s="154">
        <f>+IF(AZ41&gt;$G$13+$G$14,XX,AZ41+1)</f>
        <v>2034</v>
      </c>
      <c r="BA42" s="124"/>
      <c r="BB42" s="162">
        <f t="shared" si="26"/>
        <v>81.878462717184561</v>
      </c>
      <c r="BC42" s="3"/>
      <c r="BD42" s="162">
        <f t="shared" si="27"/>
        <v>9.2243192511792547</v>
      </c>
      <c r="BE42" s="3"/>
      <c r="BF42" s="161">
        <f t="shared" si="28"/>
        <v>8609.0924634298372</v>
      </c>
      <c r="BG42" s="3"/>
      <c r="BH42" s="165"/>
    </row>
    <row r="43" spans="2:60" ht="12">
      <c r="B43" s="2"/>
      <c r="C43" s="6">
        <f>+IF(C42&gt;$G$13+$G$14,XX,C42+1)</f>
        <v>2035</v>
      </c>
      <c r="D43" s="6"/>
      <c r="E43" s="292">
        <f>'(2.2)_Forward_Price_Curve'!P47</f>
        <v>2.1000000000000001E-2</v>
      </c>
      <c r="F43" s="6"/>
      <c r="G43" s="20">
        <v>818776.75416000001</v>
      </c>
      <c r="H43" s="6"/>
      <c r="I43" s="30">
        <f t="shared" si="10"/>
        <v>82.466507250171716</v>
      </c>
      <c r="J43" s="6"/>
      <c r="K43" s="30">
        <f t="shared" si="10"/>
        <v>1.4248154244257207</v>
      </c>
      <c r="L43" s="6"/>
      <c r="M43" s="30">
        <f t="shared" si="11"/>
        <v>0</v>
      </c>
      <c r="N43" s="6"/>
      <c r="O43" s="295">
        <f>'(2.2)_Forward_Price_Curve'!Y47</f>
        <v>1.5935251628391218</v>
      </c>
      <c r="P43" s="6"/>
      <c r="Q43" s="30">
        <v>0</v>
      </c>
      <c r="R43" s="6"/>
      <c r="S43" s="20">
        <f t="shared" si="12"/>
        <v>23071.480620082992</v>
      </c>
      <c r="T43" s="6"/>
      <c r="U43" s="20">
        <f t="shared" si="13"/>
        <v>48124.116701146922</v>
      </c>
      <c r="V43" s="6"/>
      <c r="W43" s="20">
        <f t="shared" si="14"/>
        <v>-25052.636081063931</v>
      </c>
      <c r="X43" s="6"/>
      <c r="Y43" s="296">
        <f t="shared" si="15"/>
        <v>-30.597639654249768</v>
      </c>
      <c r="Z43" s="255"/>
      <c r="AB43" s="154">
        <f>+IF(AB42&gt;$G$13+$G$14,XX,AB42+1)</f>
        <v>2035</v>
      </c>
      <c r="AC43" s="124"/>
      <c r="AD43" s="159">
        <f t="shared" si="16"/>
        <v>818776.75416000001</v>
      </c>
      <c r="AE43" s="3"/>
      <c r="AF43" s="162">
        <f t="shared" si="17"/>
        <v>130.67952463074187</v>
      </c>
      <c r="AG43" s="3"/>
      <c r="AH43" s="162">
        <f t="shared" si="18"/>
        <v>27.378214468246803</v>
      </c>
      <c r="AI43" s="3"/>
      <c r="AJ43" s="162">
        <f t="shared" si="19"/>
        <v>3.1492523253899511</v>
      </c>
      <c r="AK43" s="3"/>
      <c r="AL43" s="161">
        <f t="shared" si="20"/>
        <v>23753.068068581826</v>
      </c>
      <c r="AM43" s="3"/>
      <c r="AN43" s="162">
        <f>INDEX('(2.2)_Forward_Price_Curve'!$H:$H,MATCH($AB43,'(2.2)_Forward_Price_Curve'!$C:$C,0),1)</f>
        <v>5.7299374999999992</v>
      </c>
      <c r="AO43" s="3"/>
      <c r="AP43" s="162">
        <f t="shared" si="21"/>
        <v>37.24974393305498</v>
      </c>
      <c r="AQ43" s="3"/>
      <c r="AR43" s="162">
        <f t="shared" si="22"/>
        <v>3.2508343616322604</v>
      </c>
      <c r="AS43" s="162"/>
      <c r="AT43" s="161">
        <f t="shared" si="23"/>
        <v>14963.184663419963</v>
      </c>
      <c r="AU43" s="3"/>
      <c r="AV43" s="161">
        <f t="shared" si="24"/>
        <v>33160.932037726961</v>
      </c>
      <c r="AW43" s="299"/>
      <c r="AX43" s="163">
        <f t="shared" si="25"/>
        <v>48124.116701146922</v>
      </c>
      <c r="AZ43" s="154">
        <f>+IF(AZ42&gt;$G$13+$G$14,XX,AZ42+1)</f>
        <v>2035</v>
      </c>
      <c r="BA43" s="124"/>
      <c r="BB43" s="162">
        <f t="shared" si="26"/>
        <v>83.597910434245435</v>
      </c>
      <c r="BC43" s="3"/>
      <c r="BD43" s="162">
        <f t="shared" si="27"/>
        <v>9.4180299554540188</v>
      </c>
      <c r="BE43" s="3"/>
      <c r="BF43" s="161">
        <f t="shared" si="28"/>
        <v>8789.8834051618633</v>
      </c>
      <c r="BG43" s="3"/>
      <c r="BH43" s="165"/>
    </row>
    <row r="44" spans="2:60" ht="12">
      <c r="B44" s="2"/>
      <c r="C44" s="6">
        <f>+IF(C43&gt;$G$13+$G$14,XX,C43+1)</f>
        <v>2036</v>
      </c>
      <c r="D44" s="6"/>
      <c r="E44" s="292">
        <f>'(2.2)_Forward_Price_Curve'!P48</f>
        <v>2.1000000000000001E-2</v>
      </c>
      <c r="F44" s="6"/>
      <c r="G44" s="20">
        <v>818776.75416000001</v>
      </c>
      <c r="H44" s="6"/>
      <c r="I44" s="30">
        <f t="shared" si="10"/>
        <v>84.198303902425309</v>
      </c>
      <c r="J44" s="6"/>
      <c r="K44" s="30">
        <f t="shared" si="10"/>
        <v>1.4547365483386607</v>
      </c>
      <c r="L44" s="6"/>
      <c r="M44" s="30">
        <f t="shared" si="11"/>
        <v>0</v>
      </c>
      <c r="N44" s="6"/>
      <c r="O44" s="295">
        <f>'(2.2)_Forward_Price_Curve'!Y48</f>
        <v>1.6267336732773778</v>
      </c>
      <c r="P44" s="6"/>
      <c r="Q44" s="30">
        <v>0</v>
      </c>
      <c r="R44" s="6"/>
      <c r="S44" s="20">
        <f t="shared" si="12"/>
        <v>23555.772500921321</v>
      </c>
      <c r="T44" s="6"/>
      <c r="U44" s="20">
        <f t="shared" si="13"/>
        <v>48749.356080314297</v>
      </c>
      <c r="V44" s="6"/>
      <c r="W44" s="20">
        <f t="shared" si="14"/>
        <v>-25193.583579392976</v>
      </c>
      <c r="X44" s="6"/>
      <c r="Y44" s="296">
        <f t="shared" si="15"/>
        <v>-30.769783645408442</v>
      </c>
      <c r="Z44" s="255"/>
      <c r="AB44" s="154">
        <f>+IF(AB43&gt;$G$13+$G$14,XX,AB43+1)</f>
        <v>2036</v>
      </c>
      <c r="AC44" s="124"/>
      <c r="AD44" s="159">
        <f t="shared" si="16"/>
        <v>818776.75416000001</v>
      </c>
      <c r="AE44" s="3"/>
      <c r="AF44" s="162">
        <f t="shared" si="17"/>
        <v>133.42379464798742</v>
      </c>
      <c r="AG44" s="3"/>
      <c r="AH44" s="162">
        <f t="shared" si="18"/>
        <v>27.953156972079984</v>
      </c>
      <c r="AI44" s="3"/>
      <c r="AJ44" s="162">
        <f t="shared" si="19"/>
        <v>3.2153866242231399</v>
      </c>
      <c r="AK44" s="3"/>
      <c r="AL44" s="161">
        <f t="shared" si="20"/>
        <v>24251.882498022045</v>
      </c>
      <c r="AM44" s="3"/>
      <c r="AN44" s="162">
        <f>INDEX('(2.2)_Forward_Price_Curve'!$H:$H,MATCH($AB44,'(2.2)_Forward_Price_Curve'!$C:$C,0),1)</f>
        <v>5.7778666666666672</v>
      </c>
      <c r="AO44" s="3"/>
      <c r="AP44" s="162">
        <f t="shared" si="21"/>
        <v>37.561326596087184</v>
      </c>
      <c r="AQ44" s="3"/>
      <c r="AR44" s="162">
        <f t="shared" si="22"/>
        <v>3.3191018832265375</v>
      </c>
      <c r="AS44" s="162"/>
      <c r="AT44" s="161">
        <f t="shared" si="23"/>
        <v>15277.411541351785</v>
      </c>
      <c r="AU44" s="3"/>
      <c r="AV44" s="161">
        <f t="shared" si="24"/>
        <v>33471.944538962511</v>
      </c>
      <c r="AW44" s="299"/>
      <c r="AX44" s="163">
        <f t="shared" si="25"/>
        <v>48749.356080314297</v>
      </c>
      <c r="AZ44" s="154">
        <f>+IF(AZ43&gt;$G$13+$G$14,XX,AZ43+1)</f>
        <v>2036</v>
      </c>
      <c r="BA44" s="124"/>
      <c r="BB44" s="162">
        <f t="shared" si="26"/>
        <v>85.353466553364584</v>
      </c>
      <c r="BC44" s="3"/>
      <c r="BD44" s="162">
        <f t="shared" si="27"/>
        <v>9.6158085845185521</v>
      </c>
      <c r="BE44" s="3"/>
      <c r="BF44" s="161">
        <f t="shared" si="28"/>
        <v>8974.4709566702604</v>
      </c>
      <c r="BG44" s="3"/>
      <c r="BH44" s="165"/>
    </row>
    <row r="45" spans="2:60" ht="12">
      <c r="B45" s="2"/>
      <c r="C45" s="6">
        <f>+IF(C44&gt;$G$13+$G$14,XX,C44+1)</f>
        <v>2037</v>
      </c>
      <c r="D45" s="6"/>
      <c r="E45" s="292">
        <f>'(2.2)_Forward_Price_Curve'!P49</f>
        <v>2.1000000000000001E-2</v>
      </c>
      <c r="F45" s="6"/>
      <c r="G45" s="20">
        <v>818776.75416000001</v>
      </c>
      <c r="H45" s="6"/>
      <c r="I45" s="30">
        <f t="shared" si="10"/>
        <v>85.966468284376234</v>
      </c>
      <c r="J45" s="6"/>
      <c r="K45" s="30">
        <f t="shared" si="10"/>
        <v>1.4852860158537724</v>
      </c>
      <c r="L45" s="6"/>
      <c r="M45" s="30">
        <f t="shared" si="11"/>
        <v>0</v>
      </c>
      <c r="N45" s="6"/>
      <c r="O45" s="295">
        <f>'(2.2)_Forward_Price_Curve'!Y49</f>
        <v>1.6606577113778709</v>
      </c>
      <c r="P45" s="6"/>
      <c r="Q45" s="30">
        <v>0</v>
      </c>
      <c r="R45" s="6"/>
      <c r="S45" s="20">
        <f t="shared" si="12"/>
        <v>24050.249371189922</v>
      </c>
      <c r="T45" s="6"/>
      <c r="U45" s="20">
        <f t="shared" si="13"/>
        <v>50939.171709874965</v>
      </c>
      <c r="V45" s="6"/>
      <c r="W45" s="20">
        <f t="shared" si="14"/>
        <v>-26888.922338685043</v>
      </c>
      <c r="X45" s="6"/>
      <c r="Y45" s="296">
        <f t="shared" si="15"/>
        <v>-32.840358745004849</v>
      </c>
      <c r="Z45" s="255"/>
      <c r="AB45" s="154">
        <f>+IF(AB44&gt;$G$13+$G$14,XX,AB44+1)</f>
        <v>2037</v>
      </c>
      <c r="AC45" s="124"/>
      <c r="AD45" s="159">
        <f t="shared" si="16"/>
        <v>818776.75416000001</v>
      </c>
      <c r="AE45" s="3"/>
      <c r="AF45" s="162">
        <f t="shared" si="17"/>
        <v>136.22569433559514</v>
      </c>
      <c r="AG45" s="3"/>
      <c r="AH45" s="162">
        <f t="shared" si="18"/>
        <v>28.54017326849366</v>
      </c>
      <c r="AI45" s="3"/>
      <c r="AJ45" s="162">
        <f t="shared" si="19"/>
        <v>3.2829097433318255</v>
      </c>
      <c r="AK45" s="3"/>
      <c r="AL45" s="161">
        <f t="shared" si="20"/>
        <v>24761.172030480506</v>
      </c>
      <c r="AM45" s="3"/>
      <c r="AN45" s="162">
        <f>INDEX('(2.2)_Forward_Price_Curve'!$H:$H,MATCH($AB45,'(2.2)_Forward_Price_Curve'!$C:$C,0),1)</f>
        <v>6.1182749999999997</v>
      </c>
      <c r="AO45" s="3"/>
      <c r="AP45" s="162">
        <f t="shared" si="21"/>
        <v>39.774286728609511</v>
      </c>
      <c r="AQ45" s="3"/>
      <c r="AR45" s="162">
        <f t="shared" si="22"/>
        <v>3.3888030227742947</v>
      </c>
      <c r="AS45" s="162"/>
      <c r="AT45" s="161">
        <f t="shared" si="23"/>
        <v>15598.23718372017</v>
      </c>
      <c r="AU45" s="3"/>
      <c r="AV45" s="161">
        <f t="shared" si="24"/>
        <v>35340.934526154793</v>
      </c>
      <c r="AW45" s="299"/>
      <c r="AX45" s="163">
        <f t="shared" si="25"/>
        <v>50939.171709874965</v>
      </c>
      <c r="AZ45" s="154">
        <f>+IF(AZ44&gt;$G$13+$G$14,XX,AZ44+1)</f>
        <v>2037</v>
      </c>
      <c r="BA45" s="124"/>
      <c r="BB45" s="162">
        <f t="shared" si="26"/>
        <v>87.145889350985229</v>
      </c>
      <c r="BC45" s="3"/>
      <c r="BD45" s="162">
        <f t="shared" si="27"/>
        <v>9.817740564793441</v>
      </c>
      <c r="BE45" s="3"/>
      <c r="BF45" s="161">
        <f t="shared" si="28"/>
        <v>9162.9348467603359</v>
      </c>
      <c r="BG45" s="3"/>
      <c r="BH45" s="165"/>
    </row>
    <row r="46" spans="2:60" ht="12">
      <c r="B46" s="2"/>
      <c r="C46" s="6">
        <f>+IF(C45&gt;$G$13+$G$14,XX,C45+1)</f>
        <v>2038</v>
      </c>
      <c r="D46" s="6"/>
      <c r="E46" s="292">
        <f>'(2.2)_Forward_Price_Curve'!P50</f>
        <v>2.1000000000000001E-2</v>
      </c>
      <c r="F46" s="6"/>
      <c r="G46" s="20">
        <v>818776.75416000001</v>
      </c>
      <c r="H46" s="6"/>
      <c r="I46" s="30">
        <f t="shared" si="10"/>
        <v>87.771764118348131</v>
      </c>
      <c r="J46" s="6"/>
      <c r="K46" s="30">
        <f t="shared" si="10"/>
        <v>1.5164770221867014</v>
      </c>
      <c r="L46" s="6"/>
      <c r="M46" s="30">
        <f t="shared" si="11"/>
        <v>0</v>
      </c>
      <c r="N46" s="6"/>
      <c r="O46" s="295">
        <f>'(2.2)_Forward_Price_Curve'!Y50</f>
        <v>1.6953423361778306</v>
      </c>
      <c r="P46" s="6"/>
      <c r="Q46" s="30">
        <v>0</v>
      </c>
      <c r="R46" s="6"/>
      <c r="S46" s="20">
        <f t="shared" si="12"/>
        <v>24555.149705953329</v>
      </c>
      <c r="T46" s="6"/>
      <c r="U46" s="20">
        <f t="shared" si="13"/>
        <v>53952.262886433477</v>
      </c>
      <c r="V46" s="6"/>
      <c r="W46" s="20">
        <f t="shared" si="14"/>
        <v>-29397.113180480148</v>
      </c>
      <c r="X46" s="6"/>
      <c r="Y46" s="296">
        <f t="shared" si="15"/>
        <v>-35.903697840859266</v>
      </c>
      <c r="Z46" s="255"/>
      <c r="AB46" s="154">
        <f>+IF(AB45&gt;$G$13+$G$14,XX,AB45+1)</f>
        <v>2038</v>
      </c>
      <c r="AC46" s="124"/>
      <c r="AD46" s="159">
        <f t="shared" si="16"/>
        <v>818776.75416000001</v>
      </c>
      <c r="AE46" s="3"/>
      <c r="AF46" s="162">
        <f t="shared" si="17"/>
        <v>139.08643391664262</v>
      </c>
      <c r="AG46" s="3"/>
      <c r="AH46" s="162">
        <f t="shared" si="18"/>
        <v>29.139516907132023</v>
      </c>
      <c r="AI46" s="3"/>
      <c r="AJ46" s="162">
        <f t="shared" si="19"/>
        <v>3.3518508479417934</v>
      </c>
      <c r="AK46" s="3"/>
      <c r="AL46" s="161">
        <f t="shared" si="20"/>
        <v>25281.156643120594</v>
      </c>
      <c r="AM46" s="3"/>
      <c r="AN46" s="162">
        <f>INDEX('(2.2)_Forward_Price_Curve'!$H:$H,MATCH($AB46,'(2.2)_Forward_Price_Curve'!$C:$C,0),1)</f>
        <v>6.6118625</v>
      </c>
      <c r="AO46" s="3"/>
      <c r="AP46" s="162">
        <f t="shared" si="21"/>
        <v>42.983049124980646</v>
      </c>
      <c r="AQ46" s="3"/>
      <c r="AR46" s="162">
        <f t="shared" si="22"/>
        <v>3.4599678862525547</v>
      </c>
      <c r="AS46" s="162"/>
      <c r="AT46" s="161">
        <f t="shared" si="23"/>
        <v>15925.800164578292</v>
      </c>
      <c r="AU46" s="3"/>
      <c r="AV46" s="161">
        <f t="shared" si="24"/>
        <v>38026.462721855183</v>
      </c>
      <c r="AW46" s="299"/>
      <c r="AX46" s="163">
        <f t="shared" si="25"/>
        <v>53952.262886433477</v>
      </c>
      <c r="AZ46" s="154">
        <f>+IF(AZ45&gt;$G$13+$G$14,XX,AZ45+1)</f>
        <v>2038</v>
      </c>
      <c r="BA46" s="124"/>
      <c r="BB46" s="162">
        <f t="shared" si="26"/>
        <v>88.975953027355914</v>
      </c>
      <c r="BC46" s="3"/>
      <c r="BD46" s="162">
        <f t="shared" si="27"/>
        <v>10.023913116654102</v>
      </c>
      <c r="BE46" s="3"/>
      <c r="BF46" s="161">
        <f t="shared" si="28"/>
        <v>9355.3564785423023</v>
      </c>
      <c r="BG46" s="3"/>
      <c r="BH46" s="165"/>
    </row>
    <row r="47" spans="2:60" ht="12">
      <c r="B47" s="2"/>
      <c r="C47" s="6">
        <f>+IF(C46&gt;$G$13+$G$14,XX,C46+1)</f>
        <v>2039</v>
      </c>
      <c r="D47" s="6"/>
      <c r="E47" s="292">
        <f>'(2.2)_Forward_Price_Curve'!P51</f>
        <v>2.1000000000000001E-2</v>
      </c>
      <c r="F47" s="6"/>
      <c r="G47" s="20">
        <v>818776.75416000001</v>
      </c>
      <c r="H47" s="6"/>
      <c r="I47" s="30">
        <f t="shared" si="10"/>
        <v>89.614971164833435</v>
      </c>
      <c r="J47" s="6"/>
      <c r="K47" s="30">
        <f t="shared" si="10"/>
        <v>1.548323039652622</v>
      </c>
      <c r="L47" s="6"/>
      <c r="M47" s="30">
        <f t="shared" si="11"/>
        <v>0</v>
      </c>
      <c r="N47" s="6"/>
      <c r="O47" s="295">
        <f>'(2.2)_Forward_Price_Curve'!Y51</f>
        <v>1.730529504666237</v>
      </c>
      <c r="P47" s="6"/>
      <c r="Q47" s="30">
        <v>0</v>
      </c>
      <c r="R47" s="6"/>
      <c r="S47" s="20">
        <f t="shared" si="12"/>
        <v>25070.468040582047</v>
      </c>
      <c r="T47" s="6"/>
      <c r="U47" s="20">
        <f t="shared" si="13"/>
        <v>56901.399316739982</v>
      </c>
      <c r="V47" s="6"/>
      <c r="W47" s="20">
        <f t="shared" si="14"/>
        <v>-31830.931276157935</v>
      </c>
      <c r="X47" s="6"/>
      <c r="Y47" s="296">
        <f t="shared" si="15"/>
        <v>-38.876202963057914</v>
      </c>
      <c r="Z47" s="255"/>
      <c r="AB47" s="154">
        <f>+IF(AB46&gt;$G$13+$G$14,XX,AB46+1)</f>
        <v>2039</v>
      </c>
      <c r="AC47" s="124"/>
      <c r="AD47" s="159">
        <f t="shared" si="16"/>
        <v>818776.75416000001</v>
      </c>
      <c r="AE47" s="3"/>
      <c r="AF47" s="162">
        <f t="shared" si="17"/>
        <v>142.00724902889209</v>
      </c>
      <c r="AG47" s="3"/>
      <c r="AH47" s="162">
        <f t="shared" si="18"/>
        <v>29.751446762181793</v>
      </c>
      <c r="AI47" s="3"/>
      <c r="AJ47" s="162">
        <f t="shared" si="19"/>
        <v>3.4222397157485709</v>
      </c>
      <c r="AK47" s="3"/>
      <c r="AL47" s="161">
        <f t="shared" si="20"/>
        <v>25812.060932626122</v>
      </c>
      <c r="AM47" s="3"/>
      <c r="AN47" s="162">
        <f>INDEX('(2.2)_Forward_Price_Curve'!$H:$H,MATCH($AB47,'(2.2)_Forward_Price_Curve'!$C:$C,0),1)</f>
        <v>7.0919124999999994</v>
      </c>
      <c r="AO47" s="3"/>
      <c r="AP47" s="162">
        <f t="shared" si="21"/>
        <v>46.103805603574521</v>
      </c>
      <c r="AQ47" s="3"/>
      <c r="AR47" s="162">
        <f t="shared" si="22"/>
        <v>3.5326272118638582</v>
      </c>
      <c r="AS47" s="162"/>
      <c r="AT47" s="161">
        <f t="shared" si="23"/>
        <v>16260.241968034434</v>
      </c>
      <c r="AU47" s="3"/>
      <c r="AV47" s="161">
        <f t="shared" si="24"/>
        <v>40641.15734870555</v>
      </c>
      <c r="AW47" s="299"/>
      <c r="AX47" s="163">
        <f t="shared" si="25"/>
        <v>56901.399316739982</v>
      </c>
      <c r="AZ47" s="154">
        <f>+IF(AZ46&gt;$G$13+$G$14,XX,AZ46+1)</f>
        <v>2039</v>
      </c>
      <c r="BA47" s="124"/>
      <c r="BB47" s="162">
        <f t="shared" si="26"/>
        <v>90.844448040930374</v>
      </c>
      <c r="BC47" s="3"/>
      <c r="BD47" s="162">
        <f t="shared" si="27"/>
        <v>10.234415292103836</v>
      </c>
      <c r="BE47" s="3"/>
      <c r="BF47" s="161">
        <f t="shared" si="28"/>
        <v>9551.8189645916882</v>
      </c>
      <c r="BG47" s="3"/>
      <c r="BH47" s="165"/>
    </row>
    <row r="48" spans="2:60" ht="12">
      <c r="B48" s="2"/>
      <c r="C48" s="6">
        <f>+IF(C47&gt;$G$13+$G$14,XX,C47+1)</f>
        <v>2040</v>
      </c>
      <c r="D48" s="6"/>
      <c r="E48" s="292">
        <f>'(2.2)_Forward_Price_Curve'!P52</f>
        <v>2.1000000000000001E-2</v>
      </c>
      <c r="F48" s="6"/>
      <c r="G48" s="20">
        <v>818776.75416000001</v>
      </c>
      <c r="H48" s="6"/>
      <c r="I48" s="30">
        <f t="shared" si="10"/>
        <v>91.496885559294924</v>
      </c>
      <c r="J48" s="6"/>
      <c r="K48" s="30">
        <f t="shared" si="10"/>
        <v>1.5808378234853269</v>
      </c>
      <c r="L48" s="6"/>
      <c r="M48" s="30">
        <f t="shared" si="11"/>
        <v>0</v>
      </c>
      <c r="N48" s="6"/>
      <c r="O48" s="295">
        <f>'(2.2)_Forward_Price_Curve'!Y52</f>
        <v>1.7664344168351047</v>
      </c>
      <c r="P48" s="6"/>
      <c r="Q48" s="30">
        <v>0</v>
      </c>
      <c r="R48" s="6"/>
      <c r="S48" s="20">
        <f t="shared" si="12"/>
        <v>25596.590712931305</v>
      </c>
      <c r="T48" s="6"/>
      <c r="U48" s="20">
        <f t="shared" si="13"/>
        <v>58531.305814159467</v>
      </c>
      <c r="V48" s="6"/>
      <c r="W48" s="20">
        <f t="shared" si="14"/>
        <v>-32934.715101228161</v>
      </c>
      <c r="X48" s="6"/>
      <c r="Y48" s="296">
        <f t="shared" si="15"/>
        <v>-40.224291827894611</v>
      </c>
      <c r="Z48" s="255"/>
      <c r="AB48" s="154">
        <f>+IF(AB47&gt;$G$13+$G$14,XX,AB47+1)</f>
        <v>2040</v>
      </c>
      <c r="AC48" s="124"/>
      <c r="AD48" s="159">
        <f t="shared" si="16"/>
        <v>818776.75416000001</v>
      </c>
      <c r="AE48" s="3"/>
      <c r="AF48" s="162">
        <f t="shared" si="17"/>
        <v>144.98940125849882</v>
      </c>
      <c r="AG48" s="3"/>
      <c r="AH48" s="162">
        <f t="shared" si="18"/>
        <v>30.376227144187609</v>
      </c>
      <c r="AI48" s="3"/>
      <c r="AJ48" s="162">
        <f t="shared" si="19"/>
        <v>3.4941067497792906</v>
      </c>
      <c r="AK48" s="3"/>
      <c r="AL48" s="161">
        <f t="shared" si="20"/>
        <v>26354.114212211265</v>
      </c>
      <c r="AM48" s="3"/>
      <c r="AN48" s="162">
        <f>INDEX('(2.2)_Forward_Price_Curve'!$H:$H,MATCH($AB48,'(2.2)_Forward_Price_Curve'!$C:$C,0),1)</f>
        <v>7.3225625000000001</v>
      </c>
      <c r="AO48" s="3"/>
      <c r="AP48" s="162">
        <f t="shared" si="21"/>
        <v>47.603237916432938</v>
      </c>
      <c r="AQ48" s="3"/>
      <c r="AR48" s="162">
        <f t="shared" si="22"/>
        <v>3.6068123833129988</v>
      </c>
      <c r="AS48" s="162"/>
      <c r="AT48" s="161">
        <f t="shared" si="23"/>
        <v>16601.707049363151</v>
      </c>
      <c r="AU48" s="3"/>
      <c r="AV48" s="161">
        <f t="shared" si="24"/>
        <v>41929.598764796319</v>
      </c>
      <c r="AW48" s="299"/>
      <c r="AX48" s="163">
        <f t="shared" si="25"/>
        <v>58531.305814159467</v>
      </c>
      <c r="AZ48" s="154">
        <f>+IF(AZ47&gt;$G$13+$G$14,XX,AZ47+1)</f>
        <v>2040</v>
      </c>
      <c r="BA48" s="124"/>
      <c r="BB48" s="162">
        <f t="shared" si="26"/>
        <v>92.752181449789902</v>
      </c>
      <c r="BC48" s="3"/>
      <c r="BD48" s="162">
        <f t="shared" si="27"/>
        <v>10.449338013238016</v>
      </c>
      <c r="BE48" s="3"/>
      <c r="BF48" s="161">
        <f t="shared" si="28"/>
        <v>9752.4071628481142</v>
      </c>
      <c r="BG48" s="3"/>
      <c r="BH48" s="165"/>
    </row>
    <row r="49" spans="2:60" ht="12">
      <c r="B49" s="2"/>
      <c r="C49" s="6">
        <f>+IF(C48&gt;$G$13+$G$14,XX,C48+1)</f>
        <v>2041</v>
      </c>
      <c r="D49" s="6"/>
      <c r="E49" s="292">
        <f>'(2.2)_Forward_Price_Curve'!P53</f>
        <v>2.1000000000000001E-2</v>
      </c>
      <c r="F49" s="6"/>
      <c r="G49" s="20">
        <v>818776.75416000001</v>
      </c>
      <c r="H49" s="6"/>
      <c r="I49" s="30">
        <f t="shared" si="10"/>
        <v>93.41832015604011</v>
      </c>
      <c r="J49" s="6"/>
      <c r="K49" s="30">
        <f t="shared" si="10"/>
        <v>1.6140354177785186</v>
      </c>
      <c r="L49" s="6"/>
      <c r="M49" s="30">
        <f t="shared" si="11"/>
        <v>0</v>
      </c>
      <c r="N49" s="6"/>
      <c r="O49" s="295">
        <f>'(2.2)_Forward_Price_Curve'!Y53</f>
        <v>1.8033030507073435</v>
      </c>
      <c r="P49" s="6"/>
      <c r="Q49" s="30">
        <v>0</v>
      </c>
      <c r="R49" s="6"/>
      <c r="S49" s="20">
        <f t="shared" si="12"/>
        <v>26133.933674071781</v>
      </c>
      <c r="T49" s="6"/>
      <c r="U49" s="20">
        <f t="shared" si="13"/>
        <v>59799.439660885546</v>
      </c>
      <c r="V49" s="6"/>
      <c r="W49" s="20">
        <f t="shared" si="14"/>
        <v>-33665.505986813761</v>
      </c>
      <c r="X49" s="6"/>
      <c r="Y49" s="296">
        <f t="shared" si="15"/>
        <v>-41.116831683078132</v>
      </c>
      <c r="Z49" s="255"/>
      <c r="AB49" s="154">
        <f>+IF(AB48&gt;$G$13+$G$14,XX,AB48+1)</f>
        <v>2041</v>
      </c>
      <c r="AC49" s="124"/>
      <c r="AD49" s="159">
        <f t="shared" si="16"/>
        <v>818776.75416000001</v>
      </c>
      <c r="AE49" s="3"/>
      <c r="AF49" s="162">
        <f t="shared" si="17"/>
        <v>148.03417868492727</v>
      </c>
      <c r="AG49" s="3"/>
      <c r="AH49" s="162">
        <f t="shared" si="18"/>
        <v>31.014127914215546</v>
      </c>
      <c r="AI49" s="3"/>
      <c r="AJ49" s="162">
        <f t="shared" si="19"/>
        <v>3.5674829915246553</v>
      </c>
      <c r="AK49" s="3"/>
      <c r="AL49" s="161">
        <f t="shared" si="20"/>
        <v>26907.550610667702</v>
      </c>
      <c r="AM49" s="3"/>
      <c r="AN49" s="162">
        <f>INDEX('(2.2)_Forward_Price_Curve'!$H:$H,MATCH($AB49,'(2.2)_Forward_Price_Curve'!$C:$C,0),1)</f>
        <v>7.4836588750000006</v>
      </c>
      <c r="AO49" s="3"/>
      <c r="AP49" s="162">
        <f t="shared" si="21"/>
        <v>48.650509150594466</v>
      </c>
      <c r="AQ49" s="3"/>
      <c r="AR49" s="162">
        <f t="shared" si="22"/>
        <v>3.6825554433625713</v>
      </c>
      <c r="AS49" s="162"/>
      <c r="AT49" s="161">
        <f t="shared" si="23"/>
        <v>16950.34289739978</v>
      </c>
      <c r="AU49" s="3"/>
      <c r="AV49" s="161">
        <f t="shared" si="24"/>
        <v>42849.096763485766</v>
      </c>
      <c r="AW49" s="299"/>
      <c r="AX49" s="163">
        <f t="shared" si="25"/>
        <v>59799.439660885546</v>
      </c>
      <c r="AZ49" s="154">
        <f>+IF(AZ48&gt;$G$13+$G$14,XX,AZ48+1)</f>
        <v>2041</v>
      </c>
      <c r="BA49" s="124"/>
      <c r="BB49" s="162">
        <f t="shared" si="26"/>
        <v>94.699977260235485</v>
      </c>
      <c r="BC49" s="3"/>
      <c r="BD49" s="162">
        <f t="shared" si="27"/>
        <v>10.668774111516013</v>
      </c>
      <c r="BE49" s="3"/>
      <c r="BF49" s="161">
        <f t="shared" si="28"/>
        <v>9957.2077132679242</v>
      </c>
      <c r="BG49" s="3"/>
      <c r="BH49" s="165"/>
    </row>
    <row r="50" spans="2:60" ht="12">
      <c r="B50" s="2"/>
      <c r="C50" s="6">
        <f>+IF(C49&gt;$G$13+$G$14,XX,C49+1)</f>
        <v>2042</v>
      </c>
      <c r="D50" s="6"/>
      <c r="E50" s="292">
        <f>'(2.2)_Forward_Price_Curve'!P54</f>
        <v>2.1999999999999999E-2</v>
      </c>
      <c r="F50" s="6"/>
      <c r="G50" s="20">
        <v>818776.75416000001</v>
      </c>
      <c r="H50" s="6"/>
      <c r="I50" s="30">
        <f t="shared" si="10"/>
        <v>95.473523199472993</v>
      </c>
      <c r="J50" s="6"/>
      <c r="K50" s="30">
        <f t="shared" si="10"/>
        <v>1.649544196969646</v>
      </c>
      <c r="L50" s="6"/>
      <c r="M50" s="30">
        <f t="shared" si="11"/>
        <v>0</v>
      </c>
      <c r="N50" s="6"/>
      <c r="O50" s="295">
        <f>'(2.2)_Forward_Price_Curve'!Y54</f>
        <v>1.8413139188621417</v>
      </c>
      <c r="P50" s="6"/>
      <c r="Q50" s="30">
        <v>0</v>
      </c>
      <c r="R50" s="6"/>
      <c r="S50" s="20">
        <f t="shared" si="12"/>
        <v>26707.519572542198</v>
      </c>
      <c r="T50" s="6"/>
      <c r="U50" s="20">
        <f t="shared" si="13"/>
        <v>61115.027333425023</v>
      </c>
      <c r="V50" s="6"/>
      <c r="W50" s="20">
        <f t="shared" si="14"/>
        <v>-34407.507760882829</v>
      </c>
      <c r="X50" s="6"/>
      <c r="Y50" s="296">
        <f t="shared" si="15"/>
        <v>-42.023063779066618</v>
      </c>
      <c r="Z50" s="255"/>
      <c r="AB50" s="154">
        <f>+IF(AB49&gt;$G$13+$G$14,XX,AB49+1)</f>
        <v>2042</v>
      </c>
      <c r="AC50" s="124"/>
      <c r="AD50" s="159">
        <f t="shared" si="16"/>
        <v>818776.75416000001</v>
      </c>
      <c r="AE50" s="3"/>
      <c r="AF50" s="162">
        <f t="shared" si="17"/>
        <v>151.29093061599568</v>
      </c>
      <c r="AG50" s="3"/>
      <c r="AH50" s="162">
        <f t="shared" si="18"/>
        <v>31.696438728328289</v>
      </c>
      <c r="AI50" s="3"/>
      <c r="AJ50" s="162">
        <f t="shared" si="19"/>
        <v>3.6459676173381976</v>
      </c>
      <c r="AK50" s="3"/>
      <c r="AL50" s="161">
        <f t="shared" si="20"/>
        <v>27499.516724102392</v>
      </c>
      <c r="AM50" s="3"/>
      <c r="AN50" s="162">
        <f>INDEX('(2.2)_Forward_Price_Curve'!$H:$H,MATCH($AB50,'(2.2)_Forward_Price_Curve'!$C:$C,0),1)</f>
        <v>7.6482993702500011</v>
      </c>
      <c r="AO50" s="3"/>
      <c r="AP50" s="162">
        <f t="shared" si="21"/>
        <v>49.720820351907548</v>
      </c>
      <c r="AQ50" s="3"/>
      <c r="AR50" s="162">
        <f t="shared" si="22"/>
        <v>3.7635716631165481</v>
      </c>
      <c r="AS50" s="162"/>
      <c r="AT50" s="161">
        <f t="shared" si="23"/>
        <v>17323.250441142573</v>
      </c>
      <c r="AU50" s="3"/>
      <c r="AV50" s="161">
        <f t="shared" si="24"/>
        <v>43791.776892282454</v>
      </c>
      <c r="AW50" s="299"/>
      <c r="AX50" s="163">
        <f t="shared" si="25"/>
        <v>61115.027333425023</v>
      </c>
      <c r="AZ50" s="154">
        <f>+IF(AZ49&gt;$G$13+$G$14,XX,AZ49+1)</f>
        <v>2042</v>
      </c>
      <c r="BA50" s="124"/>
      <c r="BB50" s="162">
        <f t="shared" si="26"/>
        <v>96.783376759960674</v>
      </c>
      <c r="BC50" s="3"/>
      <c r="BD50" s="162">
        <f t="shared" si="27"/>
        <v>10.903487141969366</v>
      </c>
      <c r="BE50" s="3"/>
      <c r="BF50" s="161">
        <f t="shared" si="28"/>
        <v>10176.266282959819</v>
      </c>
      <c r="BG50" s="3"/>
      <c r="BH50" s="165"/>
    </row>
    <row r="51" spans="2:60" ht="12">
      <c r="B51" s="2"/>
      <c r="C51" s="6">
        <f>+IF(C50&gt;$G$13+$G$14,XX,C50+1)</f>
        <v>2043</v>
      </c>
      <c r="D51" s="6"/>
      <c r="E51" s="292">
        <f>'(2.2)_Forward_Price_Curve'!P55</f>
        <v>2.1999999999999999E-2</v>
      </c>
      <c r="F51" s="6"/>
      <c r="G51" s="20">
        <v>818776.75416000001</v>
      </c>
      <c r="H51" s="6"/>
      <c r="I51" s="30">
        <f t="shared" si="10"/>
        <v>97.573940709861404</v>
      </c>
      <c r="J51" s="6"/>
      <c r="K51" s="30">
        <f t="shared" si="10"/>
        <v>1.6858341693029784</v>
      </c>
      <c r="L51" s="6"/>
      <c r="M51" s="30">
        <f t="shared" si="11"/>
        <v>0</v>
      </c>
      <c r="N51" s="6"/>
      <c r="O51" s="295">
        <f>'(2.2)_Forward_Price_Curve'!Y55</f>
        <v>1.8803404620364608</v>
      </c>
      <c r="P51" s="6"/>
      <c r="Q51" s="30">
        <v>0</v>
      </c>
      <c r="R51" s="6"/>
      <c r="S51" s="20">
        <f t="shared" si="12"/>
        <v>27293.871278739221</v>
      </c>
      <c r="T51" s="6"/>
      <c r="U51" s="20">
        <f t="shared" si="13"/>
        <v>62459.557934760378</v>
      </c>
      <c r="V51" s="6"/>
      <c r="W51" s="20">
        <f t="shared" si="14"/>
        <v>-35165.686656021157</v>
      </c>
      <c r="X51" s="6"/>
      <c r="Y51" s="296">
        <f t="shared" si="15"/>
        <v>-42.949053545246727</v>
      </c>
      <c r="Z51" s="255"/>
      <c r="AB51" s="154">
        <f>+IF(AB50&gt;$G$13+$G$14,XX,AB50+1)</f>
        <v>2043</v>
      </c>
      <c r="AC51" s="124"/>
      <c r="AD51" s="159">
        <f t="shared" si="16"/>
        <v>818776.75416000001</v>
      </c>
      <c r="AE51" s="3"/>
      <c r="AF51" s="162">
        <f t="shared" si="17"/>
        <v>154.61933108954759</v>
      </c>
      <c r="AG51" s="3"/>
      <c r="AH51" s="162">
        <f t="shared" si="18"/>
        <v>32.393760380351509</v>
      </c>
      <c r="AI51" s="3"/>
      <c r="AJ51" s="162">
        <f t="shared" si="19"/>
        <v>3.7261789049196379</v>
      </c>
      <c r="AK51" s="3"/>
      <c r="AL51" s="161">
        <f t="shared" si="20"/>
        <v>28104.506092032647</v>
      </c>
      <c r="AM51" s="3"/>
      <c r="AN51" s="162">
        <f>INDEX('(2.2)_Forward_Price_Curve'!$H:$H,MATCH($AB51,'(2.2)_Forward_Price_Curve'!$C:$C,0),1)</f>
        <v>7.8165619563955016</v>
      </c>
      <c r="AO51" s="3"/>
      <c r="AP51" s="162">
        <f t="shared" si="21"/>
        <v>50.814678399649516</v>
      </c>
      <c r="AQ51" s="3"/>
      <c r="AR51" s="162">
        <f t="shared" si="22"/>
        <v>3.846370239705112</v>
      </c>
      <c r="AS51" s="162"/>
      <c r="AT51" s="161">
        <f t="shared" si="23"/>
        <v>17704.361950847713</v>
      </c>
      <c r="AU51" s="3"/>
      <c r="AV51" s="161">
        <f t="shared" si="24"/>
        <v>44755.195983912665</v>
      </c>
      <c r="AW51" s="299"/>
      <c r="AX51" s="163">
        <f t="shared" si="25"/>
        <v>62459.557934760378</v>
      </c>
      <c r="AZ51" s="154">
        <f>+IF(AZ50&gt;$G$13+$G$14,XX,AZ50+1)</f>
        <v>2043</v>
      </c>
      <c r="BA51" s="124"/>
      <c r="BB51" s="162">
        <f t="shared" si="26"/>
        <v>98.912611048679807</v>
      </c>
      <c r="BC51" s="3"/>
      <c r="BD51" s="162">
        <f t="shared" si="27"/>
        <v>11.143363859092693</v>
      </c>
      <c r="BE51" s="3"/>
      <c r="BF51" s="161">
        <f t="shared" si="28"/>
        <v>10400.144141184934</v>
      </c>
      <c r="BG51" s="3"/>
      <c r="BH51" s="165"/>
    </row>
    <row r="52" spans="2:60" ht="12">
      <c r="B52" s="2"/>
      <c r="C52" s="6">
        <f>+IF(C51&gt;$G$13+$G$14,XX,C51+1)</f>
        <v>2044</v>
      </c>
      <c r="D52" s="6"/>
      <c r="E52" s="292">
        <f>'(2.2)_Forward_Price_Curve'!P56</f>
        <v>2.1999999999999999E-2</v>
      </c>
      <c r="F52" s="6"/>
      <c r="G52" s="20">
        <v>818776.75416000001</v>
      </c>
      <c r="H52" s="6"/>
      <c r="I52" s="30">
        <f t="shared" si="10"/>
        <v>99.720567405478363</v>
      </c>
      <c r="J52" s="6"/>
      <c r="K52" s="30">
        <f t="shared" si="10"/>
        <v>1.722922521027644</v>
      </c>
      <c r="L52" s="6"/>
      <c r="M52" s="30">
        <f t="shared" si="11"/>
        <v>0</v>
      </c>
      <c r="N52" s="6"/>
      <c r="O52" s="295">
        <f>'(2.2)_Forward_Price_Curve'!Y56</f>
        <v>1.9203752935028859</v>
      </c>
      <c r="P52" s="6"/>
      <c r="Q52" s="30">
        <v>0</v>
      </c>
      <c r="R52" s="6"/>
      <c r="S52" s="20">
        <f t="shared" si="12"/>
        <v>27893.245296908026</v>
      </c>
      <c r="T52" s="6"/>
      <c r="U52" s="20">
        <f t="shared" si="13"/>
        <v>63833.668209325115</v>
      </c>
      <c r="V52" s="6"/>
      <c r="W52" s="20">
        <f t="shared" si="14"/>
        <v>-35940.422912417089</v>
      </c>
      <c r="X52" s="6"/>
      <c r="Y52" s="296">
        <f t="shared" si="15"/>
        <v>-43.895265381940547</v>
      </c>
      <c r="Z52" s="255"/>
      <c r="AB52" s="154">
        <f>+IF(AB51&gt;$G$13+$G$14,XX,AB51+1)</f>
        <v>2044</v>
      </c>
      <c r="AC52" s="124"/>
      <c r="AD52" s="159">
        <f t="shared" si="16"/>
        <v>818776.75416000001</v>
      </c>
      <c r="AE52" s="3"/>
      <c r="AF52" s="162">
        <f t="shared" si="17"/>
        <v>158.02095637351763</v>
      </c>
      <c r="AG52" s="3"/>
      <c r="AH52" s="162">
        <f t="shared" si="18"/>
        <v>33.106423108719241</v>
      </c>
      <c r="AI52" s="3"/>
      <c r="AJ52" s="162">
        <f t="shared" si="19"/>
        <v>3.80815484082787</v>
      </c>
      <c r="AK52" s="3"/>
      <c r="AL52" s="161">
        <f t="shared" si="20"/>
        <v>28722.805226057364</v>
      </c>
      <c r="AM52" s="3"/>
      <c r="AN52" s="162">
        <f>INDEX('(2.2)_Forward_Price_Curve'!$H:$H,MATCH($AB52,'(2.2)_Forward_Price_Curve'!$C:$C,0),1)</f>
        <v>7.9885263194362031</v>
      </c>
      <c r="AO52" s="3"/>
      <c r="AP52" s="162">
        <f t="shared" si="21"/>
        <v>51.932601324441805</v>
      </c>
      <c r="AQ52" s="3"/>
      <c r="AR52" s="162">
        <f t="shared" si="22"/>
        <v>3.9309903849786245</v>
      </c>
      <c r="AS52" s="162"/>
      <c r="AT52" s="161">
        <f t="shared" si="23"/>
        <v>18093.857913766362</v>
      </c>
      <c r="AU52" s="3"/>
      <c r="AV52" s="161">
        <f t="shared" si="24"/>
        <v>45739.810295558753</v>
      </c>
      <c r="AW52" s="299"/>
      <c r="AX52" s="163">
        <f t="shared" si="25"/>
        <v>63833.668209325115</v>
      </c>
      <c r="AZ52" s="154">
        <f>+IF(AZ51&gt;$G$13+$G$14,XX,AZ51+1)</f>
        <v>2044</v>
      </c>
      <c r="BA52" s="124"/>
      <c r="BB52" s="162">
        <f t="shared" si="26"/>
        <v>101.08868849175076</v>
      </c>
      <c r="BC52" s="3"/>
      <c r="BD52" s="162">
        <f t="shared" si="27"/>
        <v>11.388517863992732</v>
      </c>
      <c r="BE52" s="3"/>
      <c r="BF52" s="161">
        <f t="shared" si="28"/>
        <v>10628.947312291002</v>
      </c>
      <c r="BG52" s="3"/>
      <c r="BH52" s="165"/>
    </row>
    <row r="53" spans="2:60" ht="12">
      <c r="B53" s="2"/>
      <c r="C53" s="6">
        <f>+IF(C52&gt;$G$13+$G$14,XX,C52+1)</f>
        <v>2045</v>
      </c>
      <c r="D53" s="6"/>
      <c r="E53" s="292">
        <f>'(2.2)_Forward_Price_Curve'!P57</f>
        <v>2.1999999999999999E-2</v>
      </c>
      <c r="F53" s="6"/>
      <c r="G53" s="20">
        <v>818776.75416000001</v>
      </c>
      <c r="H53" s="6"/>
      <c r="I53" s="30">
        <f t="shared" si="10"/>
        <v>101.91441988839888</v>
      </c>
      <c r="J53" s="6"/>
      <c r="K53" s="30">
        <f t="shared" si="10"/>
        <v>1.7608268164902521</v>
      </c>
      <c r="L53" s="6"/>
      <c r="M53" s="30">
        <f t="shared" si="11"/>
        <v>0</v>
      </c>
      <c r="N53" s="6"/>
      <c r="O53" s="295">
        <f>'(2.2)_Forward_Price_Curve'!Y57</f>
        <v>1.9616503565022387</v>
      </c>
      <c r="P53" s="6"/>
      <c r="Q53" s="30">
        <v>0</v>
      </c>
      <c r="R53" s="6"/>
      <c r="S53" s="20">
        <f t="shared" si="12"/>
        <v>28506.099865259523</v>
      </c>
      <c r="T53" s="6"/>
      <c r="U53" s="20">
        <f t="shared" si="13"/>
        <v>65238.008909930264</v>
      </c>
      <c r="V53" s="6"/>
      <c r="W53" s="20">
        <f t="shared" si="14"/>
        <v>-36731.909044670741</v>
      </c>
      <c r="X53" s="6"/>
      <c r="Y53" s="296">
        <f t="shared" si="15"/>
        <v>-44.861934413800945</v>
      </c>
      <c r="Z53" s="255"/>
      <c r="AB53" s="154">
        <f>+IF(AB52&gt;$G$13+$G$14,XX,AB52+1)</f>
        <v>2045</v>
      </c>
      <c r="AC53" s="124"/>
      <c r="AD53" s="159">
        <f t="shared" si="16"/>
        <v>818776.75416000001</v>
      </c>
      <c r="AE53" s="3"/>
      <c r="AF53" s="162">
        <f t="shared" si="17"/>
        <v>161.49741741373504</v>
      </c>
      <c r="AG53" s="3"/>
      <c r="AH53" s="162">
        <f t="shared" si="18"/>
        <v>33.834764417111067</v>
      </c>
      <c r="AI53" s="3"/>
      <c r="AJ53" s="162">
        <f t="shared" si="19"/>
        <v>3.8919342473260832</v>
      </c>
      <c r="AK53" s="3"/>
      <c r="AL53" s="161">
        <f t="shared" si="20"/>
        <v>29354.706941030629</v>
      </c>
      <c r="AM53" s="3"/>
      <c r="AN53" s="162">
        <f>INDEX('(2.2)_Forward_Price_Curve'!$H:$H,MATCH($AB53,'(2.2)_Forward_Price_Curve'!$C:$C,0),1)</f>
        <v>8.164273898463799</v>
      </c>
      <c r="AO53" s="3"/>
      <c r="AP53" s="162">
        <f t="shared" si="21"/>
        <v>53.075118553579522</v>
      </c>
      <c r="AQ53" s="3"/>
      <c r="AR53" s="162">
        <f t="shared" si="22"/>
        <v>4.0174721734481542</v>
      </c>
      <c r="AS53" s="162"/>
      <c r="AT53" s="161">
        <f t="shared" si="23"/>
        <v>18491.922787869225</v>
      </c>
      <c r="AU53" s="3"/>
      <c r="AV53" s="161">
        <f t="shared" si="24"/>
        <v>46746.086122061039</v>
      </c>
      <c r="AW53" s="299"/>
      <c r="AX53" s="163">
        <f t="shared" si="25"/>
        <v>65238.008909930264</v>
      </c>
      <c r="AZ53" s="154">
        <f>+IF(AZ52&gt;$G$13+$G$14,XX,AZ52+1)</f>
        <v>2045</v>
      </c>
      <c r="BA53" s="124"/>
      <c r="BB53" s="162">
        <f t="shared" si="26"/>
        <v>103.31263963856928</v>
      </c>
      <c r="BC53" s="3"/>
      <c r="BD53" s="162">
        <f t="shared" si="27"/>
        <v>11.639065257000572</v>
      </c>
      <c r="BE53" s="3"/>
      <c r="BF53" s="161">
        <f t="shared" si="28"/>
        <v>10862.784153161405</v>
      </c>
      <c r="BG53" s="3"/>
      <c r="BH53" s="165"/>
    </row>
    <row r="54" spans="2:60" ht="12">
      <c r="B54" s="2"/>
      <c r="C54" s="6">
        <f>+IF(C53&gt;$G$13+$G$14,XX,C53+1)</f>
        <v>2046</v>
      </c>
      <c r="D54" s="6"/>
      <c r="E54" s="292">
        <f>'(2.2)_Forward_Price_Curve'!P58</f>
        <v>2.1999999999999999E-2</v>
      </c>
      <c r="F54" s="6"/>
      <c r="G54" s="20">
        <v>818776.75416000001</v>
      </c>
      <c r="H54" s="6"/>
      <c r="I54" s="30">
        <f t="shared" si="10"/>
        <v>104.15653712594366</v>
      </c>
      <c r="J54" s="6"/>
      <c r="K54" s="30">
        <f t="shared" si="10"/>
        <v>1.7995650064530377</v>
      </c>
      <c r="L54" s="6"/>
      <c r="M54" s="30">
        <f t="shared" si="11"/>
        <v>0</v>
      </c>
      <c r="N54" s="6"/>
      <c r="O54" s="295">
        <f>'(2.2)_Forward_Price_Curve'!Y58</f>
        <v>2.0038320171796222</v>
      </c>
      <c r="P54" s="6"/>
      <c r="Q54" s="30">
        <v>0</v>
      </c>
      <c r="R54" s="6"/>
      <c r="S54" s="20">
        <f t="shared" si="12"/>
        <v>29132.436043852478</v>
      </c>
      <c r="T54" s="6"/>
      <c r="U54" s="20">
        <f t="shared" si="13"/>
        <v>66673.245105948736</v>
      </c>
      <c r="V54" s="6"/>
      <c r="W54" s="20">
        <f t="shared" si="14"/>
        <v>-37540.809062096261</v>
      </c>
      <c r="X54" s="6"/>
      <c r="Y54" s="296">
        <f t="shared" si="15"/>
        <v>-45.849871618070239</v>
      </c>
      <c r="Z54" s="255"/>
      <c r="AB54" s="154">
        <f>+IF(AB53&gt;$G$13+$G$14,XX,AB53+1)</f>
        <v>2046</v>
      </c>
      <c r="AC54" s="124"/>
      <c r="AD54" s="159">
        <f t="shared" si="16"/>
        <v>818776.75416000001</v>
      </c>
      <c r="AE54" s="3"/>
      <c r="AF54" s="162">
        <f t="shared" si="17"/>
        <v>165.05036059683721</v>
      </c>
      <c r="AG54" s="3"/>
      <c r="AH54" s="162">
        <f t="shared" si="18"/>
        <v>34.579129234287514</v>
      </c>
      <c r="AI54" s="3"/>
      <c r="AJ54" s="162">
        <f t="shared" si="19"/>
        <v>3.9775568007672573</v>
      </c>
      <c r="AK54" s="3"/>
      <c r="AL54" s="161">
        <f t="shared" si="20"/>
        <v>30000.510493733298</v>
      </c>
      <c r="AM54" s="3"/>
      <c r="AN54" s="162">
        <f>INDEX('(2.2)_Forward_Price_Curve'!$H:$H,MATCH($AB54,'(2.2)_Forward_Price_Curve'!$C:$C,0),1)</f>
        <v>8.3438879242300033</v>
      </c>
      <c r="AO54" s="3"/>
      <c r="AP54" s="162">
        <f t="shared" si="21"/>
        <v>54.242771161758284</v>
      </c>
      <c r="AQ54" s="3"/>
      <c r="AR54" s="162">
        <f t="shared" si="22"/>
        <v>4.1058565612640141</v>
      </c>
      <c r="AS54" s="162"/>
      <c r="AT54" s="161">
        <f t="shared" si="23"/>
        <v>18898.745089202341</v>
      </c>
      <c r="AU54" s="3"/>
      <c r="AV54" s="161">
        <f t="shared" si="24"/>
        <v>47774.500016746388</v>
      </c>
      <c r="AW54" s="299"/>
      <c r="AX54" s="163">
        <f t="shared" si="25"/>
        <v>66673.245105948736</v>
      </c>
      <c r="AZ54" s="154">
        <f>+IF(AZ53&gt;$G$13+$G$14,XX,AZ53+1)</f>
        <v>2046</v>
      </c>
      <c r="BA54" s="124"/>
      <c r="BB54" s="162">
        <f t="shared" si="26"/>
        <v>105.58551771061781</v>
      </c>
      <c r="BC54" s="3"/>
      <c r="BD54" s="162">
        <f t="shared" si="27"/>
        <v>11.895124692654585</v>
      </c>
      <c r="BE54" s="3"/>
      <c r="BF54" s="161">
        <f t="shared" si="28"/>
        <v>11101.765404530957</v>
      </c>
      <c r="BG54" s="3"/>
      <c r="BH54" s="165"/>
    </row>
    <row r="55" spans="2:60" ht="12">
      <c r="B55" s="2"/>
      <c r="C55" s="6">
        <f>+IF(C54&gt;$G$13+$G$14,XX,C54+1)</f>
        <v>2047</v>
      </c>
      <c r="D55" s="6"/>
      <c r="E55" s="292">
        <f>'(2.2)_Forward_Price_Curve'!P59</f>
        <v>2.1999999999999999E-2</v>
      </c>
      <c r="F55" s="6"/>
      <c r="G55" s="20">
        <v>818776.75416000001</v>
      </c>
      <c r="H55" s="6"/>
      <c r="I55" s="30">
        <f t="shared" si="10"/>
        <v>106.44798094271442</v>
      </c>
      <c r="J55" s="6"/>
      <c r="K55" s="30">
        <f t="shared" si="10"/>
        <v>1.8391554365950047</v>
      </c>
      <c r="L55" s="6"/>
      <c r="M55" s="30">
        <f t="shared" si="11"/>
        <v>0</v>
      </c>
      <c r="N55" s="6"/>
      <c r="O55" s="295">
        <f>'(2.2)_Forward_Price_Curve'!Y59</f>
        <v>2.0468358206182615</v>
      </c>
      <c r="P55" s="6"/>
      <c r="Q55" s="30">
        <v>0</v>
      </c>
      <c r="R55" s="6"/>
      <c r="S55" s="20">
        <f t="shared" si="12"/>
        <v>29772.464947765278</v>
      </c>
      <c r="T55" s="6"/>
      <c r="U55" s="20">
        <f t="shared" si="13"/>
        <v>68140.056498279606</v>
      </c>
      <c r="V55" s="6"/>
      <c r="W55" s="20">
        <f t="shared" si="14"/>
        <v>-38367.591550514328</v>
      </c>
      <c r="X55" s="6"/>
      <c r="Y55" s="296">
        <f t="shared" si="15"/>
        <v>-46.859649294607088</v>
      </c>
      <c r="Z55" s="255"/>
      <c r="AB55" s="154">
        <f>+IF(AB54&gt;$G$13+$G$14,XX,AB54+1)</f>
        <v>2047</v>
      </c>
      <c r="AC55" s="124"/>
      <c r="AD55" s="159">
        <f t="shared" si="16"/>
        <v>818776.75416000001</v>
      </c>
      <c r="AE55" s="3"/>
      <c r="AF55" s="162">
        <f t="shared" si="17"/>
        <v>168.68146852996762</v>
      </c>
      <c r="AG55" s="3"/>
      <c r="AH55" s="162">
        <f t="shared" si="18"/>
        <v>35.339870077441837</v>
      </c>
      <c r="AI55" s="3"/>
      <c r="AJ55" s="162">
        <f t="shared" si="19"/>
        <v>4.0650630503841372</v>
      </c>
      <c r="AK55" s="3"/>
      <c r="AL55" s="161">
        <f t="shared" si="20"/>
        <v>30660.521724595434</v>
      </c>
      <c r="AM55" s="3"/>
      <c r="AN55" s="162">
        <f>INDEX('(2.2)_Forward_Price_Curve'!$H:$H,MATCH($AB55,'(2.2)_Forward_Price_Curve'!$C:$C,0),1)</f>
        <v>8.5274534585630644</v>
      </c>
      <c r="AO55" s="3"/>
      <c r="AP55" s="162">
        <f t="shared" si="21"/>
        <v>55.436112127316967</v>
      </c>
      <c r="AQ55" s="3"/>
      <c r="AR55" s="162">
        <f t="shared" si="22"/>
        <v>4.1961854056118222</v>
      </c>
      <c r="AS55" s="162"/>
      <c r="AT55" s="161">
        <f t="shared" si="23"/>
        <v>19314.517481164796</v>
      </c>
      <c r="AU55" s="3"/>
      <c r="AV55" s="161">
        <f t="shared" si="24"/>
        <v>48825.53901711481</v>
      </c>
      <c r="AW55" s="299"/>
      <c r="AX55" s="163">
        <f t="shared" si="25"/>
        <v>68140.056498279606</v>
      </c>
      <c r="AZ55" s="154">
        <f>+IF(AZ54&gt;$G$13+$G$14,XX,AZ54+1)</f>
        <v>2047</v>
      </c>
      <c r="BA55" s="124"/>
      <c r="BB55" s="162">
        <f t="shared" si="26"/>
        <v>107.9083991002514</v>
      </c>
      <c r="BC55" s="3"/>
      <c r="BD55" s="162">
        <f t="shared" si="27"/>
        <v>12.156817435892986</v>
      </c>
      <c r="BE55" s="3"/>
      <c r="BF55" s="161">
        <f t="shared" si="28"/>
        <v>11346.004243430638</v>
      </c>
      <c r="BG55" s="3"/>
      <c r="BH55" s="165"/>
    </row>
    <row r="56" spans="2:60" ht="12">
      <c r="B56" s="2"/>
      <c r="C56" s="6">
        <f>+IF(C55&gt;$G$13+$G$14,XX,C55+1)</f>
        <v>2048</v>
      </c>
      <c r="D56" s="6"/>
      <c r="E56" s="292">
        <f>'(2.2)_Forward_Price_Curve'!P60</f>
        <v>2.1999999999999999E-2</v>
      </c>
      <c r="F56" s="6"/>
      <c r="G56" s="20">
        <v>818776.75416000001</v>
      </c>
      <c r="H56" s="6"/>
      <c r="I56" s="30">
        <f t="shared" si="10"/>
        <v>108.78983652345414</v>
      </c>
      <c r="J56" s="6"/>
      <c r="K56" s="30">
        <f t="shared" si="10"/>
        <v>1.8796168562000948</v>
      </c>
      <c r="L56" s="6"/>
      <c r="M56" s="30">
        <f t="shared" si="11"/>
        <v>0</v>
      </c>
      <c r="N56" s="6"/>
      <c r="O56" s="295">
        <f>'(2.2)_Forward_Price_Curve'!Y60</f>
        <v>2.0909596981572163</v>
      </c>
      <c r="P56" s="6"/>
      <c r="Q56" s="30">
        <v>0</v>
      </c>
      <c r="R56" s="6"/>
      <c r="S56" s="20">
        <f t="shared" si="12"/>
        <v>30426.716946879318</v>
      </c>
      <c r="T56" s="6"/>
      <c r="U56" s="20">
        <f t="shared" si="13"/>
        <v>69639.13774124175</v>
      </c>
      <c r="V56" s="6"/>
      <c r="W56" s="20">
        <f t="shared" si="14"/>
        <v>-39212.420794362435</v>
      </c>
      <c r="X56" s="6"/>
      <c r="Y56" s="296">
        <f t="shared" si="15"/>
        <v>-47.891468089603087</v>
      </c>
      <c r="Z56" s="255"/>
      <c r="AB56" s="154">
        <f>+IF(AB55&gt;$G$13+$G$14,XX,AB55+1)</f>
        <v>2048</v>
      </c>
      <c r="AC56" s="124"/>
      <c r="AD56" s="159">
        <f t="shared" si="16"/>
        <v>818776.75416000001</v>
      </c>
      <c r="AE56" s="3"/>
      <c r="AF56" s="162">
        <f t="shared" si="17"/>
        <v>172.39246083762691</v>
      </c>
      <c r="AG56" s="3"/>
      <c r="AH56" s="162">
        <f t="shared" si="18"/>
        <v>36.117347219145557</v>
      </c>
      <c r="AI56" s="3"/>
      <c r="AJ56" s="162">
        <f t="shared" si="19"/>
        <v>4.1544944374925885</v>
      </c>
      <c r="AK56" s="3"/>
      <c r="AL56" s="161">
        <f t="shared" si="20"/>
        <v>31335.053202536536</v>
      </c>
      <c r="AM56" s="3"/>
      <c r="AN56" s="162">
        <f>INDEX('(2.2)_Forward_Price_Curve'!$H:$H,MATCH($AB56,'(2.2)_Forward_Price_Curve'!$C:$C,0),1)</f>
        <v>8.7150574346514524</v>
      </c>
      <c r="AO56" s="3"/>
      <c r="AP56" s="162">
        <f t="shared" si="21"/>
        <v>56.655706594117945</v>
      </c>
      <c r="AQ56" s="3"/>
      <c r="AR56" s="162">
        <f t="shared" si="22"/>
        <v>4.2885014845352822</v>
      </c>
      <c r="AS56" s="162"/>
      <c r="AT56" s="161">
        <f t="shared" si="23"/>
        <v>19739.436865750424</v>
      </c>
      <c r="AU56" s="3"/>
      <c r="AV56" s="161">
        <f t="shared" si="24"/>
        <v>49899.700875491333</v>
      </c>
      <c r="AW56" s="299"/>
      <c r="AX56" s="163">
        <f t="shared" si="25"/>
        <v>69639.13774124175</v>
      </c>
      <c r="AZ56" s="154">
        <f>+IF(AZ55&gt;$G$13+$G$14,XX,AZ55+1)</f>
        <v>2048</v>
      </c>
      <c r="BA56" s="124"/>
      <c r="BB56" s="162">
        <f t="shared" si="26"/>
        <v>110.28238388045693</v>
      </c>
      <c r="BC56" s="3"/>
      <c r="BD56" s="162">
        <f t="shared" si="27"/>
        <v>12.424267419482632</v>
      </c>
      <c r="BE56" s="3"/>
      <c r="BF56" s="161">
        <f t="shared" si="28"/>
        <v>11595.616336786112</v>
      </c>
      <c r="BG56" s="3"/>
      <c r="BH56" s="165"/>
    </row>
    <row r="57" spans="2:60" ht="12">
      <c r="B57" s="2"/>
      <c r="C57" s="6">
        <f>+IF(C56&gt;$G$13+$G$14,XX,C56+1)</f>
        <v>2049</v>
      </c>
      <c r="D57" s="6"/>
      <c r="E57" s="292">
        <f>'(2.2)_Forward_Price_Curve'!P61</f>
        <v>2.1999999999999999E-2</v>
      </c>
      <c r="F57" s="6"/>
      <c r="G57" s="20">
        <v>818776.75416000001</v>
      </c>
      <c r="H57" s="6"/>
      <c r="I57" s="30">
        <f t="shared" si="10"/>
        <v>111.18321292697013</v>
      </c>
      <c r="J57" s="6"/>
      <c r="K57" s="30">
        <f t="shared" si="10"/>
        <v>1.9209684270364968</v>
      </c>
      <c r="L57" s="6"/>
      <c r="M57" s="30">
        <f t="shared" si="11"/>
        <v>0</v>
      </c>
      <c r="N57" s="6"/>
      <c r="O57" s="295">
        <f>'(2.2)_Forward_Price_Curve'!Y61</f>
        <v>2.1361590832077506</v>
      </c>
      <c r="P57" s="6"/>
      <c r="Q57" s="30">
        <v>0</v>
      </c>
      <c r="R57" s="6"/>
      <c r="S57" s="20">
        <f t="shared" si="12"/>
        <v>31095.44828320817</v>
      </c>
      <c r="T57" s="6"/>
      <c r="U57" s="20">
        <f t="shared" si="13"/>
        <v>71171.198771549069</v>
      </c>
      <c r="V57" s="6"/>
      <c r="W57" s="20">
        <f t="shared" si="14"/>
        <v>-40075.750488340898</v>
      </c>
      <c r="X57" s="6"/>
      <c r="Y57" s="296">
        <f t="shared" si="15"/>
        <v>-48.945882115883272</v>
      </c>
      <c r="Z57" s="255"/>
      <c r="AB57" s="154">
        <f>+IF(AB56&gt;$G$13+$G$14,XX,AB56+1)</f>
        <v>2049</v>
      </c>
      <c r="AC57" s="124"/>
      <c r="AD57" s="159">
        <f t="shared" si="16"/>
        <v>818776.75416000001</v>
      </c>
      <c r="AE57" s="3"/>
      <c r="AF57" s="162">
        <f t="shared" si="17"/>
        <v>176.1850949760547</v>
      </c>
      <c r="AG57" s="3"/>
      <c r="AH57" s="162">
        <f t="shared" si="18"/>
        <v>36.911928857966757</v>
      </c>
      <c r="AI57" s="3"/>
      <c r="AJ57" s="162">
        <f t="shared" si="19"/>
        <v>4.2458933151174252</v>
      </c>
      <c r="AK57" s="3"/>
      <c r="AL57" s="161">
        <f t="shared" si="20"/>
        <v>32024.424372992333</v>
      </c>
      <c r="AM57" s="3"/>
      <c r="AN57" s="162">
        <f>INDEX('(2.2)_Forward_Price_Curve'!$H:$H,MATCH($AB57,'(2.2)_Forward_Price_Curve'!$C:$C,0),1)</f>
        <v>8.9067886982137843</v>
      </c>
      <c r="AO57" s="3"/>
      <c r="AP57" s="162">
        <f t="shared" si="21"/>
        <v>57.902132139188545</v>
      </c>
      <c r="AQ57" s="3"/>
      <c r="AR57" s="162">
        <f t="shared" si="22"/>
        <v>4.3828485171950584</v>
      </c>
      <c r="AS57" s="162"/>
      <c r="AT57" s="161">
        <f t="shared" si="23"/>
        <v>20173.704476796927</v>
      </c>
      <c r="AU57" s="3"/>
      <c r="AV57" s="161">
        <f t="shared" si="24"/>
        <v>50997.494294752149</v>
      </c>
      <c r="AW57" s="299"/>
      <c r="AX57" s="163">
        <f t="shared" si="25"/>
        <v>71171.198771549069</v>
      </c>
      <c r="AZ57" s="154">
        <f>+IF(AZ56&gt;$G$13+$G$14,XX,AZ56+1)</f>
        <v>2049</v>
      </c>
      <c r="BA57" s="124"/>
      <c r="BB57" s="162">
        <f t="shared" si="26"/>
        <v>112.70859632582699</v>
      </c>
      <c r="BC57" s="3"/>
      <c r="BD57" s="162">
        <f t="shared" si="27"/>
        <v>12.69760130271125</v>
      </c>
      <c r="BE57" s="3"/>
      <c r="BF57" s="161">
        <f t="shared" si="28"/>
        <v>11850.719896195407</v>
      </c>
      <c r="BG57" s="3"/>
      <c r="BH57" s="165"/>
    </row>
    <row r="58" spans="2:60">
      <c r="B58" s="2"/>
      <c r="C58" s="3"/>
      <c r="D58" s="3"/>
      <c r="E58" s="178"/>
      <c r="F58" s="3"/>
      <c r="G58" s="290"/>
      <c r="H58" s="3"/>
      <c r="I58" s="290"/>
      <c r="J58" s="3"/>
      <c r="K58" s="290"/>
      <c r="L58" s="3"/>
      <c r="M58" s="290"/>
      <c r="N58" s="3"/>
      <c r="O58" s="290"/>
      <c r="P58" s="3"/>
      <c r="Q58" s="290"/>
      <c r="R58" s="3"/>
      <c r="S58" s="290"/>
      <c r="T58" s="3"/>
      <c r="U58" s="290"/>
      <c r="V58" s="3"/>
      <c r="W58" s="290"/>
      <c r="X58" s="3"/>
      <c r="Y58" s="300"/>
      <c r="Z58" s="255"/>
      <c r="AB58" s="2"/>
      <c r="AC58" s="3"/>
      <c r="AD58" s="3"/>
      <c r="AE58" s="3"/>
      <c r="AF58" s="301"/>
      <c r="AG58" s="3"/>
      <c r="AH58" s="301"/>
      <c r="AI58" s="3"/>
      <c r="AJ58" s="301"/>
      <c r="AK58" s="3"/>
      <c r="AL58" s="299"/>
      <c r="AM58" s="3"/>
      <c r="AN58" s="301"/>
      <c r="AO58" s="3"/>
      <c r="AP58" s="301"/>
      <c r="AQ58" s="3"/>
      <c r="AR58" s="301"/>
      <c r="AS58" s="301"/>
      <c r="AT58" s="301"/>
      <c r="AU58" s="3"/>
      <c r="AV58" s="299"/>
      <c r="AW58" s="299"/>
      <c r="AX58" s="302"/>
      <c r="AZ58" s="2"/>
      <c r="BA58" s="3"/>
      <c r="BB58" s="301"/>
      <c r="BC58" s="3"/>
      <c r="BD58" s="3"/>
      <c r="BE58" s="3"/>
      <c r="BF58" s="299"/>
      <c r="BG58" s="3"/>
      <c r="BH58" s="255"/>
    </row>
    <row r="59" spans="2:60" ht="12">
      <c r="B59" s="2"/>
      <c r="C59" s="303" t="str">
        <f>G14&amp;"-year Nominal Levelized at "&amp;TEXT($G$18,"#.00%")</f>
        <v>30-year Nominal Levelized at 6.91%</v>
      </c>
      <c r="E59" s="178"/>
      <c r="F59" s="3"/>
      <c r="G59" s="317">
        <f>+-PMT($G$18,$G$14,NPV($G$18,G28:G57))</f>
        <v>767837.5583631281</v>
      </c>
      <c r="H59" s="6"/>
      <c r="I59" s="30">
        <f>+-PMT($G$18,$G$14,NPV($G$18,I28:I57))</f>
        <v>74.782124690295475</v>
      </c>
      <c r="J59" s="30"/>
      <c r="K59" s="30">
        <f>+-PMT($G$18,$G$14,NPV($G$18,K28:K57))</f>
        <v>1.292048472561431</v>
      </c>
      <c r="L59" s="6"/>
      <c r="M59" s="30">
        <f>+-PMT($G$18,$G$14,NPV($G$18,M28:M57))</f>
        <v>0</v>
      </c>
      <c r="N59" s="6"/>
      <c r="O59" s="30">
        <f>+-PMT($G$18,$G$14,NPV($G$18,O28:O57))</f>
        <v>1.4415142627138942</v>
      </c>
      <c r="P59" s="6"/>
      <c r="Q59" s="30">
        <f>+-PMT($G$18,$G$14,NPV($G$18,Q28:Q57))</f>
        <v>-19.426225288720342</v>
      </c>
      <c r="R59" s="6"/>
      <c r="S59" s="20">
        <f>+-PMT($G$18,$G$14,NPV($G$18,S28:S57))</f>
        <v>4902.7770679884516</v>
      </c>
      <c r="T59" s="6"/>
      <c r="U59" s="20">
        <f>+-PMT($G$18,$G$14,NPV($G$18,U28:U57))</f>
        <v>39568.626951186539</v>
      </c>
      <c r="V59" s="3"/>
      <c r="W59" s="20">
        <f>+-PMT($G$18,$G$14,NPV($G$18,W28:W57))</f>
        <v>-34665.849883198091</v>
      </c>
      <c r="X59" s="3"/>
      <c r="Y59" s="296">
        <f>+-PMT($G$18,$G$14,NPV($G$18,Y28:Y57))</f>
        <v>-40.565681070494129</v>
      </c>
      <c r="Z59" s="255"/>
      <c r="AB59" s="2"/>
      <c r="AC59" s="3"/>
      <c r="AD59" s="159">
        <f>+-PMT($G$18,$G$14,NPV($G$18,AD28:AD57))</f>
        <v>767837.5583631281</v>
      </c>
      <c r="AE59" s="3"/>
      <c r="AF59" s="162">
        <f>+-PMT($G$18,$G$14,NPV($G$18,AF28:AF57))</f>
        <v>118.50256341957942</v>
      </c>
      <c r="AG59" s="3"/>
      <c r="AH59" s="162">
        <f>+-PMT($G$18,$G$14,NPV($G$18,AH28:AH57))</f>
        <v>24.827061511785093</v>
      </c>
      <c r="AI59" s="3"/>
      <c r="AJ59" s="162">
        <f>+-PMT($G$18,$G$14,NPV($G$18,AJ28:AJ57))</f>
        <v>2.8557991350849163</v>
      </c>
      <c r="AK59" s="3"/>
      <c r="AL59" s="161">
        <f>+-PMT($G$18,$G$14,NPV($G$18,AL28:AL57))</f>
        <v>21424.307951063329</v>
      </c>
      <c r="AM59" s="3"/>
      <c r="AN59" s="162">
        <f>+-PMT($G$18,$G$14,NPV($G$18,AN28:AN57))</f>
        <v>4.5924838818841298</v>
      </c>
      <c r="AO59" s="3"/>
      <c r="AP59" s="162">
        <f>+-PMT($G$18,$G$14,NPV($G$18,AP28:AP57))</f>
        <v>29.855273049115485</v>
      </c>
      <c r="AQ59" s="3"/>
      <c r="AR59" s="162">
        <f>+-PMT($G$18,$G$14,NPV($G$18,AR28:AR57))</f>
        <v>2.9479155682148113</v>
      </c>
      <c r="AS59" s="162"/>
      <c r="AT59" s="161">
        <f>+-PMT($G$18,$G$14,NPV($G$18,AT28:AT57))</f>
        <v>13453.482233612986</v>
      </c>
      <c r="AU59" s="3"/>
      <c r="AV59" s="161">
        <f>+-PMT($G$18,$G$14,NPV($G$18,AV28:AV57))</f>
        <v>26115.144717573556</v>
      </c>
      <c r="AW59" s="299"/>
      <c r="AX59" s="163">
        <f>+-PMT($G$18,$G$14,NPV($G$18,AX28:AX57))</f>
        <v>39568.626951186539</v>
      </c>
      <c r="AZ59" s="2"/>
      <c r="BA59" s="3"/>
      <c r="BB59" s="162">
        <f>+-PMT($G$18,$G$14,NPV($G$18,BB28:BB57))</f>
        <v>75.80810162090232</v>
      </c>
      <c r="BC59" s="3"/>
      <c r="BD59" s="162">
        <f>+-PMT($G$18,$G$14,NPV($G$18,BD28:BD57))</f>
        <v>8.5404404036310613</v>
      </c>
      <c r="BE59" s="3"/>
      <c r="BF59" s="161">
        <f>+-PMT($G$18,$G$14,NPV($G$18,BF28:BF57))</f>
        <v>7970.8257174503415</v>
      </c>
      <c r="BG59" s="3"/>
      <c r="BH59" s="165"/>
    </row>
    <row r="60" spans="2:60">
      <c r="B60" s="2"/>
      <c r="C60" s="3"/>
      <c r="D60" s="3"/>
      <c r="E60" s="17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04"/>
      <c r="X60" s="3"/>
      <c r="Y60" s="305"/>
      <c r="Z60" s="255"/>
      <c r="AB60" s="2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299"/>
      <c r="AU60" s="3"/>
      <c r="AV60" s="3"/>
      <c r="AW60" s="3"/>
      <c r="AX60" s="255"/>
      <c r="AZ60" s="2"/>
      <c r="BA60" s="3"/>
      <c r="BB60" s="3"/>
      <c r="BC60" s="3"/>
      <c r="BD60" s="3"/>
      <c r="BE60" s="3"/>
      <c r="BF60" s="3"/>
      <c r="BG60" s="3"/>
      <c r="BH60" s="255"/>
    </row>
    <row r="61" spans="2:60">
      <c r="B61" s="258"/>
      <c r="C61" s="306"/>
      <c r="D61" s="306"/>
      <c r="E61" s="307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259"/>
      <c r="AB61" s="258"/>
      <c r="AC61" s="306"/>
      <c r="AD61" s="306"/>
      <c r="AE61" s="306"/>
      <c r="AF61" s="306"/>
      <c r="AG61" s="306"/>
      <c r="AH61" s="306"/>
      <c r="AI61" s="306"/>
      <c r="AJ61" s="306"/>
      <c r="AK61" s="306"/>
      <c r="AL61" s="306"/>
      <c r="AM61" s="306"/>
      <c r="AN61" s="306"/>
      <c r="AO61" s="306"/>
      <c r="AP61" s="306"/>
      <c r="AQ61" s="306"/>
      <c r="AR61" s="306"/>
      <c r="AS61" s="306"/>
      <c r="AT61" s="306"/>
      <c r="AU61" s="306"/>
      <c r="AV61" s="306"/>
      <c r="AW61" s="306"/>
      <c r="AX61" s="259"/>
      <c r="AZ61" s="258"/>
      <c r="BA61" s="306"/>
      <c r="BB61" s="306"/>
      <c r="BC61" s="306"/>
      <c r="BD61" s="306"/>
      <c r="BE61" s="306"/>
      <c r="BF61" s="306"/>
      <c r="BG61" s="306"/>
      <c r="BH61" s="259"/>
    </row>
    <row r="62" spans="2:60">
      <c r="E62" s="308"/>
    </row>
    <row r="63" spans="2:60">
      <c r="E63" s="308"/>
      <c r="G63" s="309"/>
      <c r="I63" s="309"/>
      <c r="K63" s="309"/>
      <c r="O63" s="309"/>
      <c r="Q63" s="309"/>
      <c r="S63" s="309"/>
      <c r="U63" s="309"/>
      <c r="W63" s="309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</sheetData>
  <pageMargins left="0.25" right="0.25" top="0.25" bottom="0.75" header="0.3" footer="0.3"/>
  <pageSetup paperSize="5" scale="46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0AF4-A2F1-4959-887B-8E998D5AF990}">
  <sheetPr codeName="Sheet40">
    <tabColor theme="4" tint="0.59999389629810485"/>
    <pageSetUpPr fitToPage="1"/>
  </sheetPr>
  <dimension ref="A1:BL81"/>
  <sheetViews>
    <sheetView topLeftCell="O64" workbookViewId="0">
      <selection activeCell="AD57" sqref="AD57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204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99</v>
      </c>
      <c r="H11" s="510"/>
      <c r="I11" s="621">
        <v>99</v>
      </c>
      <c r="AB11" s="511" t="s">
        <v>99</v>
      </c>
      <c r="AC11" s="512"/>
      <c r="AD11" s="512"/>
      <c r="AE11" s="512"/>
      <c r="AF11" s="518">
        <f>+G11*(G12/AJ16)</f>
        <v>74.120323408065474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51.952516871820038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74.120323408065474</v>
      </c>
      <c r="BE11" s="519"/>
      <c r="BG11" s="586" t="s">
        <v>99</v>
      </c>
      <c r="BH11" s="587"/>
      <c r="BI11" s="587"/>
      <c r="BJ11" s="587"/>
      <c r="BK11" s="591">
        <f>(AR11*AR13-I11*I19)</f>
        <v>36.310516871820042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0.36454493770549606</v>
      </c>
      <c r="H12" s="510"/>
      <c r="I12" s="593">
        <v>0.36883964087653798</v>
      </c>
      <c r="AB12" s="511" t="s">
        <v>32</v>
      </c>
      <c r="AC12" s="512"/>
      <c r="AD12" s="512"/>
      <c r="AE12" s="512"/>
      <c r="AF12" s="520">
        <f>+AD53/8760/AF11</f>
        <v>0.53605247575676762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0.73273376634781073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176.69367656848465</v>
      </c>
      <c r="H15" s="510"/>
      <c r="I15" s="428"/>
      <c r="M15" s="554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12.45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313921</v>
      </c>
      <c r="I28" s="550">
        <f>$G$15</f>
        <v>176.69367656848465</v>
      </c>
      <c r="J28" s="550"/>
      <c r="K28" s="550">
        <f>$G$16</f>
        <v>12.45</v>
      </c>
      <c r="L28" s="551"/>
      <c r="M28" s="550">
        <f>$G$17</f>
        <v>0</v>
      </c>
      <c r="O28" s="552">
        <v>5.1866999999999992</v>
      </c>
      <c r="Q28" s="553">
        <f>-'(2.2)_Forward_Price_Curve'!AG18</f>
        <v>-33.844219890731516</v>
      </c>
      <c r="S28" s="475">
        <f t="shared" ref="S28:S68" si="0">(I28*$G$11*1000+(K28+M28+O28+Q28)*G28)/1000</f>
        <v>12404.793128661649</v>
      </c>
      <c r="U28" s="475">
        <f t="shared" ref="U28:U68" si="1">AX28</f>
        <v>20781.274985056596</v>
      </c>
      <c r="W28" s="475">
        <f t="shared" ref="W28:W68" si="2">S28-U28</f>
        <v>-8376.4818563949466</v>
      </c>
      <c r="Y28" s="554">
        <f t="shared" ref="Y28:Y68" si="3">+W28*1000/G28</f>
        <v>-26.683407151464689</v>
      </c>
      <c r="Z28" s="516"/>
      <c r="AB28" s="544">
        <f>$C$28</f>
        <v>2009</v>
      </c>
      <c r="AC28" s="503"/>
      <c r="AD28" s="488">
        <f t="shared" ref="AD28:AD68" si="4">G28</f>
        <v>313921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5642.5028623825328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2295.9163210291922</v>
      </c>
      <c r="AU28" s="557"/>
      <c r="AV28" s="558">
        <f t="shared" ref="AV28:AV68" si="7">(AP28+AR28)*AD28/1000</f>
        <v>18485.358664027404</v>
      </c>
      <c r="AW28" s="560"/>
      <c r="AX28" s="561">
        <f t="shared" ref="AX28:AX68" si="8">AT28+AV28</f>
        <v>20781.274985056596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3346.5865413533406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323799</v>
      </c>
      <c r="I29" s="553">
        <f t="shared" ref="I29:K37" si="10">I28*(1+$E29)</f>
        <v>180.05085642328584</v>
      </c>
      <c r="K29" s="553">
        <f t="shared" si="10"/>
        <v>12.686549999999999</v>
      </c>
      <c r="M29" s="553">
        <f t="shared" ref="M29:M68" si="11">M28*(1+$E29)</f>
        <v>0</v>
      </c>
      <c r="O29" s="552">
        <v>5.2748738999999985</v>
      </c>
      <c r="Q29" s="553">
        <f>-'(2.2)_Forward_Price_Curve'!AG19</f>
        <v>-35.45584940933778</v>
      </c>
      <c r="S29" s="475">
        <f t="shared" si="0"/>
        <v>12160.357300407233</v>
      </c>
      <c r="U29" s="475">
        <f t="shared" si="1"/>
        <v>20742.436827519035</v>
      </c>
      <c r="W29" s="475">
        <f t="shared" si="2"/>
        <v>-8582.0795271118022</v>
      </c>
      <c r="Y29" s="554">
        <f t="shared" si="3"/>
        <v>-26.504342283675374</v>
      </c>
      <c r="Z29" s="516"/>
      <c r="AB29" s="544">
        <f>+IF(AB28&gt;$G$13+$G$14,XX,AB28+1)</f>
        <v>2010</v>
      </c>
      <c r="AC29" s="503"/>
      <c r="AD29" s="488">
        <f t="shared" si="4"/>
        <v>323799</v>
      </c>
      <c r="AF29" s="555">
        <f t="shared" ref="AF29:AF37" si="12">AF28*(1+$E29)</f>
        <v>59.268516989789418</v>
      </c>
      <c r="AH29" s="555">
        <f t="shared" ref="AH29:AH37" si="13">AH28*(1+$E29)</f>
        <v>8.3559056765968087</v>
      </c>
      <c r="AJ29" s="555">
        <f t="shared" ref="AJ29:AJ37" si="14">AJ28*(1+$E29)</f>
        <v>2.3488914040524227</v>
      </c>
      <c r="AL29" s="558">
        <f t="shared" ref="AL29:AL66" si="15">((AF29+AH29)*$AF$11*1000+AJ29*AD29)/1000</f>
        <v>5772.9127660570302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2362.7410804179767</v>
      </c>
      <c r="AV29" s="558">
        <f t="shared" si="7"/>
        <v>18379.695747101057</v>
      </c>
      <c r="AW29" s="560"/>
      <c r="AX29" s="561">
        <f t="shared" si="8"/>
        <v>20742.436827519035</v>
      </c>
      <c r="AZ29" s="544">
        <f>+IF(AZ28&gt;$G$13+$G$14,XX,AZ28+1)</f>
        <v>2010</v>
      </c>
      <c r="BA29" s="503"/>
      <c r="BB29" s="555">
        <f t="shared" ref="BB29:BB68" si="16">BB28*(1+$E29)</f>
        <v>39.936516017693386</v>
      </c>
      <c r="BD29" s="555">
        <f t="shared" ref="BD29:BD68" si="17">BD28*(1+$E29)</f>
        <v>6.0720755377499982</v>
      </c>
      <c r="BF29" s="558">
        <f t="shared" si="9"/>
        <v>3410.1716856390535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323799</v>
      </c>
      <c r="I30" s="553">
        <f t="shared" si="10"/>
        <v>183.47182269532826</v>
      </c>
      <c r="K30" s="553">
        <f t="shared" si="10"/>
        <v>12.927594449999997</v>
      </c>
      <c r="M30" s="553">
        <f t="shared" si="11"/>
        <v>0</v>
      </c>
      <c r="O30" s="552">
        <v>5.3750965040999983</v>
      </c>
      <c r="Q30" s="553">
        <f>-'(2.2)_Forward_Price_Curve'!AG20</f>
        <v>-35.45584940933778</v>
      </c>
      <c r="S30" s="475">
        <f t="shared" si="0"/>
        <v>12609.534892189957</v>
      </c>
      <c r="U30" s="475">
        <f t="shared" si="1"/>
        <v>19872.247902857129</v>
      </c>
      <c r="W30" s="475">
        <f t="shared" si="2"/>
        <v>-7262.7130106671721</v>
      </c>
      <c r="Y30" s="554">
        <f t="shared" si="3"/>
        <v>-22.429695615697305</v>
      </c>
      <c r="Z30" s="516"/>
      <c r="AB30" s="544">
        <f>+IF(AB29&gt;$G$13+$G$14,XX,AB29+1)</f>
        <v>2011</v>
      </c>
      <c r="AC30" s="503"/>
      <c r="AD30" s="488">
        <f t="shared" si="4"/>
        <v>323799</v>
      </c>
      <c r="AF30" s="555">
        <f t="shared" si="12"/>
        <v>60.394618812595411</v>
      </c>
      <c r="AH30" s="555">
        <f t="shared" si="13"/>
        <v>8.5146678844521482</v>
      </c>
      <c r="AJ30" s="555">
        <f t="shared" si="14"/>
        <v>2.3935203407294185</v>
      </c>
      <c r="AL30" s="558">
        <f t="shared" si="15"/>
        <v>5882.5981086121137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68" si="18">AR29*(1+$E30)</f>
        <v>2.4775859496653472</v>
      </c>
      <c r="AS30" s="555"/>
      <c r="AT30" s="558">
        <f t="shared" si="6"/>
        <v>2407.633160945918</v>
      </c>
      <c r="AV30" s="558">
        <f t="shared" si="7"/>
        <v>17464.614741911209</v>
      </c>
      <c r="AW30" s="560"/>
      <c r="AX30" s="561">
        <f t="shared" si="8"/>
        <v>19872.247902857129</v>
      </c>
      <c r="AZ30" s="544">
        <f>+IF(AZ29&gt;$G$13+$G$14,XX,AZ29+1)</f>
        <v>2011</v>
      </c>
      <c r="BA30" s="503"/>
      <c r="BB30" s="555">
        <f t="shared" si="16"/>
        <v>40.695309822029557</v>
      </c>
      <c r="BD30" s="555">
        <f t="shared" si="17"/>
        <v>6.1874449729672474</v>
      </c>
      <c r="BF30" s="558">
        <f t="shared" si="9"/>
        <v>3474.9649476661957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324797</v>
      </c>
      <c r="I31" s="553">
        <f t="shared" si="10"/>
        <v>187.14125914923483</v>
      </c>
      <c r="K31" s="553">
        <f t="shared" si="10"/>
        <v>13.186146338999997</v>
      </c>
      <c r="M31" s="553">
        <f t="shared" si="11"/>
        <v>0</v>
      </c>
      <c r="O31" s="552">
        <v>5.4772233376778976</v>
      </c>
      <c r="Q31" s="553">
        <f>-'(2.2)_Forward_Price_Curve'!AG21</f>
        <v>-35.45584940933778</v>
      </c>
      <c r="S31" s="475">
        <f t="shared" si="0"/>
        <v>13072.837616045517</v>
      </c>
      <c r="U31" s="475">
        <f t="shared" si="1"/>
        <v>19096.736925658905</v>
      </c>
      <c r="W31" s="475">
        <f t="shared" si="2"/>
        <v>-6023.8993096133872</v>
      </c>
      <c r="Y31" s="554">
        <f t="shared" si="3"/>
        <v>-18.546659327559635</v>
      </c>
      <c r="Z31" s="516"/>
      <c r="AB31" s="544">
        <f>+IF(AB30&gt;$G$13+$G$14,XX,AB30+1)</f>
        <v>2012</v>
      </c>
      <c r="AC31" s="503"/>
      <c r="AD31" s="488">
        <f t="shared" si="4"/>
        <v>324797</v>
      </c>
      <c r="AF31" s="555">
        <f t="shared" si="12"/>
        <v>61.602511188847323</v>
      </c>
      <c r="AH31" s="555">
        <f t="shared" si="13"/>
        <v>8.6849612421411919</v>
      </c>
      <c r="AJ31" s="555">
        <f t="shared" si="14"/>
        <v>2.4413907475440069</v>
      </c>
      <c r="AL31" s="558">
        <f t="shared" si="15"/>
        <v>6002.6865787504057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8"/>
        <v>2.527137668658654</v>
      </c>
      <c r="AS31" s="555"/>
      <c r="AT31" s="558">
        <f t="shared" si="6"/>
        <v>2458.2223321308861</v>
      </c>
      <c r="AV31" s="558">
        <f t="shared" si="7"/>
        <v>16638.51459352802</v>
      </c>
      <c r="AW31" s="560"/>
      <c r="AX31" s="561">
        <f t="shared" si="8"/>
        <v>19096.736925658905</v>
      </c>
      <c r="AZ31" s="544">
        <f>+IF(AZ30&gt;$G$13+$G$14,XX,AZ30+1)</f>
        <v>2012</v>
      </c>
      <c r="BA31" s="503"/>
      <c r="BB31" s="555">
        <f t="shared" si="16"/>
        <v>41.509216018470148</v>
      </c>
      <c r="BD31" s="555">
        <f t="shared" si="17"/>
        <v>6.3111938724265926</v>
      </c>
      <c r="BF31" s="558">
        <f t="shared" si="9"/>
        <v>3544.4642466195196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323799</v>
      </c>
      <c r="I32" s="553">
        <f t="shared" si="10"/>
        <v>190.69694307307026</v>
      </c>
      <c r="K32" s="553">
        <f t="shared" si="10"/>
        <v>13.436683119440996</v>
      </c>
      <c r="M32" s="553">
        <f t="shared" si="11"/>
        <v>0</v>
      </c>
      <c r="O32" s="552">
        <v>5.5867678044314557</v>
      </c>
      <c r="Q32" s="553">
        <f>-'(2.2)_Forward_Price_Curve'!AG22</f>
        <v>-37.067478927944045</v>
      </c>
      <c r="S32" s="475">
        <f t="shared" si="0"/>
        <v>13036.359140543578</v>
      </c>
      <c r="U32" s="475">
        <f t="shared" si="1"/>
        <v>19098.383357130759</v>
      </c>
      <c r="W32" s="475">
        <f t="shared" si="2"/>
        <v>-6062.0242165871805</v>
      </c>
      <c r="Y32" s="554">
        <f t="shared" si="3"/>
        <v>-18.721565590342095</v>
      </c>
      <c r="Z32" s="516"/>
      <c r="AB32" s="544">
        <f>+IF(AB31&gt;$G$13+$G$14,XX,AB31+1)</f>
        <v>2013</v>
      </c>
      <c r="AC32" s="503"/>
      <c r="AD32" s="488">
        <f t="shared" si="4"/>
        <v>323799</v>
      </c>
      <c r="AF32" s="555">
        <f t="shared" si="12"/>
        <v>62.772958901435416</v>
      </c>
      <c r="AH32" s="555">
        <f t="shared" si="13"/>
        <v>8.8499755057418739</v>
      </c>
      <c r="AJ32" s="555">
        <f t="shared" si="14"/>
        <v>2.4877771717473429</v>
      </c>
      <c r="AL32" s="558">
        <f t="shared" si="15"/>
        <v>6114.2548221292591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8"/>
        <v>2.5751532843631684</v>
      </c>
      <c r="AS32" s="555"/>
      <c r="AT32" s="558">
        <f t="shared" si="6"/>
        <v>2502.4457548239693</v>
      </c>
      <c r="AV32" s="558">
        <f t="shared" si="7"/>
        <v>16595.937602306789</v>
      </c>
      <c r="AW32" s="560"/>
      <c r="AX32" s="561">
        <f t="shared" si="8"/>
        <v>19098.383357130759</v>
      </c>
      <c r="AZ32" s="544">
        <f>+IF(AZ31&gt;$G$13+$G$14,XX,AZ31+1)</f>
        <v>2013</v>
      </c>
      <c r="BA32" s="503"/>
      <c r="BB32" s="555">
        <f t="shared" si="16"/>
        <v>42.297891122821078</v>
      </c>
      <c r="BD32" s="555">
        <f t="shared" si="17"/>
        <v>6.431106556002697</v>
      </c>
      <c r="BF32" s="558">
        <f t="shared" si="9"/>
        <v>3611.8090673052898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323799</v>
      </c>
      <c r="I33" s="553">
        <f t="shared" si="10"/>
        <v>194.12948804838553</v>
      </c>
      <c r="K33" s="553">
        <f t="shared" si="10"/>
        <v>13.678543415590934</v>
      </c>
      <c r="M33" s="553">
        <f t="shared" si="11"/>
        <v>0</v>
      </c>
      <c r="O33" s="552">
        <v>5.6929163927156532</v>
      </c>
      <c r="Q33" s="553">
        <f>-'(2.2)_Forward_Price_Curve'!AG23</f>
        <v>-37.067478927944045</v>
      </c>
      <c r="S33" s="475">
        <f t="shared" si="0"/>
        <v>13488.866021870677</v>
      </c>
      <c r="U33" s="475">
        <f t="shared" si="1"/>
        <v>19663.129271002799</v>
      </c>
      <c r="W33" s="475">
        <f t="shared" si="2"/>
        <v>-6174.2632491321219</v>
      </c>
      <c r="Y33" s="554">
        <f t="shared" si="3"/>
        <v>-19.068197397558738</v>
      </c>
      <c r="Z33" s="516"/>
      <c r="AB33" s="544">
        <f>+IF(AB32&gt;$G$13+$G$14,XX,AB32+1)</f>
        <v>2014</v>
      </c>
      <c r="AC33" s="503"/>
      <c r="AD33" s="488">
        <f t="shared" si="4"/>
        <v>323799</v>
      </c>
      <c r="AF33" s="555">
        <f t="shared" si="12"/>
        <v>63.902872161661257</v>
      </c>
      <c r="AH33" s="555">
        <f t="shared" si="13"/>
        <v>9.0092750648452284</v>
      </c>
      <c r="AJ33" s="555">
        <f t="shared" si="14"/>
        <v>2.5325571608387953</v>
      </c>
      <c r="AL33" s="558">
        <f t="shared" si="15"/>
        <v>6224.3114089275859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8"/>
        <v>2.6215060434817055</v>
      </c>
      <c r="AS33" s="555"/>
      <c r="AT33" s="558">
        <f t="shared" si="6"/>
        <v>2547.4897784108007</v>
      </c>
      <c r="AV33" s="558">
        <f t="shared" si="7"/>
        <v>17115.639492591999</v>
      </c>
      <c r="AW33" s="560"/>
      <c r="AX33" s="561">
        <f t="shared" si="8"/>
        <v>19663.129271002799</v>
      </c>
      <c r="AZ33" s="544">
        <f>+IF(AZ32&gt;$G$13+$G$14,XX,AZ32+1)</f>
        <v>2014</v>
      </c>
      <c r="BA33" s="503"/>
      <c r="BB33" s="555">
        <f t="shared" si="16"/>
        <v>43.059253163031855</v>
      </c>
      <c r="BD33" s="555">
        <f t="shared" si="17"/>
        <v>6.5468664740107458</v>
      </c>
      <c r="BF33" s="558">
        <f t="shared" si="9"/>
        <v>3676.8216305167853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323799</v>
      </c>
      <c r="I34" s="553">
        <f t="shared" si="10"/>
        <v>197.62381883325648</v>
      </c>
      <c r="K34" s="553">
        <f t="shared" si="10"/>
        <v>13.924757197071571</v>
      </c>
      <c r="M34" s="553">
        <f t="shared" si="11"/>
        <v>0</v>
      </c>
      <c r="O34" s="552">
        <v>5.7953888877845348</v>
      </c>
      <c r="Q34" s="553">
        <f>-'(2.2)_Forward_Price_Curve'!AG24</f>
        <v>-37.067478927944045</v>
      </c>
      <c r="S34" s="475">
        <f t="shared" si="0"/>
        <v>13947.709037233357</v>
      </c>
      <c r="U34" s="475">
        <f t="shared" si="1"/>
        <v>20670.9845558425</v>
      </c>
      <c r="W34" s="475">
        <f t="shared" si="2"/>
        <v>-6723.2755186091435</v>
      </c>
      <c r="Y34" s="554">
        <f t="shared" si="3"/>
        <v>-20.763731569921909</v>
      </c>
      <c r="Z34" s="516"/>
      <c r="AB34" s="544">
        <f>+IF(AB33&gt;$G$13+$G$14,XX,AB33+1)</f>
        <v>2015</v>
      </c>
      <c r="AC34" s="503"/>
      <c r="AD34" s="488">
        <f t="shared" si="4"/>
        <v>323799</v>
      </c>
      <c r="AF34" s="555">
        <f t="shared" si="12"/>
        <v>65.053123860571162</v>
      </c>
      <c r="AH34" s="555">
        <f t="shared" si="13"/>
        <v>9.1714420160124419</v>
      </c>
      <c r="AJ34" s="555">
        <f t="shared" si="14"/>
        <v>2.5781431897338938</v>
      </c>
      <c r="AL34" s="558">
        <f t="shared" si="15"/>
        <v>6336.349014288282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8"/>
        <v>2.6686931522643764</v>
      </c>
      <c r="AS34" s="555"/>
      <c r="AT34" s="558">
        <f t="shared" si="6"/>
        <v>2593.3445944221949</v>
      </c>
      <c r="AV34" s="558">
        <f t="shared" si="7"/>
        <v>18077.639961420304</v>
      </c>
      <c r="AW34" s="560"/>
      <c r="AX34" s="561">
        <f t="shared" si="8"/>
        <v>20670.9845558425</v>
      </c>
      <c r="AZ34" s="544">
        <f>+IF(AZ33&gt;$G$13+$G$14,XX,AZ33+1)</f>
        <v>2015</v>
      </c>
      <c r="BA34" s="503"/>
      <c r="BB34" s="555">
        <f t="shared" si="16"/>
        <v>43.83431971996643</v>
      </c>
      <c r="BD34" s="555">
        <f t="shared" si="17"/>
        <v>6.664710070542939</v>
      </c>
      <c r="BF34" s="558">
        <f t="shared" si="9"/>
        <v>3743.0044198660871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324686.12054794526</v>
      </c>
      <c r="I35" s="553">
        <f t="shared" si="10"/>
        <v>201.1810475722551</v>
      </c>
      <c r="K35" s="553">
        <f t="shared" si="10"/>
        <v>14.175402826618859</v>
      </c>
      <c r="M35" s="553">
        <f t="shared" si="11"/>
        <v>0</v>
      </c>
      <c r="O35" s="552">
        <v>5.8997058877646564</v>
      </c>
      <c r="Q35" s="553">
        <f>-'(2.2)_Forward_Price_Curve'!AG25</f>
        <v>-37.067478927944045</v>
      </c>
      <c r="S35" s="475">
        <f t="shared" si="0"/>
        <v>14399.736946097824</v>
      </c>
      <c r="U35" s="475">
        <f t="shared" si="1"/>
        <v>22211.90414417554</v>
      </c>
      <c r="W35" s="475">
        <f t="shared" si="2"/>
        <v>-7812.1671980777155</v>
      </c>
      <c r="Y35" s="554">
        <f t="shared" si="3"/>
        <v>-24.060674921655977</v>
      </c>
      <c r="Z35" s="516"/>
      <c r="AB35" s="544">
        <f>+IF(AB34&gt;$G$13+$G$14,XX,AB34+1)</f>
        <v>2016</v>
      </c>
      <c r="AC35" s="503"/>
      <c r="AD35" s="488">
        <f t="shared" si="4"/>
        <v>324686.12054794526</v>
      </c>
      <c r="AF35" s="555">
        <f t="shared" si="12"/>
        <v>66.224080090061449</v>
      </c>
      <c r="AH35" s="555">
        <f t="shared" si="13"/>
        <v>9.3365279723006669</v>
      </c>
      <c r="AJ35" s="555">
        <f t="shared" si="14"/>
        <v>2.6245497671491038</v>
      </c>
      <c r="AL35" s="558">
        <f t="shared" si="15"/>
        <v>6452.7315885730159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8"/>
        <v>2.716729629005135</v>
      </c>
      <c r="AS35" s="555"/>
      <c r="AT35" s="558">
        <f t="shared" si="6"/>
        <v>2642.3530891493392</v>
      </c>
      <c r="AV35" s="558">
        <f t="shared" si="7"/>
        <v>19569.551055026201</v>
      </c>
      <c r="AW35" s="560"/>
      <c r="AX35" s="561">
        <f t="shared" si="8"/>
        <v>22211.90414417554</v>
      </c>
      <c r="AZ35" s="544">
        <f>+IF(AZ34&gt;$G$13+$G$14,XX,AZ34+1)</f>
        <v>2016</v>
      </c>
      <c r="BA35" s="503"/>
      <c r="BB35" s="555">
        <f t="shared" si="16"/>
        <v>44.623337474925826</v>
      </c>
      <c r="BD35" s="555">
        <f t="shared" si="17"/>
        <v>6.7846748518127118</v>
      </c>
      <c r="BF35" s="558">
        <f t="shared" si="9"/>
        <v>3810.3784994236767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323799</v>
      </c>
      <c r="I36" s="553">
        <f t="shared" si="10"/>
        <v>204.80230642855568</v>
      </c>
      <c r="K36" s="553">
        <f t="shared" si="10"/>
        <v>14.430560077497999</v>
      </c>
      <c r="M36" s="553">
        <f t="shared" si="11"/>
        <v>0</v>
      </c>
      <c r="O36" s="552">
        <v>6.0059005937444203</v>
      </c>
      <c r="Q36" s="553">
        <f>-'(2.2)_Forward_Price_Curve'!AG26</f>
        <v>-38.679108446550309</v>
      </c>
      <c r="S36" s="475">
        <f t="shared" si="0"/>
        <v>14368.477229430091</v>
      </c>
      <c r="U36" s="475">
        <f t="shared" si="1"/>
        <v>23691.26335261836</v>
      </c>
      <c r="W36" s="475">
        <f t="shared" si="2"/>
        <v>-9322.7861231882689</v>
      </c>
      <c r="Y36" s="554">
        <f t="shared" si="3"/>
        <v>-28.791892881658896</v>
      </c>
      <c r="Z36" s="516"/>
      <c r="AB36" s="544">
        <f>+IF(AB35&gt;$G$13+$G$14,XX,AB35+1)</f>
        <v>2017</v>
      </c>
      <c r="AC36" s="503"/>
      <c r="AD36" s="488">
        <f t="shared" si="4"/>
        <v>323799</v>
      </c>
      <c r="AF36" s="555">
        <f t="shared" si="12"/>
        <v>67.416113531682555</v>
      </c>
      <c r="AH36" s="555">
        <f t="shared" si="13"/>
        <v>9.5045854758020791</v>
      </c>
      <c r="AJ36" s="555">
        <f t="shared" si="14"/>
        <v>2.6717916629577876</v>
      </c>
      <c r="AL36" s="558">
        <f t="shared" si="15"/>
        <v>6566.5105558832902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8"/>
        <v>2.7656307623272274</v>
      </c>
      <c r="AS36" s="555"/>
      <c r="AT36" s="558">
        <f t="shared" si="6"/>
        <v>2687.5452434699869</v>
      </c>
      <c r="AV36" s="558">
        <f t="shared" si="7"/>
        <v>21003.718109148373</v>
      </c>
      <c r="AW36" s="560"/>
      <c r="AX36" s="561">
        <f t="shared" si="8"/>
        <v>23691.26335261836</v>
      </c>
      <c r="AZ36" s="544">
        <f>+IF(AZ35&gt;$G$13+$G$14,XX,AZ35+1)</f>
        <v>2017</v>
      </c>
      <c r="BA36" s="503"/>
      <c r="BB36" s="555">
        <f t="shared" si="16"/>
        <v>45.426557549474495</v>
      </c>
      <c r="BD36" s="555">
        <f t="shared" si="17"/>
        <v>6.9067989991453409</v>
      </c>
      <c r="BF36" s="558">
        <f t="shared" si="9"/>
        <v>3878.9653124133033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323799</v>
      </c>
      <c r="I37" s="553">
        <f t="shared" si="10"/>
        <v>208.48874794426968</v>
      </c>
      <c r="K37" s="553">
        <f t="shared" si="10"/>
        <v>14.690310158892963</v>
      </c>
      <c r="M37" s="553">
        <f t="shared" si="11"/>
        <v>0</v>
      </c>
      <c r="O37" s="552">
        <v>6.1140068044318197</v>
      </c>
      <c r="Q37" s="553">
        <f>-'(2.2)_Forward_Price_Curve'!AG27</f>
        <v>-38.679108446550309</v>
      </c>
      <c r="S37" s="475">
        <f t="shared" si="0"/>
        <v>14852.546439005755</v>
      </c>
      <c r="U37" s="475">
        <f t="shared" si="1"/>
        <v>25074.214985085437</v>
      </c>
      <c r="W37" s="475">
        <f t="shared" si="2"/>
        <v>-10221.668546079682</v>
      </c>
      <c r="Y37" s="554">
        <f t="shared" si="3"/>
        <v>-31.567943526940116</v>
      </c>
      <c r="Z37" s="516"/>
      <c r="AB37" s="544">
        <f>+IF(AB36&gt;$G$13+$G$14,XX,AB36+1)</f>
        <v>2018</v>
      </c>
      <c r="AC37" s="503"/>
      <c r="AD37" s="488">
        <f t="shared" si="4"/>
        <v>323799</v>
      </c>
      <c r="AF37" s="555">
        <f t="shared" si="12"/>
        <v>68.629603575252844</v>
      </c>
      <c r="AH37" s="555">
        <f t="shared" si="13"/>
        <v>9.6756680143665168</v>
      </c>
      <c r="AJ37" s="555">
        <f t="shared" si="14"/>
        <v>2.7198839128910279</v>
      </c>
      <c r="AL37" s="558">
        <f t="shared" si="15"/>
        <v>6684.7077458891908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8"/>
        <v>2.8154121160491177</v>
      </c>
      <c r="AS37" s="555"/>
      <c r="AT37" s="558">
        <f t="shared" si="6"/>
        <v>2735.9210578524476</v>
      </c>
      <c r="AV37" s="558">
        <f t="shared" si="7"/>
        <v>22338.29392723299</v>
      </c>
      <c r="AW37" s="560"/>
      <c r="AX37" s="561">
        <f t="shared" si="8"/>
        <v>25074.214985085437</v>
      </c>
      <c r="AZ37" s="544">
        <f>+IF(AZ36&gt;$G$13+$G$14,XX,AZ36+1)</f>
        <v>2018</v>
      </c>
      <c r="BA37" s="503"/>
      <c r="BB37" s="555">
        <f t="shared" si="16"/>
        <v>46.24423558536504</v>
      </c>
      <c r="BD37" s="555">
        <f t="shared" si="17"/>
        <v>7.0311213811299575</v>
      </c>
      <c r="BF37" s="558">
        <f t="shared" si="9"/>
        <v>3948.7866880367433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330173.67391304346</v>
      </c>
      <c r="I38" s="725">
        <v>233.64815473251235</v>
      </c>
      <c r="K38" s="613">
        <v>10.777120355497136</v>
      </c>
      <c r="M38" s="553">
        <f t="shared" si="11"/>
        <v>0</v>
      </c>
      <c r="O38" s="613">
        <v>1.1100000000000001</v>
      </c>
      <c r="Q38" s="613">
        <v>-22.382808254915417</v>
      </c>
      <c r="S38" s="475">
        <f t="shared" si="0"/>
        <v>19665.767484523116</v>
      </c>
      <c r="U38" s="475">
        <f t="shared" si="1"/>
        <v>29537.446756032885</v>
      </c>
      <c r="W38" s="475">
        <f t="shared" si="2"/>
        <v>-9871.679271509769</v>
      </c>
      <c r="Y38" s="554">
        <f t="shared" si="3"/>
        <v>-29.898444520169811</v>
      </c>
      <c r="Z38" s="516"/>
      <c r="AB38" s="422">
        <f>+IF(AB37&gt;$G$13+$G$14,XX,AB37+1)</f>
        <v>2019</v>
      </c>
      <c r="AC38" s="503"/>
      <c r="AD38" s="488">
        <f t="shared" si="4"/>
        <v>330173.67391304346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5"/>
        <v>9464.0085701570279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5444.1437217356233</v>
      </c>
      <c r="AV38" s="558">
        <f t="shared" si="7"/>
        <v>24093.30303429726</v>
      </c>
      <c r="AW38" s="560"/>
      <c r="AX38" s="561">
        <f t="shared" si="8"/>
        <v>29537.446756032885</v>
      </c>
      <c r="AZ38" s="429">
        <f>+IF(AZ37&gt;$G$13+$G$14,XX,AZ37+1)</f>
        <v>2019</v>
      </c>
      <c r="BA38" s="503"/>
      <c r="BB38" s="445">
        <f t="shared" si="16"/>
        <v>47.076631825901615</v>
      </c>
      <c r="BD38" s="445">
        <f t="shared" si="17"/>
        <v>7.1576815659902966</v>
      </c>
      <c r="BF38" s="558">
        <f t="shared" si="9"/>
        <v>4019.8648484214045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348043.67391304346</v>
      </c>
      <c r="I39" s="726">
        <v>306.3420991805142</v>
      </c>
      <c r="K39" s="625">
        <v>13.948531212618697</v>
      </c>
      <c r="M39" s="553">
        <f t="shared" si="11"/>
        <v>0</v>
      </c>
      <c r="O39" s="625">
        <v>0.63</v>
      </c>
      <c r="Q39" s="625">
        <v>-33.150783021494966</v>
      </c>
      <c r="S39" s="475">
        <f t="shared" si="0"/>
        <v>23863.913066471443</v>
      </c>
      <c r="U39" s="475">
        <f t="shared" si="1"/>
        <v>13232.276673815386</v>
      </c>
      <c r="W39" s="475">
        <f t="shared" si="2"/>
        <v>10631.636392656057</v>
      </c>
      <c r="Y39" s="554">
        <f t="shared" si="3"/>
        <v>30.546845667743135</v>
      </c>
      <c r="Z39" s="516"/>
      <c r="AB39" s="423">
        <f>+IF(AB38&gt;$I$13+$I$14,XX,AB38+1)</f>
        <v>2020</v>
      </c>
      <c r="AC39" s="503"/>
      <c r="AD39" s="488">
        <f t="shared" si="4"/>
        <v>348043.67391304346</v>
      </c>
      <c r="AF39" s="555">
        <f t="shared" ref="AF39:AF68" si="19">AF38*(1+$E39)</f>
        <v>101.14988775589339</v>
      </c>
      <c r="AH39" s="555">
        <f t="shared" ref="AH39:AH68" si="20">AH38*(1+$E39)</f>
        <v>20.260761973544962</v>
      </c>
      <c r="AJ39" s="555">
        <f t="shared" ref="AJ39:AJ68" si="21">AJ38*(1+$E39)</f>
        <v>2.0676516575367789</v>
      </c>
      <c r="AL39" s="558">
        <f t="shared" si="15"/>
        <v>9718.629702390821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5606.307962455724</v>
      </c>
      <c r="AV39" s="558">
        <f t="shared" si="7"/>
        <v>7625.9687113596619</v>
      </c>
      <c r="AW39" s="560"/>
      <c r="AX39" s="561">
        <f t="shared" si="8"/>
        <v>13232.276673815386</v>
      </c>
      <c r="AZ39" s="430">
        <f>+IF(AZ38&gt;$I$13+$I$14,XX,AZ38+1)</f>
        <v>2020</v>
      </c>
      <c r="BA39" s="503"/>
      <c r="BB39" s="555">
        <f t="shared" si="16"/>
        <v>48.159394357897348</v>
      </c>
      <c r="BD39" s="555">
        <f t="shared" si="17"/>
        <v>7.3223082420080727</v>
      </c>
      <c r="BF39" s="558">
        <f t="shared" si="9"/>
        <v>4112.321739935097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348055.67391304352</v>
      </c>
      <c r="I40" s="726">
        <v>313.76794066935872</v>
      </c>
      <c r="K40" s="625">
        <v>14.244270562919027</v>
      </c>
      <c r="M40" s="553">
        <f t="shared" si="11"/>
        <v>0</v>
      </c>
      <c r="O40" s="625">
        <v>0.6399999999999999</v>
      </c>
      <c r="Q40" s="625">
        <v>-34.476814342354764</v>
      </c>
      <c r="S40" s="475">
        <f t="shared" si="0"/>
        <v>24243.730097444204</v>
      </c>
      <c r="U40" s="475">
        <f t="shared" si="1"/>
        <v>13860.581968197368</v>
      </c>
      <c r="W40" s="475">
        <f t="shared" si="2"/>
        <v>10383.148129246836</v>
      </c>
      <c r="Y40" s="554">
        <f t="shared" si="3"/>
        <v>29.831859979506927</v>
      </c>
      <c r="Z40" s="516"/>
      <c r="AB40" s="423">
        <f>+IF(AB39&gt;$I$13+$I$14,XX,AB39+1)</f>
        <v>2021</v>
      </c>
      <c r="AC40" s="503"/>
      <c r="AD40" s="488">
        <f t="shared" si="4"/>
        <v>348055.67391304352</v>
      </c>
      <c r="AF40" s="555">
        <f t="shared" si="19"/>
        <v>103.77978483754661</v>
      </c>
      <c r="AH40" s="555">
        <f t="shared" si="20"/>
        <v>20.787541784857133</v>
      </c>
      <c r="AJ40" s="555">
        <f t="shared" si="21"/>
        <v>2.1214106006327351</v>
      </c>
      <c r="AL40" s="558">
        <f t="shared" si="15"/>
        <v>9971.3395315801918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8"/>
        <v>2.3938982129262119</v>
      </c>
      <c r="AS40" s="555"/>
      <c r="AT40" s="558">
        <f t="shared" si="6"/>
        <v>5752.0974264067818</v>
      </c>
      <c r="AV40" s="558">
        <f t="shared" si="7"/>
        <v>8108.4845417905863</v>
      </c>
      <c r="AW40" s="560"/>
      <c r="AX40" s="561">
        <f t="shared" si="8"/>
        <v>13860.581968197368</v>
      </c>
      <c r="AZ40" s="430">
        <f>+IF(AZ39&gt;$I$13+$I$14,XX,AZ39+1)</f>
        <v>2021</v>
      </c>
      <c r="BA40" s="503"/>
      <c r="BB40" s="555">
        <f t="shared" si="16"/>
        <v>49.41153861120268</v>
      </c>
      <c r="BD40" s="555">
        <f t="shared" si="17"/>
        <v>7.512688256300283</v>
      </c>
      <c r="BF40" s="558">
        <f t="shared" si="9"/>
        <v>4219.24210517341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348055.67391304352</v>
      </c>
      <c r="I41" s="726">
        <v>321.21291068984897</v>
      </c>
      <c r="K41" s="625">
        <v>14.571888785866163</v>
      </c>
      <c r="M41" s="553">
        <f t="shared" si="11"/>
        <v>0</v>
      </c>
      <c r="O41" s="625">
        <v>0.66</v>
      </c>
      <c r="Q41" s="625">
        <v>-34.476814342354764</v>
      </c>
      <c r="S41" s="475">
        <f t="shared" si="0"/>
        <v>25101.772624325051</v>
      </c>
      <c r="U41" s="475">
        <f t="shared" si="1"/>
        <v>14355.215499602175</v>
      </c>
      <c r="W41" s="475">
        <f t="shared" si="2"/>
        <v>10746.557124722876</v>
      </c>
      <c r="Y41" s="554">
        <f t="shared" si="3"/>
        <v>30.875971662532763</v>
      </c>
      <c r="Z41" s="516"/>
      <c r="AB41" s="423">
        <f>+IF(AB40&gt;$I$13+$I$14,XX,AB40+1)</f>
        <v>2022</v>
      </c>
      <c r="AC41" s="503"/>
      <c r="AD41" s="488">
        <f t="shared" si="4"/>
        <v>348055.67391304352</v>
      </c>
      <c r="AF41" s="555">
        <f t="shared" si="19"/>
        <v>106.27049967364773</v>
      </c>
      <c r="AH41" s="555">
        <f t="shared" si="20"/>
        <v>21.286442787693705</v>
      </c>
      <c r="AJ41" s="555">
        <f t="shared" si="21"/>
        <v>2.1723244550479208</v>
      </c>
      <c r="AL41" s="558">
        <f t="shared" si="15"/>
        <v>10210.651680338115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8"/>
        <v>2.4513517700364411</v>
      </c>
      <c r="AS41" s="555"/>
      <c r="AT41" s="558">
        <f t="shared" si="6"/>
        <v>5890.1477646405428</v>
      </c>
      <c r="AV41" s="558">
        <f t="shared" si="7"/>
        <v>8465.0677349616326</v>
      </c>
      <c r="AW41" s="560"/>
      <c r="AX41" s="561">
        <f t="shared" si="8"/>
        <v>14355.215499602175</v>
      </c>
      <c r="AZ41" s="430">
        <f>+IF(AZ40&gt;$I$13+$I$14,XX,AZ40+1)</f>
        <v>2022</v>
      </c>
      <c r="BA41" s="503"/>
      <c r="BB41" s="555">
        <f t="shared" si="16"/>
        <v>50.597415537871548</v>
      </c>
      <c r="BD41" s="555">
        <f t="shared" si="17"/>
        <v>7.6929927744514899</v>
      </c>
      <c r="BF41" s="558">
        <f t="shared" si="9"/>
        <v>4320.5039156975718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348055.67391304352</v>
      </c>
      <c r="I42" s="726">
        <v>328.7923179455297</v>
      </c>
      <c r="K42" s="625">
        <v>14.907042227941082</v>
      </c>
      <c r="M42" s="553">
        <f t="shared" si="11"/>
        <v>0</v>
      </c>
      <c r="O42" s="625">
        <v>0.67</v>
      </c>
      <c r="Q42" s="625">
        <v>-35.802845663214569</v>
      </c>
      <c r="S42" s="475">
        <f t="shared" si="0"/>
        <v>25510.733831510577</v>
      </c>
      <c r="U42" s="475">
        <f t="shared" si="1"/>
        <v>15691.968001355468</v>
      </c>
      <c r="W42" s="475">
        <f t="shared" si="2"/>
        <v>9818.7658301551091</v>
      </c>
      <c r="Y42" s="554">
        <f t="shared" si="3"/>
        <v>28.210331179971458</v>
      </c>
      <c r="Z42" s="516"/>
      <c r="AB42" s="423">
        <f>+IF(AB41&gt;$I$13+$I$14,XX,AB41+1)</f>
        <v>2023</v>
      </c>
      <c r="AC42" s="503"/>
      <c r="AD42" s="488">
        <f t="shared" si="4"/>
        <v>348055.67391304352</v>
      </c>
      <c r="AF42" s="555">
        <f t="shared" si="19"/>
        <v>108.71472116614163</v>
      </c>
      <c r="AH42" s="555">
        <f t="shared" si="20"/>
        <v>21.776030971810659</v>
      </c>
      <c r="AJ42" s="555">
        <f t="shared" si="21"/>
        <v>2.2222879175140227</v>
      </c>
      <c r="AL42" s="558">
        <f t="shared" si="15"/>
        <v>10445.496668985892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si="18"/>
        <v>2.5077328607472791</v>
      </c>
      <c r="AS42" s="555"/>
      <c r="AT42" s="558">
        <f t="shared" si="6"/>
        <v>6025.6211632272762</v>
      </c>
      <c r="AV42" s="558">
        <f t="shared" si="7"/>
        <v>9666.3468381281928</v>
      </c>
      <c r="AW42" s="560"/>
      <c r="AX42" s="561">
        <f t="shared" si="8"/>
        <v>15691.968001355468</v>
      </c>
      <c r="AZ42" s="430">
        <f>+IF(AZ41&gt;$I$13+$I$14,XX,AZ41+1)</f>
        <v>2023</v>
      </c>
      <c r="BA42" s="503"/>
      <c r="BB42" s="555">
        <f t="shared" si="16"/>
        <v>51.76115609524259</v>
      </c>
      <c r="BD42" s="555">
        <f t="shared" si="17"/>
        <v>7.8699316082638733</v>
      </c>
      <c r="BF42" s="558">
        <f t="shared" si="9"/>
        <v>4419.8755057586159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348043.67391304346</v>
      </c>
      <c r="I43" s="726">
        <v>336.39078823153659</v>
      </c>
      <c r="K43" s="625">
        <v>15.291684758633549</v>
      </c>
      <c r="M43" s="553">
        <f t="shared" si="11"/>
        <v>0</v>
      </c>
      <c r="O43" s="625">
        <v>0.69</v>
      </c>
      <c r="Q43" s="625">
        <v>-35.802845663214569</v>
      </c>
      <c r="S43" s="475">
        <f t="shared" si="0"/>
        <v>26404.058372470165</v>
      </c>
      <c r="U43" s="475">
        <f t="shared" si="1"/>
        <v>17055.752180985422</v>
      </c>
      <c r="W43" s="475">
        <f t="shared" si="2"/>
        <v>9348.3061914847422</v>
      </c>
      <c r="Y43" s="554">
        <f t="shared" si="3"/>
        <v>26.859577955783671</v>
      </c>
      <c r="Z43" s="516"/>
      <c r="AB43" s="423">
        <f>+IF(AB42&gt;$I$13+$I$14,XX,AB42+1)</f>
        <v>2024</v>
      </c>
      <c r="AC43" s="503"/>
      <c r="AD43" s="488">
        <f t="shared" si="4"/>
        <v>348043.67391304346</v>
      </c>
      <c r="AF43" s="555">
        <f t="shared" si="19"/>
        <v>111.21515975296288</v>
      </c>
      <c r="AH43" s="555">
        <f t="shared" si="20"/>
        <v>22.276879684162303</v>
      </c>
      <c r="AJ43" s="555">
        <f t="shared" si="21"/>
        <v>2.2734005396168451</v>
      </c>
      <c r="AL43" s="558">
        <f t="shared" si="15"/>
        <v>10685.71581156609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18"/>
        <v>2.5654107165444664</v>
      </c>
      <c r="AS43" s="555"/>
      <c r="AT43" s="558">
        <f t="shared" si="6"/>
        <v>6164.1831691750267</v>
      </c>
      <c r="AV43" s="558">
        <f t="shared" si="7"/>
        <v>10891.569011810396</v>
      </c>
      <c r="AW43" s="560"/>
      <c r="AX43" s="561">
        <f t="shared" si="8"/>
        <v>17055.752180985422</v>
      </c>
      <c r="AZ43" s="430">
        <f>+IF(AZ42&gt;$I$13+$I$14,XX,AZ42+1)</f>
        <v>2024</v>
      </c>
      <c r="BA43" s="503"/>
      <c r="BB43" s="555">
        <f t="shared" si="16"/>
        <v>52.951662685433163</v>
      </c>
      <c r="BD43" s="555">
        <f t="shared" si="17"/>
        <v>8.0509400352539409</v>
      </c>
      <c r="BF43" s="558">
        <f t="shared" si="9"/>
        <v>4521.5326423910628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348055.67391304352</v>
      </c>
      <c r="I44" s="726">
        <v>343.83892681169613</v>
      </c>
      <c r="K44" s="625">
        <v>15.585402091565767</v>
      </c>
      <c r="M44" s="553">
        <f t="shared" si="11"/>
        <v>0</v>
      </c>
      <c r="O44" s="625">
        <v>0.69999999999999984</v>
      </c>
      <c r="Q44" s="625">
        <v>-37.128876984074367</v>
      </c>
      <c r="S44" s="475">
        <f t="shared" si="0"/>
        <v>26785.364053956237</v>
      </c>
      <c r="U44" s="475">
        <f t="shared" si="1"/>
        <v>17610.176040887745</v>
      </c>
      <c r="W44" s="475">
        <f t="shared" si="2"/>
        <v>9175.1880130684913</v>
      </c>
      <c r="Y44" s="554">
        <f t="shared" si="3"/>
        <v>26.361265454792658</v>
      </c>
      <c r="Z44" s="516"/>
      <c r="AB44" s="423">
        <f>+IF(AB43&gt;$I$13+$I$14,XX,AB43+1)</f>
        <v>2025</v>
      </c>
      <c r="AC44" s="503"/>
      <c r="AD44" s="488">
        <f t="shared" si="4"/>
        <v>348055.67391304352</v>
      </c>
      <c r="AF44" s="555">
        <f t="shared" si="19"/>
        <v>113.77310842728102</v>
      </c>
      <c r="AH44" s="555">
        <f t="shared" si="20"/>
        <v>22.789247916898034</v>
      </c>
      <c r="AJ44" s="555">
        <f t="shared" si="21"/>
        <v>2.3256887520280323</v>
      </c>
      <c r="AL44" s="558">
        <f t="shared" si="15"/>
        <v>10931.515183497135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18"/>
        <v>2.624415163024989</v>
      </c>
      <c r="AS44" s="555"/>
      <c r="AT44" s="558">
        <f t="shared" si="6"/>
        <v>6305.9872903310779</v>
      </c>
      <c r="AV44" s="558">
        <f t="shared" si="7"/>
        <v>11304.188750556668</v>
      </c>
      <c r="AW44" s="560"/>
      <c r="AX44" s="561">
        <f t="shared" si="8"/>
        <v>17610.176040887745</v>
      </c>
      <c r="AZ44" s="430">
        <f>+IF(AZ43&gt;$I$13+$I$14,XX,AZ43+1)</f>
        <v>2025</v>
      </c>
      <c r="BA44" s="503"/>
      <c r="BB44" s="555">
        <f t="shared" si="16"/>
        <v>54.169550927198124</v>
      </c>
      <c r="BD44" s="555">
        <f t="shared" si="17"/>
        <v>8.2361116560647805</v>
      </c>
      <c r="BF44" s="558">
        <f t="shared" si="9"/>
        <v>4625.5278931660569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348055.67391304352</v>
      </c>
      <c r="I45" s="726">
        <v>351.21141421750946</v>
      </c>
      <c r="K45" s="625">
        <v>15.928280937580213</v>
      </c>
      <c r="M45" s="553">
        <f t="shared" si="11"/>
        <v>0</v>
      </c>
      <c r="O45" s="625">
        <v>0.72</v>
      </c>
      <c r="Q45" s="625">
        <v>-38.454908304934165</v>
      </c>
      <c r="S45" s="475">
        <f t="shared" si="0"/>
        <v>27180.009623418442</v>
      </c>
      <c r="U45" s="475">
        <f t="shared" si="1"/>
        <v>17973.051330189359</v>
      </c>
      <c r="W45" s="475">
        <f t="shared" si="2"/>
        <v>9206.9582932290832</v>
      </c>
      <c r="Y45" s="554">
        <f t="shared" si="3"/>
        <v>26.452544760207825</v>
      </c>
      <c r="Z45" s="516"/>
      <c r="AB45" s="423">
        <f>+IF(AB44&gt;$I$13+$I$14,XX,AB44+1)</f>
        <v>2026</v>
      </c>
      <c r="AC45" s="503"/>
      <c r="AD45" s="488">
        <f t="shared" si="4"/>
        <v>348055.67391304352</v>
      </c>
      <c r="AF45" s="555">
        <f t="shared" si="19"/>
        <v>116.38988992110846</v>
      </c>
      <c r="AH45" s="555">
        <f t="shared" si="20"/>
        <v>23.313400618986687</v>
      </c>
      <c r="AJ45" s="555">
        <f t="shared" si="21"/>
        <v>2.3791795933246767</v>
      </c>
      <c r="AL45" s="558">
        <f t="shared" si="15"/>
        <v>11182.940032717566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18"/>
        <v>2.6847767117745636</v>
      </c>
      <c r="AS45" s="555"/>
      <c r="AT45" s="558">
        <f t="shared" si="6"/>
        <v>6451.0249980086901</v>
      </c>
      <c r="AV45" s="558">
        <f t="shared" si="7"/>
        <v>11522.026332180667</v>
      </c>
      <c r="AW45" s="560"/>
      <c r="AX45" s="561">
        <f t="shared" si="8"/>
        <v>17973.051330189359</v>
      </c>
      <c r="AZ45" s="430">
        <f>+IF(AZ44&gt;$I$13+$I$14,XX,AZ44+1)</f>
        <v>2026</v>
      </c>
      <c r="BA45" s="503"/>
      <c r="BB45" s="555">
        <f t="shared" si="16"/>
        <v>55.415450598523677</v>
      </c>
      <c r="BD45" s="555">
        <f t="shared" si="17"/>
        <v>8.4255422241542703</v>
      </c>
      <c r="BF45" s="558">
        <f t="shared" si="9"/>
        <v>4731.9150347088762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348055.67391304352</v>
      </c>
      <c r="I46" s="726">
        <v>358.67838273096015</v>
      </c>
      <c r="K46" s="625">
        <v>16.27870311820698</v>
      </c>
      <c r="M46" s="553">
        <f t="shared" si="11"/>
        <v>0</v>
      </c>
      <c r="O46" s="625">
        <v>0.74</v>
      </c>
      <c r="Q46" s="625">
        <v>-38.454908304934165</v>
      </c>
      <c r="S46" s="475">
        <f t="shared" si="0"/>
        <v>28048.167047960436</v>
      </c>
      <c r="U46" s="475">
        <f t="shared" si="1"/>
        <v>18820.411201989533</v>
      </c>
      <c r="W46" s="475">
        <f t="shared" si="2"/>
        <v>9227.7558459709035</v>
      </c>
      <c r="Y46" s="554">
        <f t="shared" si="3"/>
        <v>26.512298283280735</v>
      </c>
      <c r="Z46" s="516"/>
      <c r="AB46" s="423">
        <f>+IF(AB45&gt;$I$13+$I$14,XX,AB45+1)</f>
        <v>2027</v>
      </c>
      <c r="AC46" s="503"/>
      <c r="AD46" s="488">
        <f t="shared" si="4"/>
        <v>348055.67391304352</v>
      </c>
      <c r="AF46" s="555">
        <f t="shared" si="19"/>
        <v>118.95046749937285</v>
      </c>
      <c r="AH46" s="555">
        <f t="shared" si="20"/>
        <v>23.826295432604393</v>
      </c>
      <c r="AJ46" s="555">
        <f t="shared" si="21"/>
        <v>2.4315215443778198</v>
      </c>
      <c r="AL46" s="558">
        <f t="shared" si="15"/>
        <v>11428.964713437352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18"/>
        <v>2.743841799433604</v>
      </c>
      <c r="AS46" s="555"/>
      <c r="AT46" s="558">
        <f t="shared" si="6"/>
        <v>6592.94754796488</v>
      </c>
      <c r="AV46" s="558">
        <f t="shared" si="7"/>
        <v>12227.463654024654</v>
      </c>
      <c r="AW46" s="560"/>
      <c r="AX46" s="561">
        <f t="shared" si="8"/>
        <v>18820.411201989533</v>
      </c>
      <c r="AZ46" s="430">
        <f>+IF(AZ45&gt;$I$13+$I$14,XX,AZ45+1)</f>
        <v>2027</v>
      </c>
      <c r="BA46" s="503"/>
      <c r="BB46" s="555">
        <f t="shared" si="16"/>
        <v>56.634590511691201</v>
      </c>
      <c r="BD46" s="555">
        <f t="shared" si="17"/>
        <v>8.6109041530856647</v>
      </c>
      <c r="BF46" s="558">
        <f t="shared" si="9"/>
        <v>4836.0171654724718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348043.67391304346</v>
      </c>
      <c r="I47" s="726">
        <v>366.33713602386064</v>
      </c>
      <c r="K47" s="625">
        <v>16.682414955538515</v>
      </c>
      <c r="M47" s="553">
        <f t="shared" si="11"/>
        <v>0</v>
      </c>
      <c r="O47" s="625">
        <v>0.75000000000000011</v>
      </c>
      <c r="Q47" s="625">
        <v>-39.78093962579397</v>
      </c>
      <c r="S47" s="475">
        <f t="shared" si="0"/>
        <v>28489.113833590211</v>
      </c>
      <c r="U47" s="475">
        <f t="shared" si="1"/>
        <v>19381.259011872062</v>
      </c>
      <c r="W47" s="475">
        <f t="shared" si="2"/>
        <v>9107.8548217181487</v>
      </c>
      <c r="Y47" s="554">
        <f t="shared" si="3"/>
        <v>26.168712447259391</v>
      </c>
      <c r="Z47" s="516"/>
      <c r="AB47" s="423">
        <f>+IF(AB46&gt;$I$13+$I$14,XX,AB46+1)</f>
        <v>2028</v>
      </c>
      <c r="AC47" s="503"/>
      <c r="AD47" s="488">
        <f t="shared" si="4"/>
        <v>348043.67391304346</v>
      </c>
      <c r="AF47" s="555">
        <f t="shared" si="19"/>
        <v>121.56737778435905</v>
      </c>
      <c r="AH47" s="555">
        <f t="shared" si="20"/>
        <v>24.350473932121691</v>
      </c>
      <c r="AJ47" s="555">
        <f t="shared" si="21"/>
        <v>2.4850150183541317</v>
      </c>
      <c r="AL47" s="558">
        <f t="shared" si="15"/>
        <v>11680.372116952756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18"/>
        <v>2.8042063190211435</v>
      </c>
      <c r="AS47" s="555"/>
      <c r="AT47" s="558">
        <f t="shared" si="6"/>
        <v>6737.96257383989</v>
      </c>
      <c r="AV47" s="558">
        <f t="shared" si="7"/>
        <v>12643.296438032174</v>
      </c>
      <c r="AW47" s="560"/>
      <c r="AX47" s="561">
        <f t="shared" si="8"/>
        <v>19381.259011872062</v>
      </c>
      <c r="AZ47" s="430">
        <f>+IF(AZ46&gt;$I$13+$I$14,XX,AZ46+1)</f>
        <v>2028</v>
      </c>
      <c r="BA47" s="503"/>
      <c r="BB47" s="555">
        <f t="shared" si="16"/>
        <v>57.880551502948407</v>
      </c>
      <c r="BD47" s="555">
        <f t="shared" si="17"/>
        <v>8.8003440444535492</v>
      </c>
      <c r="BF47" s="558">
        <f t="shared" si="9"/>
        <v>4942.4095431128662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348055.67391304352</v>
      </c>
      <c r="I48" s="726">
        <v>374.23305348540669</v>
      </c>
      <c r="K48" s="625">
        <v>16.986208113130484</v>
      </c>
      <c r="M48" s="553">
        <f t="shared" si="11"/>
        <v>0</v>
      </c>
      <c r="O48" s="625">
        <v>0.76999999999999991</v>
      </c>
      <c r="Q48" s="625">
        <v>-39.78093962579397</v>
      </c>
      <c r="S48" s="475">
        <f t="shared" si="0"/>
        <v>29383.23952566132</v>
      </c>
      <c r="U48" s="475">
        <f t="shared" si="1"/>
        <v>19906.912768344355</v>
      </c>
      <c r="W48" s="475">
        <f t="shared" si="2"/>
        <v>9476.3267573169651</v>
      </c>
      <c r="Y48" s="554">
        <f t="shared" si="3"/>
        <v>27.226468256582663</v>
      </c>
      <c r="Z48" s="516"/>
      <c r="AB48" s="423">
        <f>+IF(AB47&gt;$I$13+$I$14,XX,AB47+1)</f>
        <v>2029</v>
      </c>
      <c r="AC48" s="503"/>
      <c r="AD48" s="488">
        <f t="shared" si="4"/>
        <v>348055.67391304352</v>
      </c>
      <c r="AF48" s="555">
        <f t="shared" si="19"/>
        <v>124.24186009561495</v>
      </c>
      <c r="AH48" s="555">
        <f t="shared" si="20"/>
        <v>24.88618435862837</v>
      </c>
      <c r="AJ48" s="555">
        <f t="shared" si="21"/>
        <v>2.5396853487579225</v>
      </c>
      <c r="AL48" s="558">
        <f t="shared" si="15"/>
        <v>11937.370779749903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18"/>
        <v>2.8658988580396088</v>
      </c>
      <c r="AS48" s="555"/>
      <c r="AT48" s="558">
        <f t="shared" si="6"/>
        <v>6886.2282266885531</v>
      </c>
      <c r="AV48" s="558">
        <f t="shared" si="7"/>
        <v>13020.684541655803</v>
      </c>
      <c r="AW48" s="560"/>
      <c r="AX48" s="561">
        <f t="shared" si="8"/>
        <v>19906.912768344355</v>
      </c>
      <c r="AZ48" s="430">
        <f>+IF(AZ47&gt;$I$13+$I$14,XX,AZ47+1)</f>
        <v>2029</v>
      </c>
      <c r="BA48" s="503"/>
      <c r="BB48" s="555">
        <f t="shared" si="16"/>
        <v>59.153923636013275</v>
      </c>
      <c r="BD48" s="555">
        <f t="shared" si="17"/>
        <v>8.9939516134315269</v>
      </c>
      <c r="BF48" s="558">
        <f t="shared" si="9"/>
        <v>5051.1425530613496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348055.67391304352</v>
      </c>
      <c r="I49" s="726">
        <v>382.38792823476797</v>
      </c>
      <c r="K49" s="625">
        <v>17.359904691619363</v>
      </c>
      <c r="M49" s="553">
        <f t="shared" si="11"/>
        <v>0</v>
      </c>
      <c r="O49" s="625">
        <v>0.78</v>
      </c>
      <c r="Q49" s="625">
        <v>0</v>
      </c>
      <c r="S49" s="475">
        <f t="shared" si="0"/>
        <v>44170.101647401985</v>
      </c>
      <c r="U49" s="475">
        <f t="shared" si="1"/>
        <v>20834.907401817814</v>
      </c>
      <c r="W49" s="475">
        <f t="shared" si="2"/>
        <v>23335.194245584171</v>
      </c>
      <c r="Y49" s="554">
        <f t="shared" si="3"/>
        <v>67.044429942015881</v>
      </c>
      <c r="Z49" s="516"/>
      <c r="AB49" s="423">
        <f>+IF(AB48&gt;$I$13+$I$14,XX,AB48+1)</f>
        <v>2030</v>
      </c>
      <c r="AC49" s="503"/>
      <c r="AD49" s="488">
        <f t="shared" si="4"/>
        <v>348055.67391304352</v>
      </c>
      <c r="AF49" s="555">
        <f t="shared" si="19"/>
        <v>126.97518101771848</v>
      </c>
      <c r="AH49" s="555">
        <f t="shared" si="20"/>
        <v>25.433680414518193</v>
      </c>
      <c r="AJ49" s="555">
        <f t="shared" si="21"/>
        <v>2.5955584264305966</v>
      </c>
      <c r="AL49" s="558">
        <f t="shared" si="15"/>
        <v>12199.992936904398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18"/>
        <v>2.9289486329164802</v>
      </c>
      <c r="AS49" s="555"/>
      <c r="AT49" s="558">
        <f t="shared" si="6"/>
        <v>7037.7252476756985</v>
      </c>
      <c r="AV49" s="558">
        <f t="shared" si="7"/>
        <v>13797.182154142114</v>
      </c>
      <c r="AW49" s="560"/>
      <c r="AX49" s="561">
        <f t="shared" si="8"/>
        <v>20834.907401817814</v>
      </c>
      <c r="AZ49" s="430">
        <f>+IF(AZ48&gt;$I$13+$I$14,XX,AZ48+1)</f>
        <v>2030</v>
      </c>
      <c r="BA49" s="503"/>
      <c r="BB49" s="555">
        <f t="shared" si="16"/>
        <v>60.455309956005571</v>
      </c>
      <c r="BD49" s="555">
        <f t="shared" si="17"/>
        <v>9.1918185489270208</v>
      </c>
      <c r="BF49" s="558">
        <f t="shared" si="9"/>
        <v>5162.2676892287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348055.67391304352</v>
      </c>
      <c r="I50" s="726">
        <v>390.62059853986057</v>
      </c>
      <c r="K50" s="625">
        <v>17.741822594834986</v>
      </c>
      <c r="M50" s="553">
        <f t="shared" si="11"/>
        <v>0</v>
      </c>
      <c r="O50" s="625">
        <v>0.8</v>
      </c>
      <c r="Q50" s="625">
        <v>0</v>
      </c>
      <c r="S50" s="475">
        <f t="shared" si="0"/>
        <v>45125.025814267581</v>
      </c>
      <c r="U50" s="475">
        <f t="shared" si="1"/>
        <v>21359.520371709594</v>
      </c>
      <c r="W50" s="475">
        <f t="shared" si="2"/>
        <v>23765.505442557987</v>
      </c>
      <c r="Y50" s="554">
        <f t="shared" si="3"/>
        <v>68.28075857914456</v>
      </c>
      <c r="Z50" s="516"/>
      <c r="AB50" s="423">
        <f>+IF(AB49&gt;$I$13+$I$14,XX,AB49+1)</f>
        <v>2031</v>
      </c>
      <c r="AC50" s="503"/>
      <c r="AD50" s="488">
        <f t="shared" si="4"/>
        <v>348055.67391304352</v>
      </c>
      <c r="AF50" s="555">
        <f t="shared" si="19"/>
        <v>129.7686350001083</v>
      </c>
      <c r="AH50" s="555">
        <f t="shared" si="20"/>
        <v>25.993221383637593</v>
      </c>
      <c r="AJ50" s="555">
        <f t="shared" si="21"/>
        <v>2.6526607118120697</v>
      </c>
      <c r="AL50" s="558">
        <f t="shared" si="15"/>
        <v>12468.392781516299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18"/>
        <v>2.9933855028406429</v>
      </c>
      <c r="AS50" s="555"/>
      <c r="AT50" s="558">
        <f t="shared" si="6"/>
        <v>7192.5552031245679</v>
      </c>
      <c r="AV50" s="558">
        <f t="shared" si="7"/>
        <v>14166.965168585026</v>
      </c>
      <c r="AW50" s="560"/>
      <c r="AX50" s="561">
        <f t="shared" si="8"/>
        <v>21359.520371709594</v>
      </c>
      <c r="AZ50" s="430">
        <f>+IF(AZ49&gt;$I$13+$I$14,XX,AZ49+1)</f>
        <v>2031</v>
      </c>
      <c r="BA50" s="503"/>
      <c r="BB50" s="555">
        <f t="shared" si="16"/>
        <v>61.785326775037696</v>
      </c>
      <c r="BD50" s="555">
        <f t="shared" si="17"/>
        <v>9.3940385570034159</v>
      </c>
      <c r="BF50" s="558">
        <f t="shared" si="9"/>
        <v>5275.8375783917309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348043.67391304346</v>
      </c>
      <c r="I51" s="726">
        <v>398.87692747494418</v>
      </c>
      <c r="K51" s="625">
        <v>18.1818197951869</v>
      </c>
      <c r="M51" s="553">
        <f t="shared" si="11"/>
        <v>0</v>
      </c>
      <c r="O51" s="625">
        <v>0.82</v>
      </c>
      <c r="Q51" s="625">
        <v>0</v>
      </c>
      <c r="S51" s="475">
        <f t="shared" si="0"/>
        <v>46102.278992569925</v>
      </c>
      <c r="U51" s="475">
        <f t="shared" si="1"/>
        <v>21901.302811622416</v>
      </c>
      <c r="W51" s="475">
        <f t="shared" si="2"/>
        <v>24200.976180947509</v>
      </c>
      <c r="Y51" s="554">
        <f t="shared" si="3"/>
        <v>69.534308464385333</v>
      </c>
      <c r="Z51" s="516"/>
      <c r="AB51" s="423">
        <f>+IF(AB50&gt;$I$13+$I$14,XX,AB50+1)</f>
        <v>2032</v>
      </c>
      <c r="AC51" s="503"/>
      <c r="AD51" s="488">
        <f t="shared" si="4"/>
        <v>348043.67391304346</v>
      </c>
      <c r="AF51" s="555">
        <f t="shared" si="19"/>
        <v>132.62354497011069</v>
      </c>
      <c r="AH51" s="555">
        <f t="shared" si="20"/>
        <v>26.56507225407762</v>
      </c>
      <c r="AJ51" s="555">
        <f t="shared" si="21"/>
        <v>2.7110192474719352</v>
      </c>
      <c r="AL51" s="558">
        <f t="shared" si="15"/>
        <v>12742.664890478685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18"/>
        <v>3.059239983903137</v>
      </c>
      <c r="AS51" s="555"/>
      <c r="AT51" s="558">
        <f t="shared" si="6"/>
        <v>7350.7588853623365</v>
      </c>
      <c r="AV51" s="558">
        <f t="shared" si="7"/>
        <v>14550.543926260078</v>
      </c>
      <c r="AW51" s="560"/>
      <c r="AX51" s="561">
        <f t="shared" si="8"/>
        <v>21901.302811622416</v>
      </c>
      <c r="AZ51" s="430">
        <f>+IF(AZ50&gt;$I$13+$I$14,XX,AZ50+1)</f>
        <v>2032</v>
      </c>
      <c r="BA51" s="503"/>
      <c r="BB51" s="555">
        <f t="shared" si="16"/>
        <v>63.144603964088525</v>
      </c>
      <c r="BD51" s="555">
        <f t="shared" si="17"/>
        <v>9.6007074052574914</v>
      </c>
      <c r="BF51" s="558">
        <f t="shared" si="9"/>
        <v>5391.9060051163488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348055.67391304352</v>
      </c>
      <c r="I52" s="726">
        <v>407.21767892013338</v>
      </c>
      <c r="K52" s="625">
        <v>18.531049831143626</v>
      </c>
      <c r="M52" s="553">
        <f t="shared" si="11"/>
        <v>0</v>
      </c>
      <c r="O52" s="625">
        <v>0.84000000000000008</v>
      </c>
      <c r="Q52" s="625">
        <v>0</v>
      </c>
      <c r="S52" s="475">
        <f t="shared" si="0"/>
        <v>47056.754016475054</v>
      </c>
      <c r="U52" s="475">
        <f t="shared" si="1"/>
        <v>22552.701918702805</v>
      </c>
      <c r="W52" s="475">
        <f t="shared" si="2"/>
        <v>24504.052097772248</v>
      </c>
      <c r="Y52" s="554">
        <f t="shared" si="3"/>
        <v>70.402679612383551</v>
      </c>
      <c r="Z52" s="516"/>
      <c r="AB52" s="423">
        <f>+IF(AB51&gt;$I$13+$I$14,XX,AB51+1)</f>
        <v>2033</v>
      </c>
      <c r="AC52" s="503"/>
      <c r="AD52" s="488">
        <f t="shared" si="4"/>
        <v>348055.67391304352</v>
      </c>
      <c r="AF52" s="555">
        <f t="shared" si="19"/>
        <v>135.54126295945312</v>
      </c>
      <c r="AH52" s="555">
        <f t="shared" si="20"/>
        <v>27.149503843667329</v>
      </c>
      <c r="AJ52" s="555">
        <f t="shared" si="21"/>
        <v>2.7706616709163177</v>
      </c>
      <c r="AL52" s="558">
        <f t="shared" si="15"/>
        <v>13023.036766009269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18"/>
        <v>3.126543263549006</v>
      </c>
      <c r="AS52" s="555"/>
      <c r="AT52" s="558">
        <f t="shared" si="6"/>
        <v>7512.508828780361</v>
      </c>
      <c r="AV52" s="558">
        <f t="shared" si="7"/>
        <v>15040.193089922444</v>
      </c>
      <c r="AW52" s="560"/>
      <c r="AX52" s="561">
        <f t="shared" si="8"/>
        <v>22552.701918702805</v>
      </c>
      <c r="AZ52" s="430">
        <f>+IF(AZ51&gt;$I$13+$I$14,XX,AZ51+1)</f>
        <v>2033</v>
      </c>
      <c r="BA52" s="503"/>
      <c r="BB52" s="555">
        <f t="shared" si="16"/>
        <v>64.533785251298468</v>
      </c>
      <c r="BD52" s="555">
        <f t="shared" si="17"/>
        <v>9.8119229681731568</v>
      </c>
      <c r="BF52" s="558">
        <f t="shared" si="9"/>
        <v>5510.5279372289078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348055.67391304352</v>
      </c>
      <c r="I53" s="726">
        <v>106.37462484796858</v>
      </c>
      <c r="K53" s="625">
        <v>18.938732927428788</v>
      </c>
      <c r="M53" s="553">
        <f t="shared" si="11"/>
        <v>0</v>
      </c>
      <c r="O53" s="625">
        <v>0.85999999999999988</v>
      </c>
      <c r="Q53" s="625">
        <v>0</v>
      </c>
      <c r="S53" s="475">
        <f t="shared" si="0"/>
        <v>17422.14919162948</v>
      </c>
      <c r="U53" s="475">
        <f t="shared" si="1"/>
        <v>23175.521907632345</v>
      </c>
      <c r="W53" s="475">
        <f t="shared" si="2"/>
        <v>-5753.3727160028648</v>
      </c>
      <c r="Y53" s="554">
        <f t="shared" si="3"/>
        <v>-16.530035701817802</v>
      </c>
      <c r="Z53" s="516"/>
      <c r="AB53" s="423">
        <f>+IF(AB52&gt;$I$13+$I$14,XX,AB52+1)</f>
        <v>2034</v>
      </c>
      <c r="AC53" s="503"/>
      <c r="AD53" s="488">
        <f t="shared" si="4"/>
        <v>348055.67391304352</v>
      </c>
      <c r="AF53" s="555">
        <f t="shared" si="19"/>
        <v>138.5231707445611</v>
      </c>
      <c r="AH53" s="555">
        <f t="shared" si="20"/>
        <v>27.746792928228011</v>
      </c>
      <c r="AJ53" s="555">
        <f t="shared" si="21"/>
        <v>2.8316162276764767</v>
      </c>
      <c r="AL53" s="558">
        <f t="shared" si="15"/>
        <v>13309.543574861475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18"/>
        <v>3.1953272153470844</v>
      </c>
      <c r="AS53" s="555"/>
      <c r="AT53" s="558">
        <f t="shared" si="6"/>
        <v>7677.7840230135289</v>
      </c>
      <c r="AV53" s="558">
        <f t="shared" si="7"/>
        <v>15497.737884618815</v>
      </c>
      <c r="AW53" s="560"/>
      <c r="AX53" s="561">
        <f t="shared" si="8"/>
        <v>23175.521907632345</v>
      </c>
      <c r="AZ53" s="430">
        <f>+IF(AZ52&gt;$I$13+$I$14,XX,AZ52+1)</f>
        <v>2034</v>
      </c>
      <c r="BA53" s="503"/>
      <c r="BB53" s="555">
        <f t="shared" si="16"/>
        <v>65.953528526827043</v>
      </c>
      <c r="BD53" s="555">
        <f t="shared" si="17"/>
        <v>10.027785273472967</v>
      </c>
      <c r="BF53" s="558">
        <f t="shared" si="9"/>
        <v>5631.7595518479457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348055.67391304352</v>
      </c>
      <c r="I54" s="726">
        <v>108.39574272007999</v>
      </c>
      <c r="K54" s="625">
        <v>19.355385051832222</v>
      </c>
      <c r="M54" s="553">
        <f t="shared" si="11"/>
        <v>0</v>
      </c>
      <c r="O54" s="625">
        <v>0.86999999999999988</v>
      </c>
      <c r="Q54" s="625">
        <v>0</v>
      </c>
      <c r="S54" s="475">
        <f t="shared" si="0"/>
        <v>17770.738553654181</v>
      </c>
      <c r="U54" s="475">
        <f t="shared" si="1"/>
        <v>23767.731170693431</v>
      </c>
      <c r="W54" s="475">
        <f t="shared" si="2"/>
        <v>-5996.99261703925</v>
      </c>
      <c r="Y54" s="554">
        <f t="shared" si="3"/>
        <v>-17.229980909713625</v>
      </c>
      <c r="Z54" s="516"/>
      <c r="AB54" s="423">
        <f>+IF(AB53&gt;$I$13+$I$14,XX,AB53+1)</f>
        <v>2035</v>
      </c>
      <c r="AC54" s="503"/>
      <c r="AD54" s="488">
        <f t="shared" si="4"/>
        <v>348055.67391304352</v>
      </c>
      <c r="AF54" s="555">
        <f t="shared" si="19"/>
        <v>141.57068050094145</v>
      </c>
      <c r="AH54" s="555">
        <f t="shared" si="20"/>
        <v>28.357222372649026</v>
      </c>
      <c r="AJ54" s="555">
        <f t="shared" si="21"/>
        <v>2.893911784685359</v>
      </c>
      <c r="AL54" s="558">
        <f t="shared" si="15"/>
        <v>13602.353533508427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18"/>
        <v>3.2656244140847202</v>
      </c>
      <c r="AS54" s="555"/>
      <c r="AT54" s="558">
        <f t="shared" si="6"/>
        <v>7846.6952715198277</v>
      </c>
      <c r="AV54" s="558">
        <f t="shared" si="7"/>
        <v>15921.035899173603</v>
      </c>
      <c r="AW54" s="560"/>
      <c r="AX54" s="561">
        <f t="shared" si="8"/>
        <v>23767.731170693431</v>
      </c>
      <c r="AZ54" s="430">
        <f>+IF(AZ53&gt;$I$13+$I$14,XX,AZ53+1)</f>
        <v>2035</v>
      </c>
      <c r="BA54" s="503"/>
      <c r="BB54" s="555">
        <f t="shared" si="16"/>
        <v>67.404506154417234</v>
      </c>
      <c r="BD54" s="555">
        <f t="shared" si="17"/>
        <v>10.248396549489373</v>
      </c>
      <c r="BF54" s="558">
        <f t="shared" si="9"/>
        <v>5755.6582619885994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348043.67391304346</v>
      </c>
      <c r="I55" s="726">
        <v>110.45526183176149</v>
      </c>
      <c r="K55" s="625">
        <v>19.83539860111766</v>
      </c>
      <c r="M55" s="553">
        <f t="shared" si="11"/>
        <v>0</v>
      </c>
      <c r="O55" s="625">
        <v>0.89000000000000024</v>
      </c>
      <c r="Q55" s="625">
        <v>0</v>
      </c>
      <c r="S55" s="475">
        <f t="shared" si="0"/>
        <v>18148.414793789634</v>
      </c>
      <c r="U55" s="475">
        <f t="shared" si="1"/>
        <v>24535.686897840598</v>
      </c>
      <c r="W55" s="475">
        <f t="shared" si="2"/>
        <v>-6387.2721040509641</v>
      </c>
      <c r="Y55" s="554">
        <f t="shared" si="3"/>
        <v>-18.35192702179895</v>
      </c>
      <c r="Z55" s="516"/>
      <c r="AB55" s="423">
        <f>+IF(AB54&gt;$I$13+$I$14,XX,AB54+1)</f>
        <v>2036</v>
      </c>
      <c r="AC55" s="503"/>
      <c r="AD55" s="488">
        <f t="shared" si="4"/>
        <v>348043.67391304346</v>
      </c>
      <c r="AF55" s="555">
        <f t="shared" si="19"/>
        <v>144.68523547196216</v>
      </c>
      <c r="AH55" s="555">
        <f t="shared" si="20"/>
        <v>28.981081264847305</v>
      </c>
      <c r="AJ55" s="555">
        <f t="shared" si="21"/>
        <v>2.957577843948437</v>
      </c>
      <c r="AL55" s="558">
        <f t="shared" si="15"/>
        <v>13901.569820311481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18"/>
        <v>3.3374681511945838</v>
      </c>
      <c r="AS55" s="555"/>
      <c r="AT55" s="558">
        <f t="shared" si="6"/>
        <v>8019.2870765591324</v>
      </c>
      <c r="AV55" s="558">
        <f t="shared" si="7"/>
        <v>16516.399821281466</v>
      </c>
      <c r="AW55" s="560"/>
      <c r="AX55" s="561">
        <f t="shared" si="8"/>
        <v>24535.686897840598</v>
      </c>
      <c r="AZ55" s="430">
        <f>+IF(AZ54&gt;$I$13+$I$14,XX,AZ54+1)</f>
        <v>2036</v>
      </c>
      <c r="BA55" s="503"/>
      <c r="BB55" s="555">
        <f t="shared" si="16"/>
        <v>68.88740528981441</v>
      </c>
      <c r="BD55" s="555">
        <f t="shared" si="17"/>
        <v>10.473861273578139</v>
      </c>
      <c r="BF55" s="558">
        <f t="shared" si="9"/>
        <v>5882.2827437523483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348043.67391304346</v>
      </c>
      <c r="I56" s="726">
        <v>112.55391180656498</v>
      </c>
      <c r="K56" s="625">
        <v>20.216390000477926</v>
      </c>
      <c r="M56" s="553">
        <f t="shared" si="11"/>
        <v>0</v>
      </c>
      <c r="O56" s="625">
        <v>0.91000000000000025</v>
      </c>
      <c r="Q56" s="625">
        <v>0</v>
      </c>
      <c r="S56" s="475">
        <f t="shared" si="0"/>
        <v>18495.743661136054</v>
      </c>
      <c r="U56" s="475">
        <f t="shared" si="1"/>
        <v>25163.278727697303</v>
      </c>
      <c r="W56" s="475">
        <f t="shared" si="2"/>
        <v>-6667.5350665612496</v>
      </c>
      <c r="Y56" s="554">
        <f t="shared" si="3"/>
        <v>-19.157179303385622</v>
      </c>
      <c r="Z56" s="516"/>
      <c r="AB56" s="423">
        <f>+IF(AB55&gt;$I$13+$I$14,XX,AB55+1)</f>
        <v>2037</v>
      </c>
      <c r="AC56" s="503"/>
      <c r="AD56" s="488">
        <f t="shared" si="4"/>
        <v>348043.67391304346</v>
      </c>
      <c r="AF56" s="555">
        <f t="shared" si="19"/>
        <v>147.86831065234534</v>
      </c>
      <c r="AH56" s="555">
        <f t="shared" si="20"/>
        <v>29.618665052673947</v>
      </c>
      <c r="AJ56" s="555">
        <f t="shared" si="21"/>
        <v>3.0226445565153028</v>
      </c>
      <c r="AL56" s="558">
        <f t="shared" si="15"/>
        <v>14207.404356358338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18"/>
        <v>3.4108924505208646</v>
      </c>
      <c r="AS56" s="555"/>
      <c r="AT56" s="558">
        <f t="shared" si="6"/>
        <v>8195.7113922434382</v>
      </c>
      <c r="AV56" s="558">
        <f t="shared" si="7"/>
        <v>16967.567335453867</v>
      </c>
      <c r="AW56" s="560"/>
      <c r="AX56" s="561">
        <f t="shared" si="8"/>
        <v>25163.278727697303</v>
      </c>
      <c r="AZ56" s="430">
        <f>+IF(AZ55&gt;$I$13+$I$14,XX,AZ55+1)</f>
        <v>2037</v>
      </c>
      <c r="BA56" s="503"/>
      <c r="BB56" s="555">
        <f t="shared" si="16"/>
        <v>70.402928206190325</v>
      </c>
      <c r="BD56" s="555">
        <f t="shared" si="17"/>
        <v>10.704286221596858</v>
      </c>
      <c r="BF56" s="558">
        <f t="shared" si="9"/>
        <v>6011.6929641149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348043.67391304346</v>
      </c>
      <c r="I57" s="726">
        <v>114.6924361308897</v>
      </c>
      <c r="K57" s="625">
        <v>20.681366970488916</v>
      </c>
      <c r="M57" s="553">
        <f t="shared" si="11"/>
        <v>0</v>
      </c>
      <c r="O57" s="625">
        <v>0.92999999999999994</v>
      </c>
      <c r="Q57" s="625">
        <v>0</v>
      </c>
      <c r="S57" s="475">
        <f t="shared" si="0"/>
        <v>18876.250735650043</v>
      </c>
      <c r="U57" s="475">
        <f t="shared" si="1"/>
        <v>26179.83224343507</v>
      </c>
      <c r="W57" s="475">
        <f t="shared" si="2"/>
        <v>-7303.5815077850275</v>
      </c>
      <c r="Y57" s="554">
        <f t="shared" si="3"/>
        <v>-20.984669612497488</v>
      </c>
      <c r="Z57" s="516"/>
      <c r="AB57" s="423">
        <f>+IF(AB56&gt;$I$13+$I$14,XX,AB56+1)</f>
        <v>2038</v>
      </c>
      <c r="AC57" s="503"/>
      <c r="AD57" s="488">
        <f t="shared" si="4"/>
        <v>348043.67391304346</v>
      </c>
      <c r="AF57" s="555">
        <f t="shared" si="19"/>
        <v>151.12141348669695</v>
      </c>
      <c r="AH57" s="555">
        <f t="shared" si="20"/>
        <v>30.270275683832775</v>
      </c>
      <c r="AJ57" s="555">
        <f t="shared" si="21"/>
        <v>3.0891427367586397</v>
      </c>
      <c r="AL57" s="558">
        <f t="shared" si="15"/>
        <v>14519.967252198221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18"/>
        <v>3.4859320844323238</v>
      </c>
      <c r="AS57" s="555"/>
      <c r="AT57" s="558">
        <f t="shared" si="6"/>
        <v>8376.0170428727924</v>
      </c>
      <c r="AV57" s="558">
        <f t="shared" si="7"/>
        <v>17803.815200562276</v>
      </c>
      <c r="AW57" s="560"/>
      <c r="AX57" s="561">
        <f t="shared" si="8"/>
        <v>26179.83224343507</v>
      </c>
      <c r="AZ57" s="430">
        <f>+IF(AZ56&gt;$I$13+$I$14,XX,AZ56+1)</f>
        <v>2038</v>
      </c>
      <c r="BA57" s="503"/>
      <c r="BB57" s="555">
        <f t="shared" si="16"/>
        <v>71.951792626726515</v>
      </c>
      <c r="BD57" s="555">
        <f t="shared" si="17"/>
        <v>10.93978051847199</v>
      </c>
      <c r="BF57" s="558">
        <f t="shared" si="9"/>
        <v>6143.9502093254287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348043.67391304346</v>
      </c>
      <c r="I58" s="726">
        <v>116.87159241737659</v>
      </c>
      <c r="K58" s="625">
        <v>21.157038410810159</v>
      </c>
      <c r="M58" s="553">
        <f t="shared" si="11"/>
        <v>0</v>
      </c>
      <c r="O58" s="625">
        <v>0.95999999999999985</v>
      </c>
      <c r="Q58" s="625">
        <v>0</v>
      </c>
      <c r="S58" s="475">
        <f t="shared" si="0"/>
        <v>19267.982953894549</v>
      </c>
      <c r="U58" s="475">
        <f t="shared" si="1"/>
        <v>26926.531657657506</v>
      </c>
      <c r="W58" s="475">
        <f t="shared" si="2"/>
        <v>-7658.5487037629573</v>
      </c>
      <c r="Y58" s="554">
        <f t="shared" si="3"/>
        <v>-22.004562294318262</v>
      </c>
      <c r="Z58" s="516"/>
      <c r="AB58" s="423">
        <f>+IF(AB57&gt;$I$13+$I$14,XX,AB57+1)</f>
        <v>2039</v>
      </c>
      <c r="AC58" s="503"/>
      <c r="AD58" s="488">
        <f t="shared" si="4"/>
        <v>348043.67391304346</v>
      </c>
      <c r="AF58" s="555">
        <f t="shared" si="19"/>
        <v>154.44608458340429</v>
      </c>
      <c r="AH58" s="555">
        <f t="shared" si="20"/>
        <v>30.936221748877095</v>
      </c>
      <c r="AJ58" s="555">
        <f t="shared" si="21"/>
        <v>3.1571038769673296</v>
      </c>
      <c r="AL58" s="558">
        <f t="shared" si="15"/>
        <v>14839.406531746583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18"/>
        <v>3.562622590289835</v>
      </c>
      <c r="AS58" s="555"/>
      <c r="AT58" s="558">
        <f t="shared" si="6"/>
        <v>8560.289417815995</v>
      </c>
      <c r="AV58" s="558">
        <f t="shared" si="7"/>
        <v>18366.242239841511</v>
      </c>
      <c r="AW58" s="560"/>
      <c r="AX58" s="561">
        <f t="shared" si="8"/>
        <v>26926.531657657506</v>
      </c>
      <c r="AZ58" s="430">
        <f>+IF(AZ57&gt;$I$13+$I$14,XX,AZ57+1)</f>
        <v>2039</v>
      </c>
      <c r="BA58" s="503"/>
      <c r="BB58" s="555">
        <f t="shared" si="16"/>
        <v>73.5347320645145</v>
      </c>
      <c r="BD58" s="555">
        <f t="shared" si="17"/>
        <v>11.180455689878373</v>
      </c>
      <c r="BF58" s="558">
        <f t="shared" si="9"/>
        <v>6279.1171139305879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348043.67391304346</v>
      </c>
      <c r="I59" s="726">
        <v>119.09215267330676</v>
      </c>
      <c r="K59" s="625">
        <v>21.702947966297856</v>
      </c>
      <c r="M59" s="553">
        <f t="shared" si="11"/>
        <v>0</v>
      </c>
      <c r="O59" s="625">
        <v>0.9800000000000002</v>
      </c>
      <c r="Q59" s="625">
        <v>0</v>
      </c>
      <c r="S59" s="475">
        <f t="shared" si="0"/>
        <v>19684.779660026074</v>
      </c>
      <c r="U59" s="475">
        <f t="shared" si="1"/>
        <v>27909.729598083126</v>
      </c>
      <c r="W59" s="475">
        <f t="shared" si="2"/>
        <v>-8224.9499380570523</v>
      </c>
      <c r="Y59" s="554">
        <f t="shared" si="3"/>
        <v>-23.631947811561155</v>
      </c>
      <c r="Z59" s="516"/>
      <c r="AB59" s="423">
        <f>+IF(AB58&gt;$I$13+$I$14,XX,AB58+1)</f>
        <v>2040</v>
      </c>
      <c r="AC59" s="503"/>
      <c r="AD59" s="488">
        <f t="shared" si="4"/>
        <v>348043.67391304346</v>
      </c>
      <c r="AF59" s="555">
        <f t="shared" si="19"/>
        <v>157.84389844423919</v>
      </c>
      <c r="AH59" s="555">
        <f t="shared" si="20"/>
        <v>31.616818627352391</v>
      </c>
      <c r="AJ59" s="555">
        <f t="shared" si="21"/>
        <v>3.2265601622606108</v>
      </c>
      <c r="AL59" s="558">
        <f t="shared" si="15"/>
        <v>15165.873475445005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18"/>
        <v>3.6410002872762113</v>
      </c>
      <c r="AS59" s="555"/>
      <c r="AT59" s="558">
        <f t="shared" si="6"/>
        <v>8748.6157850079435</v>
      </c>
      <c r="AV59" s="558">
        <f t="shared" si="7"/>
        <v>19161.113813075182</v>
      </c>
      <c r="AW59" s="560"/>
      <c r="AX59" s="561">
        <f t="shared" si="8"/>
        <v>27909.729598083126</v>
      </c>
      <c r="AZ59" s="430">
        <f>+IF(AZ58&gt;$I$13+$I$14,XX,AZ58+1)</f>
        <v>2040</v>
      </c>
      <c r="BA59" s="503"/>
      <c r="BB59" s="555">
        <f t="shared" si="16"/>
        <v>75.152496169933826</v>
      </c>
      <c r="BD59" s="555">
        <f t="shared" si="17"/>
        <v>11.426425715055698</v>
      </c>
      <c r="BF59" s="558">
        <f t="shared" si="9"/>
        <v>6417.2576904370617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348043.67391304346</v>
      </c>
      <c r="I60" s="726">
        <v>121.35490357409957</v>
      </c>
      <c r="K60" s="625">
        <v>22.141454251026737</v>
      </c>
      <c r="M60" s="553">
        <f t="shared" si="11"/>
        <v>0</v>
      </c>
      <c r="O60" s="625">
        <v>1</v>
      </c>
      <c r="Q60" s="625">
        <v>0</v>
      </c>
      <c r="S60" s="475">
        <f t="shared" si="0"/>
        <v>20068.372211053822</v>
      </c>
      <c r="U60" s="475">
        <f t="shared" si="1"/>
        <v>28541.655438390651</v>
      </c>
      <c r="W60" s="475">
        <f t="shared" si="2"/>
        <v>-8473.2832273368294</v>
      </c>
      <c r="Y60" s="554">
        <f t="shared" si="3"/>
        <v>-24.345459671977334</v>
      </c>
      <c r="Z60" s="516"/>
      <c r="AB60" s="423">
        <f>+IF(AB59&gt;$I$13+$I$14,XX,AB59+1)</f>
        <v>2041</v>
      </c>
      <c r="AC60" s="503"/>
      <c r="AD60" s="488">
        <f t="shared" si="4"/>
        <v>348043.67391304346</v>
      </c>
      <c r="AF60" s="555">
        <f t="shared" si="19"/>
        <v>161.31646421001244</v>
      </c>
      <c r="AH60" s="555">
        <f t="shared" si="20"/>
        <v>32.312388637154143</v>
      </c>
      <c r="AJ60" s="555">
        <f t="shared" si="21"/>
        <v>3.2975444858303442</v>
      </c>
      <c r="AL60" s="558">
        <f t="shared" si="15"/>
        <v>15499.522691904795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18"/>
        <v>3.7211022935962879</v>
      </c>
      <c r="AS60" s="555"/>
      <c r="AT60" s="558">
        <f t="shared" si="6"/>
        <v>8941.0853322781186</v>
      </c>
      <c r="AV60" s="558">
        <f t="shared" si="7"/>
        <v>19600.570106112533</v>
      </c>
      <c r="AW60" s="560"/>
      <c r="AX60" s="561">
        <f t="shared" si="8"/>
        <v>28541.655438390651</v>
      </c>
      <c r="AZ60" s="430">
        <f>+IF(AZ59&gt;$I$13+$I$14,XX,AZ59+1)</f>
        <v>2041</v>
      </c>
      <c r="BA60" s="503"/>
      <c r="BB60" s="555">
        <f t="shared" si="16"/>
        <v>76.805851085672373</v>
      </c>
      <c r="BD60" s="555">
        <f t="shared" si="17"/>
        <v>11.677807080786923</v>
      </c>
      <c r="BF60" s="558">
        <f t="shared" si="9"/>
        <v>6558.4373596266769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348043.67391304346</v>
      </c>
      <c r="I61" s="726">
        <v>123.66064674200746</v>
      </c>
      <c r="K61" s="625">
        <v>22.650707698800353</v>
      </c>
      <c r="M61" s="553">
        <f t="shared" si="11"/>
        <v>0</v>
      </c>
      <c r="O61" s="625">
        <v>1.0199999999999998</v>
      </c>
      <c r="Q61" s="625">
        <v>0</v>
      </c>
      <c r="S61" s="475">
        <f t="shared" si="0"/>
        <v>20480.844099070975</v>
      </c>
      <c r="U61" s="475">
        <f t="shared" si="1"/>
        <v>29187.838535135401</v>
      </c>
      <c r="W61" s="475">
        <f t="shared" si="2"/>
        <v>-8706.9944360644258</v>
      </c>
      <c r="Y61" s="554">
        <f t="shared" si="3"/>
        <v>-25.016959332063063</v>
      </c>
      <c r="Z61" s="516"/>
      <c r="AB61" s="423">
        <f>+IF(AB60&gt;$I$13+$I$14,XX,AB60+1)</f>
        <v>2042</v>
      </c>
      <c r="AC61" s="503"/>
      <c r="AD61" s="488">
        <f t="shared" si="4"/>
        <v>348043.67391304346</v>
      </c>
      <c r="AF61" s="555">
        <f t="shared" si="19"/>
        <v>164.86542642263271</v>
      </c>
      <c r="AH61" s="555">
        <f t="shared" si="20"/>
        <v>33.023261187171535</v>
      </c>
      <c r="AJ61" s="555">
        <f t="shared" si="21"/>
        <v>3.3700904645186118</v>
      </c>
      <c r="AL61" s="558">
        <f t="shared" si="15"/>
        <v>15840.512191126703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18"/>
        <v>3.8029665440554061</v>
      </c>
      <c r="AS61" s="555"/>
      <c r="AT61" s="558">
        <f t="shared" si="6"/>
        <v>9137.7892095882398</v>
      </c>
      <c r="AV61" s="558">
        <f t="shared" si="7"/>
        <v>20050.049325547159</v>
      </c>
      <c r="AW61" s="560"/>
      <c r="AX61" s="561">
        <f t="shared" si="8"/>
        <v>29187.838535135401</v>
      </c>
      <c r="AZ61" s="430">
        <f>+IF(AZ60&gt;$I$13+$I$14,XX,AZ60+1)</f>
        <v>2042</v>
      </c>
      <c r="BA61" s="503"/>
      <c r="BB61" s="555">
        <f t="shared" si="16"/>
        <v>78.495579809557171</v>
      </c>
      <c r="BD61" s="555">
        <f t="shared" si="17"/>
        <v>11.934718836564237</v>
      </c>
      <c r="BF61" s="558">
        <f t="shared" si="9"/>
        <v>6702.7229815384635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348043.67391304346</v>
      </c>
      <c r="I62" s="726">
        <v>126.01019903010558</v>
      </c>
      <c r="K62" s="625">
        <v>23.171673975872757</v>
      </c>
      <c r="M62" s="553">
        <f t="shared" si="11"/>
        <v>0</v>
      </c>
      <c r="O62" s="625">
        <v>1.05</v>
      </c>
      <c r="Q62" s="625">
        <v>0</v>
      </c>
      <c r="S62" s="475">
        <f t="shared" si="0"/>
        <v>20905.210102867164</v>
      </c>
      <c r="U62" s="475">
        <f t="shared" si="1"/>
        <v>29829.970982908377</v>
      </c>
      <c r="W62" s="475">
        <f t="shared" si="2"/>
        <v>-8924.7608800412127</v>
      </c>
      <c r="Y62" s="554">
        <f t="shared" si="3"/>
        <v>-25.642646452097296</v>
      </c>
      <c r="Z62" s="516"/>
      <c r="AB62" s="423">
        <f>+IF(AB61&gt;$I$13+$I$14,XX,AB61+1)</f>
        <v>2043</v>
      </c>
      <c r="AC62" s="503"/>
      <c r="AD62" s="488">
        <f t="shared" si="4"/>
        <v>348043.67391304346</v>
      </c>
      <c r="AF62" s="555">
        <f t="shared" si="19"/>
        <v>168.49246580393063</v>
      </c>
      <c r="AH62" s="555">
        <f t="shared" si="20"/>
        <v>33.749772933289307</v>
      </c>
      <c r="AJ62" s="555">
        <f t="shared" si="21"/>
        <v>3.4442324547380214</v>
      </c>
      <c r="AL62" s="558">
        <f t="shared" si="15"/>
        <v>16189.00345933149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18"/>
        <v>3.8866318080246249</v>
      </c>
      <c r="AS62" s="555"/>
      <c r="AT62" s="558">
        <f t="shared" si="6"/>
        <v>9338.8205721991799</v>
      </c>
      <c r="AV62" s="558">
        <f t="shared" si="7"/>
        <v>20491.150410709197</v>
      </c>
      <c r="AW62" s="560"/>
      <c r="AX62" s="561">
        <f t="shared" si="8"/>
        <v>29829.970982908377</v>
      </c>
      <c r="AZ62" s="430">
        <f>+IF(AZ61&gt;$I$13+$I$14,XX,AZ61+1)</f>
        <v>2043</v>
      </c>
      <c r="BA62" s="503"/>
      <c r="BB62" s="555">
        <f t="shared" si="16"/>
        <v>80.222482565367429</v>
      </c>
      <c r="BD62" s="555">
        <f t="shared" si="17"/>
        <v>12.197282650968651</v>
      </c>
      <c r="BF62" s="558">
        <f t="shared" si="9"/>
        <v>6850.1828871323096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348043.67391304346</v>
      </c>
      <c r="I63" s="726">
        <v>128.40439281167758</v>
      </c>
      <c r="K63" s="625">
        <v>23.769566648488571</v>
      </c>
      <c r="M63" s="553">
        <f t="shared" si="11"/>
        <v>0</v>
      </c>
      <c r="O63" s="625">
        <v>1.0700000000000003</v>
      </c>
      <c r="Q63" s="625">
        <v>0</v>
      </c>
      <c r="S63" s="475">
        <f t="shared" si="0"/>
        <v>21357.288923103944</v>
      </c>
      <c r="U63" s="475">
        <f t="shared" si="1"/>
        <v>30496.921882718168</v>
      </c>
      <c r="W63" s="475">
        <f t="shared" si="2"/>
        <v>-9139.6329596142241</v>
      </c>
      <c r="Y63" s="554">
        <f t="shared" si="3"/>
        <v>-26.260017476708125</v>
      </c>
      <c r="Z63" s="516"/>
      <c r="AB63" s="423">
        <f>+IF(AB62&gt;$I$13+$I$14,XX,AB62+1)</f>
        <v>2044</v>
      </c>
      <c r="AC63" s="503"/>
      <c r="AD63" s="488">
        <f t="shared" si="4"/>
        <v>348043.67391304346</v>
      </c>
      <c r="AF63" s="555">
        <f t="shared" si="19"/>
        <v>172.36779251742101</v>
      </c>
      <c r="AH63" s="555">
        <f t="shared" si="20"/>
        <v>34.526017710754957</v>
      </c>
      <c r="AJ63" s="555">
        <f t="shared" si="21"/>
        <v>3.5234498011969957</v>
      </c>
      <c r="AL63" s="558">
        <f t="shared" si="15"/>
        <v>16561.350538896113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18"/>
        <v>3.9760243396091908</v>
      </c>
      <c r="AS63" s="555"/>
      <c r="AT63" s="558">
        <f t="shared" si="6"/>
        <v>9553.6134453597588</v>
      </c>
      <c r="AV63" s="558">
        <f t="shared" si="7"/>
        <v>20943.30843735841</v>
      </c>
      <c r="AW63" s="560"/>
      <c r="AX63" s="561">
        <f t="shared" si="8"/>
        <v>30496.921882718168</v>
      </c>
      <c r="AZ63" s="430">
        <f>+IF(AZ62&gt;$I$13+$I$14,XX,AZ62+1)</f>
        <v>2044</v>
      </c>
      <c r="BA63" s="503"/>
      <c r="BB63" s="555">
        <f t="shared" si="16"/>
        <v>82.067599664370874</v>
      </c>
      <c r="BD63" s="555">
        <f t="shared" si="17"/>
        <v>12.477820151940929</v>
      </c>
      <c r="BF63" s="558">
        <f t="shared" si="9"/>
        <v>7007.7370935363533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348043.67391304346</v>
      </c>
      <c r="I64" s="726">
        <v>130.8440762750995</v>
      </c>
      <c r="K64" s="625">
        <v>24.249828794296143</v>
      </c>
      <c r="M64" s="553">
        <f t="shared" si="11"/>
        <v>0</v>
      </c>
      <c r="O64" s="625">
        <v>1.1000000000000001</v>
      </c>
      <c r="Q64" s="625">
        <v>0</v>
      </c>
      <c r="S64" s="475">
        <f t="shared" si="0"/>
        <v>21776.411097868338</v>
      </c>
      <c r="U64" s="475">
        <f t="shared" si="1"/>
        <v>31178.791607702053</v>
      </c>
      <c r="W64" s="475">
        <f t="shared" si="2"/>
        <v>-9402.3805098337143</v>
      </c>
      <c r="Y64" s="554">
        <f t="shared" si="3"/>
        <v>-27.01494442959719</v>
      </c>
      <c r="Z64" s="516"/>
      <c r="AB64" s="423">
        <f>+IF(AB63&gt;$I$13+$I$14,XX,AB63+1)</f>
        <v>2045</v>
      </c>
      <c r="AC64" s="503"/>
      <c r="AD64" s="488">
        <f t="shared" si="4"/>
        <v>348043.67391304346</v>
      </c>
      <c r="AF64" s="555">
        <f t="shared" si="19"/>
        <v>176.33225174532168</v>
      </c>
      <c r="AH64" s="555">
        <f t="shared" si="20"/>
        <v>35.32011611810232</v>
      </c>
      <c r="AJ64" s="555">
        <f t="shared" si="21"/>
        <v>3.6044891466245264</v>
      </c>
      <c r="AL64" s="558">
        <f t="shared" si="15"/>
        <v>16942.26160129072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18"/>
        <v>4.0674728994202018</v>
      </c>
      <c r="AS64" s="555"/>
      <c r="AT64" s="558">
        <f t="shared" si="6"/>
        <v>9773.3465546030311</v>
      </c>
      <c r="AV64" s="558">
        <f t="shared" si="7"/>
        <v>21405.445053099022</v>
      </c>
      <c r="AW64" s="560"/>
      <c r="AX64" s="561">
        <f t="shared" si="8"/>
        <v>31178.791607702053</v>
      </c>
      <c r="AZ64" s="430">
        <f>+IF(AZ63&gt;$I$13+$I$14,XX,AZ63+1)</f>
        <v>2045</v>
      </c>
      <c r="BA64" s="503"/>
      <c r="BB64" s="555">
        <f t="shared" si="16"/>
        <v>83.9551544566514</v>
      </c>
      <c r="BD64" s="555">
        <f t="shared" si="17"/>
        <v>12.764810015435568</v>
      </c>
      <c r="BF64" s="558">
        <f t="shared" si="9"/>
        <v>7168.915046687689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348043.67391304346</v>
      </c>
      <c r="I65" s="726">
        <v>133.33011372432634</v>
      </c>
      <c r="K65" s="625">
        <v>24.807574856564948</v>
      </c>
      <c r="M65" s="553">
        <f t="shared" si="11"/>
        <v>0</v>
      </c>
      <c r="O65" s="625">
        <v>1.1200000000000001</v>
      </c>
      <c r="Q65" s="625">
        <v>0</v>
      </c>
      <c r="S65" s="475">
        <f t="shared" si="0"/>
        <v>22223.609667442623</v>
      </c>
      <c r="U65" s="475">
        <f t="shared" si="1"/>
        <v>31875.914027837556</v>
      </c>
      <c r="W65" s="475">
        <f t="shared" si="2"/>
        <v>-9652.3043603949336</v>
      </c>
      <c r="Y65" s="554">
        <f t="shared" si="3"/>
        <v>-27.733026294873849</v>
      </c>
      <c r="Z65" s="516"/>
      <c r="AB65" s="423">
        <f>+IF(AB64&gt;$I$13+$I$14,XX,AB64+1)</f>
        <v>2046</v>
      </c>
      <c r="AC65" s="503"/>
      <c r="AD65" s="488">
        <f t="shared" si="4"/>
        <v>348043.67391304346</v>
      </c>
      <c r="AF65" s="555">
        <f t="shared" si="19"/>
        <v>180.38789353546406</v>
      </c>
      <c r="AH65" s="555">
        <f t="shared" si="20"/>
        <v>36.132478788818666</v>
      </c>
      <c r="AJ65" s="555">
        <f t="shared" si="21"/>
        <v>3.68739239699689</v>
      </c>
      <c r="AL65" s="558">
        <f t="shared" si="15"/>
        <v>17331.933618120405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18"/>
        <v>4.1610247761068662</v>
      </c>
      <c r="AS65" s="555"/>
      <c r="AT65" s="558">
        <f t="shared" si="6"/>
        <v>9998.1335253589004</v>
      </c>
      <c r="AV65" s="558">
        <f t="shared" si="7"/>
        <v>21877.780502478654</v>
      </c>
      <c r="AW65" s="560"/>
      <c r="AX65" s="561">
        <f t="shared" si="8"/>
        <v>31875.914027837556</v>
      </c>
      <c r="AZ65" s="430">
        <f>+IF(AZ64&gt;$I$13+$I$14,XX,AZ64+1)</f>
        <v>2046</v>
      </c>
      <c r="BA65" s="503"/>
      <c r="BB65" s="555">
        <f t="shared" si="16"/>
        <v>85.886123009154375</v>
      </c>
      <c r="BD65" s="555">
        <f t="shared" si="17"/>
        <v>13.058400645790584</v>
      </c>
      <c r="BF65" s="558">
        <f t="shared" si="9"/>
        <v>7333.8000927615049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348043.67391304346</v>
      </c>
      <c r="I66" s="726">
        <v>135.86338588508852</v>
      </c>
      <c r="K66" s="625">
        <v>25.378149078265942</v>
      </c>
      <c r="M66" s="553">
        <f t="shared" si="11"/>
        <v>0</v>
      </c>
      <c r="O66" s="625">
        <v>1.1499999999999997</v>
      </c>
      <c r="Q66" s="625">
        <v>0</v>
      </c>
      <c r="S66" s="475">
        <f t="shared" si="0"/>
        <v>22683.429669936359</v>
      </c>
      <c r="U66" s="475">
        <f t="shared" si="1"/>
        <v>32588.630488325663</v>
      </c>
      <c r="W66" s="475">
        <f t="shared" si="2"/>
        <v>-9905.2008183893049</v>
      </c>
      <c r="Y66" s="554">
        <f t="shared" si="3"/>
        <v>-28.45964906365187</v>
      </c>
      <c r="Z66" s="516"/>
      <c r="AB66" s="423">
        <f>+IF(AB65&gt;$I$13+$I$14,XX,AB65+1)</f>
        <v>2047</v>
      </c>
      <c r="AC66" s="503"/>
      <c r="AD66" s="488">
        <f t="shared" si="4"/>
        <v>348043.67391304346</v>
      </c>
      <c r="AF66" s="555">
        <f t="shared" si="19"/>
        <v>184.53681508677971</v>
      </c>
      <c r="AH66" s="555">
        <f t="shared" si="20"/>
        <v>36.963525800961492</v>
      </c>
      <c r="AJ66" s="555">
        <f t="shared" si="21"/>
        <v>3.7722024221278181</v>
      </c>
      <c r="AL66" s="558">
        <f t="shared" si="15"/>
        <v>17730.568091337173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18"/>
        <v>4.256728345957324</v>
      </c>
      <c r="AS66" s="555"/>
      <c r="AT66" s="558">
        <f t="shared" si="6"/>
        <v>10228.090596442154</v>
      </c>
      <c r="AV66" s="558">
        <f t="shared" si="7"/>
        <v>22360.539891883509</v>
      </c>
      <c r="AW66" s="560"/>
      <c r="AX66" s="561">
        <f t="shared" si="8"/>
        <v>32588.630488325663</v>
      </c>
      <c r="AZ66" s="430">
        <f>+IF(AZ65&gt;$I$13+$I$14,XX,AZ65+1)</f>
        <v>2047</v>
      </c>
      <c r="BA66" s="503"/>
      <c r="BB66" s="555">
        <f t="shared" si="16"/>
        <v>87.861503838364911</v>
      </c>
      <c r="BD66" s="555">
        <f t="shared" si="17"/>
        <v>13.358743860643767</v>
      </c>
      <c r="BF66" s="558">
        <f t="shared" si="9"/>
        <v>7502.4774948950189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348043.67391304346</v>
      </c>
      <c r="I67" s="726">
        <v>138.44479021690523</v>
      </c>
      <c r="K67" s="625">
        <v>26.032974853660757</v>
      </c>
      <c r="M67" s="553">
        <f t="shared" si="11"/>
        <v>0</v>
      </c>
      <c r="O67" s="625">
        <v>1.17</v>
      </c>
      <c r="Q67" s="625">
        <v>0</v>
      </c>
      <c r="S67" s="475">
        <f t="shared" si="0"/>
        <v>23173.857540905839</v>
      </c>
      <c r="U67" s="475">
        <f t="shared" si="1"/>
        <v>33305.58035906883</v>
      </c>
      <c r="W67" s="475">
        <f t="shared" si="2"/>
        <v>-10131.722818162991</v>
      </c>
      <c r="Y67" s="554">
        <f t="shared" si="3"/>
        <v>-29.110492669647943</v>
      </c>
      <c r="Z67" s="516"/>
      <c r="AB67" s="423">
        <f>+IF(AB66&gt;$I$13+$I$14,XX,AB66+1)</f>
        <v>2048</v>
      </c>
      <c r="AC67" s="503"/>
      <c r="AD67" s="488">
        <f t="shared" si="4"/>
        <v>348043.67391304346</v>
      </c>
      <c r="AF67" s="555">
        <f t="shared" si="19"/>
        <v>188.59662501868885</v>
      </c>
      <c r="AH67" s="555">
        <f t="shared" si="20"/>
        <v>37.776723368582644</v>
      </c>
      <c r="AJ67" s="555">
        <f t="shared" si="21"/>
        <v>3.85519087541463</v>
      </c>
      <c r="AL67" s="558">
        <f>((AF67+AH67)*$AF$11*1000+AJ67*AD67)/1000</f>
        <v>18120.640589346593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18"/>
        <v>4.3503763695683855</v>
      </c>
      <c r="AS67" s="555"/>
      <c r="AT67" s="558">
        <f t="shared" si="6"/>
        <v>10453.108589563883</v>
      </c>
      <c r="AV67" s="558">
        <f t="shared" si="7"/>
        <v>22852.471769504951</v>
      </c>
      <c r="AW67" s="560"/>
      <c r="AX67" s="561">
        <f t="shared" si="8"/>
        <v>33305.58035906883</v>
      </c>
      <c r="AZ67" s="430">
        <f>+IF(AZ66&gt;$I$13+$I$14,XX,AZ66+1)</f>
        <v>2048</v>
      </c>
      <c r="BA67" s="503"/>
      <c r="BB67" s="555">
        <f t="shared" si="16"/>
        <v>89.794456922808934</v>
      </c>
      <c r="BD67" s="555">
        <f t="shared" si="17"/>
        <v>13.652636225577929</v>
      </c>
      <c r="BF67" s="558">
        <f t="shared" si="9"/>
        <v>7667.5319997827091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144621.97288053375</v>
      </c>
      <c r="I68" s="726">
        <v>117.56270102585535</v>
      </c>
      <c r="K68" s="625">
        <v>11.066237073636906</v>
      </c>
      <c r="M68" s="553">
        <f t="shared" si="11"/>
        <v>0</v>
      </c>
      <c r="O68" s="625">
        <v>1.2000000000000002</v>
      </c>
      <c r="Q68" s="625">
        <v>0</v>
      </c>
      <c r="S68" s="475">
        <f t="shared" si="0"/>
        <v>13412.674806969393</v>
      </c>
      <c r="U68" s="475">
        <f t="shared" si="1"/>
        <v>14457.749295437201</v>
      </c>
      <c r="W68" s="475">
        <f t="shared" si="2"/>
        <v>-1045.0744884678079</v>
      </c>
      <c r="Y68" s="554">
        <f t="shared" si="3"/>
        <v>-7.2262497022572143</v>
      </c>
      <c r="Z68" s="516"/>
      <c r="AB68" s="423">
        <f>+IF(AB67&gt;$I$13+$I$14,XX,AB67+1)</f>
        <v>2049</v>
      </c>
      <c r="AC68" s="503"/>
      <c r="AD68" s="488">
        <f t="shared" si="4"/>
        <v>144621.97288053375</v>
      </c>
      <c r="AF68" s="555">
        <f t="shared" si="19"/>
        <v>192.7457507691</v>
      </c>
      <c r="AH68" s="555">
        <f t="shared" si="20"/>
        <v>38.607811282691465</v>
      </c>
      <c r="AJ68" s="555">
        <f t="shared" si="21"/>
        <v>3.9400050746737518</v>
      </c>
      <c r="AL68" s="558">
        <f>((AF68+AH68)*$AR$11*1000+AJ68*AD68)/1000</f>
        <v>12589.211142909993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18"/>
        <v>4.4460846496988902</v>
      </c>
      <c r="AS68" s="555"/>
      <c r="AT68" s="558">
        <f t="shared" si="6"/>
        <v>4752.9934391320658</v>
      </c>
      <c r="AV68" s="558">
        <f t="shared" si="7"/>
        <v>9704.7558563051352</v>
      </c>
      <c r="AW68" s="560"/>
      <c r="AX68" s="561">
        <f t="shared" si="8"/>
        <v>14457.749295437201</v>
      </c>
      <c r="AZ68" s="430">
        <f>+IF(AZ67&gt;$I$13+$I$14,XX,AZ67+1)</f>
        <v>2049</v>
      </c>
      <c r="BA68" s="503"/>
      <c r="BB68" s="555">
        <f t="shared" si="16"/>
        <v>91.769934975110729</v>
      </c>
      <c r="BD68" s="555">
        <f t="shared" si="17"/>
        <v>13.952994222540644</v>
      </c>
      <c r="BF68" s="558">
        <f t="shared" si="9"/>
        <v>7836.2177037779275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333470.10302253504</v>
      </c>
      <c r="I70" s="617">
        <f>+-PMT($I$18,41,NPV($I$18,I28:I68))</f>
        <v>231.76438322791344</v>
      </c>
      <c r="J70" s="553"/>
      <c r="K70" s="617">
        <f>+-PMT($I$18,41,NPV($I$18,K28:K68))</f>
        <v>15.190016355371666</v>
      </c>
      <c r="M70" s="553">
        <f>+-PMT($G$18,$G$14,NPV($G$18,M28:M51))</f>
        <v>0</v>
      </c>
      <c r="O70" s="617">
        <f>+-PMT($I$18,41,NPV($I$18,O28:O68))</f>
        <v>3.2421528227403971</v>
      </c>
      <c r="Q70" s="617">
        <f>+-PMT($I$18,41,NPV($I$18,Q28:Q68))</f>
        <v>-28.420730913200078</v>
      </c>
      <c r="S70" s="617">
        <f>+-PMT($I$18,41,NPV($I$18,S28:S68))</f>
        <v>19684.218778822196</v>
      </c>
      <c r="U70" s="617">
        <f>+-PMT($I$18,41,NPV($I$18,U28:U68))</f>
        <v>20945.849711875107</v>
      </c>
      <c r="W70" s="626">
        <f>+-PMT($I$18,41,NPV($I$18,W28:W68))</f>
        <v>-1261.63093305291</v>
      </c>
      <c r="Y70" s="617">
        <f>+-PMT($I$18,41,NPV($I$18,Y28:Y68))</f>
        <v>-4.5792577629076945</v>
      </c>
      <c r="Z70" s="516"/>
      <c r="AB70" s="526"/>
      <c r="AD70" s="617">
        <f>+-PMT($I$18,41,NPV($I$18,AD28:AD68))</f>
        <v>333470.10302253504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9057.7673119010069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4690.5123471486258</v>
      </c>
      <c r="AV70" s="618">
        <f>+-PMT($I$18,41,NPV($I$18,AV28:AV68))</f>
        <v>16255.337364726483</v>
      </c>
      <c r="AW70" s="560"/>
      <c r="AX70" s="618">
        <f>+-PMT($I$18,41,NPV($I$18,AX28:AX68))</f>
        <v>20945.849711875107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4367.2549647523811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C120E-224E-4C83-9496-28645807329D}">
  <sheetPr codeName="Sheet41">
    <tabColor theme="4" tint="0.59999389629810485"/>
    <pageSetUpPr fitToPage="1"/>
  </sheetPr>
  <dimension ref="A1:BL81"/>
  <sheetViews>
    <sheetView topLeftCell="D45" zoomScale="80" zoomScaleNormal="80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254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39</v>
      </c>
      <c r="H11" s="510"/>
      <c r="I11" s="621">
        <v>39</v>
      </c>
      <c r="AB11" s="511" t="s">
        <v>99</v>
      </c>
      <c r="AC11" s="512"/>
      <c r="AD11" s="512"/>
      <c r="AE11" s="512"/>
      <c r="AF11" s="518">
        <f>+G11*(G12/AJ16)</f>
        <v>27.558254805561297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19.676687592938158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27.558254805561297</v>
      </c>
      <c r="BE11" s="519"/>
      <c r="BG11" s="586" t="s">
        <v>99</v>
      </c>
      <c r="BH11" s="587"/>
      <c r="BI11" s="587"/>
      <c r="BJ11" s="587"/>
      <c r="BK11" s="591">
        <f>(AR11*AR13-I11*I19)</f>
        <v>13.514687592938159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0.34406148942014353</v>
      </c>
      <c r="H12" s="510"/>
      <c r="I12" s="593">
        <v>0.35461212119126129</v>
      </c>
      <c r="AB12" s="511" t="s">
        <v>32</v>
      </c>
      <c r="AC12" s="512"/>
      <c r="AD12" s="512"/>
      <c r="AE12" s="512"/>
      <c r="AF12" s="520">
        <f>+AD53/8760/AF11</f>
        <v>0.55858146620071558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0.74606809084893211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180.94019792979219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9.0399999999999991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  <c r="O19" t="s">
        <v>343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118990</v>
      </c>
      <c r="I28" s="550">
        <f>$G$15</f>
        <v>180.94019792979219</v>
      </c>
      <c r="J28" s="550"/>
      <c r="K28" s="550">
        <f>$G$16</f>
        <v>9.0399999999999991</v>
      </c>
      <c r="L28" s="551"/>
      <c r="M28" s="550">
        <f>$G$17</f>
        <v>0</v>
      </c>
      <c r="O28" s="552">
        <v>5.1866999999999992</v>
      </c>
      <c r="Q28" s="553">
        <f>-'(2.2)_Forward_Price_Curve'!AG18</f>
        <v>-33.844219890731516</v>
      </c>
      <c r="S28" s="475">
        <f t="shared" ref="S28:S68" si="0">(I28*$G$11*1000+(K28+M28+O28+Q28)*G28)/1000</f>
        <v>4722.3790274637531</v>
      </c>
      <c r="U28" s="475">
        <f t="shared" ref="U28:U68" si="1">AX28</f>
        <v>7865.6424826350058</v>
      </c>
      <c r="W28" s="475">
        <f t="shared" ref="W28:W68" si="2">S28-U28</f>
        <v>-3143.2634551712526</v>
      </c>
      <c r="Y28" s="554">
        <f t="shared" ref="Y28:Y68" si="3">+W28*1000/G28</f>
        <v>-26.416198463494855</v>
      </c>
      <c r="Z28" s="516"/>
      <c r="AB28" s="544">
        <f>$C$28</f>
        <v>2009</v>
      </c>
      <c r="AC28" s="503"/>
      <c r="AD28" s="488">
        <f t="shared" ref="AD28:AD68" si="4">G28</f>
        <v>118990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2103.1458872300732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858.87062782879275</v>
      </c>
      <c r="AU28" s="557"/>
      <c r="AV28" s="558">
        <f t="shared" ref="AV28:AV68" si="7">(AP28+AR28)*AD28/1000</f>
        <v>7006.771854806213</v>
      </c>
      <c r="AW28" s="560"/>
      <c r="AX28" s="561">
        <f t="shared" ref="AX28:AX68" si="8">AT28+AV28</f>
        <v>7865.6424826350058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1244.2752594012804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124410</v>
      </c>
      <c r="I29" s="553">
        <f t="shared" ref="I29:K37" si="10">I28*(1+$E29)</f>
        <v>184.37806169045822</v>
      </c>
      <c r="K29" s="553">
        <f t="shared" si="10"/>
        <v>9.2117599999999982</v>
      </c>
      <c r="M29" s="553">
        <f t="shared" ref="M29:M68" si="11">M28*(1+$E29)</f>
        <v>0</v>
      </c>
      <c r="O29" s="552">
        <v>5.2748738999999985</v>
      </c>
      <c r="Q29" s="553">
        <f>-'(2.2)_Forward_Price_Curve'!AG19</f>
        <v>-35.45584940933778</v>
      </c>
      <c r="S29" s="475">
        <f t="shared" si="0"/>
        <v>4581.9643044111572</v>
      </c>
      <c r="U29" s="475">
        <f t="shared" si="1"/>
        <v>7949.7639219476259</v>
      </c>
      <c r="W29" s="475">
        <f t="shared" si="2"/>
        <v>-3367.7996175364688</v>
      </c>
      <c r="Y29" s="554">
        <f t="shared" si="3"/>
        <v>-27.070168133883683</v>
      </c>
      <c r="Z29" s="516"/>
      <c r="AB29" s="544">
        <f>+IF(AB28&gt;$G$13+$G$14,XX,AB28+1)</f>
        <v>2010</v>
      </c>
      <c r="AC29" s="503"/>
      <c r="AD29" s="488">
        <f t="shared" si="4"/>
        <v>124410</v>
      </c>
      <c r="AF29" s="555">
        <f t="shared" ref="AF29:AF37" si="12">AF28*(1+$E29)</f>
        <v>59.268516989789418</v>
      </c>
      <c r="AH29" s="555">
        <f t="shared" ref="AH29:AH37" si="13">AH28*(1+$E29)</f>
        <v>8.3559056765968087</v>
      </c>
      <c r="AJ29" s="555">
        <f t="shared" ref="AJ29:AJ37" si="14">AJ28*(1+$E29)</f>
        <v>2.3488914040524227</v>
      </c>
      <c r="AL29" s="558">
        <f t="shared" ref="AL29:AL66" si="15">((AF29+AH29)*$AF$11*1000+AJ29*AD29)/1000</f>
        <v>2155.8366504974083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887.92016116750392</v>
      </c>
      <c r="AV29" s="558">
        <f t="shared" si="7"/>
        <v>7061.8437607801225</v>
      </c>
      <c r="AW29" s="560"/>
      <c r="AX29" s="561">
        <f t="shared" si="8"/>
        <v>7949.7639219476259</v>
      </c>
      <c r="AZ29" s="544">
        <f>+IF(AZ28&gt;$G$13+$G$14,XX,AZ28+1)</f>
        <v>2010</v>
      </c>
      <c r="BA29" s="503"/>
      <c r="BB29" s="555">
        <f t="shared" ref="BB29:BB68" si="16">BB28*(1+$E29)</f>
        <v>39.936516017693386</v>
      </c>
      <c r="BD29" s="555">
        <f t="shared" ref="BD29:BD68" si="17">BD28*(1+$E29)</f>
        <v>6.0720755377499982</v>
      </c>
      <c r="BF29" s="558">
        <f t="shared" si="9"/>
        <v>1267.9164893299044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124410</v>
      </c>
      <c r="I30" s="553">
        <f t="shared" si="10"/>
        <v>187.88124486257692</v>
      </c>
      <c r="K30" s="553">
        <f t="shared" si="10"/>
        <v>9.3867834399999968</v>
      </c>
      <c r="M30" s="553">
        <f t="shared" si="11"/>
        <v>0</v>
      </c>
      <c r="O30" s="552">
        <v>5.3750965040999983</v>
      </c>
      <c r="Q30" s="553">
        <f>-'(2.2)_Forward_Price_Curve'!AG20</f>
        <v>-35.45584940933778</v>
      </c>
      <c r="S30" s="475">
        <f t="shared" si="0"/>
        <v>4752.8318084702678</v>
      </c>
      <c r="U30" s="475">
        <f t="shared" si="1"/>
        <v>7615.0421275300487</v>
      </c>
      <c r="W30" s="475">
        <f t="shared" si="2"/>
        <v>-2862.2103190597809</v>
      </c>
      <c r="Y30" s="554">
        <f t="shared" si="3"/>
        <v>-23.006272157059566</v>
      </c>
      <c r="Z30" s="516"/>
      <c r="AB30" s="544">
        <f>+IF(AB29&gt;$G$13+$G$14,XX,AB29+1)</f>
        <v>2011</v>
      </c>
      <c r="AC30" s="503"/>
      <c r="AD30" s="488">
        <f t="shared" si="4"/>
        <v>124410</v>
      </c>
      <c r="AF30" s="555">
        <f t="shared" si="12"/>
        <v>60.394618812595411</v>
      </c>
      <c r="AH30" s="555">
        <f t="shared" si="13"/>
        <v>8.5146678844521482</v>
      </c>
      <c r="AJ30" s="555">
        <f t="shared" si="14"/>
        <v>2.3935203407294185</v>
      </c>
      <c r="AL30" s="558">
        <f t="shared" si="15"/>
        <v>2196.7975468568593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68" si="18">AR29*(1+$E30)</f>
        <v>2.4775859496653472</v>
      </c>
      <c r="AS30" s="555"/>
      <c r="AT30" s="558">
        <f t="shared" si="6"/>
        <v>904.79064422968668</v>
      </c>
      <c r="AV30" s="558">
        <f t="shared" si="7"/>
        <v>6710.2514833003615</v>
      </c>
      <c r="AW30" s="560"/>
      <c r="AX30" s="561">
        <f t="shared" si="8"/>
        <v>7615.0421275300487</v>
      </c>
      <c r="AZ30" s="544">
        <f>+IF(AZ29&gt;$G$13+$G$14,XX,AZ29+1)</f>
        <v>2011</v>
      </c>
      <c r="BA30" s="503"/>
      <c r="BB30" s="555">
        <f t="shared" si="16"/>
        <v>40.695309822029557</v>
      </c>
      <c r="BD30" s="555">
        <f t="shared" si="17"/>
        <v>6.1874449729672474</v>
      </c>
      <c r="BF30" s="558">
        <f t="shared" si="9"/>
        <v>1292.0069026271726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124793</v>
      </c>
      <c r="I31" s="553">
        <f t="shared" si="10"/>
        <v>191.63886975982845</v>
      </c>
      <c r="K31" s="553">
        <f t="shared" si="10"/>
        <v>9.574519108799997</v>
      </c>
      <c r="M31" s="553">
        <f t="shared" si="11"/>
        <v>0</v>
      </c>
      <c r="O31" s="552">
        <v>5.4772233376778976</v>
      </c>
      <c r="Q31" s="553">
        <f>-'(2.2)_Forward_Price_Curve'!AG21</f>
        <v>-35.45584940933778</v>
      </c>
      <c r="S31" s="475">
        <f t="shared" si="0"/>
        <v>4927.6262004171358</v>
      </c>
      <c r="U31" s="475">
        <f t="shared" si="1"/>
        <v>7316.6458020828404</v>
      </c>
      <c r="W31" s="475">
        <f t="shared" si="2"/>
        <v>-2389.0196016657046</v>
      </c>
      <c r="Y31" s="554">
        <f t="shared" si="3"/>
        <v>-19.143859043902339</v>
      </c>
      <c r="Z31" s="516"/>
      <c r="AB31" s="544">
        <f>+IF(AB30&gt;$G$13+$G$14,XX,AB30+1)</f>
        <v>2012</v>
      </c>
      <c r="AC31" s="503"/>
      <c r="AD31" s="488">
        <f t="shared" si="4"/>
        <v>124793</v>
      </c>
      <c r="AF31" s="555">
        <f t="shared" si="12"/>
        <v>61.602511188847323</v>
      </c>
      <c r="AH31" s="555">
        <f t="shared" si="13"/>
        <v>8.6849612421411919</v>
      </c>
      <c r="AJ31" s="555">
        <f t="shared" si="14"/>
        <v>2.4413907475440069</v>
      </c>
      <c r="AL31" s="558">
        <f t="shared" si="15"/>
        <v>2241.6685504503057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8"/>
        <v>2.527137668658654</v>
      </c>
      <c r="AS31" s="555"/>
      <c r="AT31" s="558">
        <f t="shared" si="6"/>
        <v>923.8215097705895</v>
      </c>
      <c r="AV31" s="558">
        <f t="shared" si="7"/>
        <v>6392.8242923122507</v>
      </c>
      <c r="AW31" s="560"/>
      <c r="AX31" s="561">
        <f t="shared" si="8"/>
        <v>7316.6458020828404</v>
      </c>
      <c r="AZ31" s="544">
        <f>+IF(AZ30&gt;$G$13+$G$14,XX,AZ30+1)</f>
        <v>2012</v>
      </c>
      <c r="BA31" s="503"/>
      <c r="BB31" s="555">
        <f t="shared" si="16"/>
        <v>41.509216018470148</v>
      </c>
      <c r="BD31" s="555">
        <f t="shared" si="17"/>
        <v>6.3111938724265926</v>
      </c>
      <c r="BF31" s="558">
        <f t="shared" si="9"/>
        <v>1317.8470406797162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124410</v>
      </c>
      <c r="I32" s="553">
        <f t="shared" si="10"/>
        <v>195.28000828526518</v>
      </c>
      <c r="K32" s="553">
        <f t="shared" si="10"/>
        <v>9.7564349718671952</v>
      </c>
      <c r="M32" s="553">
        <f t="shared" si="11"/>
        <v>0</v>
      </c>
      <c r="O32" s="552">
        <v>5.5867678044314557</v>
      </c>
      <c r="Q32" s="553">
        <f>-'(2.2)_Forward_Price_Curve'!AG22</f>
        <v>-37.067478927944045</v>
      </c>
      <c r="S32" s="475">
        <f t="shared" si="0"/>
        <v>4913.2031270991374</v>
      </c>
      <c r="U32" s="475">
        <f t="shared" si="1"/>
        <v>7316.9097914346567</v>
      </c>
      <c r="W32" s="475">
        <f t="shared" si="2"/>
        <v>-2403.7066643355192</v>
      </c>
      <c r="Y32" s="554">
        <f t="shared" si="3"/>
        <v>-19.320847715903216</v>
      </c>
      <c r="Z32" s="516"/>
      <c r="AB32" s="544">
        <f>+IF(AB31&gt;$G$13+$G$14,XX,AB31+1)</f>
        <v>2013</v>
      </c>
      <c r="AC32" s="503"/>
      <c r="AD32" s="488">
        <f t="shared" si="4"/>
        <v>124410</v>
      </c>
      <c r="AF32" s="555">
        <f t="shared" si="12"/>
        <v>62.772958901435416</v>
      </c>
      <c r="AH32" s="555">
        <f t="shared" si="13"/>
        <v>8.8499755057418739</v>
      </c>
      <c r="AJ32" s="555">
        <f t="shared" si="14"/>
        <v>2.4877771717473429</v>
      </c>
      <c r="AL32" s="558">
        <f t="shared" si="15"/>
        <v>2283.3074342520822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8"/>
        <v>2.5751532843631684</v>
      </c>
      <c r="AS32" s="555"/>
      <c r="AT32" s="558">
        <f t="shared" si="6"/>
        <v>940.42129979945162</v>
      </c>
      <c r="AV32" s="558">
        <f t="shared" si="7"/>
        <v>6376.4884916352048</v>
      </c>
      <c r="AW32" s="560"/>
      <c r="AX32" s="561">
        <f t="shared" si="8"/>
        <v>7316.9097914346567</v>
      </c>
      <c r="AZ32" s="544">
        <f>+IF(AZ31&gt;$G$13+$G$14,XX,AZ31+1)</f>
        <v>2013</v>
      </c>
      <c r="BA32" s="503"/>
      <c r="BB32" s="555">
        <f t="shared" si="16"/>
        <v>42.297891122821078</v>
      </c>
      <c r="BD32" s="555">
        <f t="shared" si="17"/>
        <v>6.431106556002697</v>
      </c>
      <c r="BF32" s="558">
        <f t="shared" si="9"/>
        <v>1342.8861344526306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124410</v>
      </c>
      <c r="I33" s="553">
        <f t="shared" si="10"/>
        <v>198.79504843439994</v>
      </c>
      <c r="K33" s="553">
        <f t="shared" si="10"/>
        <v>9.9320508013608055</v>
      </c>
      <c r="M33" s="553">
        <f t="shared" si="11"/>
        <v>0</v>
      </c>
      <c r="O33" s="552">
        <v>5.6929163927156532</v>
      </c>
      <c r="Q33" s="553">
        <f>-'(2.2)_Forward_Price_Curve'!AG23</f>
        <v>-37.067478927944045</v>
      </c>
      <c r="S33" s="475">
        <f t="shared" si="0"/>
        <v>5085.3440041311314</v>
      </c>
      <c r="U33" s="475">
        <f t="shared" si="1"/>
        <v>7533.5171520088124</v>
      </c>
      <c r="W33" s="475">
        <f t="shared" si="2"/>
        <v>-2448.173147877681</v>
      </c>
      <c r="Y33" s="554">
        <f t="shared" si="3"/>
        <v>-19.678266601379963</v>
      </c>
      <c r="Z33" s="516"/>
      <c r="AB33" s="544">
        <f>+IF(AB32&gt;$G$13+$G$14,XX,AB32+1)</f>
        <v>2014</v>
      </c>
      <c r="AC33" s="503"/>
      <c r="AD33" s="488">
        <f t="shared" si="4"/>
        <v>124410</v>
      </c>
      <c r="AF33" s="555">
        <f t="shared" si="12"/>
        <v>63.902872161661257</v>
      </c>
      <c r="AH33" s="555">
        <f t="shared" si="13"/>
        <v>9.0092750648452284</v>
      </c>
      <c r="AJ33" s="555">
        <f t="shared" si="14"/>
        <v>2.5325571608387953</v>
      </c>
      <c r="AL33" s="558">
        <f t="shared" si="15"/>
        <v>2324.4069680686198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8"/>
        <v>2.6215060434817055</v>
      </c>
      <c r="AS33" s="555"/>
      <c r="AT33" s="558">
        <f t="shared" si="6"/>
        <v>957.34888319584184</v>
      </c>
      <c r="AV33" s="558">
        <f t="shared" si="7"/>
        <v>6576.1682688129704</v>
      </c>
      <c r="AW33" s="560"/>
      <c r="AX33" s="561">
        <f t="shared" si="8"/>
        <v>7533.5171520088124</v>
      </c>
      <c r="AZ33" s="544">
        <f>+IF(AZ32&gt;$G$13+$G$14,XX,AZ32+1)</f>
        <v>2014</v>
      </c>
      <c r="BA33" s="503"/>
      <c r="BB33" s="555">
        <f t="shared" si="16"/>
        <v>43.059253163031855</v>
      </c>
      <c r="BD33" s="555">
        <f t="shared" si="17"/>
        <v>6.5468664740107458</v>
      </c>
      <c r="BF33" s="558">
        <f t="shared" si="9"/>
        <v>1367.058084872778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124410</v>
      </c>
      <c r="I34" s="553">
        <f t="shared" si="10"/>
        <v>202.37335930621916</v>
      </c>
      <c r="K34" s="553">
        <f t="shared" si="10"/>
        <v>10.1108277157853</v>
      </c>
      <c r="M34" s="553">
        <f t="shared" si="11"/>
        <v>0</v>
      </c>
      <c r="O34" s="552">
        <v>5.7953888877845348</v>
      </c>
      <c r="Q34" s="553">
        <f>-'(2.2)_Forward_Price_Curve'!AG24</f>
        <v>-37.067478927944045</v>
      </c>
      <c r="S34" s="475">
        <f t="shared" si="0"/>
        <v>5259.888367167152</v>
      </c>
      <c r="U34" s="475">
        <f t="shared" si="1"/>
        <v>7920.3690982021844</v>
      </c>
      <c r="W34" s="475">
        <f t="shared" si="2"/>
        <v>-2660.4807310350325</v>
      </c>
      <c r="Y34" s="554">
        <f t="shared" si="3"/>
        <v>-21.384782019411883</v>
      </c>
      <c r="Z34" s="516"/>
      <c r="AB34" s="544">
        <f>+IF(AB33&gt;$G$13+$G$14,XX,AB33+1)</f>
        <v>2015</v>
      </c>
      <c r="AC34" s="503"/>
      <c r="AD34" s="488">
        <f t="shared" si="4"/>
        <v>124410</v>
      </c>
      <c r="AF34" s="555">
        <f t="shared" si="12"/>
        <v>65.053123860571162</v>
      </c>
      <c r="AH34" s="555">
        <f t="shared" si="13"/>
        <v>9.1714420160124419</v>
      </c>
      <c r="AJ34" s="555">
        <f t="shared" si="14"/>
        <v>2.5781431897338938</v>
      </c>
      <c r="AL34" s="558">
        <f t="shared" si="15"/>
        <v>2366.2462934938549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8"/>
        <v>2.6686931522643764</v>
      </c>
      <c r="AS34" s="555"/>
      <c r="AT34" s="558">
        <f t="shared" si="6"/>
        <v>974.58116309336697</v>
      </c>
      <c r="AV34" s="558">
        <f t="shared" si="7"/>
        <v>6945.7879351088177</v>
      </c>
      <c r="AW34" s="560"/>
      <c r="AX34" s="561">
        <f t="shared" si="8"/>
        <v>7920.3690982021844</v>
      </c>
      <c r="AZ34" s="544">
        <f>+IF(AZ33&gt;$G$13+$G$14,XX,AZ33+1)</f>
        <v>2015</v>
      </c>
      <c r="BA34" s="503"/>
      <c r="BB34" s="555">
        <f t="shared" si="16"/>
        <v>43.83431971996643</v>
      </c>
      <c r="BD34" s="555">
        <f t="shared" si="17"/>
        <v>6.664710070542939</v>
      </c>
      <c r="BF34" s="558">
        <f t="shared" si="9"/>
        <v>1391.6651304004879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124750.84931506851</v>
      </c>
      <c r="I35" s="553">
        <f t="shared" si="10"/>
        <v>206.01607977373109</v>
      </c>
      <c r="K35" s="553">
        <f t="shared" si="10"/>
        <v>10.292822614669436</v>
      </c>
      <c r="M35" s="553">
        <f t="shared" si="11"/>
        <v>0</v>
      </c>
      <c r="O35" s="552">
        <v>5.8997058877646564</v>
      </c>
      <c r="Q35" s="553">
        <f>-'(2.2)_Forward_Price_Curve'!AG25</f>
        <v>-37.067478927944045</v>
      </c>
      <c r="S35" s="475">
        <f t="shared" si="0"/>
        <v>5430.4593161831945</v>
      </c>
      <c r="U35" s="475">
        <f t="shared" si="1"/>
        <v>8512.0279769361168</v>
      </c>
      <c r="W35" s="475">
        <f t="shared" si="2"/>
        <v>-3081.5686607529224</v>
      </c>
      <c r="Y35" s="554">
        <f t="shared" si="3"/>
        <v>-24.701785019276041</v>
      </c>
      <c r="Z35" s="516"/>
      <c r="AB35" s="544">
        <f>+IF(AB34&gt;$G$13+$G$14,XX,AB34+1)</f>
        <v>2016</v>
      </c>
      <c r="AC35" s="503"/>
      <c r="AD35" s="488">
        <f t="shared" si="4"/>
        <v>124750.84931506851</v>
      </c>
      <c r="AF35" s="555">
        <f t="shared" si="12"/>
        <v>66.224080090061449</v>
      </c>
      <c r="AH35" s="555">
        <f t="shared" si="13"/>
        <v>9.3365279723006669</v>
      </c>
      <c r="AJ35" s="555">
        <f t="shared" si="14"/>
        <v>2.6245497671491038</v>
      </c>
      <c r="AL35" s="558">
        <f t="shared" si="15"/>
        <v>2409.7333027672403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8"/>
        <v>2.716729629005135</v>
      </c>
      <c r="AS35" s="555"/>
      <c r="AT35" s="558">
        <f t="shared" si="6"/>
        <v>993.01820001954366</v>
      </c>
      <c r="AV35" s="558">
        <f t="shared" si="7"/>
        <v>7519.0097769165732</v>
      </c>
      <c r="AW35" s="560"/>
      <c r="AX35" s="561">
        <f t="shared" si="8"/>
        <v>8512.0279769361168</v>
      </c>
      <c r="AZ35" s="544">
        <f>+IF(AZ34&gt;$G$13+$G$14,XX,AZ34+1)</f>
        <v>2016</v>
      </c>
      <c r="BA35" s="503"/>
      <c r="BB35" s="555">
        <f t="shared" si="16"/>
        <v>44.623337474925826</v>
      </c>
      <c r="BD35" s="555">
        <f t="shared" si="17"/>
        <v>6.7846748518127118</v>
      </c>
      <c r="BF35" s="558">
        <f t="shared" si="9"/>
        <v>1416.7151027476966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124410</v>
      </c>
      <c r="I36" s="553">
        <f t="shared" si="10"/>
        <v>209.72436920965825</v>
      </c>
      <c r="K36" s="553">
        <f t="shared" si="10"/>
        <v>10.478093421733487</v>
      </c>
      <c r="M36" s="553">
        <f t="shared" si="11"/>
        <v>0</v>
      </c>
      <c r="O36" s="552">
        <v>6.0059005937444203</v>
      </c>
      <c r="Q36" s="553">
        <f>-'(2.2)_Forward_Price_Curve'!AG26</f>
        <v>-38.679108446550309</v>
      </c>
      <c r="S36" s="475">
        <f t="shared" si="0"/>
        <v>5417.9562128069547</v>
      </c>
      <c r="U36" s="475">
        <f t="shared" si="1"/>
        <v>9080.0270623695451</v>
      </c>
      <c r="W36" s="475">
        <f t="shared" si="2"/>
        <v>-3662.0708495625904</v>
      </c>
      <c r="Y36" s="554">
        <f t="shared" si="3"/>
        <v>-29.435502367676154</v>
      </c>
      <c r="Z36" s="516"/>
      <c r="AB36" s="544">
        <f>+IF(AB35&gt;$G$13+$G$14,XX,AB35+1)</f>
        <v>2017</v>
      </c>
      <c r="AC36" s="503"/>
      <c r="AD36" s="488">
        <f t="shared" si="4"/>
        <v>124410</v>
      </c>
      <c r="AF36" s="555">
        <f t="shared" si="12"/>
        <v>67.416113531682555</v>
      </c>
      <c r="AH36" s="555">
        <f t="shared" si="13"/>
        <v>9.5045854758020791</v>
      </c>
      <c r="AJ36" s="555">
        <f t="shared" si="14"/>
        <v>2.6717916629577876</v>
      </c>
      <c r="AL36" s="558">
        <f t="shared" si="15"/>
        <v>2452.1978238587258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8"/>
        <v>2.7656307623272274</v>
      </c>
      <c r="AS36" s="555"/>
      <c r="AT36" s="558">
        <f t="shared" si="6"/>
        <v>1009.9818492615705</v>
      </c>
      <c r="AV36" s="558">
        <f t="shared" si="7"/>
        <v>8070.0452131079746</v>
      </c>
      <c r="AW36" s="560"/>
      <c r="AX36" s="561">
        <f t="shared" si="8"/>
        <v>9080.0270623695451</v>
      </c>
      <c r="AZ36" s="544">
        <f>+IF(AZ35&gt;$G$13+$G$14,XX,AZ35+1)</f>
        <v>2017</v>
      </c>
      <c r="BA36" s="503"/>
      <c r="BB36" s="555">
        <f t="shared" si="16"/>
        <v>45.426557549474495</v>
      </c>
      <c r="BD36" s="555">
        <f t="shared" si="17"/>
        <v>6.9067989991453409</v>
      </c>
      <c r="BF36" s="558">
        <f t="shared" si="9"/>
        <v>1442.2159745971553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124410</v>
      </c>
      <c r="I37" s="553">
        <f t="shared" si="10"/>
        <v>213.49940785543211</v>
      </c>
      <c r="K37" s="553">
        <f t="shared" si="10"/>
        <v>10.666699103324689</v>
      </c>
      <c r="M37" s="553">
        <f t="shared" si="11"/>
        <v>0</v>
      </c>
      <c r="O37" s="552">
        <v>6.1140068044318197</v>
      </c>
      <c r="Q37" s="553">
        <f>-'(2.2)_Forward_Price_Curve'!AG27</f>
        <v>-38.679108446550309</v>
      </c>
      <c r="S37" s="475">
        <f t="shared" si="0"/>
        <v>5602.0966465105157</v>
      </c>
      <c r="U37" s="475">
        <f t="shared" si="1"/>
        <v>9610.9772430633402</v>
      </c>
      <c r="W37" s="475">
        <f t="shared" si="2"/>
        <v>-4008.8805965528245</v>
      </c>
      <c r="Y37" s="554">
        <f t="shared" si="3"/>
        <v>-32.223137983705691</v>
      </c>
      <c r="Z37" s="516"/>
      <c r="AB37" s="544">
        <f>+IF(AB36&gt;$G$13+$G$14,XX,AB36+1)</f>
        <v>2018</v>
      </c>
      <c r="AC37" s="503"/>
      <c r="AD37" s="488">
        <f t="shared" si="4"/>
        <v>124410</v>
      </c>
      <c r="AF37" s="555">
        <f t="shared" si="12"/>
        <v>68.629603575252844</v>
      </c>
      <c r="AH37" s="555">
        <f t="shared" si="13"/>
        <v>9.6756680143665168</v>
      </c>
      <c r="AJ37" s="555">
        <f t="shared" si="14"/>
        <v>2.7198839128910279</v>
      </c>
      <c r="AL37" s="558">
        <f t="shared" si="15"/>
        <v>2496.3373846881827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8"/>
        <v>2.8154121160491177</v>
      </c>
      <c r="AS37" s="555"/>
      <c r="AT37" s="558">
        <f t="shared" si="6"/>
        <v>1028.1615225482785</v>
      </c>
      <c r="AV37" s="558">
        <f t="shared" si="7"/>
        <v>8582.8157205150619</v>
      </c>
      <c r="AW37" s="560"/>
      <c r="AX37" s="561">
        <f t="shared" si="8"/>
        <v>9610.9772430633402</v>
      </c>
      <c r="AZ37" s="544">
        <f>+IF(AZ36&gt;$G$13+$G$14,XX,AZ36+1)</f>
        <v>2018</v>
      </c>
      <c r="BA37" s="503"/>
      <c r="BB37" s="555">
        <f t="shared" si="16"/>
        <v>46.24423558536504</v>
      </c>
      <c r="BD37" s="555">
        <f t="shared" si="17"/>
        <v>7.0311213811299575</v>
      </c>
      <c r="BF37" s="558">
        <f t="shared" si="9"/>
        <v>1468.1758621399042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128916.32608695648</v>
      </c>
      <c r="I38" s="725">
        <v>233.64815473251235</v>
      </c>
      <c r="K38" s="613">
        <v>10.777120355497136</v>
      </c>
      <c r="M38" s="553">
        <f t="shared" si="11"/>
        <v>0</v>
      </c>
      <c r="O38" s="613">
        <v>1.1100000000000001</v>
      </c>
      <c r="Q38" s="613">
        <v>-22.382808254915417</v>
      </c>
      <c r="S38" s="475">
        <f t="shared" si="0"/>
        <v>7759.2125108196515</v>
      </c>
      <c r="U38" s="475">
        <f t="shared" si="1"/>
        <v>11443.830274489714</v>
      </c>
      <c r="W38" s="475">
        <f t="shared" si="2"/>
        <v>-3684.6177636700622</v>
      </c>
      <c r="Y38" s="554">
        <f t="shared" si="3"/>
        <v>-28.581467340177831</v>
      </c>
      <c r="Z38" s="516"/>
      <c r="AB38" s="422">
        <f>+IF(AB37&gt;$G$13+$G$14,XX,AB37+1)</f>
        <v>2019</v>
      </c>
      <c r="AC38" s="503"/>
      <c r="AD38" s="488">
        <f t="shared" si="4"/>
        <v>128916.32608695648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5"/>
        <v>3531.2020299803144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2036.5990023218917</v>
      </c>
      <c r="AV38" s="558">
        <f t="shared" si="7"/>
        <v>9407.2312721678227</v>
      </c>
      <c r="AW38" s="560"/>
      <c r="AX38" s="561">
        <f t="shared" si="8"/>
        <v>11443.830274489714</v>
      </c>
      <c r="AZ38" s="429">
        <f>+IF(AZ37&gt;$G$13+$G$14,XX,AZ37+1)</f>
        <v>2019</v>
      </c>
      <c r="BA38" s="503"/>
      <c r="BB38" s="445">
        <f t="shared" si="16"/>
        <v>47.076631825901615</v>
      </c>
      <c r="BD38" s="445">
        <f t="shared" si="17"/>
        <v>7.1576815659902966</v>
      </c>
      <c r="BF38" s="558">
        <f t="shared" si="9"/>
        <v>1494.6030276584227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134848.32608695651</v>
      </c>
      <c r="I39" s="726">
        <v>306.3420991805142</v>
      </c>
      <c r="K39" s="625">
        <v>13.948531212618697</v>
      </c>
      <c r="M39" s="553">
        <f t="shared" si="11"/>
        <v>0</v>
      </c>
      <c r="O39" s="625">
        <v>0.63</v>
      </c>
      <c r="Q39" s="625">
        <v>-33.150783021494966</v>
      </c>
      <c r="S39" s="475">
        <f t="shared" si="0"/>
        <v>9442.9047999476388</v>
      </c>
      <c r="U39" s="475">
        <f t="shared" si="1"/>
        <v>5050.3614745134801</v>
      </c>
      <c r="W39" s="475">
        <f t="shared" si="2"/>
        <v>4392.5433254341588</v>
      </c>
      <c r="Y39" s="554">
        <f t="shared" si="3"/>
        <v>32.573955145736413</v>
      </c>
      <c r="Z39" s="516"/>
      <c r="AB39" s="423">
        <f>+IF(AB38&gt;$I$13+$I$14,XX,AB38+1)</f>
        <v>2020</v>
      </c>
      <c r="AC39" s="503"/>
      <c r="AD39" s="488">
        <f t="shared" si="4"/>
        <v>134848.32608695651</v>
      </c>
      <c r="AF39" s="555">
        <f t="shared" ref="AF39:AF68" si="19">AF38*(1+$E39)</f>
        <v>101.14988775589339</v>
      </c>
      <c r="AH39" s="555">
        <f t="shared" ref="AH39:AH68" si="20">AH38*(1+$E39)</f>
        <v>20.260761973544962</v>
      </c>
      <c r="AJ39" s="555">
        <f t="shared" ref="AJ39:AJ68" si="21">AJ38*(1+$E39)</f>
        <v>2.0676516575367789</v>
      </c>
      <c r="AL39" s="558">
        <f t="shared" si="15"/>
        <v>3624.6849863023699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2095.7060890078037</v>
      </c>
      <c r="AV39" s="558">
        <f t="shared" si="7"/>
        <v>2954.6553855056763</v>
      </c>
      <c r="AW39" s="560"/>
      <c r="AX39" s="561">
        <f t="shared" si="8"/>
        <v>5050.3614745134801</v>
      </c>
      <c r="AZ39" s="430">
        <f>+IF(AZ38&gt;$I$13+$I$14,XX,AZ38+1)</f>
        <v>2020</v>
      </c>
      <c r="BA39" s="503"/>
      <c r="BB39" s="555">
        <f t="shared" si="16"/>
        <v>48.159394357897348</v>
      </c>
      <c r="BD39" s="555">
        <f t="shared" si="17"/>
        <v>7.3223082420080727</v>
      </c>
      <c r="BF39" s="558">
        <f t="shared" si="9"/>
        <v>1528.9788972945662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134847.32608695651</v>
      </c>
      <c r="I40" s="726">
        <v>313.76794066935872</v>
      </c>
      <c r="K40" s="625">
        <v>14.244270562919027</v>
      </c>
      <c r="M40" s="553">
        <f t="shared" si="11"/>
        <v>0</v>
      </c>
      <c r="O40" s="625">
        <v>0.6399999999999999</v>
      </c>
      <c r="Q40" s="625">
        <v>-34.476814342354764</v>
      </c>
      <c r="S40" s="475">
        <f t="shared" si="0"/>
        <v>9594.9475462064474</v>
      </c>
      <c r="U40" s="475">
        <f t="shared" si="1"/>
        <v>5291.6652023198294</v>
      </c>
      <c r="W40" s="475">
        <f t="shared" si="2"/>
        <v>4303.282343886618</v>
      </c>
      <c r="Y40" s="554">
        <f t="shared" si="3"/>
        <v>31.912255650598805</v>
      </c>
      <c r="Z40" s="516"/>
      <c r="AB40" s="423">
        <f>+IF(AB39&gt;$I$13+$I$14,XX,AB39+1)</f>
        <v>2021</v>
      </c>
      <c r="AC40" s="503"/>
      <c r="AD40" s="488">
        <f t="shared" si="4"/>
        <v>134847.32608695651</v>
      </c>
      <c r="AF40" s="555">
        <f t="shared" si="19"/>
        <v>103.77978483754661</v>
      </c>
      <c r="AH40" s="555">
        <f t="shared" si="20"/>
        <v>20.787541784857133</v>
      </c>
      <c r="AJ40" s="555">
        <f t="shared" si="21"/>
        <v>2.1214106006327351</v>
      </c>
      <c r="AL40" s="558">
        <f t="shared" si="15"/>
        <v>3718.9246745356309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8"/>
        <v>2.3938982129262119</v>
      </c>
      <c r="AS40" s="555"/>
      <c r="AT40" s="558">
        <f t="shared" si="6"/>
        <v>2150.1923259114055</v>
      </c>
      <c r="AV40" s="558">
        <f t="shared" si="7"/>
        <v>3141.4728764084243</v>
      </c>
      <c r="AW40" s="560"/>
      <c r="AX40" s="561">
        <f t="shared" si="8"/>
        <v>5291.6652023198294</v>
      </c>
      <c r="AZ40" s="430">
        <f>+IF(AZ39&gt;$I$13+$I$14,XX,AZ39+1)</f>
        <v>2021</v>
      </c>
      <c r="BA40" s="503"/>
      <c r="BB40" s="555">
        <f t="shared" si="16"/>
        <v>49.41153861120268</v>
      </c>
      <c r="BD40" s="555">
        <f t="shared" si="17"/>
        <v>7.512688256300283</v>
      </c>
      <c r="BF40" s="558">
        <f t="shared" si="9"/>
        <v>1568.7323486242251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134847.32608695651</v>
      </c>
      <c r="I41" s="726">
        <v>321.21291068984897</v>
      </c>
      <c r="K41" s="625">
        <v>14.571888785866163</v>
      </c>
      <c r="M41" s="553">
        <f t="shared" si="11"/>
        <v>0</v>
      </c>
      <c r="O41" s="625">
        <v>0.66</v>
      </c>
      <c r="Q41" s="625">
        <v>-34.476814342354764</v>
      </c>
      <c r="S41" s="475">
        <f t="shared" si="0"/>
        <v>9932.1767648690875</v>
      </c>
      <c r="U41" s="475">
        <f t="shared" si="1"/>
        <v>5481.4209638652392</v>
      </c>
      <c r="W41" s="475">
        <f t="shared" si="2"/>
        <v>4450.7558010038483</v>
      </c>
      <c r="Y41" s="554">
        <f t="shared" si="3"/>
        <v>33.005888438112379</v>
      </c>
      <c r="Z41" s="516"/>
      <c r="AB41" s="423">
        <f>+IF(AB40&gt;$I$13+$I$14,XX,AB40+1)</f>
        <v>2022</v>
      </c>
      <c r="AC41" s="503"/>
      <c r="AD41" s="488">
        <f t="shared" si="4"/>
        <v>134847.32608695651</v>
      </c>
      <c r="AF41" s="555">
        <f t="shared" si="19"/>
        <v>106.27049967364773</v>
      </c>
      <c r="AH41" s="555">
        <f t="shared" si="20"/>
        <v>21.286442787693705</v>
      </c>
      <c r="AJ41" s="555">
        <f t="shared" si="21"/>
        <v>2.1723244550479208</v>
      </c>
      <c r="AL41" s="558">
        <f t="shared" si="15"/>
        <v>3808.1788667244855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8"/>
        <v>2.4513517700364411</v>
      </c>
      <c r="AS41" s="555"/>
      <c r="AT41" s="558">
        <f t="shared" si="6"/>
        <v>2201.7969417332788</v>
      </c>
      <c r="AV41" s="558">
        <f t="shared" si="7"/>
        <v>3279.6240221319599</v>
      </c>
      <c r="AW41" s="560"/>
      <c r="AX41" s="561">
        <f t="shared" si="8"/>
        <v>5481.4209638652392</v>
      </c>
      <c r="AZ41" s="430">
        <f>+IF(AZ40&gt;$I$13+$I$14,XX,AZ40+1)</f>
        <v>2022</v>
      </c>
      <c r="BA41" s="503"/>
      <c r="BB41" s="555">
        <f t="shared" si="16"/>
        <v>50.597415537871548</v>
      </c>
      <c r="BD41" s="555">
        <f t="shared" si="17"/>
        <v>7.6929927744514899</v>
      </c>
      <c r="BF41" s="558">
        <f t="shared" si="9"/>
        <v>1606.3819249912065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134847.32608695651</v>
      </c>
      <c r="I42" s="726">
        <v>328.7923179455297</v>
      </c>
      <c r="K42" s="625">
        <v>14.907042227941082</v>
      </c>
      <c r="M42" s="553">
        <f t="shared" si="11"/>
        <v>0</v>
      </c>
      <c r="O42" s="625">
        <v>0.67</v>
      </c>
      <c r="Q42" s="625">
        <v>-35.802845663214569</v>
      </c>
      <c r="S42" s="475">
        <f t="shared" si="0"/>
        <v>10095.504888668649</v>
      </c>
      <c r="U42" s="475">
        <f t="shared" si="1"/>
        <v>5997.4742580104703</v>
      </c>
      <c r="W42" s="475">
        <f t="shared" si="2"/>
        <v>4098.0306306581788</v>
      </c>
      <c r="Y42" s="554">
        <f t="shared" si="3"/>
        <v>30.390151214533962</v>
      </c>
      <c r="Z42" s="516"/>
      <c r="AB42" s="423">
        <f>+IF(AB41&gt;$I$13+$I$14,XX,AB41+1)</f>
        <v>2023</v>
      </c>
      <c r="AC42" s="503"/>
      <c r="AD42" s="488">
        <f t="shared" si="4"/>
        <v>134847.32608695651</v>
      </c>
      <c r="AF42" s="555">
        <f t="shared" si="19"/>
        <v>108.71472116614163</v>
      </c>
      <c r="AH42" s="555">
        <f t="shared" si="20"/>
        <v>21.776030971810659</v>
      </c>
      <c r="AJ42" s="555">
        <f t="shared" si="21"/>
        <v>2.2222879175140227</v>
      </c>
      <c r="AL42" s="558">
        <f t="shared" si="15"/>
        <v>3895.7669806591484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si="18"/>
        <v>2.5077328607472791</v>
      </c>
      <c r="AS42" s="555"/>
      <c r="AT42" s="558">
        <f t="shared" si="6"/>
        <v>2252.4382713931441</v>
      </c>
      <c r="AV42" s="558">
        <f t="shared" si="7"/>
        <v>3745.0359866173262</v>
      </c>
      <c r="AW42" s="560"/>
      <c r="AX42" s="561">
        <f t="shared" si="8"/>
        <v>5997.4742580104703</v>
      </c>
      <c r="AZ42" s="430">
        <f>+IF(AZ41&gt;$I$13+$I$14,XX,AZ41+1)</f>
        <v>2023</v>
      </c>
      <c r="BA42" s="503"/>
      <c r="BB42" s="555">
        <f t="shared" si="16"/>
        <v>51.76115609524259</v>
      </c>
      <c r="BD42" s="555">
        <f t="shared" si="17"/>
        <v>7.8699316082638733</v>
      </c>
      <c r="BF42" s="558">
        <f t="shared" si="9"/>
        <v>1643.3287092660044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134848.32608695651</v>
      </c>
      <c r="I43" s="726">
        <v>336.39078823153659</v>
      </c>
      <c r="K43" s="625">
        <v>15.291684758633549</v>
      </c>
      <c r="M43" s="553">
        <f t="shared" si="11"/>
        <v>0</v>
      </c>
      <c r="O43" s="625">
        <v>0.69</v>
      </c>
      <c r="Q43" s="625">
        <v>-35.802845663214569</v>
      </c>
      <c r="S43" s="475">
        <f t="shared" si="0"/>
        <v>10446.390371946953</v>
      </c>
      <c r="U43" s="475">
        <f t="shared" si="1"/>
        <v>6524.147631109312</v>
      </c>
      <c r="W43" s="475">
        <f t="shared" si="2"/>
        <v>3922.2427408376407</v>
      </c>
      <c r="Y43" s="554">
        <f t="shared" si="3"/>
        <v>29.086328726901623</v>
      </c>
      <c r="Z43" s="516"/>
      <c r="AB43" s="423">
        <f>+IF(AB42&gt;$I$13+$I$14,XX,AB42+1)</f>
        <v>2024</v>
      </c>
      <c r="AC43" s="503"/>
      <c r="AD43" s="488">
        <f t="shared" si="4"/>
        <v>134848.32608695651</v>
      </c>
      <c r="AF43" s="555">
        <f t="shared" si="19"/>
        <v>111.21515975296288</v>
      </c>
      <c r="AH43" s="555">
        <f t="shared" si="20"/>
        <v>22.276879684162303</v>
      </c>
      <c r="AJ43" s="555">
        <f t="shared" si="21"/>
        <v>2.2734005396168451</v>
      </c>
      <c r="AL43" s="558">
        <f t="shared" si="15"/>
        <v>3985.3718946148488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18"/>
        <v>2.5654107165444664</v>
      </c>
      <c r="AS43" s="555"/>
      <c r="AT43" s="558">
        <f t="shared" si="6"/>
        <v>2304.2466250357265</v>
      </c>
      <c r="AV43" s="558">
        <f t="shared" si="7"/>
        <v>4219.9010060735854</v>
      </c>
      <c r="AW43" s="560"/>
      <c r="AX43" s="561">
        <f t="shared" si="8"/>
        <v>6524.147631109312</v>
      </c>
      <c r="AZ43" s="430">
        <f>+IF(AZ42&gt;$I$13+$I$14,XX,AZ42+1)</f>
        <v>2024</v>
      </c>
      <c r="BA43" s="503"/>
      <c r="BB43" s="555">
        <f t="shared" si="16"/>
        <v>52.951662685433163</v>
      </c>
      <c r="BD43" s="555">
        <f t="shared" si="17"/>
        <v>8.0509400352539409</v>
      </c>
      <c r="BF43" s="558">
        <f t="shared" si="9"/>
        <v>1681.1252695791222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134847.32608695651</v>
      </c>
      <c r="I44" s="726">
        <v>343.83892681169613</v>
      </c>
      <c r="K44" s="625">
        <v>15.585402091565767</v>
      </c>
      <c r="M44" s="553">
        <f t="shared" si="11"/>
        <v>0</v>
      </c>
      <c r="O44" s="625">
        <v>0.69999999999999984</v>
      </c>
      <c r="Q44" s="625">
        <v>-37.128876984074367</v>
      </c>
      <c r="S44" s="475">
        <f t="shared" si="0"/>
        <v>10599.03129004075</v>
      </c>
      <c r="U44" s="475">
        <f t="shared" si="1"/>
        <v>6736.8275979454957</v>
      </c>
      <c r="W44" s="475">
        <f t="shared" si="2"/>
        <v>3862.2036920952542</v>
      </c>
      <c r="Y44" s="554">
        <f t="shared" si="3"/>
        <v>28.641307204005706</v>
      </c>
      <c r="Z44" s="516"/>
      <c r="AB44" s="423">
        <f>+IF(AB43&gt;$I$13+$I$14,XX,AB43+1)</f>
        <v>2025</v>
      </c>
      <c r="AC44" s="503"/>
      <c r="AD44" s="488">
        <f t="shared" si="4"/>
        <v>134847.32608695651</v>
      </c>
      <c r="AF44" s="555">
        <f t="shared" si="19"/>
        <v>113.77310842728102</v>
      </c>
      <c r="AH44" s="555">
        <f t="shared" si="20"/>
        <v>22.789247916898034</v>
      </c>
      <c r="AJ44" s="555">
        <f t="shared" si="21"/>
        <v>2.3256887520280323</v>
      </c>
      <c r="AL44" s="558">
        <f t="shared" si="15"/>
        <v>4077.0331225022373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18"/>
        <v>2.624415163024989</v>
      </c>
      <c r="AS44" s="555"/>
      <c r="AT44" s="558">
        <f t="shared" si="6"/>
        <v>2357.2419717227958</v>
      </c>
      <c r="AV44" s="558">
        <f t="shared" si="7"/>
        <v>4379.5856262226998</v>
      </c>
      <c r="AW44" s="560"/>
      <c r="AX44" s="561">
        <f t="shared" si="8"/>
        <v>6736.8275979454957</v>
      </c>
      <c r="AZ44" s="430">
        <f>+IF(AZ43&gt;$I$13+$I$14,XX,AZ43+1)</f>
        <v>2025</v>
      </c>
      <c r="BA44" s="503"/>
      <c r="BB44" s="555">
        <f t="shared" si="16"/>
        <v>54.169550927198124</v>
      </c>
      <c r="BD44" s="555">
        <f t="shared" si="17"/>
        <v>8.2361116560647805</v>
      </c>
      <c r="BF44" s="558">
        <f t="shared" si="9"/>
        <v>1719.7911507794418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134847.32608695651</v>
      </c>
      <c r="I45" s="726">
        <v>351.21141421750946</v>
      </c>
      <c r="K45" s="625">
        <v>15.928280937580213</v>
      </c>
      <c r="M45" s="553">
        <f t="shared" si="11"/>
        <v>0</v>
      </c>
      <c r="O45" s="625">
        <v>0.72</v>
      </c>
      <c r="Q45" s="625">
        <v>-38.454908304934165</v>
      </c>
      <c r="S45" s="475">
        <f t="shared" si="0"/>
        <v>10756.679763020542</v>
      </c>
      <c r="U45" s="475">
        <f t="shared" si="1"/>
        <v>6875.4410503591826</v>
      </c>
      <c r="W45" s="475">
        <f t="shared" si="2"/>
        <v>3881.2387126613594</v>
      </c>
      <c r="Y45" s="554">
        <f t="shared" si="3"/>
        <v>28.78246699647968</v>
      </c>
      <c r="Z45" s="516"/>
      <c r="AB45" s="423">
        <f>+IF(AB44&gt;$I$13+$I$14,XX,AB44+1)</f>
        <v>2026</v>
      </c>
      <c r="AC45" s="503"/>
      <c r="AD45" s="488">
        <f t="shared" si="4"/>
        <v>134847.32608695651</v>
      </c>
      <c r="AF45" s="555">
        <f t="shared" si="19"/>
        <v>116.38988992110846</v>
      </c>
      <c r="AH45" s="555">
        <f t="shared" si="20"/>
        <v>23.313400618986687</v>
      </c>
      <c r="AJ45" s="555">
        <f t="shared" si="21"/>
        <v>2.3791795933246767</v>
      </c>
      <c r="AL45" s="558">
        <f t="shared" si="15"/>
        <v>4170.8048843197885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18"/>
        <v>2.6847767117745636</v>
      </c>
      <c r="AS45" s="555"/>
      <c r="AT45" s="558">
        <f t="shared" si="6"/>
        <v>2411.4585370724199</v>
      </c>
      <c r="AV45" s="558">
        <f t="shared" si="7"/>
        <v>4463.9825132867627</v>
      </c>
      <c r="AW45" s="560"/>
      <c r="AX45" s="561">
        <f t="shared" si="8"/>
        <v>6875.4410503591826</v>
      </c>
      <c r="AZ45" s="430">
        <f>+IF(AZ44&gt;$I$13+$I$14,XX,AZ44+1)</f>
        <v>2026</v>
      </c>
      <c r="BA45" s="503"/>
      <c r="BB45" s="555">
        <f t="shared" si="16"/>
        <v>55.415450598523677</v>
      </c>
      <c r="BD45" s="555">
        <f t="shared" si="17"/>
        <v>8.4255422241542703</v>
      </c>
      <c r="BF45" s="558">
        <f t="shared" si="9"/>
        <v>1759.3463472473688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134847.32608695651</v>
      </c>
      <c r="I46" s="726">
        <v>358.67838273096015</v>
      </c>
      <c r="K46" s="625">
        <v>16.27870311820698</v>
      </c>
      <c r="M46" s="553">
        <f t="shared" si="11"/>
        <v>0</v>
      </c>
      <c r="O46" s="625">
        <v>0.74</v>
      </c>
      <c r="Q46" s="625">
        <v>-38.454908304934165</v>
      </c>
      <c r="S46" s="475">
        <f t="shared" si="0"/>
        <v>11097.841975625937</v>
      </c>
      <c r="U46" s="475">
        <f t="shared" si="1"/>
        <v>7201.800955579788</v>
      </c>
      <c r="W46" s="475">
        <f t="shared" si="2"/>
        <v>3896.0410200461492</v>
      </c>
      <c r="Y46" s="554">
        <f t="shared" si="3"/>
        <v>28.892237859679778</v>
      </c>
      <c r="Z46" s="516"/>
      <c r="AB46" s="423">
        <f>+IF(AB45&gt;$I$13+$I$14,XX,AB45+1)</f>
        <v>2027</v>
      </c>
      <c r="AC46" s="503"/>
      <c r="AD46" s="488">
        <f t="shared" si="4"/>
        <v>134847.32608695651</v>
      </c>
      <c r="AF46" s="555">
        <f t="shared" si="19"/>
        <v>118.95046749937285</v>
      </c>
      <c r="AH46" s="555">
        <f t="shared" si="20"/>
        <v>23.826295432604393</v>
      </c>
      <c r="AJ46" s="555">
        <f t="shared" si="21"/>
        <v>2.4315215443778198</v>
      </c>
      <c r="AL46" s="558">
        <f t="shared" si="15"/>
        <v>4262.562591774823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18"/>
        <v>2.743841799433604</v>
      </c>
      <c r="AS46" s="555"/>
      <c r="AT46" s="558">
        <f t="shared" si="6"/>
        <v>2464.510624888012</v>
      </c>
      <c r="AV46" s="558">
        <f t="shared" si="7"/>
        <v>4737.290330691776</v>
      </c>
      <c r="AW46" s="560"/>
      <c r="AX46" s="561">
        <f t="shared" si="8"/>
        <v>7201.800955579788</v>
      </c>
      <c r="AZ46" s="430">
        <f>+IF(AZ45&gt;$I$13+$I$14,XX,AZ45+1)</f>
        <v>2027</v>
      </c>
      <c r="BA46" s="503"/>
      <c r="BB46" s="555">
        <f t="shared" si="16"/>
        <v>56.634590511691201</v>
      </c>
      <c r="BD46" s="555">
        <f t="shared" si="17"/>
        <v>8.6109041530856647</v>
      </c>
      <c r="BF46" s="558">
        <f t="shared" si="9"/>
        <v>1798.0519668868112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134848.32608695651</v>
      </c>
      <c r="I47" s="726">
        <v>366.33713602386064</v>
      </c>
      <c r="K47" s="625">
        <v>16.682414955538515</v>
      </c>
      <c r="M47" s="553">
        <f t="shared" si="11"/>
        <v>0</v>
      </c>
      <c r="O47" s="625">
        <v>0.75000000000000011</v>
      </c>
      <c r="Q47" s="625">
        <v>-39.78093962579397</v>
      </c>
      <c r="S47" s="475">
        <f t="shared" si="0"/>
        <v>11273.487162633564</v>
      </c>
      <c r="U47" s="475">
        <f t="shared" si="1"/>
        <v>7417.3341246321816</v>
      </c>
      <c r="W47" s="475">
        <f t="shared" si="2"/>
        <v>3856.1530380013828</v>
      </c>
      <c r="Y47" s="554">
        <f t="shared" si="3"/>
        <v>28.596224735594824</v>
      </c>
      <c r="Z47" s="516"/>
      <c r="AB47" s="423">
        <f>+IF(AB46&gt;$I$13+$I$14,XX,AB46+1)</f>
        <v>2028</v>
      </c>
      <c r="AC47" s="503"/>
      <c r="AD47" s="488">
        <f t="shared" si="4"/>
        <v>134848.32608695651</v>
      </c>
      <c r="AF47" s="555">
        <f t="shared" si="19"/>
        <v>121.56737778435905</v>
      </c>
      <c r="AH47" s="555">
        <f t="shared" si="20"/>
        <v>24.350473932121691</v>
      </c>
      <c r="AJ47" s="555">
        <f t="shared" si="21"/>
        <v>2.4850150183541317</v>
      </c>
      <c r="AL47" s="558">
        <f t="shared" si="15"/>
        <v>4356.3414538088891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18"/>
        <v>2.8042063190211435</v>
      </c>
      <c r="AS47" s="555"/>
      <c r="AT47" s="558">
        <f t="shared" si="6"/>
        <v>2518.7323436505681</v>
      </c>
      <c r="AV47" s="558">
        <f t="shared" si="7"/>
        <v>4898.601780981613</v>
      </c>
      <c r="AW47" s="560"/>
      <c r="AX47" s="561">
        <f t="shared" si="8"/>
        <v>7417.3341246321816</v>
      </c>
      <c r="AZ47" s="430">
        <f>+IF(AZ46&gt;$I$13+$I$14,XX,AZ46+1)</f>
        <v>2028</v>
      </c>
      <c r="BA47" s="503"/>
      <c r="BB47" s="555">
        <f t="shared" si="16"/>
        <v>57.880551502948407</v>
      </c>
      <c r="BD47" s="555">
        <f t="shared" si="17"/>
        <v>8.8003440444535492</v>
      </c>
      <c r="BF47" s="558">
        <f t="shared" si="9"/>
        <v>1837.6091101583211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134847.32608695651</v>
      </c>
      <c r="I48" s="726">
        <v>374.23305348540669</v>
      </c>
      <c r="K48" s="625">
        <v>16.986208113130484</v>
      </c>
      <c r="M48" s="553">
        <f t="shared" si="11"/>
        <v>0</v>
      </c>
      <c r="O48" s="625">
        <v>0.76999999999999991</v>
      </c>
      <c r="Q48" s="625">
        <v>-39.78093962579397</v>
      </c>
      <c r="S48" s="475">
        <f t="shared" si="0"/>
        <v>11625.112933665059</v>
      </c>
      <c r="U48" s="475">
        <f t="shared" si="1"/>
        <v>7618.7500798582168</v>
      </c>
      <c r="W48" s="475">
        <f t="shared" si="2"/>
        <v>4006.3628538068424</v>
      </c>
      <c r="Y48" s="554">
        <f t="shared" si="3"/>
        <v>29.710361859332185</v>
      </c>
      <c r="Z48" s="516"/>
      <c r="AB48" s="423">
        <f>+IF(AB47&gt;$I$13+$I$14,XX,AB47+1)</f>
        <v>2029</v>
      </c>
      <c r="AC48" s="503"/>
      <c r="AD48" s="488">
        <f t="shared" si="4"/>
        <v>134847.32608695651</v>
      </c>
      <c r="AF48" s="555">
        <f t="shared" si="19"/>
        <v>124.24186009561495</v>
      </c>
      <c r="AH48" s="555">
        <f t="shared" si="20"/>
        <v>24.88618435862837</v>
      </c>
      <c r="AJ48" s="555">
        <f t="shared" si="21"/>
        <v>2.5396853487579225</v>
      </c>
      <c r="AL48" s="558">
        <f t="shared" si="15"/>
        <v>4452.1784261073353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18"/>
        <v>2.8658988580396088</v>
      </c>
      <c r="AS48" s="555"/>
      <c r="AT48" s="558">
        <f t="shared" si="6"/>
        <v>2574.1419155255312</v>
      </c>
      <c r="AV48" s="558">
        <f t="shared" si="7"/>
        <v>5044.6081643326852</v>
      </c>
      <c r="AW48" s="560"/>
      <c r="AX48" s="561">
        <f t="shared" si="8"/>
        <v>7618.7500798582168</v>
      </c>
      <c r="AZ48" s="430">
        <f>+IF(AZ47&gt;$I$13+$I$14,XX,AZ47+1)</f>
        <v>2029</v>
      </c>
      <c r="BA48" s="503"/>
      <c r="BB48" s="555">
        <f t="shared" si="16"/>
        <v>59.153923636013275</v>
      </c>
      <c r="BD48" s="555">
        <f t="shared" si="17"/>
        <v>8.9939516134315269</v>
      </c>
      <c r="BF48" s="558">
        <f t="shared" si="9"/>
        <v>1878.0365105818041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134847.32608695651</v>
      </c>
      <c r="I49" s="726">
        <v>382.38792823476797</v>
      </c>
      <c r="K49" s="625">
        <v>17.359904691619363</v>
      </c>
      <c r="M49" s="553">
        <f t="shared" si="11"/>
        <v>0</v>
      </c>
      <c r="O49" s="625">
        <v>0.78</v>
      </c>
      <c r="Q49" s="625">
        <v>0</v>
      </c>
      <c r="S49" s="475">
        <f t="shared" si="0"/>
        <v>17359.246844293059</v>
      </c>
      <c r="U49" s="475">
        <f t="shared" si="1"/>
        <v>7976.2199315613152</v>
      </c>
      <c r="W49" s="475">
        <f t="shared" si="2"/>
        <v>9383.0269127317442</v>
      </c>
      <c r="Y49" s="554">
        <f t="shared" si="3"/>
        <v>69.582595257996331</v>
      </c>
      <c r="Z49" s="516"/>
      <c r="AB49" s="423">
        <f>+IF(AB48&gt;$I$13+$I$14,XX,AB48+1)</f>
        <v>2030</v>
      </c>
      <c r="AC49" s="503"/>
      <c r="AD49" s="488">
        <f t="shared" si="4"/>
        <v>134847.32608695651</v>
      </c>
      <c r="AF49" s="555">
        <f t="shared" si="19"/>
        <v>126.97518101771848</v>
      </c>
      <c r="AH49" s="555">
        <f t="shared" si="20"/>
        <v>25.433680414518193</v>
      </c>
      <c r="AJ49" s="555">
        <f t="shared" si="21"/>
        <v>2.5955584264305966</v>
      </c>
      <c r="AL49" s="558">
        <f t="shared" si="15"/>
        <v>4550.1263514816974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18"/>
        <v>2.9289486329164802</v>
      </c>
      <c r="AS49" s="555"/>
      <c r="AT49" s="558">
        <f t="shared" si="6"/>
        <v>2630.7730376670934</v>
      </c>
      <c r="AV49" s="558">
        <f t="shared" si="7"/>
        <v>5345.4468938942218</v>
      </c>
      <c r="AW49" s="560"/>
      <c r="AX49" s="561">
        <f t="shared" si="8"/>
        <v>7976.2199315613152</v>
      </c>
      <c r="AZ49" s="430">
        <f>+IF(AZ48&gt;$I$13+$I$14,XX,AZ48+1)</f>
        <v>2030</v>
      </c>
      <c r="BA49" s="503"/>
      <c r="BB49" s="555">
        <f t="shared" si="16"/>
        <v>60.455309956005571</v>
      </c>
      <c r="BD49" s="555">
        <f t="shared" si="17"/>
        <v>9.1918185489270208</v>
      </c>
      <c r="BF49" s="558">
        <f t="shared" si="9"/>
        <v>1919.353313814604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134847.32608695651</v>
      </c>
      <c r="I50" s="726">
        <v>390.62059853986057</v>
      </c>
      <c r="K50" s="625">
        <v>17.741822594834986</v>
      </c>
      <c r="M50" s="553">
        <f t="shared" si="11"/>
        <v>0</v>
      </c>
      <c r="O50" s="625">
        <v>0.8</v>
      </c>
      <c r="Q50" s="625">
        <v>0</v>
      </c>
      <c r="S50" s="475">
        <f t="shared" si="0"/>
        <v>17734.518540746772</v>
      </c>
      <c r="U50" s="475">
        <f t="shared" si="1"/>
        <v>8177.3620952811243</v>
      </c>
      <c r="W50" s="475">
        <f t="shared" si="2"/>
        <v>9557.1564454656473</v>
      </c>
      <c r="Y50" s="554">
        <f t="shared" si="3"/>
        <v>70.873904012769955</v>
      </c>
      <c r="Z50" s="516"/>
      <c r="AB50" s="423">
        <f>+IF(AB49&gt;$I$13+$I$14,XX,AB49+1)</f>
        <v>2031</v>
      </c>
      <c r="AC50" s="503"/>
      <c r="AD50" s="488">
        <f t="shared" si="4"/>
        <v>134847.32608695651</v>
      </c>
      <c r="AF50" s="555">
        <f t="shared" si="19"/>
        <v>129.7686350001083</v>
      </c>
      <c r="AH50" s="555">
        <f t="shared" si="20"/>
        <v>25.993221383637593</v>
      </c>
      <c r="AJ50" s="555">
        <f t="shared" si="21"/>
        <v>2.6526607118120697</v>
      </c>
      <c r="AL50" s="558">
        <f t="shared" si="15"/>
        <v>4650.2291312142943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18"/>
        <v>2.9933855028406429</v>
      </c>
      <c r="AS50" s="555"/>
      <c r="AT50" s="558">
        <f t="shared" si="6"/>
        <v>2688.6500444957692</v>
      </c>
      <c r="AV50" s="558">
        <f t="shared" si="7"/>
        <v>5488.7120507853551</v>
      </c>
      <c r="AW50" s="560"/>
      <c r="AX50" s="561">
        <f t="shared" si="8"/>
        <v>8177.3620952811243</v>
      </c>
      <c r="AZ50" s="430">
        <f>+IF(AZ49&gt;$I$13+$I$14,XX,AZ49+1)</f>
        <v>2031</v>
      </c>
      <c r="BA50" s="503"/>
      <c r="BB50" s="555">
        <f t="shared" si="16"/>
        <v>61.785326775037696</v>
      </c>
      <c r="BD50" s="555">
        <f t="shared" si="17"/>
        <v>9.3940385570034159</v>
      </c>
      <c r="BF50" s="558">
        <f t="shared" si="9"/>
        <v>1961.5790867185253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134848.32608695651</v>
      </c>
      <c r="I51" s="726">
        <v>398.87692747494418</v>
      </c>
      <c r="K51" s="625">
        <v>18.1818197951869</v>
      </c>
      <c r="M51" s="553">
        <f t="shared" si="11"/>
        <v>0</v>
      </c>
      <c r="O51" s="625">
        <v>0.82</v>
      </c>
      <c r="Q51" s="625">
        <v>0</v>
      </c>
      <c r="S51" s="475">
        <f t="shared" si="0"/>
        <v>18118.563763509774</v>
      </c>
      <c r="U51" s="475">
        <f t="shared" si="1"/>
        <v>8385.3613262676372</v>
      </c>
      <c r="W51" s="475">
        <f t="shared" si="2"/>
        <v>9733.2024372421365</v>
      </c>
      <c r="Y51" s="554">
        <f t="shared" si="3"/>
        <v>72.178889569350034</v>
      </c>
      <c r="Z51" s="516"/>
      <c r="AB51" s="423">
        <f>+IF(AB50&gt;$I$13+$I$14,XX,AB50+1)</f>
        <v>2032</v>
      </c>
      <c r="AC51" s="503"/>
      <c r="AD51" s="488">
        <f t="shared" si="4"/>
        <v>134848.32608695651</v>
      </c>
      <c r="AF51" s="555">
        <f t="shared" si="19"/>
        <v>132.62354497011069</v>
      </c>
      <c r="AH51" s="555">
        <f t="shared" si="20"/>
        <v>26.56507225407762</v>
      </c>
      <c r="AJ51" s="555">
        <f t="shared" si="21"/>
        <v>2.7110192474719352</v>
      </c>
      <c r="AL51" s="558">
        <f t="shared" si="15"/>
        <v>4752.5368831202577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18"/>
        <v>3.059239983903137</v>
      </c>
      <c r="AS51" s="555"/>
      <c r="AT51" s="558">
        <f t="shared" si="6"/>
        <v>2747.8030564939254</v>
      </c>
      <c r="AV51" s="558">
        <f t="shared" si="7"/>
        <v>5637.5582697737127</v>
      </c>
      <c r="AW51" s="560"/>
      <c r="AX51" s="561">
        <f t="shared" si="8"/>
        <v>8385.3613262676372</v>
      </c>
      <c r="AZ51" s="430">
        <f>+IF(AZ50&gt;$I$13+$I$14,XX,AZ50+1)</f>
        <v>2032</v>
      </c>
      <c r="BA51" s="503"/>
      <c r="BB51" s="555">
        <f t="shared" si="16"/>
        <v>63.144603964088525</v>
      </c>
      <c r="BD51" s="555">
        <f t="shared" si="17"/>
        <v>9.6007074052574914</v>
      </c>
      <c r="BF51" s="558">
        <f t="shared" si="9"/>
        <v>2004.7338266263325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134847.32608695651</v>
      </c>
      <c r="I52" s="726">
        <v>407.21767892013338</v>
      </c>
      <c r="K52" s="625">
        <v>18.531049831143626</v>
      </c>
      <c r="M52" s="553">
        <f t="shared" si="11"/>
        <v>0</v>
      </c>
      <c r="O52" s="625">
        <v>0.84000000000000008</v>
      </c>
      <c r="Q52" s="625">
        <v>0</v>
      </c>
      <c r="S52" s="475">
        <f t="shared" si="0"/>
        <v>18493.623751112111</v>
      </c>
      <c r="U52" s="475">
        <f t="shared" si="1"/>
        <v>8635.2789893137524</v>
      </c>
      <c r="W52" s="475">
        <f t="shared" si="2"/>
        <v>9858.3447617983584</v>
      </c>
      <c r="Y52" s="554">
        <f t="shared" si="3"/>
        <v>73.107454540412533</v>
      </c>
      <c r="Z52" s="516"/>
      <c r="AB52" s="423">
        <f>+IF(AB51&gt;$I$13+$I$14,XX,AB51+1)</f>
        <v>2033</v>
      </c>
      <c r="AC52" s="503"/>
      <c r="AD52" s="488">
        <f t="shared" si="4"/>
        <v>134847.32608695651</v>
      </c>
      <c r="AF52" s="555">
        <f t="shared" si="19"/>
        <v>135.54126295945312</v>
      </c>
      <c r="AH52" s="555">
        <f t="shared" si="20"/>
        <v>27.149503843667329</v>
      </c>
      <c r="AJ52" s="555">
        <f t="shared" si="21"/>
        <v>2.7706616709163177</v>
      </c>
      <c r="AL52" s="558">
        <f t="shared" si="15"/>
        <v>4857.0899238872307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18"/>
        <v>3.126543263549006</v>
      </c>
      <c r="AS52" s="555"/>
      <c r="AT52" s="558">
        <f t="shared" si="6"/>
        <v>2808.2519530751188</v>
      </c>
      <c r="AV52" s="558">
        <f t="shared" si="7"/>
        <v>5827.0270362386327</v>
      </c>
      <c r="AW52" s="560"/>
      <c r="AX52" s="561">
        <f t="shared" si="8"/>
        <v>8635.2789893137524</v>
      </c>
      <c r="AZ52" s="430">
        <f>+IF(AZ51&gt;$I$13+$I$14,XX,AZ51+1)</f>
        <v>2033</v>
      </c>
      <c r="BA52" s="503"/>
      <c r="BB52" s="555">
        <f t="shared" si="16"/>
        <v>64.533785251298468</v>
      </c>
      <c r="BD52" s="555">
        <f t="shared" si="17"/>
        <v>9.8119229681731568</v>
      </c>
      <c r="BF52" s="558">
        <f t="shared" si="9"/>
        <v>2048.837970812112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134847.32608695651</v>
      </c>
      <c r="I53" s="726">
        <v>106.37462484796858</v>
      </c>
      <c r="K53" s="625">
        <v>18.938732927428788</v>
      </c>
      <c r="M53" s="553">
        <f t="shared" si="11"/>
        <v>0</v>
      </c>
      <c r="O53" s="625">
        <v>0.85999999999999988</v>
      </c>
      <c r="Q53" s="625">
        <v>0</v>
      </c>
      <c r="S53" s="475">
        <f t="shared" si="0"/>
        <v>6818.4165642443259</v>
      </c>
      <c r="U53" s="475">
        <f t="shared" si="1"/>
        <v>8874.3272650318249</v>
      </c>
      <c r="W53" s="475">
        <f t="shared" si="2"/>
        <v>-2055.9107007874991</v>
      </c>
      <c r="Y53" s="554">
        <f t="shared" si="3"/>
        <v>-15.246210365800964</v>
      </c>
      <c r="Z53" s="516"/>
      <c r="AB53" s="423">
        <f>+IF(AB52&gt;$I$13+$I$14,XX,AB52+1)</f>
        <v>2034</v>
      </c>
      <c r="AC53" s="503"/>
      <c r="AD53" s="488">
        <f t="shared" si="4"/>
        <v>134847.32608695651</v>
      </c>
      <c r="AF53" s="555">
        <f t="shared" si="19"/>
        <v>138.5231707445611</v>
      </c>
      <c r="AH53" s="555">
        <f t="shared" si="20"/>
        <v>27.746792928228011</v>
      </c>
      <c r="AJ53" s="555">
        <f t="shared" si="21"/>
        <v>2.8316162276764767</v>
      </c>
      <c r="AL53" s="558">
        <f t="shared" si="15"/>
        <v>4963.9459022127503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18"/>
        <v>3.1953272153470844</v>
      </c>
      <c r="AS53" s="555"/>
      <c r="AT53" s="558">
        <f t="shared" si="6"/>
        <v>2870.0334960427713</v>
      </c>
      <c r="AV53" s="558">
        <f t="shared" si="7"/>
        <v>6004.2937689890532</v>
      </c>
      <c r="AW53" s="560"/>
      <c r="AX53" s="561">
        <f t="shared" si="8"/>
        <v>8874.3272650318249</v>
      </c>
      <c r="AZ53" s="430">
        <f>+IF(AZ52&gt;$I$13+$I$14,XX,AZ52+1)</f>
        <v>2034</v>
      </c>
      <c r="BA53" s="503"/>
      <c r="BB53" s="555">
        <f t="shared" si="16"/>
        <v>65.953528526827043</v>
      </c>
      <c r="BD53" s="555">
        <f t="shared" si="17"/>
        <v>10.027785273472967</v>
      </c>
      <c r="BF53" s="558">
        <f t="shared" si="9"/>
        <v>2093.912406169979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134847.32608695651</v>
      </c>
      <c r="I54" s="726">
        <v>108.39574272007999</v>
      </c>
      <c r="K54" s="625">
        <v>19.355385051832222</v>
      </c>
      <c r="M54" s="553">
        <f t="shared" si="11"/>
        <v>0</v>
      </c>
      <c r="O54" s="625">
        <v>0.86999999999999988</v>
      </c>
      <c r="Q54" s="625">
        <v>0</v>
      </c>
      <c r="S54" s="475">
        <f t="shared" si="0"/>
        <v>6954.7730594017958</v>
      </c>
      <c r="U54" s="475">
        <f t="shared" si="1"/>
        <v>9101.4664932174346</v>
      </c>
      <c r="W54" s="475">
        <f t="shared" si="2"/>
        <v>-2146.6934338156389</v>
      </c>
      <c r="Y54" s="554">
        <f t="shared" si="3"/>
        <v>-15.919436418274548</v>
      </c>
      <c r="Z54" s="516"/>
      <c r="AB54" s="423">
        <f>+IF(AB53&gt;$I$13+$I$14,XX,AB53+1)</f>
        <v>2035</v>
      </c>
      <c r="AC54" s="503"/>
      <c r="AD54" s="488">
        <f t="shared" si="4"/>
        <v>134847.32608695651</v>
      </c>
      <c r="AF54" s="555">
        <f t="shared" si="19"/>
        <v>141.57068050094145</v>
      </c>
      <c r="AH54" s="555">
        <f t="shared" si="20"/>
        <v>28.357222372649026</v>
      </c>
      <c r="AJ54" s="555">
        <f t="shared" si="21"/>
        <v>2.893911784685359</v>
      </c>
      <c r="AL54" s="558">
        <f t="shared" si="15"/>
        <v>5073.152712061431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18"/>
        <v>3.2656244140847202</v>
      </c>
      <c r="AS54" s="555"/>
      <c r="AT54" s="558">
        <f t="shared" si="6"/>
        <v>2933.1742329557128</v>
      </c>
      <c r="AV54" s="558">
        <f t="shared" si="7"/>
        <v>6168.2922602617209</v>
      </c>
      <c r="AW54" s="560"/>
      <c r="AX54" s="561">
        <f t="shared" si="8"/>
        <v>9101.4664932174346</v>
      </c>
      <c r="AZ54" s="430">
        <f>+IF(AZ53&gt;$I$13+$I$14,XX,AZ53+1)</f>
        <v>2035</v>
      </c>
      <c r="BA54" s="503"/>
      <c r="BB54" s="555">
        <f t="shared" si="16"/>
        <v>67.404506154417234</v>
      </c>
      <c r="BD54" s="555">
        <f t="shared" si="17"/>
        <v>10.248396549489373</v>
      </c>
      <c r="BF54" s="558">
        <f t="shared" si="9"/>
        <v>2139.9784791057182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134848.32608695651</v>
      </c>
      <c r="I55" s="726">
        <v>110.45526183176149</v>
      </c>
      <c r="K55" s="625">
        <v>19.83539860111766</v>
      </c>
      <c r="M55" s="553">
        <f t="shared" si="11"/>
        <v>0</v>
      </c>
      <c r="O55" s="625">
        <v>0.89000000000000024</v>
      </c>
      <c r="Q55" s="625">
        <v>0</v>
      </c>
      <c r="S55" s="475">
        <f t="shared" si="0"/>
        <v>7102.540520284364</v>
      </c>
      <c r="U55" s="475">
        <f t="shared" si="1"/>
        <v>9396.9294081434891</v>
      </c>
      <c r="W55" s="475">
        <f t="shared" si="2"/>
        <v>-2294.3888878591251</v>
      </c>
      <c r="Y55" s="554">
        <f t="shared" si="3"/>
        <v>-17.014589312585134</v>
      </c>
      <c r="Z55" s="516"/>
      <c r="AB55" s="423">
        <f>+IF(AB54&gt;$I$13+$I$14,XX,AB54+1)</f>
        <v>2036</v>
      </c>
      <c r="AC55" s="503"/>
      <c r="AD55" s="488">
        <f t="shared" si="4"/>
        <v>134848.32608695651</v>
      </c>
      <c r="AF55" s="555">
        <f t="shared" si="19"/>
        <v>144.68523547196216</v>
      </c>
      <c r="AH55" s="555">
        <f t="shared" si="20"/>
        <v>28.981081264847305</v>
      </c>
      <c r="AJ55" s="555">
        <f t="shared" si="21"/>
        <v>2.957577843948437</v>
      </c>
      <c r="AL55" s="558">
        <f t="shared" si="15"/>
        <v>5184.7650293046263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18"/>
        <v>3.3374681511945838</v>
      </c>
      <c r="AS55" s="555"/>
      <c r="AT55" s="558">
        <f t="shared" si="6"/>
        <v>2997.7070236585823</v>
      </c>
      <c r="AV55" s="558">
        <f t="shared" si="7"/>
        <v>6399.2223844849077</v>
      </c>
      <c r="AW55" s="560"/>
      <c r="AX55" s="561">
        <f t="shared" si="8"/>
        <v>9396.9294081434891</v>
      </c>
      <c r="AZ55" s="430">
        <f>+IF(AZ54&gt;$I$13+$I$14,XX,AZ54+1)</f>
        <v>2036</v>
      </c>
      <c r="BA55" s="503"/>
      <c r="BB55" s="555">
        <f t="shared" si="16"/>
        <v>68.88740528981441</v>
      </c>
      <c r="BD55" s="555">
        <f t="shared" si="17"/>
        <v>10.473861273578139</v>
      </c>
      <c r="BF55" s="558">
        <f t="shared" si="9"/>
        <v>2187.058005646044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134848.32608695651</v>
      </c>
      <c r="I56" s="726">
        <v>112.55391180656498</v>
      </c>
      <c r="K56" s="625">
        <v>20.216390000477926</v>
      </c>
      <c r="M56" s="553">
        <f t="shared" si="11"/>
        <v>0</v>
      </c>
      <c r="O56" s="625">
        <v>0.91000000000000025</v>
      </c>
      <c r="Q56" s="625">
        <v>0</v>
      </c>
      <c r="S56" s="475">
        <f t="shared" si="0"/>
        <v>7238.4608882806988</v>
      </c>
      <c r="U56" s="475">
        <f t="shared" si="1"/>
        <v>9637.6822664762549</v>
      </c>
      <c r="W56" s="475">
        <f t="shared" si="2"/>
        <v>-2399.2213781955561</v>
      </c>
      <c r="Y56" s="554">
        <f t="shared" si="3"/>
        <v>-17.791999706755171</v>
      </c>
      <c r="Z56" s="516"/>
      <c r="AB56" s="423">
        <f>+IF(AB55&gt;$I$13+$I$14,XX,AB55+1)</f>
        <v>2037</v>
      </c>
      <c r="AC56" s="503"/>
      <c r="AD56" s="488">
        <f t="shared" si="4"/>
        <v>134848.32608695651</v>
      </c>
      <c r="AF56" s="555">
        <f t="shared" si="19"/>
        <v>147.86831065234534</v>
      </c>
      <c r="AH56" s="555">
        <f t="shared" si="20"/>
        <v>29.618665052673947</v>
      </c>
      <c r="AJ56" s="555">
        <f t="shared" si="21"/>
        <v>3.0226445565153028</v>
      </c>
      <c r="AL56" s="558">
        <f t="shared" si="15"/>
        <v>5298.8298599493291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18"/>
        <v>3.4108924505208646</v>
      </c>
      <c r="AS56" s="555"/>
      <c r="AT56" s="558">
        <f t="shared" si="6"/>
        <v>3063.6565781790723</v>
      </c>
      <c r="AV56" s="558">
        <f t="shared" si="7"/>
        <v>6574.0256882971817</v>
      </c>
      <c r="AW56" s="560"/>
      <c r="AX56" s="561">
        <f t="shared" si="8"/>
        <v>9637.6822664762549</v>
      </c>
      <c r="AZ56" s="430">
        <f>+IF(AZ55&gt;$I$13+$I$14,XX,AZ55+1)</f>
        <v>2037</v>
      </c>
      <c r="BA56" s="503"/>
      <c r="BB56" s="555">
        <f t="shared" si="16"/>
        <v>70.402928206190325</v>
      </c>
      <c r="BD56" s="555">
        <f t="shared" si="17"/>
        <v>10.704286221596858</v>
      </c>
      <c r="BF56" s="558">
        <f t="shared" si="9"/>
        <v>2235.1732817702568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134848.32608695651</v>
      </c>
      <c r="I57" s="726">
        <v>114.6924361308897</v>
      </c>
      <c r="K57" s="625">
        <v>20.681366970488916</v>
      </c>
      <c r="M57" s="553">
        <f t="shared" si="11"/>
        <v>0</v>
      </c>
      <c r="O57" s="625">
        <v>0.92999999999999994</v>
      </c>
      <c r="Q57" s="625">
        <v>0</v>
      </c>
      <c r="S57" s="475">
        <f t="shared" si="0"/>
        <v>7387.2616695260704</v>
      </c>
      <c r="U57" s="475">
        <f t="shared" si="1"/>
        <v>10029.084074403941</v>
      </c>
      <c r="W57" s="475">
        <f t="shared" si="2"/>
        <v>-2641.8224048778711</v>
      </c>
      <c r="Y57" s="554">
        <f t="shared" si="3"/>
        <v>-19.59106561822874</v>
      </c>
      <c r="Z57" s="516"/>
      <c r="AB57" s="423">
        <f>+IF(AB56&gt;$I$13+$I$14,XX,AB56+1)</f>
        <v>2038</v>
      </c>
      <c r="AC57" s="503"/>
      <c r="AD57" s="488">
        <f t="shared" si="4"/>
        <v>134848.32608695651</v>
      </c>
      <c r="AF57" s="555">
        <f t="shared" si="19"/>
        <v>151.12141348669695</v>
      </c>
      <c r="AH57" s="555">
        <f t="shared" si="20"/>
        <v>30.270275683832775</v>
      </c>
      <c r="AJ57" s="555">
        <f t="shared" si="21"/>
        <v>3.0891427367586397</v>
      </c>
      <c r="AL57" s="558">
        <f t="shared" si="15"/>
        <v>5415.4041168682134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18"/>
        <v>3.4859320844323238</v>
      </c>
      <c r="AS57" s="555"/>
      <c r="AT57" s="558">
        <f t="shared" si="6"/>
        <v>3131.0570228990109</v>
      </c>
      <c r="AV57" s="558">
        <f t="shared" si="7"/>
        <v>6898.0270515049306</v>
      </c>
      <c r="AW57" s="560"/>
      <c r="AX57" s="561">
        <f t="shared" si="8"/>
        <v>10029.084074403941</v>
      </c>
      <c r="AZ57" s="430">
        <f>+IF(AZ56&gt;$I$13+$I$14,XX,AZ56+1)</f>
        <v>2038</v>
      </c>
      <c r="BA57" s="503"/>
      <c r="BB57" s="555">
        <f t="shared" si="16"/>
        <v>71.951792626726515</v>
      </c>
      <c r="BD57" s="555">
        <f t="shared" si="17"/>
        <v>10.93978051847199</v>
      </c>
      <c r="BF57" s="558">
        <f t="shared" si="9"/>
        <v>2284.3470939692024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134848.32608695651</v>
      </c>
      <c r="I58" s="726">
        <v>116.87159241737659</v>
      </c>
      <c r="K58" s="625">
        <v>21.157038410810159</v>
      </c>
      <c r="M58" s="553">
        <f t="shared" si="11"/>
        <v>0</v>
      </c>
      <c r="O58" s="625">
        <v>0.95999999999999985</v>
      </c>
      <c r="Q58" s="625">
        <v>0</v>
      </c>
      <c r="S58" s="475">
        <f t="shared" si="0"/>
        <v>7540.4377119763585</v>
      </c>
      <c r="U58" s="475">
        <f t="shared" si="1"/>
        <v>10315.877753597113</v>
      </c>
      <c r="W58" s="475">
        <f t="shared" si="2"/>
        <v>-2775.4400416207545</v>
      </c>
      <c r="Y58" s="554">
        <f t="shared" si="3"/>
        <v>-20.581939147179483</v>
      </c>
      <c r="Z58" s="516"/>
      <c r="AB58" s="423">
        <f>+IF(AB57&gt;$I$13+$I$14,XX,AB57+1)</f>
        <v>2039</v>
      </c>
      <c r="AC58" s="503"/>
      <c r="AD58" s="488">
        <f t="shared" si="4"/>
        <v>134848.32608695651</v>
      </c>
      <c r="AF58" s="555">
        <f t="shared" si="19"/>
        <v>154.44608458340429</v>
      </c>
      <c r="AH58" s="555">
        <f t="shared" si="20"/>
        <v>30.936221748877095</v>
      </c>
      <c r="AJ58" s="555">
        <f t="shared" si="21"/>
        <v>3.1571038769673296</v>
      </c>
      <c r="AL58" s="558">
        <f t="shared" si="15"/>
        <v>5534.5430074393153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18"/>
        <v>3.562622590289835</v>
      </c>
      <c r="AS58" s="555"/>
      <c r="AT58" s="558">
        <f t="shared" si="6"/>
        <v>3199.9402774027903</v>
      </c>
      <c r="AV58" s="558">
        <f t="shared" si="7"/>
        <v>7115.9374761943227</v>
      </c>
      <c r="AW58" s="560"/>
      <c r="AX58" s="561">
        <f t="shared" si="8"/>
        <v>10315.877753597113</v>
      </c>
      <c r="AZ58" s="430">
        <f>+IF(AZ57&gt;$I$13+$I$14,XX,AZ57+1)</f>
        <v>2039</v>
      </c>
      <c r="BA58" s="503"/>
      <c r="BB58" s="555">
        <f t="shared" si="16"/>
        <v>73.5347320645145</v>
      </c>
      <c r="BD58" s="555">
        <f t="shared" si="17"/>
        <v>11.180455689878373</v>
      </c>
      <c r="BF58" s="558">
        <f t="shared" si="9"/>
        <v>2334.6027300365249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134848.32608695651</v>
      </c>
      <c r="I59" s="726">
        <v>119.09215267330676</v>
      </c>
      <c r="K59" s="625">
        <v>21.702947966297856</v>
      </c>
      <c r="M59" s="553">
        <f t="shared" si="11"/>
        <v>0</v>
      </c>
      <c r="O59" s="625">
        <v>0.9800000000000002</v>
      </c>
      <c r="Q59" s="625">
        <v>0</v>
      </c>
      <c r="S59" s="475">
        <f t="shared" si="0"/>
        <v>7703.3515182317642</v>
      </c>
      <c r="U59" s="475">
        <f t="shared" si="1"/>
        <v>10694.246700729474</v>
      </c>
      <c r="W59" s="475">
        <f t="shared" si="2"/>
        <v>-2990.8951824977103</v>
      </c>
      <c r="Y59" s="554">
        <f t="shared" si="3"/>
        <v>-22.179698252754292</v>
      </c>
      <c r="Z59" s="516"/>
      <c r="AB59" s="423">
        <f>+IF(AB58&gt;$I$13+$I$14,XX,AB58+1)</f>
        <v>2040</v>
      </c>
      <c r="AC59" s="503"/>
      <c r="AD59" s="488">
        <f t="shared" si="4"/>
        <v>134848.32608695651</v>
      </c>
      <c r="AF59" s="555">
        <f t="shared" si="19"/>
        <v>157.84389844423919</v>
      </c>
      <c r="AH59" s="555">
        <f t="shared" si="20"/>
        <v>31.616818627352391</v>
      </c>
      <c r="AJ59" s="555">
        <f t="shared" si="21"/>
        <v>3.2265601622606108</v>
      </c>
      <c r="AL59" s="558">
        <f t="shared" si="15"/>
        <v>5656.3029536029799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18"/>
        <v>3.6410002872762113</v>
      </c>
      <c r="AS59" s="555"/>
      <c r="AT59" s="558">
        <f t="shared" si="6"/>
        <v>3270.338963505651</v>
      </c>
      <c r="AV59" s="558">
        <f t="shared" si="7"/>
        <v>7423.9077372238235</v>
      </c>
      <c r="AW59" s="560"/>
      <c r="AX59" s="561">
        <f t="shared" si="8"/>
        <v>10694.246700729474</v>
      </c>
      <c r="AZ59" s="430">
        <f>+IF(AZ58&gt;$I$13+$I$14,XX,AZ58+1)</f>
        <v>2040</v>
      </c>
      <c r="BA59" s="503"/>
      <c r="BB59" s="555">
        <f t="shared" si="16"/>
        <v>75.152496169933826</v>
      </c>
      <c r="BD59" s="555">
        <f t="shared" si="17"/>
        <v>11.426425715055698</v>
      </c>
      <c r="BF59" s="558">
        <f t="shared" si="9"/>
        <v>2385.9639900973289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134848.32608695651</v>
      </c>
      <c r="I60" s="726">
        <v>121.35490357409957</v>
      </c>
      <c r="K60" s="625">
        <v>22.141454251026737</v>
      </c>
      <c r="M60" s="553">
        <f t="shared" si="11"/>
        <v>0</v>
      </c>
      <c r="O60" s="625">
        <v>1</v>
      </c>
      <c r="Q60" s="625">
        <v>0</v>
      </c>
      <c r="S60" s="475">
        <f t="shared" si="0"/>
        <v>7853.427608358722</v>
      </c>
      <c r="U60" s="475">
        <f t="shared" si="1"/>
        <v>10936.45998933278</v>
      </c>
      <c r="W60" s="475">
        <f t="shared" si="2"/>
        <v>-3083.0323809740576</v>
      </c>
      <c r="Y60" s="554">
        <f t="shared" si="3"/>
        <v>-22.86296367509949</v>
      </c>
      <c r="Z60" s="516"/>
      <c r="AB60" s="423">
        <f>+IF(AB59&gt;$I$13+$I$14,XX,AB59+1)</f>
        <v>2041</v>
      </c>
      <c r="AC60" s="503"/>
      <c r="AD60" s="488">
        <f t="shared" si="4"/>
        <v>134848.32608695651</v>
      </c>
      <c r="AF60" s="555">
        <f t="shared" si="19"/>
        <v>161.31646421001244</v>
      </c>
      <c r="AH60" s="555">
        <f t="shared" si="20"/>
        <v>32.312388637154143</v>
      </c>
      <c r="AJ60" s="555">
        <f t="shared" si="21"/>
        <v>3.2975444858303442</v>
      </c>
      <c r="AL60" s="558">
        <f t="shared" si="15"/>
        <v>5780.7416185822449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18"/>
        <v>3.7211022935962879</v>
      </c>
      <c r="AS60" s="555"/>
      <c r="AT60" s="558">
        <f t="shared" si="6"/>
        <v>3342.2864207027751</v>
      </c>
      <c r="AV60" s="558">
        <f t="shared" si="7"/>
        <v>7594.1735686300044</v>
      </c>
      <c r="AW60" s="560"/>
      <c r="AX60" s="561">
        <f t="shared" si="8"/>
        <v>10936.45998933278</v>
      </c>
      <c r="AZ60" s="430">
        <f>+IF(AZ59&gt;$I$13+$I$14,XX,AZ59+1)</f>
        <v>2041</v>
      </c>
      <c r="BA60" s="503"/>
      <c r="BB60" s="555">
        <f t="shared" si="16"/>
        <v>76.805851085672373</v>
      </c>
      <c r="BD60" s="555">
        <f t="shared" si="17"/>
        <v>11.677807080786923</v>
      </c>
      <c r="BF60" s="558">
        <f t="shared" si="9"/>
        <v>2438.4551978794698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134848.32608695651</v>
      </c>
      <c r="I61" s="726">
        <v>123.66064674200746</v>
      </c>
      <c r="K61" s="625">
        <v>22.650707698800353</v>
      </c>
      <c r="M61" s="553">
        <f t="shared" si="11"/>
        <v>0</v>
      </c>
      <c r="O61" s="625">
        <v>1.0199999999999998</v>
      </c>
      <c r="Q61" s="625">
        <v>0</v>
      </c>
      <c r="S61" s="475">
        <f t="shared" si="0"/>
        <v>8014.7205334151531</v>
      </c>
      <c r="U61" s="475">
        <f t="shared" si="1"/>
        <v>11184.139470402883</v>
      </c>
      <c r="W61" s="475">
        <f t="shared" si="2"/>
        <v>-3169.4189369877295</v>
      </c>
      <c r="Y61" s="554">
        <f t="shared" si="3"/>
        <v>-23.503583833468866</v>
      </c>
      <c r="Z61" s="516"/>
      <c r="AB61" s="423">
        <f>+IF(AB60&gt;$I$13+$I$14,XX,AB60+1)</f>
        <v>2042</v>
      </c>
      <c r="AC61" s="503"/>
      <c r="AD61" s="488">
        <f t="shared" si="4"/>
        <v>134848.32608695651</v>
      </c>
      <c r="AF61" s="555">
        <f t="shared" si="19"/>
        <v>164.86542642263271</v>
      </c>
      <c r="AH61" s="555">
        <f t="shared" si="20"/>
        <v>33.023261187171535</v>
      </c>
      <c r="AJ61" s="555">
        <f t="shared" si="21"/>
        <v>3.3700904645186118</v>
      </c>
      <c r="AL61" s="558">
        <f t="shared" si="15"/>
        <v>5907.9179341910549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18"/>
        <v>3.8029665440554061</v>
      </c>
      <c r="AS61" s="555"/>
      <c r="AT61" s="558">
        <f t="shared" si="6"/>
        <v>3415.8167219582365</v>
      </c>
      <c r="AV61" s="558">
        <f t="shared" si="7"/>
        <v>7768.3227484446461</v>
      </c>
      <c r="AW61" s="560"/>
      <c r="AX61" s="561">
        <f t="shared" si="8"/>
        <v>11184.139470402883</v>
      </c>
      <c r="AZ61" s="430">
        <f>+IF(AZ60&gt;$I$13+$I$14,XX,AZ60+1)</f>
        <v>2042</v>
      </c>
      <c r="BA61" s="503"/>
      <c r="BB61" s="555">
        <f t="shared" si="16"/>
        <v>78.495579809557171</v>
      </c>
      <c r="BD61" s="555">
        <f t="shared" si="17"/>
        <v>11.934718836564237</v>
      </c>
      <c r="BF61" s="558">
        <f t="shared" si="9"/>
        <v>2492.1012122328184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134848.32608695651</v>
      </c>
      <c r="I62" s="726">
        <v>126.01019903010558</v>
      </c>
      <c r="K62" s="625">
        <v>23.171673975872757</v>
      </c>
      <c r="M62" s="553">
        <f t="shared" si="11"/>
        <v>0</v>
      </c>
      <c r="O62" s="625">
        <v>1.05</v>
      </c>
      <c r="Q62" s="625">
        <v>0</v>
      </c>
      <c r="S62" s="475">
        <f t="shared" si="0"/>
        <v>8180.6499528445556</v>
      </c>
      <c r="U62" s="475">
        <f t="shared" si="1"/>
        <v>11430.190538751747</v>
      </c>
      <c r="W62" s="475">
        <f t="shared" si="2"/>
        <v>-3249.5405859071916</v>
      </c>
      <c r="Y62" s="554">
        <f t="shared" si="3"/>
        <v>-24.097745075543138</v>
      </c>
      <c r="Z62" s="516"/>
      <c r="AB62" s="423">
        <f>+IF(AB61&gt;$I$13+$I$14,XX,AB61+1)</f>
        <v>2043</v>
      </c>
      <c r="AC62" s="503"/>
      <c r="AD62" s="488">
        <f t="shared" si="4"/>
        <v>134848.32608695651</v>
      </c>
      <c r="AF62" s="555">
        <f t="shared" si="19"/>
        <v>168.49246580393063</v>
      </c>
      <c r="AH62" s="555">
        <f t="shared" si="20"/>
        <v>33.749772933289307</v>
      </c>
      <c r="AJ62" s="555">
        <f t="shared" si="21"/>
        <v>3.4442324547380214</v>
      </c>
      <c r="AL62" s="558">
        <f t="shared" si="15"/>
        <v>6037.8921287432586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18"/>
        <v>3.8866318080246249</v>
      </c>
      <c r="AS62" s="555"/>
      <c r="AT62" s="558">
        <f t="shared" si="6"/>
        <v>3490.964689841318</v>
      </c>
      <c r="AV62" s="558">
        <f t="shared" si="7"/>
        <v>7939.2258489104288</v>
      </c>
      <c r="AW62" s="560"/>
      <c r="AX62" s="561">
        <f t="shared" si="8"/>
        <v>11430.190538751747</v>
      </c>
      <c r="AZ62" s="430">
        <f>+IF(AZ61&gt;$I$13+$I$14,XX,AZ61+1)</f>
        <v>2043</v>
      </c>
      <c r="BA62" s="503"/>
      <c r="BB62" s="555">
        <f t="shared" si="16"/>
        <v>80.222482565367429</v>
      </c>
      <c r="BD62" s="555">
        <f t="shared" si="17"/>
        <v>12.197282650968651</v>
      </c>
      <c r="BF62" s="558">
        <f t="shared" si="9"/>
        <v>2546.9274389019406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134848.32608695651</v>
      </c>
      <c r="I63" s="726">
        <v>128.40439281167758</v>
      </c>
      <c r="K63" s="625">
        <v>23.769566648488571</v>
      </c>
      <c r="M63" s="553">
        <f t="shared" si="11"/>
        <v>0</v>
      </c>
      <c r="O63" s="625">
        <v>1.0700000000000003</v>
      </c>
      <c r="Q63" s="625">
        <v>0</v>
      </c>
      <c r="S63" s="475">
        <f t="shared" si="0"/>
        <v>8357.3453029295015</v>
      </c>
      <c r="U63" s="475">
        <f t="shared" si="1"/>
        <v>11685.669801087552</v>
      </c>
      <c r="W63" s="475">
        <f t="shared" si="2"/>
        <v>-3328.3244981580501</v>
      </c>
      <c r="Y63" s="554">
        <f t="shared" si="3"/>
        <v>-24.681986011541522</v>
      </c>
      <c r="Z63" s="516"/>
      <c r="AB63" s="423">
        <f>+IF(AB62&gt;$I$13+$I$14,XX,AB62+1)</f>
        <v>2044</v>
      </c>
      <c r="AC63" s="503"/>
      <c r="AD63" s="488">
        <f t="shared" si="4"/>
        <v>134848.32608695651</v>
      </c>
      <c r="AF63" s="555">
        <f t="shared" si="19"/>
        <v>172.36779251742101</v>
      </c>
      <c r="AH63" s="555">
        <f t="shared" si="20"/>
        <v>34.526017710754957</v>
      </c>
      <c r="AJ63" s="555">
        <f t="shared" si="21"/>
        <v>3.5234498011969957</v>
      </c>
      <c r="AL63" s="558">
        <f t="shared" si="15"/>
        <v>6176.7636477043516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18"/>
        <v>3.9760243396091908</v>
      </c>
      <c r="AS63" s="555"/>
      <c r="AT63" s="558">
        <f t="shared" si="6"/>
        <v>3571.2568777076663</v>
      </c>
      <c r="AV63" s="558">
        <f t="shared" si="7"/>
        <v>8114.4129233798849</v>
      </c>
      <c r="AW63" s="560"/>
      <c r="AX63" s="561">
        <f t="shared" si="8"/>
        <v>11685.669801087552</v>
      </c>
      <c r="AZ63" s="430">
        <f>+IF(AZ62&gt;$I$13+$I$14,XX,AZ62+1)</f>
        <v>2044</v>
      </c>
      <c r="BA63" s="503"/>
      <c r="BB63" s="555">
        <f t="shared" si="16"/>
        <v>82.067599664370874</v>
      </c>
      <c r="BD63" s="555">
        <f t="shared" si="17"/>
        <v>12.477820151940929</v>
      </c>
      <c r="BF63" s="558">
        <f t="shared" si="9"/>
        <v>2605.5067699966853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134848.32608695651</v>
      </c>
      <c r="I64" s="726">
        <v>130.8440762750995</v>
      </c>
      <c r="K64" s="625">
        <v>24.249828794296143</v>
      </c>
      <c r="M64" s="553">
        <f t="shared" si="11"/>
        <v>0</v>
      </c>
      <c r="O64" s="625">
        <v>1.1000000000000001</v>
      </c>
      <c r="Q64" s="625">
        <v>0</v>
      </c>
      <c r="S64" s="475">
        <f t="shared" si="0"/>
        <v>8521.3009542306481</v>
      </c>
      <c r="U64" s="475">
        <f t="shared" si="1"/>
        <v>11946.861953815864</v>
      </c>
      <c r="W64" s="475">
        <f t="shared" si="2"/>
        <v>-3425.5609995852155</v>
      </c>
      <c r="Y64" s="554">
        <f t="shared" si="3"/>
        <v>-25.403066533998008</v>
      </c>
      <c r="Z64" s="516"/>
      <c r="AB64" s="423">
        <f>+IF(AB63&gt;$I$13+$I$14,XX,AB63+1)</f>
        <v>2045</v>
      </c>
      <c r="AC64" s="503"/>
      <c r="AD64" s="488">
        <f t="shared" si="4"/>
        <v>134848.32608695651</v>
      </c>
      <c r="AF64" s="555">
        <f t="shared" si="19"/>
        <v>176.33225174532168</v>
      </c>
      <c r="AH64" s="555">
        <f t="shared" si="20"/>
        <v>35.32011611810232</v>
      </c>
      <c r="AJ64" s="555">
        <f t="shared" si="21"/>
        <v>3.6044891466245264</v>
      </c>
      <c r="AL64" s="558">
        <f t="shared" si="15"/>
        <v>6318.8292116015518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18"/>
        <v>4.0674728994202018</v>
      </c>
      <c r="AS64" s="555"/>
      <c r="AT64" s="558">
        <f t="shared" si="6"/>
        <v>3653.3957858949429</v>
      </c>
      <c r="AV64" s="558">
        <f t="shared" si="7"/>
        <v>8293.4661679209203</v>
      </c>
      <c r="AW64" s="560"/>
      <c r="AX64" s="561">
        <f t="shared" si="8"/>
        <v>11946.861953815864</v>
      </c>
      <c r="AZ64" s="430">
        <f>+IF(AZ63&gt;$I$13+$I$14,XX,AZ63+1)</f>
        <v>2045</v>
      </c>
      <c r="BA64" s="503"/>
      <c r="BB64" s="555">
        <f t="shared" si="16"/>
        <v>83.9551544566514</v>
      </c>
      <c r="BD64" s="555">
        <f t="shared" si="17"/>
        <v>12.764810015435568</v>
      </c>
      <c r="BF64" s="558">
        <f t="shared" si="9"/>
        <v>2665.4334257066089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134848.32608695651</v>
      </c>
      <c r="I65" s="726">
        <v>133.33011372432634</v>
      </c>
      <c r="K65" s="625">
        <v>24.807574856564948</v>
      </c>
      <c r="M65" s="553">
        <f t="shared" si="11"/>
        <v>0</v>
      </c>
      <c r="O65" s="625">
        <v>1.1200000000000001</v>
      </c>
      <c r="Q65" s="625">
        <v>0</v>
      </c>
      <c r="S65" s="475">
        <f t="shared" si="0"/>
        <v>8696.1645041507727</v>
      </c>
      <c r="U65" s="475">
        <f t="shared" si="1"/>
        <v>12213.894804497597</v>
      </c>
      <c r="W65" s="475">
        <f t="shared" si="2"/>
        <v>-3517.7303003468242</v>
      </c>
      <c r="Y65" s="554">
        <f t="shared" si="3"/>
        <v>-26.086570018514188</v>
      </c>
      <c r="Z65" s="516"/>
      <c r="AB65" s="423">
        <f>+IF(AB64&gt;$I$13+$I$14,XX,AB64+1)</f>
        <v>2046</v>
      </c>
      <c r="AC65" s="503"/>
      <c r="AD65" s="488">
        <f t="shared" si="4"/>
        <v>134848.32608695651</v>
      </c>
      <c r="AF65" s="555">
        <f t="shared" si="19"/>
        <v>180.38789353546406</v>
      </c>
      <c r="AH65" s="555">
        <f t="shared" si="20"/>
        <v>36.132478788818666</v>
      </c>
      <c r="AJ65" s="555">
        <f t="shared" si="21"/>
        <v>3.68739239699689</v>
      </c>
      <c r="AL65" s="558">
        <f t="shared" si="15"/>
        <v>6464.1622834683858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18"/>
        <v>4.1610247761068662</v>
      </c>
      <c r="AS65" s="555"/>
      <c r="AT65" s="558">
        <f t="shared" si="6"/>
        <v>3737.4238889705252</v>
      </c>
      <c r="AV65" s="558">
        <f t="shared" si="7"/>
        <v>8476.4709155270721</v>
      </c>
      <c r="AW65" s="560"/>
      <c r="AX65" s="561">
        <f t="shared" si="8"/>
        <v>12213.894804497597</v>
      </c>
      <c r="AZ65" s="430">
        <f>+IF(AZ64&gt;$I$13+$I$14,XX,AZ64+1)</f>
        <v>2046</v>
      </c>
      <c r="BA65" s="503"/>
      <c r="BB65" s="555">
        <f t="shared" si="16"/>
        <v>85.886123009154375</v>
      </c>
      <c r="BD65" s="555">
        <f t="shared" si="17"/>
        <v>13.058400645790584</v>
      </c>
      <c r="BF65" s="558">
        <f t="shared" si="9"/>
        <v>2726.7383944978606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134848.32608695651</v>
      </c>
      <c r="I66" s="726">
        <v>135.86338588508852</v>
      </c>
      <c r="K66" s="625">
        <v>25.378149078265942</v>
      </c>
      <c r="M66" s="553">
        <f t="shared" si="11"/>
        <v>0</v>
      </c>
      <c r="O66" s="625">
        <v>1.1499999999999997</v>
      </c>
      <c r="Q66" s="625">
        <v>0</v>
      </c>
      <c r="S66" s="475">
        <f t="shared" si="0"/>
        <v>8875.9485469078536</v>
      </c>
      <c r="U66" s="475">
        <f t="shared" si="1"/>
        <v>12486.899021311381</v>
      </c>
      <c r="W66" s="475">
        <f t="shared" si="2"/>
        <v>-3610.9504744035276</v>
      </c>
      <c r="Y66" s="554">
        <f t="shared" si="3"/>
        <v>-26.777866505180182</v>
      </c>
      <c r="Z66" s="516"/>
      <c r="AB66" s="423">
        <f>+IF(AB65&gt;$I$13+$I$14,XX,AB65+1)</f>
        <v>2047</v>
      </c>
      <c r="AC66" s="503"/>
      <c r="AD66" s="488">
        <f t="shared" si="4"/>
        <v>134848.32608695651</v>
      </c>
      <c r="AF66" s="555">
        <f t="shared" si="19"/>
        <v>184.53681508677971</v>
      </c>
      <c r="AH66" s="555">
        <f t="shared" si="20"/>
        <v>36.963525800961492</v>
      </c>
      <c r="AJ66" s="555">
        <f t="shared" si="21"/>
        <v>3.7722024221278181</v>
      </c>
      <c r="AL66" s="558">
        <f t="shared" si="15"/>
        <v>6612.838015988159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18"/>
        <v>4.256728345957324</v>
      </c>
      <c r="AS66" s="555"/>
      <c r="AT66" s="558">
        <f t="shared" si="6"/>
        <v>3823.3846384168482</v>
      </c>
      <c r="AV66" s="558">
        <f t="shared" si="7"/>
        <v>8663.5143828945329</v>
      </c>
      <c r="AW66" s="560"/>
      <c r="AX66" s="561">
        <f t="shared" si="8"/>
        <v>12486.899021311381</v>
      </c>
      <c r="AZ66" s="430">
        <f>+IF(AZ65&gt;$I$13+$I$14,XX,AZ65+1)</f>
        <v>2047</v>
      </c>
      <c r="BA66" s="503"/>
      <c r="BB66" s="555">
        <f t="shared" si="16"/>
        <v>87.861503838364911</v>
      </c>
      <c r="BD66" s="555">
        <f t="shared" si="17"/>
        <v>13.358743860643767</v>
      </c>
      <c r="BF66" s="558">
        <f t="shared" si="9"/>
        <v>2789.4533775713107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134848.32608695651</v>
      </c>
      <c r="I67" s="726">
        <v>138.44479021690523</v>
      </c>
      <c r="K67" s="625">
        <v>26.032974853660757</v>
      </c>
      <c r="M67" s="553">
        <f t="shared" si="11"/>
        <v>0</v>
      </c>
      <c r="O67" s="625">
        <v>1.17</v>
      </c>
      <c r="Q67" s="625">
        <v>0</v>
      </c>
      <c r="S67" s="475">
        <f t="shared" si="0"/>
        <v>9067.622442061027</v>
      </c>
      <c r="U67" s="475">
        <f t="shared" si="1"/>
        <v>12761.610799780232</v>
      </c>
      <c r="W67" s="475">
        <f t="shared" si="2"/>
        <v>-3693.9883577192049</v>
      </c>
      <c r="Y67" s="554">
        <f t="shared" si="3"/>
        <v>-27.393653780597532</v>
      </c>
      <c r="Z67" s="516"/>
      <c r="AB67" s="423">
        <f>+IF(AB66&gt;$I$13+$I$14,XX,AB66+1)</f>
        <v>2048</v>
      </c>
      <c r="AC67" s="503"/>
      <c r="AD67" s="488">
        <f t="shared" si="4"/>
        <v>134848.32608695651</v>
      </c>
      <c r="AF67" s="555">
        <f t="shared" si="19"/>
        <v>188.59662501868885</v>
      </c>
      <c r="AH67" s="555">
        <f t="shared" si="20"/>
        <v>37.776723368582644</v>
      </c>
      <c r="AJ67" s="555">
        <f t="shared" si="21"/>
        <v>3.85519087541463</v>
      </c>
      <c r="AL67" s="558">
        <f>((AF67+AH67)*$AF$11*1000+AJ67*AD67)/1000</f>
        <v>6758.3204523398981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18"/>
        <v>4.3503763695683855</v>
      </c>
      <c r="AS67" s="555"/>
      <c r="AT67" s="558">
        <f t="shared" si="6"/>
        <v>3907.4991004620183</v>
      </c>
      <c r="AV67" s="558">
        <f t="shared" si="7"/>
        <v>8854.1116993182131</v>
      </c>
      <c r="AW67" s="560"/>
      <c r="AX67" s="561">
        <f t="shared" si="8"/>
        <v>12761.610799780232</v>
      </c>
      <c r="AZ67" s="430">
        <f>+IF(AZ66&gt;$I$13+$I$14,XX,AZ66+1)</f>
        <v>2048</v>
      </c>
      <c r="BA67" s="503"/>
      <c r="BB67" s="555">
        <f t="shared" si="16"/>
        <v>89.794456922808934</v>
      </c>
      <c r="BD67" s="555">
        <f t="shared" si="17"/>
        <v>13.652636225577929</v>
      </c>
      <c r="BF67" s="558">
        <f t="shared" si="9"/>
        <v>2850.8213518778798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56033.286682307742</v>
      </c>
      <c r="I68" s="726">
        <v>117.56270102585535</v>
      </c>
      <c r="K68" s="625">
        <v>11.066237073636906</v>
      </c>
      <c r="M68" s="553">
        <f t="shared" si="11"/>
        <v>0</v>
      </c>
      <c r="O68" s="625">
        <v>1.2000000000000002</v>
      </c>
      <c r="Q68" s="625">
        <v>0</v>
      </c>
      <c r="S68" s="475">
        <f t="shared" si="0"/>
        <v>5272.2629184686066</v>
      </c>
      <c r="U68" s="475">
        <f t="shared" si="1"/>
        <v>5619.5781013991073</v>
      </c>
      <c r="W68" s="475">
        <f t="shared" si="2"/>
        <v>-347.31518293050067</v>
      </c>
      <c r="Y68" s="554">
        <f t="shared" si="3"/>
        <v>-6.1983724941868141</v>
      </c>
      <c r="Z68" s="516"/>
      <c r="AB68" s="423">
        <f>+IF(AB67&gt;$I$13+$I$14,XX,AB67+1)</f>
        <v>2049</v>
      </c>
      <c r="AC68" s="503"/>
      <c r="AD68" s="488">
        <f t="shared" si="4"/>
        <v>56033.286682307742</v>
      </c>
      <c r="AF68" s="555">
        <f t="shared" si="19"/>
        <v>192.7457507691</v>
      </c>
      <c r="AH68" s="555">
        <f t="shared" si="20"/>
        <v>38.607811282691465</v>
      </c>
      <c r="AJ68" s="555">
        <f t="shared" si="21"/>
        <v>3.9400050746737518</v>
      </c>
      <c r="AL68" s="558">
        <f>((AF68+AH68)*$AR$11*1000+AJ68*AD68)/1000</f>
        <v>4773.0431978854749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18"/>
        <v>4.4460846496988902</v>
      </c>
      <c r="AS68" s="555"/>
      <c r="AT68" s="558">
        <f t="shared" si="6"/>
        <v>1859.5037762662823</v>
      </c>
      <c r="AV68" s="558">
        <f t="shared" si="7"/>
        <v>3760.0743251328245</v>
      </c>
      <c r="AW68" s="560"/>
      <c r="AX68" s="561">
        <f t="shared" si="8"/>
        <v>5619.5781013991073</v>
      </c>
      <c r="AZ68" s="430">
        <f>+IF(AZ67&gt;$I$13+$I$14,XX,AZ67+1)</f>
        <v>2049</v>
      </c>
      <c r="BA68" s="503"/>
      <c r="BB68" s="555">
        <f t="shared" si="16"/>
        <v>91.769934975110729</v>
      </c>
      <c r="BD68" s="555">
        <f t="shared" si="17"/>
        <v>13.952994222540644</v>
      </c>
      <c r="BF68" s="558">
        <f t="shared" si="9"/>
        <v>2913.5394216191926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128598.10302104156</v>
      </c>
      <c r="I70" s="617">
        <f>+-PMT($I$18,41,NPV($I$18,I28:I68))</f>
        <v>234.09202748645615</v>
      </c>
      <c r="J70" s="553"/>
      <c r="K70" s="617">
        <f>+-PMT($I$18,41,NPV($I$18,K28:K68))</f>
        <v>13.320894256057255</v>
      </c>
      <c r="M70" s="553">
        <f>+-PMT($G$18,$G$14,NPV($G$18,M28:M51))</f>
        <v>0</v>
      </c>
      <c r="O70" s="617">
        <f>+-PMT($I$18,41,NPV($I$18,O28:O68))</f>
        <v>3.2421528227403971</v>
      </c>
      <c r="Q70" s="617">
        <f>+-PMT($I$18,41,NPV($I$18,Q28:Q68))</f>
        <v>-28.420730913200078</v>
      </c>
      <c r="S70" s="617">
        <f>+-PMT($I$18,41,NPV($I$18,S28:S68))</f>
        <v>7645.4604601328538</v>
      </c>
      <c r="U70" s="617">
        <f>+-PMT($I$18,41,NPV($I$18,U28:U68))</f>
        <v>8020.2042537516527</v>
      </c>
      <c r="W70" s="626">
        <f>+-PMT($I$18,41,NPV($I$18,W28:W68))</f>
        <v>-374.74379361879983</v>
      </c>
      <c r="Y70" s="617">
        <f>+-PMT($I$18,41,NPV($I$18,Y28:Y68))</f>
        <v>-3.8522891249440252</v>
      </c>
      <c r="Z70" s="516"/>
      <c r="AB70" s="526"/>
      <c r="AD70" s="617">
        <f>+-PMT($I$18,41,NPV($I$18,AD28:AD68))</f>
        <v>128598.10302104156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3379.8817334259534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1756.117567464391</v>
      </c>
      <c r="AV70" s="618">
        <f>+-PMT($I$18,41,NPV($I$18,AV28:AV68))</f>
        <v>6264.0866862872608</v>
      </c>
      <c r="AW70" s="560"/>
      <c r="AX70" s="618">
        <f>+-PMT($I$18,41,NPV($I$18,AX28:AX68))</f>
        <v>8020.2042537516527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1623.7641659615624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2">
    <tabColor theme="4" tint="0.59999389629810485"/>
    <pageSetUpPr fitToPage="1"/>
  </sheetPr>
  <dimension ref="A1:BL97"/>
  <sheetViews>
    <sheetView topLeftCell="A55" zoomScale="85" zoomScaleNormal="85" workbookViewId="0">
      <selection activeCell="G37" sqref="G1:G1048576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2.8320312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13" style="143" bestFit="1" customWidth="1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63" width="9.33203125" style="143"/>
    <col min="64" max="64" width="2" style="143" customWidth="1"/>
    <col min="65" max="16384" width="9.33203125" style="143"/>
  </cols>
  <sheetData>
    <row r="1" spans="1:64" s="250" customFormat="1">
      <c r="A1" s="250" t="s">
        <v>0</v>
      </c>
    </row>
    <row r="2" spans="1:64" s="250" customFormat="1">
      <c r="A2" s="250" t="str">
        <f>'Workpaper Index'!$C$4</f>
        <v xml:space="preserve">WASHINGTON JUNE, 1 2022 RENEWABLES REPORT </v>
      </c>
    </row>
    <row r="3" spans="1:64" s="250" customFormat="1">
      <c r="A3" s="250" t="s">
        <v>1</v>
      </c>
    </row>
    <row r="4" spans="1:64" s="250" customFormat="1"/>
    <row r="5" spans="1:64" s="250" customFormat="1">
      <c r="A5" s="403"/>
      <c r="B5" s="402"/>
      <c r="C5" s="402"/>
      <c r="D5" s="402"/>
      <c r="E5" s="402"/>
      <c r="F5" s="402"/>
      <c r="G5" s="402"/>
    </row>
    <row r="8" spans="1:64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N8" s="409" t="s">
        <v>96</v>
      </c>
      <c r="AO8" s="410"/>
      <c r="AP8" s="410"/>
      <c r="AQ8" s="410"/>
      <c r="AR8" s="410"/>
      <c r="AS8" s="410"/>
      <c r="AT8" s="410"/>
      <c r="AU8" s="410"/>
      <c r="AV8" s="410"/>
      <c r="AW8" s="411"/>
      <c r="AZ8" s="265" t="s">
        <v>97</v>
      </c>
      <c r="BA8" s="266"/>
      <c r="BB8" s="266"/>
      <c r="BC8" s="266"/>
      <c r="BD8" s="266"/>
      <c r="BE8" s="267"/>
      <c r="BG8" s="409" t="s">
        <v>97</v>
      </c>
      <c r="BH8" s="410"/>
      <c r="BI8" s="410"/>
      <c r="BJ8" s="410"/>
      <c r="BK8" s="410"/>
      <c r="BL8" s="411"/>
    </row>
    <row r="9" spans="1:64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N9" s="123"/>
      <c r="AO9" s="124"/>
      <c r="AP9" s="124"/>
      <c r="AQ9" s="124"/>
      <c r="AR9" s="125"/>
      <c r="AS9" s="124"/>
      <c r="AT9" s="124"/>
      <c r="AU9" s="124"/>
      <c r="AV9" s="126"/>
      <c r="AW9" s="127"/>
      <c r="AZ9" s="123"/>
      <c r="BA9" s="124"/>
      <c r="BB9" s="124"/>
      <c r="BC9" s="124"/>
      <c r="BD9" s="125"/>
      <c r="BE9" s="128"/>
      <c r="BG9" s="123"/>
      <c r="BH9" s="124"/>
      <c r="BI9" s="124"/>
      <c r="BJ9" s="124"/>
      <c r="BK9" s="125"/>
      <c r="BL9" s="128"/>
    </row>
    <row r="10" spans="1:64" ht="12">
      <c r="B10" s="272"/>
      <c r="C10" s="273" t="s">
        <v>98</v>
      </c>
      <c r="D10" s="273"/>
      <c r="E10" s="273"/>
      <c r="F10" s="273"/>
      <c r="G10" s="274" t="s">
        <v>12</v>
      </c>
      <c r="H10" s="275"/>
      <c r="I10" s="391" t="s">
        <v>227</v>
      </c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N10" s="434" t="s">
        <v>242</v>
      </c>
      <c r="AO10" s="435"/>
      <c r="AP10" s="435"/>
      <c r="AQ10" s="435"/>
      <c r="AR10" s="436"/>
      <c r="AS10" s="437"/>
      <c r="AT10" s="438"/>
      <c r="AU10" s="439"/>
      <c r="AV10" s="440"/>
      <c r="AW10" s="441"/>
      <c r="AZ10" s="129"/>
      <c r="BA10" s="130"/>
      <c r="BB10" s="130"/>
      <c r="BC10" s="130"/>
      <c r="BD10" s="131"/>
      <c r="BE10" s="135"/>
      <c r="BG10" s="464" t="s">
        <v>242</v>
      </c>
      <c r="BH10" s="465"/>
      <c r="BI10" s="465"/>
      <c r="BJ10" s="465"/>
      <c r="BK10" s="394"/>
      <c r="BL10" s="421"/>
    </row>
    <row r="11" spans="1:64" ht="12">
      <c r="B11" s="272"/>
      <c r="C11" s="273" t="s">
        <v>31</v>
      </c>
      <c r="D11" s="273"/>
      <c r="E11" s="273"/>
      <c r="F11" s="273"/>
      <c r="G11" s="274">
        <v>94</v>
      </c>
      <c r="H11" s="275"/>
      <c r="I11" s="392">
        <v>94</v>
      </c>
      <c r="AB11" s="129" t="s">
        <v>99</v>
      </c>
      <c r="AC11" s="130"/>
      <c r="AD11" s="130"/>
      <c r="AE11" s="130"/>
      <c r="AF11" s="141">
        <f>+G11*(G12/AJ16)</f>
        <v>62.60880648141876</v>
      </c>
      <c r="AG11" s="134"/>
      <c r="AH11" s="130" t="s">
        <v>100</v>
      </c>
      <c r="AI11" s="131"/>
      <c r="AJ11" s="136">
        <v>7.9126910299003335</v>
      </c>
      <c r="AK11" s="255"/>
      <c r="AN11" s="129" t="s">
        <v>99</v>
      </c>
      <c r="AO11" s="130"/>
      <c r="AP11" s="130"/>
      <c r="AQ11" s="130"/>
      <c r="AR11" s="413">
        <f>+I11*(I12/AV16)</f>
        <v>46.417982388274211</v>
      </c>
      <c r="AS11" s="134"/>
      <c r="AT11" s="130" t="s">
        <v>100</v>
      </c>
      <c r="AU11" s="131"/>
      <c r="AV11" s="414">
        <f>'(2.1)_Proxy Resources'!L16</f>
        <v>19.215270973980179</v>
      </c>
      <c r="AW11" s="255"/>
      <c r="AZ11" s="129" t="s">
        <v>99</v>
      </c>
      <c r="BA11" s="130"/>
      <c r="BB11" s="130"/>
      <c r="BC11" s="130"/>
      <c r="BD11" s="141">
        <f>(AF11*AF13-G11*G19)</f>
        <v>58.222139814752097</v>
      </c>
      <c r="BE11" s="137"/>
      <c r="BG11" s="129" t="s">
        <v>99</v>
      </c>
      <c r="BH11" s="130"/>
      <c r="BI11" s="130"/>
      <c r="BJ11" s="130"/>
      <c r="BK11" s="413">
        <f>(AR11*AR13-I11*I19)</f>
        <v>35.325982388274213</v>
      </c>
      <c r="BL11" s="137"/>
    </row>
    <row r="12" spans="1:64" ht="12">
      <c r="B12" s="272"/>
      <c r="C12" s="273" t="s">
        <v>32</v>
      </c>
      <c r="D12" s="273"/>
      <c r="E12" s="273"/>
      <c r="F12" s="273"/>
      <c r="G12" s="277">
        <v>0.32430715621392298</v>
      </c>
      <c r="H12" s="275"/>
      <c r="I12" s="393">
        <v>0.34452577526753925</v>
      </c>
      <c r="AB12" s="129" t="s">
        <v>32</v>
      </c>
      <c r="AC12" s="130"/>
      <c r="AD12" s="130"/>
      <c r="AE12" s="130"/>
      <c r="AF12" s="138">
        <f>+AD71/8760/AF11</f>
        <v>0.49623977684548609</v>
      </c>
      <c r="AG12" s="134"/>
      <c r="AH12" s="124" t="s">
        <v>101</v>
      </c>
      <c r="AI12" s="125"/>
      <c r="AJ12" s="124">
        <v>2006</v>
      </c>
      <c r="AK12" s="255"/>
      <c r="AN12" s="129" t="s">
        <v>32</v>
      </c>
      <c r="AO12" s="130"/>
      <c r="AP12" s="130"/>
      <c r="AQ12" s="130"/>
      <c r="AR12" s="415">
        <f>+AD71/8760/AR11</f>
        <v>0.66933068949480878</v>
      </c>
      <c r="AS12" s="134"/>
      <c r="AT12" s="124" t="s">
        <v>101</v>
      </c>
      <c r="AU12" s="125"/>
      <c r="AV12" s="416">
        <v>2018</v>
      </c>
      <c r="AW12" s="255"/>
      <c r="AZ12" s="129"/>
      <c r="BA12" s="130"/>
      <c r="BB12" s="130"/>
      <c r="BC12" s="130"/>
      <c r="BD12" s="138"/>
      <c r="BE12" s="139"/>
      <c r="BG12" s="129"/>
      <c r="BH12" s="130"/>
      <c r="BI12" s="130"/>
      <c r="BJ12" s="130"/>
      <c r="BK12" s="415"/>
      <c r="BL12" s="139"/>
    </row>
    <row r="13" spans="1:64" ht="12">
      <c r="B13" s="272"/>
      <c r="C13" s="273" t="s">
        <v>33</v>
      </c>
      <c r="D13" s="273"/>
      <c r="E13" s="273"/>
      <c r="F13" s="273"/>
      <c r="G13" s="274">
        <v>2008</v>
      </c>
      <c r="H13" s="275"/>
      <c r="I13" s="394">
        <v>2019</v>
      </c>
      <c r="K13" s="143" t="s">
        <v>228</v>
      </c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36">
        <v>2.2243013100436677</v>
      </c>
      <c r="AK13" s="255"/>
      <c r="AN13" s="129" t="s">
        <v>102</v>
      </c>
      <c r="AO13" s="130"/>
      <c r="AP13" s="130"/>
      <c r="AQ13" s="130"/>
      <c r="AR13" s="417">
        <v>1</v>
      </c>
      <c r="AS13" s="134"/>
      <c r="AT13" s="124" t="s">
        <v>103</v>
      </c>
      <c r="AU13" s="125"/>
      <c r="AV13" s="414">
        <f>'(2.1)_Proxy Resources'!O16</f>
        <v>2.2102879231948753</v>
      </c>
      <c r="AW13" s="255"/>
      <c r="AZ13" s="129" t="s">
        <v>102</v>
      </c>
      <c r="BA13" s="130"/>
      <c r="BB13" s="130"/>
      <c r="BC13" s="130"/>
      <c r="BD13" s="140">
        <v>1</v>
      </c>
      <c r="BE13" s="139"/>
      <c r="BG13" s="129" t="s">
        <v>102</v>
      </c>
      <c r="BH13" s="130"/>
      <c r="BI13" s="130"/>
      <c r="BJ13" s="130"/>
      <c r="BK13" s="417">
        <v>1</v>
      </c>
      <c r="BL13" s="139"/>
    </row>
    <row r="14" spans="1:64" ht="12">
      <c r="B14" s="272"/>
      <c r="C14" s="273" t="s">
        <v>34</v>
      </c>
      <c r="D14" s="273"/>
      <c r="E14" s="273"/>
      <c r="F14" s="273"/>
      <c r="G14" s="274">
        <v>25</v>
      </c>
      <c r="H14" s="275"/>
      <c r="I14" s="395">
        <v>30</v>
      </c>
      <c r="K14" s="408">
        <v>42</v>
      </c>
      <c r="AB14" s="129" t="s">
        <v>104</v>
      </c>
      <c r="AC14" s="130"/>
      <c r="AD14" s="130"/>
      <c r="AE14" s="130"/>
      <c r="AF14" s="141">
        <v>7266.0213306432961</v>
      </c>
      <c r="AG14" s="134"/>
      <c r="AH14" s="124"/>
      <c r="AI14" s="125"/>
      <c r="AJ14" s="136"/>
      <c r="AK14" s="255"/>
      <c r="AN14" s="129" t="s">
        <v>104</v>
      </c>
      <c r="AO14" s="130"/>
      <c r="AP14" s="130"/>
      <c r="AQ14" s="130"/>
      <c r="AR14" s="413">
        <f>'(2.1)_Proxy Resources'!H16</f>
        <v>6500.8988201101647</v>
      </c>
      <c r="AS14" s="134"/>
      <c r="AT14" s="124"/>
      <c r="AU14" s="125"/>
      <c r="AV14" s="414"/>
      <c r="AW14" s="255"/>
      <c r="AZ14" s="129" t="s">
        <v>105</v>
      </c>
      <c r="BA14" s="130"/>
      <c r="BB14" s="130"/>
      <c r="BC14" s="130"/>
      <c r="BD14" s="142">
        <v>454</v>
      </c>
      <c r="BE14" s="139"/>
      <c r="BG14" s="129" t="s">
        <v>244</v>
      </c>
      <c r="BH14" s="130"/>
      <c r="BI14" s="130"/>
      <c r="BJ14" s="130"/>
      <c r="BK14" s="418">
        <f>'(2.1)_Proxy Resources'!J17</f>
        <v>843</v>
      </c>
      <c r="BL14" s="139"/>
    </row>
    <row r="15" spans="1:64" ht="12">
      <c r="A15" s="143" t="s">
        <v>106</v>
      </c>
      <c r="B15" s="272"/>
      <c r="C15" s="273" t="s">
        <v>107</v>
      </c>
      <c r="D15" s="273"/>
      <c r="E15" s="273"/>
      <c r="F15" s="273"/>
      <c r="G15" s="278">
        <v>192.46011054334076</v>
      </c>
      <c r="H15" s="275"/>
      <c r="AB15" s="129" t="s">
        <v>105</v>
      </c>
      <c r="AC15" s="130"/>
      <c r="AD15" s="130"/>
      <c r="AE15" s="130"/>
      <c r="AF15" s="142">
        <v>651.09966777408636</v>
      </c>
      <c r="AG15" s="134"/>
      <c r="AH15" s="124" t="s">
        <v>141</v>
      </c>
      <c r="AI15" s="125"/>
      <c r="AJ15" s="136">
        <v>2.302423580786026</v>
      </c>
      <c r="AK15" s="255"/>
      <c r="AN15" s="129" t="s">
        <v>243</v>
      </c>
      <c r="AO15" s="130"/>
      <c r="AP15" s="130"/>
      <c r="AQ15" s="130"/>
      <c r="AR15" s="418">
        <f>'(2.1)_Proxy Resources'!J16</f>
        <v>1350.7921550317262</v>
      </c>
      <c r="AS15" s="134"/>
      <c r="AT15" s="124" t="s">
        <v>141</v>
      </c>
      <c r="AU15" s="125"/>
      <c r="AV15" s="414"/>
      <c r="AW15" s="255"/>
      <c r="AZ15" s="129" t="s">
        <v>108</v>
      </c>
      <c r="BA15" s="130"/>
      <c r="BB15" s="130"/>
      <c r="BC15" s="130"/>
      <c r="BD15" s="144">
        <v>8.3299999999999999E-2</v>
      </c>
      <c r="BE15" s="139"/>
      <c r="BG15" s="129" t="s">
        <v>108</v>
      </c>
      <c r="BH15" s="130"/>
      <c r="BI15" s="130"/>
      <c r="BJ15" s="130"/>
      <c r="BK15" s="419">
        <f>'(2.1)_Proxy Resources'!K17</f>
        <v>6.9599999999999995E-2</v>
      </c>
      <c r="BL15" s="139"/>
    </row>
    <row r="16" spans="1:64" ht="12">
      <c r="A16" s="143" t="s">
        <v>106</v>
      </c>
      <c r="B16" s="272"/>
      <c r="C16" s="273" t="s">
        <v>109</v>
      </c>
      <c r="D16" s="273"/>
      <c r="E16" s="273"/>
      <c r="F16" s="273"/>
      <c r="G16" s="278">
        <v>14.384830645825609</v>
      </c>
      <c r="H16" s="275"/>
      <c r="AB16" s="129" t="s">
        <v>108</v>
      </c>
      <c r="AC16" s="130"/>
      <c r="AD16" s="130"/>
      <c r="AE16" s="130"/>
      <c r="AF16" s="144">
        <v>8.6199999999999999E-2</v>
      </c>
      <c r="AG16" s="134"/>
      <c r="AH16" s="124" t="s">
        <v>110</v>
      </c>
      <c r="AI16" s="131"/>
      <c r="AJ16" s="145">
        <v>0.48691029900332239</v>
      </c>
      <c r="AK16" s="255"/>
      <c r="AN16" s="129" t="s">
        <v>108</v>
      </c>
      <c r="AO16" s="130"/>
      <c r="AP16" s="130"/>
      <c r="AQ16" s="130"/>
      <c r="AR16" s="419">
        <f>'(2.1)_Proxy Resources'!K17</f>
        <v>6.9599999999999995E-2</v>
      </c>
      <c r="AS16" s="134"/>
      <c r="AT16" s="124" t="s">
        <v>110</v>
      </c>
      <c r="AU16" s="131"/>
      <c r="AV16" s="420">
        <f>'(2.1)_Proxy Resources'!D16</f>
        <v>0.6976913086021953</v>
      </c>
      <c r="AW16" s="255"/>
      <c r="AZ16" s="129" t="s">
        <v>100</v>
      </c>
      <c r="BA16" s="131"/>
      <c r="BB16" s="136">
        <v>5.75</v>
      </c>
      <c r="BC16" s="3"/>
      <c r="BD16" s="3"/>
      <c r="BE16" s="137"/>
      <c r="BG16" s="129" t="s">
        <v>100</v>
      </c>
      <c r="BH16" s="131"/>
      <c r="BI16" s="414">
        <f>'(2.1)_Proxy Resources'!N17</f>
        <v>16.150000000000002</v>
      </c>
      <c r="BJ16" s="3"/>
      <c r="BK16" s="3"/>
      <c r="BL16" s="137"/>
    </row>
    <row r="17" spans="1:64" ht="12">
      <c r="A17" s="143" t="s">
        <v>106</v>
      </c>
      <c r="B17" s="272"/>
      <c r="C17" s="273" t="s">
        <v>111</v>
      </c>
      <c r="D17" s="273"/>
      <c r="E17" s="273"/>
      <c r="F17" s="273"/>
      <c r="G17" s="278">
        <v>5.3332720597611454</v>
      </c>
      <c r="H17" s="275"/>
      <c r="I17" s="278">
        <v>0</v>
      </c>
      <c r="AB17" s="2"/>
      <c r="AG17" s="134"/>
      <c r="AH17" s="3"/>
      <c r="AI17" s="134"/>
      <c r="AJ17" s="130"/>
      <c r="AK17" s="137"/>
      <c r="AN17" s="2"/>
      <c r="AS17" s="134"/>
      <c r="AT17" s="3"/>
      <c r="AU17" s="134"/>
      <c r="AV17" s="130"/>
      <c r="AW17" s="137"/>
      <c r="AZ17" s="123" t="s">
        <v>101</v>
      </c>
      <c r="BA17" s="125"/>
      <c r="BB17" s="124">
        <v>2006</v>
      </c>
      <c r="BC17" s="3"/>
      <c r="BD17" s="3"/>
      <c r="BE17" s="135"/>
      <c r="BG17" s="123" t="s">
        <v>101</v>
      </c>
      <c r="BH17" s="125"/>
      <c r="BI17" s="416">
        <v>2018</v>
      </c>
      <c r="BJ17" s="3"/>
      <c r="BK17" s="3"/>
      <c r="BL17" s="135"/>
    </row>
    <row r="18" spans="1:64" ht="12">
      <c r="B18" s="272"/>
      <c r="C18" s="273" t="s">
        <v>112</v>
      </c>
      <c r="D18" s="273"/>
      <c r="E18" s="273"/>
      <c r="F18" s="273"/>
      <c r="G18" s="277">
        <v>7.3164524549999999E-2</v>
      </c>
      <c r="H18" s="275"/>
      <c r="I18" s="396">
        <v>6.9199999999999998E-2</v>
      </c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N18" s="146"/>
      <c r="AO18" s="147"/>
      <c r="AP18" s="147"/>
      <c r="AQ18" s="147"/>
      <c r="AR18" s="147"/>
      <c r="AS18" s="147"/>
      <c r="AT18" s="147"/>
      <c r="AU18" s="147"/>
      <c r="AV18" s="147"/>
      <c r="AW18" s="148"/>
      <c r="AZ18" s="146"/>
      <c r="BA18" s="147"/>
      <c r="BB18" s="147"/>
      <c r="BC18" s="147"/>
      <c r="BD18" s="147"/>
      <c r="BE18" s="149"/>
      <c r="BG18" s="146"/>
      <c r="BH18" s="147"/>
      <c r="BI18" s="147"/>
      <c r="BJ18" s="147"/>
      <c r="BK18" s="147"/>
      <c r="BL18" s="149"/>
    </row>
    <row r="19" spans="1:64" ht="12">
      <c r="B19" s="279"/>
      <c r="C19" s="280" t="s">
        <v>102</v>
      </c>
      <c r="D19" s="280"/>
      <c r="E19" s="280"/>
      <c r="F19" s="280"/>
      <c r="G19" s="281">
        <f>14/300</f>
        <v>4.6666666666666669E-2</v>
      </c>
      <c r="H19" s="282"/>
      <c r="I19" s="393">
        <v>0.11799999999999999</v>
      </c>
    </row>
    <row r="20" spans="1:64" ht="12.75">
      <c r="B20" s="250"/>
      <c r="C20" s="250"/>
      <c r="D20" s="250"/>
      <c r="E20" s="250"/>
      <c r="F20" s="250"/>
      <c r="G20" s="143" t="s">
        <v>113</v>
      </c>
      <c r="H20" s="250"/>
      <c r="AH20" s="229"/>
    </row>
    <row r="23" spans="1:64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4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4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288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4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4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4" ht="12">
      <c r="B28" s="2"/>
      <c r="C28" s="6">
        <f>+G13</f>
        <v>2008</v>
      </c>
      <c r="D28" s="6"/>
      <c r="E28" s="292">
        <v>1.7000000000000001E-2</v>
      </c>
      <c r="F28" s="6"/>
      <c r="G28" s="20">
        <v>267537.77831756306</v>
      </c>
      <c r="H28" s="6"/>
      <c r="I28" s="293">
        <f>$G$15*(1+$E28)</f>
        <v>195.73193242257753</v>
      </c>
      <c r="J28" s="293"/>
      <c r="K28" s="293">
        <f>$G$16*(1+$E28)</f>
        <v>14.629372766804643</v>
      </c>
      <c r="L28" s="294"/>
      <c r="M28" s="293">
        <f>$G$17*(1+$E28)</f>
        <v>5.4239376847770844</v>
      </c>
      <c r="N28" s="6"/>
      <c r="O28" s="295">
        <v>5.1866999999999992</v>
      </c>
      <c r="P28" s="6"/>
      <c r="Q28" s="30">
        <v>-31.822979238320347</v>
      </c>
      <c r="R28" s="6"/>
      <c r="S28" s="20">
        <f>(I28*$G$11*1000+(K28+M28+O28+Q28)*G28)/1000</f>
        <v>16637.608803784373</v>
      </c>
      <c r="T28" s="6"/>
      <c r="U28" s="20">
        <f t="shared" ref="U28:U69" si="0">AX28</f>
        <v>18275.792486144186</v>
      </c>
      <c r="V28" s="6"/>
      <c r="W28" s="20">
        <f>S28-U28</f>
        <v>-1638.1836823598132</v>
      </c>
      <c r="X28" s="6"/>
      <c r="Y28" s="296">
        <f>+W28*1000/G28</f>
        <v>-6.123186387588655</v>
      </c>
      <c r="Z28" s="255"/>
      <c r="AB28" s="154">
        <f>$C$28</f>
        <v>2008</v>
      </c>
      <c r="AC28" s="124"/>
      <c r="AD28" s="159">
        <f>G28</f>
        <v>267537.77831756306</v>
      </c>
      <c r="AE28" s="3"/>
      <c r="AF28" s="160">
        <v>58.163412158772744</v>
      </c>
      <c r="AG28" s="297"/>
      <c r="AH28" s="160">
        <v>8.2001037061794015</v>
      </c>
      <c r="AI28" s="297"/>
      <c r="AJ28" s="160">
        <v>2.3050946065283835</v>
      </c>
      <c r="AK28" s="298"/>
      <c r="AL28" s="161">
        <f>((AF28+AH28)*$AF$11*1000+AJ28*AD28)/1000</f>
        <v>4771.6404120577536</v>
      </c>
      <c r="AM28" s="3"/>
      <c r="AN28" s="162">
        <v>7.9707205782722266</v>
      </c>
      <c r="AO28" s="297"/>
      <c r="AP28" s="162">
        <f>AN28*$AF$14/1000</f>
        <v>57.915425742323464</v>
      </c>
      <c r="AQ28" s="297"/>
      <c r="AR28" s="160">
        <v>2.3860545125109165</v>
      </c>
      <c r="AS28" s="160"/>
      <c r="AT28" s="161">
        <f t="shared" ref="AT28:AT69" si="1">AL28-BF28</f>
        <v>2142.8684295054004</v>
      </c>
      <c r="AU28" s="298"/>
      <c r="AV28" s="161">
        <f t="shared" ref="AV28:AV69" si="2">(AP28+AR28)*AD28/1000</f>
        <v>16132.924056638787</v>
      </c>
      <c r="AW28" s="299"/>
      <c r="AX28" s="163">
        <f>AT28+AV28</f>
        <v>18275.792486144186</v>
      </c>
      <c r="AZ28" s="154">
        <f>$C$28</f>
        <v>2008</v>
      </c>
      <c r="BA28" s="124"/>
      <c r="BB28" s="160">
        <v>39.191870478599988</v>
      </c>
      <c r="BC28" s="3"/>
      <c r="BD28" s="160">
        <v>5.9588572499999986</v>
      </c>
      <c r="BE28" s="297"/>
      <c r="BF28" s="161">
        <f>(BB28+BD28)*$BD$11</f>
        <v>2628.7719825523532</v>
      </c>
      <c r="BG28" s="297"/>
      <c r="BH28" s="164"/>
    </row>
    <row r="29" spans="1:64" ht="12">
      <c r="B29" s="2"/>
      <c r="C29" s="6">
        <f>+IF(C28&gt;$G$13+$G$14,XX,C28+1)</f>
        <v>2009</v>
      </c>
      <c r="D29" s="6"/>
      <c r="E29" s="292">
        <v>1.7000000000000001E-2</v>
      </c>
      <c r="F29" s="6"/>
      <c r="G29" s="20">
        <v>266887.27898453025</v>
      </c>
      <c r="H29" s="6"/>
      <c r="I29" s="30">
        <f>I28*(1+$E29)</f>
        <v>199.05937527376133</v>
      </c>
      <c r="J29" s="6"/>
      <c r="K29" s="30">
        <f>K28*(1+$E29)</f>
        <v>14.878072103840321</v>
      </c>
      <c r="L29" s="6"/>
      <c r="M29" s="30">
        <f>M28*(1+$E29)</f>
        <v>5.5161446254182946</v>
      </c>
      <c r="N29" s="6"/>
      <c r="O29" s="295">
        <v>5.2748738999999985</v>
      </c>
      <c r="P29" s="6"/>
      <c r="Q29" s="30">
        <v>-32.441830107908217</v>
      </c>
      <c r="R29" s="6"/>
      <c r="S29" s="20">
        <f>(I29*$G$11*1000+(K29+M29+O29+Q29)*G29)/1000</f>
        <v>16904.023265005671</v>
      </c>
      <c r="T29" s="6"/>
      <c r="U29" s="20">
        <f t="shared" si="0"/>
        <v>17904.357904662171</v>
      </c>
      <c r="V29" s="6"/>
      <c r="W29" s="20">
        <f t="shared" ref="W29:W69" si="3">S29-U29</f>
        <v>-1000.3346396564993</v>
      </c>
      <c r="X29" s="6"/>
      <c r="Y29" s="296">
        <f t="shared" ref="Y29:Y69" si="4">+W29*1000/G29</f>
        <v>-3.7481540651268075</v>
      </c>
      <c r="Z29" s="255"/>
      <c r="AB29" s="154">
        <f>+IF(AB28&gt;$G$13+$G$14,XX,AB28+1)</f>
        <v>2009</v>
      </c>
      <c r="AC29" s="124"/>
      <c r="AD29" s="159">
        <f t="shared" ref="AD29:AD69" si="5">G29</f>
        <v>266887.27898453025</v>
      </c>
      <c r="AE29" s="3"/>
      <c r="AF29" s="162">
        <f>AF28*(1+$E29)</f>
        <v>59.152190165471872</v>
      </c>
      <c r="AG29" s="3"/>
      <c r="AH29" s="162">
        <f>AH28*(1+$E29)</f>
        <v>8.3395054691844503</v>
      </c>
      <c r="AI29" s="3"/>
      <c r="AJ29" s="162">
        <f>AJ28*(1+$E29)</f>
        <v>2.3442812148393659</v>
      </c>
      <c r="AK29" s="3"/>
      <c r="AL29" s="161">
        <f t="shared" ref="AL29:AL38" si="6">((AF29+AH29)*$AF$11*1000+AJ29*AD29)/1000</f>
        <v>4851.2333456960405</v>
      </c>
      <c r="AM29" s="3"/>
      <c r="AN29" s="162">
        <v>7.7758276535043622</v>
      </c>
      <c r="AO29" s="3"/>
      <c r="AP29" s="162">
        <f t="shared" ref="AP29:AP38" si="7">AN29*$AF$14/1000</f>
        <v>56.499329593768707</v>
      </c>
      <c r="AQ29" s="3"/>
      <c r="AR29" s="162">
        <f>AR28*(1+$E29)</f>
        <v>2.4266174392236017</v>
      </c>
      <c r="AS29" s="162"/>
      <c r="AT29" s="161">
        <f t="shared" si="1"/>
        <v>2177.7722394402981</v>
      </c>
      <c r="AU29" s="3"/>
      <c r="AV29" s="161">
        <f t="shared" si="2"/>
        <v>15726.585665221872</v>
      </c>
      <c r="AW29" s="299"/>
      <c r="AX29" s="163">
        <f t="shared" ref="AX29:AX69" si="8">AT29+AV29</f>
        <v>17904.357904662171</v>
      </c>
      <c r="AZ29" s="154">
        <f>+IF(AZ28&gt;$G$13+$G$14,XX,AZ28+1)</f>
        <v>2009</v>
      </c>
      <c r="BA29" s="124"/>
      <c r="BB29" s="162">
        <f>BB28*(1+$E29)</f>
        <v>39.858132276736185</v>
      </c>
      <c r="BC29" s="3"/>
      <c r="BD29" s="162">
        <f>BD28*(1+$E29)</f>
        <v>6.0601578232499982</v>
      </c>
      <c r="BE29" s="3"/>
      <c r="BF29" s="161">
        <f t="shared" ref="BF29:BF38" si="9">(BB29+BD29)*$BD$11</f>
        <v>2673.4611062557424</v>
      </c>
      <c r="BG29" s="3"/>
      <c r="BH29" s="165"/>
    </row>
    <row r="30" spans="1:64" ht="12">
      <c r="B30" s="2"/>
      <c r="C30" s="6">
        <f>+IF(C29&gt;$G$13+$G$14,XX,C29+1)</f>
        <v>2010</v>
      </c>
      <c r="D30" s="6"/>
      <c r="E30" s="292">
        <v>1.9E-2</v>
      </c>
      <c r="F30" s="6"/>
      <c r="G30" s="20">
        <v>266887.27898453025</v>
      </c>
      <c r="H30" s="6"/>
      <c r="I30" s="30">
        <f t="shared" ref="I30:I38" si="10">I29*(1+$E30)</f>
        <v>202.84150340396278</v>
      </c>
      <c r="J30" s="6"/>
      <c r="K30" s="30">
        <f>K29*(1+$E30)</f>
        <v>15.160755473813285</v>
      </c>
      <c r="L30" s="6"/>
      <c r="M30" s="30">
        <f t="shared" ref="M30:M69" si="11">M29*(1+$E30)</f>
        <v>5.6209513733012413</v>
      </c>
      <c r="N30" s="6"/>
      <c r="O30" s="295">
        <v>5.3750965040999983</v>
      </c>
      <c r="P30" s="6"/>
      <c r="Q30" s="30">
        <v>-33.072715564073334</v>
      </c>
      <c r="R30" s="6"/>
      <c r="S30" s="20">
        <f t="shared" ref="S30:S38" si="12">(I30*$G$11*1000+(K30+M30+O30+Q30)*G30)/1000</f>
        <v>17221.332327786735</v>
      </c>
      <c r="T30" s="6"/>
      <c r="U30" s="20">
        <f t="shared" si="0"/>
        <v>17379.415844316856</v>
      </c>
      <c r="V30" s="6"/>
      <c r="W30" s="20">
        <f t="shared" si="3"/>
        <v>-158.08351653012141</v>
      </c>
      <c r="X30" s="6"/>
      <c r="Y30" s="296">
        <f t="shared" si="4"/>
        <v>-0.59232316029301835</v>
      </c>
      <c r="Z30" s="255"/>
      <c r="AB30" s="154">
        <f>+IF(AB29&gt;$G$13+$G$14,XX,AB29+1)</f>
        <v>2010</v>
      </c>
      <c r="AC30" s="124"/>
      <c r="AD30" s="159">
        <f t="shared" si="5"/>
        <v>266887.27898453025</v>
      </c>
      <c r="AE30" s="3"/>
      <c r="AF30" s="162">
        <f t="shared" ref="AF30:AF68" si="13">AF29*(1+$E30)</f>
        <v>60.276081778615833</v>
      </c>
      <c r="AG30" s="3"/>
      <c r="AH30" s="162">
        <f t="shared" ref="AH30:AH68" si="14">AH29*(1+$E30)</f>
        <v>8.4979560730989547</v>
      </c>
      <c r="AI30" s="3"/>
      <c r="AJ30" s="162">
        <f t="shared" ref="AJ30:AJ68" si="15">AJ29*(1+$E30)</f>
        <v>2.3888225579213138</v>
      </c>
      <c r="AK30" s="3"/>
      <c r="AL30" s="161">
        <f t="shared" si="6"/>
        <v>4943.4067792642645</v>
      </c>
      <c r="AM30" s="3"/>
      <c r="AN30" s="162">
        <v>7.4774457529777205</v>
      </c>
      <c r="AO30" s="3"/>
      <c r="AP30" s="162">
        <f t="shared" si="7"/>
        <v>54.331280339864243</v>
      </c>
      <c r="AQ30" s="3"/>
      <c r="AR30" s="162">
        <f t="shared" ref="AR30:AR68" si="16">AR29*(1+$E30)</f>
        <v>2.4727231705688499</v>
      </c>
      <c r="AS30" s="162"/>
      <c r="AT30" s="161">
        <f t="shared" si="1"/>
        <v>2219.149911989663</v>
      </c>
      <c r="AU30" s="3"/>
      <c r="AV30" s="161">
        <f t="shared" si="2"/>
        <v>15160.265932327193</v>
      </c>
      <c r="AW30" s="299"/>
      <c r="AX30" s="163">
        <f t="shared" si="8"/>
        <v>17379.415844316856</v>
      </c>
      <c r="AZ30" s="154">
        <f>+IF(AZ29&gt;$G$13+$G$14,XX,AZ29+1)</f>
        <v>2010</v>
      </c>
      <c r="BA30" s="124"/>
      <c r="BB30" s="162">
        <f t="shared" ref="BB30:BB68" si="17">BB29*(1+$E30)</f>
        <v>40.61543678999417</v>
      </c>
      <c r="BC30" s="3"/>
      <c r="BD30" s="162">
        <f t="shared" ref="BD30:BD68" si="18">BD29*(1+$E30)</f>
        <v>6.1753008218917476</v>
      </c>
      <c r="BE30" s="3"/>
      <c r="BF30" s="161">
        <f t="shared" si="9"/>
        <v>2724.2568672746015</v>
      </c>
      <c r="BG30" s="3"/>
      <c r="BH30" s="165"/>
    </row>
    <row r="31" spans="1:64" ht="12">
      <c r="B31" s="2"/>
      <c r="C31" s="6">
        <f>+IF(C30&gt;$G$13+$G$14,XX,C30+1)</f>
        <v>2011</v>
      </c>
      <c r="D31" s="6"/>
      <c r="E31" s="292">
        <v>1.9E-2</v>
      </c>
      <c r="F31" s="6"/>
      <c r="G31" s="20">
        <v>266887.27898453025</v>
      </c>
      <c r="H31" s="6"/>
      <c r="I31" s="30">
        <f t="shared" si="10"/>
        <v>206.69549196863804</v>
      </c>
      <c r="J31" s="6"/>
      <c r="K31" s="30">
        <f t="shared" ref="K31:K38" si="19">K30*(1+$E31)</f>
        <v>15.448809827815737</v>
      </c>
      <c r="L31" s="6"/>
      <c r="M31" s="30">
        <f t="shared" si="11"/>
        <v>5.727749449393964</v>
      </c>
      <c r="N31" s="6"/>
      <c r="O31" s="295">
        <v>5.4772233376778976</v>
      </c>
      <c r="P31" s="6"/>
      <c r="Q31" s="30">
        <v>-33.715869639409341</v>
      </c>
      <c r="R31" s="6"/>
      <c r="S31" s="20">
        <f>(I31*$G$11*1000+(K31+M31+O31+Q31)*G31)/1000</f>
        <v>17544.59505512541</v>
      </c>
      <c r="T31" s="6"/>
      <c r="U31" s="20">
        <f t="shared" si="0"/>
        <v>16667.54520753082</v>
      </c>
      <c r="V31" s="6"/>
      <c r="W31" s="20">
        <f t="shared" si="3"/>
        <v>877.04984759458966</v>
      </c>
      <c r="X31" s="6"/>
      <c r="Y31" s="296">
        <f t="shared" si="4"/>
        <v>3.2862182526332648</v>
      </c>
      <c r="Z31" s="255"/>
      <c r="AB31" s="154">
        <f>+IF(AB30&gt;$G$13+$G$14,XX,AB30+1)</f>
        <v>2011</v>
      </c>
      <c r="AC31" s="124"/>
      <c r="AD31" s="159">
        <f t="shared" si="5"/>
        <v>266887.27898453025</v>
      </c>
      <c r="AE31" s="3"/>
      <c r="AF31" s="162">
        <f t="shared" si="13"/>
        <v>61.421327332409525</v>
      </c>
      <c r="AG31" s="3"/>
      <c r="AH31" s="162">
        <f t="shared" si="14"/>
        <v>8.6594172384878334</v>
      </c>
      <c r="AI31" s="3"/>
      <c r="AJ31" s="162">
        <f t="shared" si="15"/>
        <v>2.4342101865218186</v>
      </c>
      <c r="AK31" s="3"/>
      <c r="AL31" s="161">
        <f t="shared" si="6"/>
        <v>5037.3315080702851</v>
      </c>
      <c r="AM31" s="3"/>
      <c r="AN31" s="162">
        <v>7.0821436233211914</v>
      </c>
      <c r="AO31" s="3"/>
      <c r="AP31" s="162">
        <f t="shared" si="7"/>
        <v>51.459006633731178</v>
      </c>
      <c r="AQ31" s="3"/>
      <c r="AR31" s="162">
        <f t="shared" si="16"/>
        <v>2.5197049108096579</v>
      </c>
      <c r="AS31" s="162"/>
      <c r="AT31" s="161">
        <f t="shared" si="1"/>
        <v>2261.3137603174664</v>
      </c>
      <c r="AU31" s="3"/>
      <c r="AV31" s="161">
        <f t="shared" si="2"/>
        <v>14406.231447213353</v>
      </c>
      <c r="AW31" s="299"/>
      <c r="AX31" s="163">
        <f t="shared" si="8"/>
        <v>16667.54520753082</v>
      </c>
      <c r="AZ31" s="154">
        <f>+IF(AZ30&gt;$G$13+$G$14,XX,AZ30+1)</f>
        <v>2011</v>
      </c>
      <c r="BA31" s="124"/>
      <c r="BB31" s="162">
        <f t="shared" si="17"/>
        <v>41.387130089004053</v>
      </c>
      <c r="BC31" s="3"/>
      <c r="BD31" s="162">
        <f t="shared" si="18"/>
        <v>6.29263153750769</v>
      </c>
      <c r="BE31" s="3"/>
      <c r="BF31" s="161">
        <f t="shared" si="9"/>
        <v>2776.0177477528187</v>
      </c>
      <c r="BG31" s="3"/>
      <c r="BH31" s="165"/>
    </row>
    <row r="32" spans="1:64" ht="12">
      <c r="B32" s="2"/>
      <c r="C32" s="6">
        <f>+IF(C31&gt;$G$13+$G$14,XX,C31+1)</f>
        <v>2012</v>
      </c>
      <c r="D32" s="6"/>
      <c r="E32" s="292">
        <v>0.02</v>
      </c>
      <c r="F32" s="6"/>
      <c r="G32" s="20">
        <v>267537.77831756306</v>
      </c>
      <c r="H32" s="6"/>
      <c r="I32" s="30">
        <f t="shared" si="10"/>
        <v>210.8294018080108</v>
      </c>
      <c r="J32" s="6"/>
      <c r="K32" s="30">
        <f t="shared" si="19"/>
        <v>15.757786024372052</v>
      </c>
      <c r="L32" s="6"/>
      <c r="M32" s="30">
        <f t="shared" si="11"/>
        <v>5.8423044383818432</v>
      </c>
      <c r="N32" s="6"/>
      <c r="O32" s="295">
        <v>5.5867678044314557</v>
      </c>
      <c r="P32" s="6"/>
      <c r="Q32" s="30">
        <v>-34.371530917663719</v>
      </c>
      <c r="R32" s="6"/>
      <c r="S32" s="20">
        <f t="shared" si="12"/>
        <v>17895.792411105074</v>
      </c>
      <c r="T32" s="6"/>
      <c r="U32" s="20">
        <f t="shared" si="0"/>
        <v>16024.92093536946</v>
      </c>
      <c r="V32" s="6"/>
      <c r="W32" s="20">
        <f t="shared" si="3"/>
        <v>1870.8714757356138</v>
      </c>
      <c r="X32" s="6"/>
      <c r="Y32" s="296">
        <f t="shared" si="4"/>
        <v>6.992924466595964</v>
      </c>
      <c r="Z32" s="255"/>
      <c r="AB32" s="154">
        <f>+IF(AB31&gt;$G$13+$G$14,XX,AB31+1)</f>
        <v>2012</v>
      </c>
      <c r="AC32" s="124"/>
      <c r="AD32" s="159">
        <f t="shared" si="5"/>
        <v>267537.77831756306</v>
      </c>
      <c r="AE32" s="3"/>
      <c r="AF32" s="162">
        <f t="shared" si="13"/>
        <v>62.64975387905772</v>
      </c>
      <c r="AG32" s="3"/>
      <c r="AH32" s="162">
        <f t="shared" si="14"/>
        <v>8.8326055832575907</v>
      </c>
      <c r="AI32" s="3"/>
      <c r="AJ32" s="162">
        <f t="shared" si="15"/>
        <v>2.4828943902522549</v>
      </c>
      <c r="AK32" s="3"/>
      <c r="AL32" s="161">
        <f t="shared" si="6"/>
        <v>5139.6932593765414</v>
      </c>
      <c r="AM32" s="3"/>
      <c r="AN32" s="162">
        <v>6.7024699037828679</v>
      </c>
      <c r="AO32" s="3"/>
      <c r="AP32" s="162">
        <f t="shared" si="7"/>
        <v>48.700289288881038</v>
      </c>
      <c r="AQ32" s="3"/>
      <c r="AR32" s="162">
        <f t="shared" si="16"/>
        <v>2.5700990090258511</v>
      </c>
      <c r="AS32" s="162"/>
      <c r="AT32" s="161">
        <f t="shared" si="1"/>
        <v>2308.1551566686667</v>
      </c>
      <c r="AU32" s="3"/>
      <c r="AV32" s="161">
        <f t="shared" si="2"/>
        <v>13716.765778700794</v>
      </c>
      <c r="AW32" s="299"/>
      <c r="AX32" s="163">
        <f t="shared" si="8"/>
        <v>16024.92093536946</v>
      </c>
      <c r="AZ32" s="154">
        <f>+IF(AZ31&gt;$G$13+$G$14,XX,AZ31+1)</f>
        <v>2012</v>
      </c>
      <c r="BA32" s="124"/>
      <c r="BB32" s="162">
        <f t="shared" si="17"/>
        <v>42.214872690784134</v>
      </c>
      <c r="BC32" s="3"/>
      <c r="BD32" s="162">
        <f t="shared" si="18"/>
        <v>6.4184841682578435</v>
      </c>
      <c r="BE32" s="3"/>
      <c r="BF32" s="161">
        <f t="shared" si="9"/>
        <v>2831.5381027078747</v>
      </c>
      <c r="BG32" s="3"/>
      <c r="BH32" s="165"/>
    </row>
    <row r="33" spans="2:60" ht="12">
      <c r="B33" s="2"/>
      <c r="C33" s="6">
        <f>+IF(C32&gt;$G$13+$G$14,XX,C32+1)</f>
        <v>2013</v>
      </c>
      <c r="D33" s="6"/>
      <c r="E33" s="292">
        <v>1.9E-2</v>
      </c>
      <c r="F33" s="6"/>
      <c r="G33" s="20">
        <v>266887.27898453025</v>
      </c>
      <c r="H33" s="6"/>
      <c r="I33" s="30">
        <f t="shared" si="10"/>
        <v>214.83516044236299</v>
      </c>
      <c r="J33" s="6"/>
      <c r="K33" s="30">
        <f t="shared" si="19"/>
        <v>16.057183958835118</v>
      </c>
      <c r="L33" s="6"/>
      <c r="M33" s="30">
        <f t="shared" si="11"/>
        <v>5.9533082227110974</v>
      </c>
      <c r="N33" s="6"/>
      <c r="O33" s="295">
        <v>5.6929163927156532</v>
      </c>
      <c r="P33" s="6"/>
      <c r="Q33" s="30">
        <v>-35.039942622242556</v>
      </c>
      <c r="R33" s="6"/>
      <c r="S33" s="20">
        <f t="shared" si="12"/>
        <v>18236.477472339189</v>
      </c>
      <c r="T33" s="6"/>
      <c r="U33" s="20">
        <f t="shared" si="0"/>
        <v>16041.042138788463</v>
      </c>
      <c r="V33" s="6"/>
      <c r="W33" s="20">
        <f t="shared" si="3"/>
        <v>2195.4353335507258</v>
      </c>
      <c r="X33" s="6"/>
      <c r="Y33" s="296">
        <f t="shared" si="4"/>
        <v>8.2260770985565816</v>
      </c>
      <c r="Z33" s="255"/>
      <c r="AB33" s="154">
        <f>+IF(AB32&gt;$G$13+$G$14,XX,AB32+1)</f>
        <v>2013</v>
      </c>
      <c r="AC33" s="124"/>
      <c r="AD33" s="159">
        <f t="shared" si="5"/>
        <v>266887.27898453025</v>
      </c>
      <c r="AE33" s="3"/>
      <c r="AF33" s="162">
        <f>AF32*(1+$E33)</f>
        <v>63.840099202759809</v>
      </c>
      <c r="AG33" s="3"/>
      <c r="AH33" s="162">
        <f t="shared" si="14"/>
        <v>9.0004250893394833</v>
      </c>
      <c r="AI33" s="3"/>
      <c r="AJ33" s="162">
        <f t="shared" si="15"/>
        <v>2.5300693836670476</v>
      </c>
      <c r="AK33" s="3"/>
      <c r="AL33" s="161">
        <f t="shared" si="6"/>
        <v>5235.7016228580924</v>
      </c>
      <c r="AM33" s="3"/>
      <c r="AN33" s="162">
        <v>6.6994948806584134</v>
      </c>
      <c r="AO33" s="3"/>
      <c r="AP33" s="162">
        <f t="shared" si="7"/>
        <v>48.678672707399592</v>
      </c>
      <c r="AQ33" s="3"/>
      <c r="AR33" s="162">
        <f t="shared" si="16"/>
        <v>2.6189308901973418</v>
      </c>
      <c r="AS33" s="162"/>
      <c r="AT33" s="161">
        <f t="shared" si="1"/>
        <v>2350.3642961987684</v>
      </c>
      <c r="AU33" s="3"/>
      <c r="AV33" s="161">
        <f t="shared" si="2"/>
        <v>13690.677842589696</v>
      </c>
      <c r="AW33" s="299"/>
      <c r="AX33" s="163">
        <f t="shared" si="8"/>
        <v>16041.042138788463</v>
      </c>
      <c r="AZ33" s="154">
        <f>+IF(AZ32&gt;$G$13+$G$14,XX,AZ32+1)</f>
        <v>2013</v>
      </c>
      <c r="BA33" s="124"/>
      <c r="BB33" s="162">
        <f t="shared" si="17"/>
        <v>43.016955271909026</v>
      </c>
      <c r="BC33" s="3"/>
      <c r="BD33" s="162">
        <f t="shared" si="18"/>
        <v>6.5404353674547417</v>
      </c>
      <c r="BE33" s="3"/>
      <c r="BF33" s="161">
        <f t="shared" si="9"/>
        <v>2885.3373266593239</v>
      </c>
      <c r="BG33" s="3"/>
      <c r="BH33" s="165"/>
    </row>
    <row r="34" spans="2:60" ht="12">
      <c r="B34" s="2"/>
      <c r="C34" s="6">
        <f>+IF(C33&gt;$G$13+$G$14,XX,C33+1)</f>
        <v>2014</v>
      </c>
      <c r="D34" s="6"/>
      <c r="E34" s="292">
        <v>1.7999999999999999E-2</v>
      </c>
      <c r="F34" s="6"/>
      <c r="G34" s="20">
        <v>266887.27898453025</v>
      </c>
      <c r="H34" s="6"/>
      <c r="I34" s="30">
        <f t="shared" si="10"/>
        <v>218.70219333032551</v>
      </c>
      <c r="J34" s="6"/>
      <c r="K34" s="30">
        <f t="shared" si="19"/>
        <v>16.34621327009415</v>
      </c>
      <c r="L34" s="6"/>
      <c r="M34" s="30">
        <f t="shared" si="11"/>
        <v>6.0604677707198968</v>
      </c>
      <c r="N34" s="6"/>
      <c r="O34" s="295">
        <v>5.7953888877845348</v>
      </c>
      <c r="P34" s="6"/>
      <c r="Q34" s="30">
        <v>-35.721352706436427</v>
      </c>
      <c r="R34" s="6"/>
      <c r="S34" s="20">
        <f t="shared" si="12"/>
        <v>18551.205252558215</v>
      </c>
      <c r="T34" s="6"/>
      <c r="U34" s="20">
        <f t="shared" si="0"/>
        <v>16511.916790422696</v>
      </c>
      <c r="V34" s="6"/>
      <c r="W34" s="20">
        <f t="shared" si="3"/>
        <v>2039.2884621355188</v>
      </c>
      <c r="X34" s="6"/>
      <c r="Y34" s="296">
        <f t="shared" si="4"/>
        <v>7.6410103542391896</v>
      </c>
      <c r="Z34" s="255"/>
      <c r="AB34" s="154">
        <f>+IF(AB33&gt;$G$13+$G$14,XX,AB33+1)</f>
        <v>2014</v>
      </c>
      <c r="AC34" s="124"/>
      <c r="AD34" s="159">
        <f t="shared" si="5"/>
        <v>266887.27898453025</v>
      </c>
      <c r="AE34" s="3"/>
      <c r="AF34" s="162">
        <f t="shared" si="13"/>
        <v>64.989220988409485</v>
      </c>
      <c r="AG34" s="3"/>
      <c r="AH34" s="162">
        <f t="shared" si="14"/>
        <v>9.1624327409475939</v>
      </c>
      <c r="AI34" s="3"/>
      <c r="AJ34" s="162">
        <f t="shared" si="15"/>
        <v>2.5756106325730546</v>
      </c>
      <c r="AK34" s="3"/>
      <c r="AL34" s="161">
        <f t="shared" si="6"/>
        <v>5329.9442520695384</v>
      </c>
      <c r="AM34" s="3"/>
      <c r="AN34" s="162">
        <v>6.9140085811973453</v>
      </c>
      <c r="AO34" s="3"/>
      <c r="AP34" s="162">
        <f t="shared" si="7"/>
        <v>50.2373338312307</v>
      </c>
      <c r="AQ34" s="3"/>
      <c r="AR34" s="162">
        <f t="shared" si="16"/>
        <v>2.6660716462208942</v>
      </c>
      <c r="AS34" s="162"/>
      <c r="AT34" s="161">
        <f t="shared" si="1"/>
        <v>2392.6708535303464</v>
      </c>
      <c r="AU34" s="3"/>
      <c r="AV34" s="161">
        <f t="shared" si="2"/>
        <v>14119.24593689235</v>
      </c>
      <c r="AW34" s="299"/>
      <c r="AX34" s="163">
        <f t="shared" si="8"/>
        <v>16511.916790422696</v>
      </c>
      <c r="AZ34" s="154">
        <f>+IF(AZ33&gt;$G$13+$G$14,XX,AZ33+1)</f>
        <v>2014</v>
      </c>
      <c r="BA34" s="124"/>
      <c r="BB34" s="162">
        <f t="shared" si="17"/>
        <v>43.791260466803386</v>
      </c>
      <c r="BC34" s="3"/>
      <c r="BD34" s="162">
        <f t="shared" si="18"/>
        <v>6.6581632040689271</v>
      </c>
      <c r="BE34" s="3"/>
      <c r="BF34" s="161">
        <f t="shared" si="9"/>
        <v>2937.2733985391919</v>
      </c>
      <c r="BG34" s="3"/>
      <c r="BH34" s="165"/>
    </row>
    <row r="35" spans="2:60" ht="12">
      <c r="B35" s="2"/>
      <c r="C35" s="6">
        <f>+IF(C34&gt;$G$13+$G$14,XX,C34+1)</f>
        <v>2015</v>
      </c>
      <c r="D35" s="6"/>
      <c r="E35" s="292">
        <v>1.7999999999999999E-2</v>
      </c>
      <c r="F35" s="6"/>
      <c r="G35" s="20">
        <v>266887.27898453025</v>
      </c>
      <c r="H35" s="6"/>
      <c r="I35" s="30">
        <f t="shared" si="10"/>
        <v>222.63883281027137</v>
      </c>
      <c r="J35" s="6"/>
      <c r="K35" s="30">
        <f t="shared" si="19"/>
        <v>16.640445108955845</v>
      </c>
      <c r="L35" s="6"/>
      <c r="M35" s="30">
        <f t="shared" si="11"/>
        <v>6.1695561905928553</v>
      </c>
      <c r="N35" s="6"/>
      <c r="O35" s="295">
        <v>5.8997058877646564</v>
      </c>
      <c r="P35" s="6"/>
      <c r="Q35" s="30">
        <v>-36.416013945400927</v>
      </c>
      <c r="R35" s="6"/>
      <c r="S35" s="20">
        <f t="shared" si="12"/>
        <v>18871.335042479419</v>
      </c>
      <c r="T35" s="6"/>
      <c r="U35" s="20">
        <f t="shared" si="0"/>
        <v>17348.11582122137</v>
      </c>
      <c r="V35" s="6"/>
      <c r="W35" s="20">
        <f t="shared" si="3"/>
        <v>1523.2192212580485</v>
      </c>
      <c r="X35" s="6"/>
      <c r="Y35" s="296">
        <f t="shared" si="4"/>
        <v>5.7073504104567672</v>
      </c>
      <c r="Z35" s="255"/>
      <c r="AB35" s="154">
        <f>+IF(AB34&gt;$G$13+$G$14,XX,AB34+1)</f>
        <v>2015</v>
      </c>
      <c r="AC35" s="124"/>
      <c r="AD35" s="159">
        <f t="shared" si="5"/>
        <v>266887.27898453025</v>
      </c>
      <c r="AE35" s="3"/>
      <c r="AF35" s="162">
        <f t="shared" si="13"/>
        <v>66.159026966200855</v>
      </c>
      <c r="AG35" s="3"/>
      <c r="AH35" s="162">
        <f t="shared" si="14"/>
        <v>9.3273565302846499</v>
      </c>
      <c r="AI35" s="3"/>
      <c r="AJ35" s="162">
        <f t="shared" si="15"/>
        <v>2.6219716239593698</v>
      </c>
      <c r="AK35" s="3"/>
      <c r="AL35" s="161">
        <f t="shared" si="6"/>
        <v>5425.8832486067895</v>
      </c>
      <c r="AM35" s="3"/>
      <c r="AN35" s="162">
        <v>7.3164011858738007</v>
      </c>
      <c r="AO35" s="3"/>
      <c r="AP35" s="162">
        <f t="shared" si="7"/>
        <v>53.161127080102943</v>
      </c>
      <c r="AQ35" s="3"/>
      <c r="AR35" s="162">
        <f t="shared" si="16"/>
        <v>2.7140609358528702</v>
      </c>
      <c r="AS35" s="162"/>
      <c r="AT35" s="161">
        <f t="shared" si="1"/>
        <v>2435.7389288938921</v>
      </c>
      <c r="AU35" s="3"/>
      <c r="AV35" s="161">
        <f t="shared" si="2"/>
        <v>14912.37689232748</v>
      </c>
      <c r="AW35" s="299"/>
      <c r="AX35" s="163">
        <f t="shared" si="8"/>
        <v>17348.11582122137</v>
      </c>
      <c r="AZ35" s="154">
        <f>+IF(AZ34&gt;$G$13+$G$14,XX,AZ34+1)</f>
        <v>2015</v>
      </c>
      <c r="BA35" s="124"/>
      <c r="BB35" s="162">
        <f t="shared" si="17"/>
        <v>44.579503155205849</v>
      </c>
      <c r="BC35" s="3"/>
      <c r="BD35" s="162">
        <f t="shared" si="18"/>
        <v>6.7780101417421683</v>
      </c>
      <c r="BE35" s="3"/>
      <c r="BF35" s="161">
        <f t="shared" si="9"/>
        <v>2990.1443197128974</v>
      </c>
      <c r="BG35" s="3"/>
      <c r="BH35" s="165"/>
    </row>
    <row r="36" spans="2:60" ht="12">
      <c r="B36" s="2"/>
      <c r="C36" s="6">
        <f>+IF(C35&gt;$G$13+$G$14,XX,C35+1)</f>
        <v>2016</v>
      </c>
      <c r="D36" s="6"/>
      <c r="E36" s="292">
        <v>1.7999999999999999E-2</v>
      </c>
      <c r="F36" s="6"/>
      <c r="G36" s="20">
        <v>267537.77831756306</v>
      </c>
      <c r="H36" s="6"/>
      <c r="I36" s="30">
        <f t="shared" si="10"/>
        <v>226.64633180085625</v>
      </c>
      <c r="J36" s="6"/>
      <c r="K36" s="30">
        <f t="shared" si="19"/>
        <v>16.939973120917049</v>
      </c>
      <c r="L36" s="6"/>
      <c r="M36" s="30">
        <f t="shared" si="11"/>
        <v>6.2806082020235268</v>
      </c>
      <c r="N36" s="6"/>
      <c r="O36" s="295">
        <v>6.0059005937444203</v>
      </c>
      <c r="P36" s="6"/>
      <c r="Q36" s="30">
        <v>-37.124184029925821</v>
      </c>
      <c r="R36" s="6"/>
      <c r="S36" s="20">
        <f t="shared" si="12"/>
        <v>19191.821512090111</v>
      </c>
      <c r="T36" s="6"/>
      <c r="U36" s="20">
        <f t="shared" si="0"/>
        <v>18618.768586414961</v>
      </c>
      <c r="V36" s="6"/>
      <c r="W36" s="20">
        <f t="shared" si="3"/>
        <v>573.05292567515062</v>
      </c>
      <c r="X36" s="6"/>
      <c r="Y36" s="296">
        <f t="shared" si="4"/>
        <v>2.1419514256223882</v>
      </c>
      <c r="Z36" s="255"/>
      <c r="AB36" s="154">
        <f>+IF(AB35&gt;$G$13+$G$14,XX,AB35+1)</f>
        <v>2016</v>
      </c>
      <c r="AC36" s="124"/>
      <c r="AD36" s="159">
        <f t="shared" si="5"/>
        <v>267537.77831756306</v>
      </c>
      <c r="AE36" s="3"/>
      <c r="AF36" s="162">
        <f t="shared" si="13"/>
        <v>67.349889451592475</v>
      </c>
      <c r="AG36" s="3"/>
      <c r="AH36" s="162">
        <f t="shared" si="14"/>
        <v>9.4952489478297739</v>
      </c>
      <c r="AI36" s="3"/>
      <c r="AJ36" s="162">
        <f t="shared" si="15"/>
        <v>2.6691671131906385</v>
      </c>
      <c r="AK36" s="3"/>
      <c r="AL36" s="161">
        <f t="shared" si="6"/>
        <v>5525.2854385085966</v>
      </c>
      <c r="AM36" s="3"/>
      <c r="AN36" s="162">
        <v>7.9211828417083421</v>
      </c>
      <c r="AO36" s="3"/>
      <c r="AP36" s="162">
        <f t="shared" si="7"/>
        <v>57.555483491778489</v>
      </c>
      <c r="AQ36" s="3"/>
      <c r="AR36" s="162">
        <f t="shared" si="16"/>
        <v>2.7629140326982218</v>
      </c>
      <c r="AS36" s="162"/>
      <c r="AT36" s="161">
        <f t="shared" si="1"/>
        <v>2481.3185210408669</v>
      </c>
      <c r="AU36" s="3"/>
      <c r="AV36" s="161">
        <f t="shared" si="2"/>
        <v>16137.450065374094</v>
      </c>
      <c r="AW36" s="299"/>
      <c r="AX36" s="163">
        <f t="shared" si="8"/>
        <v>18618.768586414961</v>
      </c>
      <c r="AZ36" s="154">
        <f>+IF(AZ35&gt;$G$13+$G$14,XX,AZ35+1)</f>
        <v>2016</v>
      </c>
      <c r="BA36" s="124"/>
      <c r="BB36" s="162">
        <f t="shared" si="17"/>
        <v>45.381934211999557</v>
      </c>
      <c r="BC36" s="3"/>
      <c r="BD36" s="162">
        <f t="shared" si="18"/>
        <v>6.9000143242935277</v>
      </c>
      <c r="BE36" s="3"/>
      <c r="BF36" s="161">
        <f t="shared" si="9"/>
        <v>3043.9669174677297</v>
      </c>
      <c r="BG36" s="3"/>
      <c r="BH36" s="165"/>
    </row>
    <row r="37" spans="2:60" ht="12">
      <c r="B37" s="2"/>
      <c r="C37" s="6">
        <f>+IF(C36&gt;$G$13+$G$14,XX,C36+1)</f>
        <v>2017</v>
      </c>
      <c r="D37" s="6"/>
      <c r="E37" s="292">
        <v>1.7999999999999999E-2</v>
      </c>
      <c r="F37" s="6"/>
      <c r="G37" s="20">
        <v>266887.27898453025</v>
      </c>
      <c r="H37" s="6"/>
      <c r="I37" s="30">
        <f t="shared" si="10"/>
        <v>230.72596577327167</v>
      </c>
      <c r="J37" s="6"/>
      <c r="K37" s="30">
        <f t="shared" si="19"/>
        <v>17.244892637093557</v>
      </c>
      <c r="L37" s="6"/>
      <c r="M37" s="30">
        <f t="shared" si="11"/>
        <v>6.3936591496599506</v>
      </c>
      <c r="N37" s="6"/>
      <c r="O37" s="295">
        <v>6.1140068044318197</v>
      </c>
      <c r="P37" s="6"/>
      <c r="Q37" s="30">
        <v>-37.846125662027781</v>
      </c>
      <c r="R37" s="6"/>
      <c r="S37" s="20">
        <f t="shared" si="12"/>
        <v>19528.170689871593</v>
      </c>
      <c r="T37" s="6"/>
      <c r="U37" s="20">
        <f t="shared" si="0"/>
        <v>19848.814759941983</v>
      </c>
      <c r="V37" s="6"/>
      <c r="W37" s="20">
        <f t="shared" si="3"/>
        <v>-320.64407007038972</v>
      </c>
      <c r="X37" s="6"/>
      <c r="Y37" s="296">
        <f t="shared" si="4"/>
        <v>-1.2014213314714615</v>
      </c>
      <c r="Z37" s="255"/>
      <c r="AB37" s="154">
        <f>+IF(AB36&gt;$G$13+$G$14,XX,AB36+1)</f>
        <v>2017</v>
      </c>
      <c r="AC37" s="124"/>
      <c r="AD37" s="159">
        <f t="shared" si="5"/>
        <v>266887.27898453025</v>
      </c>
      <c r="AE37" s="3"/>
      <c r="AF37" s="162">
        <f t="shared" si="13"/>
        <v>68.562187461721138</v>
      </c>
      <c r="AG37" s="3"/>
      <c r="AH37" s="162">
        <f t="shared" si="14"/>
        <v>9.6661634288907106</v>
      </c>
      <c r="AI37" s="3"/>
      <c r="AJ37" s="162">
        <f t="shared" si="15"/>
        <v>2.7172121212280702</v>
      </c>
      <c r="AK37" s="3"/>
      <c r="AL37" s="161">
        <f t="shared" si="6"/>
        <v>5622.9730317291842</v>
      </c>
      <c r="AM37" s="3"/>
      <c r="AN37" s="162">
        <v>8.5467545643478058</v>
      </c>
      <c r="AO37" s="3"/>
      <c r="AP37" s="162">
        <f>AN37*$AF$14/1000</f>
        <v>62.100900972324112</v>
      </c>
      <c r="AQ37" s="3"/>
      <c r="AR37" s="162">
        <f t="shared" si="16"/>
        <v>2.8126464852867898</v>
      </c>
      <c r="AS37" s="162"/>
      <c r="AT37" s="161">
        <f t="shared" si="1"/>
        <v>2524.2147097470352</v>
      </c>
      <c r="AU37" s="3"/>
      <c r="AV37" s="161">
        <f t="shared" si="2"/>
        <v>17324.600050194946</v>
      </c>
      <c r="AW37" s="299"/>
      <c r="AX37" s="163">
        <f t="shared" si="8"/>
        <v>19848.814759941983</v>
      </c>
      <c r="AZ37" s="154">
        <f>+IF(AZ36&gt;$G$13+$G$14,XX,AZ36+1)</f>
        <v>2017</v>
      </c>
      <c r="BA37" s="124"/>
      <c r="BB37" s="162">
        <f t="shared" si="17"/>
        <v>46.19880902781555</v>
      </c>
      <c r="BC37" s="3"/>
      <c r="BD37" s="162">
        <f t="shared" si="18"/>
        <v>7.0242145821308108</v>
      </c>
      <c r="BE37" s="3"/>
      <c r="BF37" s="161">
        <f t="shared" si="9"/>
        <v>3098.758321982149</v>
      </c>
      <c r="BG37" s="3"/>
      <c r="BH37" s="165"/>
    </row>
    <row r="38" spans="2:60" ht="12">
      <c r="B38" s="2"/>
      <c r="C38" s="6">
        <f>+IF(C37&gt;$G$13+$G$14,XX,C37+1)</f>
        <v>2018</v>
      </c>
      <c r="D38" s="6"/>
      <c r="E38" s="292">
        <v>1.7999999999999999E-2</v>
      </c>
      <c r="F38" s="6"/>
      <c r="G38" s="20">
        <v>266887.27898453025</v>
      </c>
      <c r="H38" s="6"/>
      <c r="I38" s="30">
        <f t="shared" si="10"/>
        <v>234.87903315719055</v>
      </c>
      <c r="J38" s="6"/>
      <c r="K38" s="30">
        <f t="shared" si="19"/>
        <v>17.55530070456124</v>
      </c>
      <c r="L38" s="6"/>
      <c r="M38" s="30">
        <f t="shared" si="11"/>
        <v>6.5087450143538295</v>
      </c>
      <c r="N38" s="6"/>
      <c r="O38" s="295">
        <v>6.2240589269115922</v>
      </c>
      <c r="P38" s="6"/>
      <c r="Q38" s="30">
        <v>0</v>
      </c>
      <c r="R38" s="6"/>
      <c r="S38" s="20">
        <f t="shared" si="12"/>
        <v>30162.138951299297</v>
      </c>
      <c r="T38" s="6"/>
      <c r="U38" s="20">
        <f t="shared" si="0"/>
        <v>20994.483925722547</v>
      </c>
      <c r="V38" s="6"/>
      <c r="W38" s="20">
        <f t="shared" si="3"/>
        <v>9167.6550255767506</v>
      </c>
      <c r="X38" s="6"/>
      <c r="Y38" s="296">
        <f t="shared" si="4"/>
        <v>34.350288483057078</v>
      </c>
      <c r="Z38" s="255"/>
      <c r="AB38" s="154">
        <f>+IF(AB37&gt;$G$13+$G$14,XX,AB37+1)</f>
        <v>2018</v>
      </c>
      <c r="AC38" s="124"/>
      <c r="AD38" s="159">
        <f t="shared" si="5"/>
        <v>266887.27898453025</v>
      </c>
      <c r="AE38" s="3"/>
      <c r="AF38" s="162">
        <f t="shared" si="13"/>
        <v>69.796306836032116</v>
      </c>
      <c r="AG38" s="3"/>
      <c r="AH38" s="162">
        <f t="shared" si="14"/>
        <v>9.8401543706107439</v>
      </c>
      <c r="AI38" s="3"/>
      <c r="AJ38" s="162">
        <f t="shared" si="15"/>
        <v>2.7661219394101755</v>
      </c>
      <c r="AK38" s="3"/>
      <c r="AL38" s="161">
        <f t="shared" si="6"/>
        <v>5724.1865463003087</v>
      </c>
      <c r="AM38" s="3"/>
      <c r="AN38" s="162">
        <v>9.1071488375904099</v>
      </c>
      <c r="AO38" s="3"/>
      <c r="AP38" s="162">
        <f t="shared" si="7"/>
        <v>66.172737715275218</v>
      </c>
      <c r="AQ38" s="3"/>
      <c r="AR38" s="162">
        <f t="shared" si="16"/>
        <v>2.8632741220219522</v>
      </c>
      <c r="AS38" s="162"/>
      <c r="AT38" s="161">
        <f t="shared" si="1"/>
        <v>2569.6505745224813</v>
      </c>
      <c r="AU38" s="3"/>
      <c r="AV38" s="161">
        <f t="shared" si="2"/>
        <v>18424.833351200064</v>
      </c>
      <c r="AW38" s="299"/>
      <c r="AX38" s="163">
        <f t="shared" si="8"/>
        <v>20994.483925722547</v>
      </c>
      <c r="AZ38" s="154">
        <f>+IF(AZ37&gt;$G$13+$G$14,XX,AZ37+1)</f>
        <v>2018</v>
      </c>
      <c r="BA38" s="124"/>
      <c r="BB38" s="162">
        <f t="shared" si="17"/>
        <v>47.030387590316231</v>
      </c>
      <c r="BC38" s="3"/>
      <c r="BD38" s="162">
        <f t="shared" si="18"/>
        <v>7.1506504446091652</v>
      </c>
      <c r="BE38" s="3"/>
      <c r="BF38" s="161">
        <f t="shared" si="9"/>
        <v>3154.5359717778274</v>
      </c>
      <c r="BG38" s="3"/>
      <c r="BH38" s="165"/>
    </row>
    <row r="39" spans="2:60" ht="12">
      <c r="B39" s="2"/>
      <c r="C39" s="397">
        <f>+IF(C38&gt;$G$13+$G$14,XX,C38+1)</f>
        <v>2019</v>
      </c>
      <c r="D39" s="6"/>
      <c r="E39" s="399">
        <f>'(2.2)_Forward_Price_Curve'!P31</f>
        <v>1.9E-2</v>
      </c>
      <c r="F39" s="6"/>
      <c r="G39" s="401">
        <v>234139.87310176031</v>
      </c>
      <c r="H39" s="6"/>
      <c r="I39" s="467">
        <v>254.81017601270798</v>
      </c>
      <c r="J39" s="6"/>
      <c r="K39" s="467">
        <v>3.2731671158029365</v>
      </c>
      <c r="L39" s="6"/>
      <c r="M39" s="30">
        <f t="shared" si="11"/>
        <v>6.6324111696265513</v>
      </c>
      <c r="N39" s="6"/>
      <c r="O39" s="467">
        <v>0.61</v>
      </c>
      <c r="P39" s="6"/>
      <c r="Q39" s="405">
        <v>-10.041812300187411</v>
      </c>
      <c r="R39" s="6"/>
      <c r="S39" s="20">
        <f>(I39*$I$11*1000+(K39+M39+O39+Q39)*G39)/1000</f>
        <v>24063.08405285906</v>
      </c>
      <c r="T39" s="6"/>
      <c r="U39" s="20">
        <f>AX39</f>
        <v>6877.9311182473775</v>
      </c>
      <c r="V39" s="6"/>
      <c r="W39" s="20">
        <f t="shared" si="3"/>
        <v>17185.15293461168</v>
      </c>
      <c r="X39" s="6"/>
      <c r="Y39" s="296">
        <f>+W39*1000/G39</f>
        <v>73.396951603978977</v>
      </c>
      <c r="Z39" s="255"/>
      <c r="AB39" s="422">
        <f>+IF(AB38&gt;$G$13+$G$14,XX,AB38+1)</f>
        <v>2019</v>
      </c>
      <c r="AC39" s="124"/>
      <c r="AD39" s="159">
        <f t="shared" si="5"/>
        <v>234139.87310176031</v>
      </c>
      <c r="AE39" s="3"/>
      <c r="AF39" s="445">
        <f>AR15*AR16*(1+E39)</f>
        <v>95.80142153602209</v>
      </c>
      <c r="AG39" s="3"/>
      <c r="AH39" s="445">
        <f>AV11*(1+E39)</f>
        <v>19.580361122485801</v>
      </c>
      <c r="AI39" s="3"/>
      <c r="AJ39" s="445">
        <f>AV13*(1+E39)</f>
        <v>2.2522833937355777</v>
      </c>
      <c r="AK39" s="3"/>
      <c r="AL39" s="445">
        <f>((AF39+AH39)*$AR$11*1000+AJ39*AD39)/1000</f>
        <v>5883.1389033687528</v>
      </c>
      <c r="AM39" s="3"/>
      <c r="AN39" s="445">
        <f>INDEX('(2.2)_Forward_Price_Curve'!$H:$H,MATCH($AB39,'(2.2)_Forward_Price_Curve'!$C:$C,0),1)</f>
        <v>1.9742583333333332</v>
      </c>
      <c r="AO39" s="3"/>
      <c r="AP39" s="445">
        <f>AN39*$AR$14/1000</f>
        <v>12.834453669759327</v>
      </c>
      <c r="AQ39" s="3"/>
      <c r="AR39" s="162">
        <f>AR38*(1+$E39)</f>
        <v>2.917676330340369</v>
      </c>
      <c r="AS39" s="162"/>
      <c r="AT39" s="161">
        <f>AL39-BF39</f>
        <v>3189.7293989416034</v>
      </c>
      <c r="AU39" s="3"/>
      <c r="AV39" s="161">
        <f>(AP39+AR39)*AD39/1000</f>
        <v>3688.2017193057741</v>
      </c>
      <c r="AW39" s="299"/>
      <c r="AX39" s="163">
        <f>AT39+AV39</f>
        <v>6877.9311182473775</v>
      </c>
      <c r="AZ39" s="422">
        <f>+IF(AZ38&gt;$G$13+$G$14,XX,AZ38+1)</f>
        <v>2019</v>
      </c>
      <c r="BA39" s="124"/>
      <c r="BB39" s="445">
        <f>BK14*BK15*(1+E39)</f>
        <v>59.787583199999986</v>
      </c>
      <c r="BC39" s="3"/>
      <c r="BD39" s="445">
        <f>BI16*(1+E39)</f>
        <v>16.456849999999999</v>
      </c>
      <c r="BE39" s="3"/>
      <c r="BF39" s="445">
        <f>(BB39+BD39)*$BK$11</f>
        <v>2693.4095044271494</v>
      </c>
      <c r="BG39" s="3"/>
      <c r="BH39" s="165"/>
    </row>
    <row r="40" spans="2:60" ht="12">
      <c r="B40" s="2"/>
      <c r="C40" s="398">
        <f>+IF(C39&gt;$I$13+$I$14,XX,C39+1)</f>
        <v>2020</v>
      </c>
      <c r="D40" s="6"/>
      <c r="E40" s="400">
        <f>'(2.2)_Forward_Price_Curve'!P32</f>
        <v>2.5000000000000001E-2</v>
      </c>
      <c r="F40" s="6"/>
      <c r="G40" s="461">
        <v>283696.30438630254</v>
      </c>
      <c r="H40" s="6"/>
      <c r="I40" s="466">
        <v>307.61851503131572</v>
      </c>
      <c r="J40" s="6"/>
      <c r="K40" s="466">
        <v>3.6138935061385626</v>
      </c>
      <c r="L40" s="6"/>
      <c r="M40" s="30">
        <f t="shared" si="11"/>
        <v>6.7982214488672144</v>
      </c>
      <c r="N40" s="6"/>
      <c r="O40" s="466">
        <v>0.63000000000000012</v>
      </c>
      <c r="P40" s="6"/>
      <c r="Q40" s="406">
        <v>-33.150783021494966</v>
      </c>
      <c r="R40" s="6"/>
      <c r="S40" s="20">
        <f>(I40*$I$11*1000+(K40+M40+O40+Q40)*G40)/1000</f>
        <v>22643.992987577232</v>
      </c>
      <c r="T40" s="6"/>
      <c r="U40" s="20">
        <f t="shared" si="0"/>
        <v>7708.7597417504639</v>
      </c>
      <c r="V40" s="6"/>
      <c r="W40" s="20">
        <f t="shared" si="3"/>
        <v>14935.233245826768</v>
      </c>
      <c r="X40" s="6"/>
      <c r="Y40" s="296">
        <f t="shared" si="4"/>
        <v>52.64514558317903</v>
      </c>
      <c r="Z40" s="255"/>
      <c r="AB40" s="423">
        <f>+IF(AB39&gt;$I$13+$I$14,XX,AB39+1)</f>
        <v>2020</v>
      </c>
      <c r="AC40" s="124"/>
      <c r="AD40" s="159">
        <f t="shared" si="5"/>
        <v>283696.30438630254</v>
      </c>
      <c r="AE40" s="3"/>
      <c r="AF40" s="162">
        <f>AF39*(1+$E40)</f>
        <v>98.196457074422639</v>
      </c>
      <c r="AG40" s="3"/>
      <c r="AH40" s="162">
        <f t="shared" si="14"/>
        <v>20.069870150547946</v>
      </c>
      <c r="AI40" s="3"/>
      <c r="AJ40" s="162">
        <f t="shared" si="15"/>
        <v>2.3085904785789668</v>
      </c>
      <c r="AK40" s="3"/>
      <c r="AL40" s="161">
        <f t="shared" ref="AL40:AL69" si="20">((AF40+AH40)*$AR$11*1000+AJ40*AD40)/1000</f>
        <v>6144.6228813688176</v>
      </c>
      <c r="AM40" s="3"/>
      <c r="AN40" s="162">
        <f>INDEX('(2.2)_Forward_Price_Curve'!$H:$H,MATCH($AB40,'(2.2)_Forward_Price_Curve'!$C:$C,0),1)</f>
        <v>1.8849916666666668</v>
      </c>
      <c r="AO40" s="3"/>
      <c r="AP40" s="162">
        <f>AN40*$AR$14/1000</f>
        <v>12.254140101750828</v>
      </c>
      <c r="AQ40" s="3"/>
      <c r="AR40" s="162">
        <f t="shared" si="16"/>
        <v>2.990618238598878</v>
      </c>
      <c r="AS40" s="162"/>
      <c r="AT40" s="161">
        <f t="shared" si="1"/>
        <v>3383.8781393309901</v>
      </c>
      <c r="AU40" s="3"/>
      <c r="AV40" s="161">
        <f t="shared" si="2"/>
        <v>4324.8816024194739</v>
      </c>
      <c r="AW40" s="299"/>
      <c r="AX40" s="163">
        <f t="shared" si="8"/>
        <v>7708.7597417504639</v>
      </c>
      <c r="AZ40" s="423">
        <f>+IF(AZ39&gt;$I$13+$I$14,XX,AZ39+1)</f>
        <v>2020</v>
      </c>
      <c r="BA40" s="124"/>
      <c r="BB40" s="162">
        <f t="shared" si="17"/>
        <v>61.282272779999978</v>
      </c>
      <c r="BC40" s="3"/>
      <c r="BD40" s="162">
        <f t="shared" si="18"/>
        <v>16.868271249999999</v>
      </c>
      <c r="BE40" s="3"/>
      <c r="BF40" s="161">
        <f t="shared" ref="BF40:BF69" si="21">(BB40+BD40)*$BK$11</f>
        <v>2760.7447420378276</v>
      </c>
      <c r="BG40" s="3"/>
      <c r="BH40" s="165"/>
    </row>
    <row r="41" spans="2:60" ht="12">
      <c r="B41" s="2"/>
      <c r="C41" s="398">
        <f>+IF(C40&gt;$I$13+$I$14,XX,C40+1)</f>
        <v>2021</v>
      </c>
      <c r="D41" s="6"/>
      <c r="E41" s="400">
        <f>'(2.2)_Forward_Price_Curve'!P33</f>
        <v>2.4E-2</v>
      </c>
      <c r="F41" s="6"/>
      <c r="G41" s="461">
        <v>283696.30438630254</v>
      </c>
      <c r="H41" s="6"/>
      <c r="I41" s="466">
        <v>311.99990905615238</v>
      </c>
      <c r="J41" s="6"/>
      <c r="K41" s="466">
        <v>3.6339910562402933</v>
      </c>
      <c r="L41" s="6"/>
      <c r="M41" s="30">
        <f t="shared" si="11"/>
        <v>6.9613787636400275</v>
      </c>
      <c r="N41" s="6"/>
      <c r="O41" s="466">
        <v>0.64</v>
      </c>
      <c r="P41" s="6"/>
      <c r="Q41" s="406">
        <v>-34.476814342354771</v>
      </c>
      <c r="R41" s="6"/>
      <c r="S41" s="20">
        <f t="shared" ref="S41:S69" si="22">(I41*$I$11*1000+(K41+M41+O41+Q41)*G41)/1000</f>
        <v>22734.479531653047</v>
      </c>
      <c r="T41" s="6"/>
      <c r="U41" s="20">
        <f t="shared" si="0"/>
        <v>7931.4735950479953</v>
      </c>
      <c r="V41" s="6"/>
      <c r="W41" s="20">
        <f t="shared" si="3"/>
        <v>14803.005936605052</v>
      </c>
      <c r="X41" s="6"/>
      <c r="Y41" s="296">
        <f t="shared" si="4"/>
        <v>52.179058055152346</v>
      </c>
      <c r="Z41" s="255"/>
      <c r="AB41" s="423">
        <f>+IF(AB40&gt;$I$13+$I$14,XX,AB40+1)</f>
        <v>2021</v>
      </c>
      <c r="AC41" s="124"/>
      <c r="AD41" s="159">
        <f t="shared" si="5"/>
        <v>283696.30438630254</v>
      </c>
      <c r="AE41" s="3"/>
      <c r="AF41" s="162">
        <f t="shared" si="13"/>
        <v>100.55317204420878</v>
      </c>
      <c r="AG41" s="3"/>
      <c r="AH41" s="162">
        <f t="shared" si="14"/>
        <v>20.551547034161096</v>
      </c>
      <c r="AI41" s="3"/>
      <c r="AJ41" s="162">
        <f t="shared" si="15"/>
        <v>2.3639966500648621</v>
      </c>
      <c r="AK41" s="3"/>
      <c r="AL41" s="161">
        <f t="shared" si="20"/>
        <v>6292.0938305216696</v>
      </c>
      <c r="AM41" s="3"/>
      <c r="AN41" s="162">
        <f>INDEX('(2.2)_Forward_Price_Curve'!$H:$H,MATCH($AB41,'(2.2)_Forward_Price_Curve'!$C:$C,0),1)</f>
        <v>1.9506749999999997</v>
      </c>
      <c r="AO41" s="3"/>
      <c r="AP41" s="162">
        <f t="shared" ref="AP41:AP69" si="23">AN41*$AR$14/1000</f>
        <v>12.681140805918394</v>
      </c>
      <c r="AQ41" s="3"/>
      <c r="AR41" s="162">
        <f t="shared" si="16"/>
        <v>3.0623930763252512</v>
      </c>
      <c r="AS41" s="162"/>
      <c r="AT41" s="161">
        <f t="shared" si="1"/>
        <v>3465.0912146749342</v>
      </c>
      <c r="AU41" s="3"/>
      <c r="AV41" s="161">
        <f t="shared" si="2"/>
        <v>4466.3823803730611</v>
      </c>
      <c r="AW41" s="299"/>
      <c r="AX41" s="163">
        <f t="shared" si="8"/>
        <v>7931.4735950479953</v>
      </c>
      <c r="AZ41" s="423">
        <f>+IF(AZ40&gt;$I$13+$I$14,XX,AZ40+1)</f>
        <v>2021</v>
      </c>
      <c r="BA41" s="124"/>
      <c r="BB41" s="162">
        <f t="shared" si="17"/>
        <v>62.75304732671998</v>
      </c>
      <c r="BC41" s="3"/>
      <c r="BD41" s="162">
        <f t="shared" si="18"/>
        <v>17.273109760000001</v>
      </c>
      <c r="BE41" s="3"/>
      <c r="BF41" s="161">
        <f t="shared" si="21"/>
        <v>2827.0026158467354</v>
      </c>
      <c r="BG41" s="3"/>
      <c r="BH41" s="165"/>
    </row>
    <row r="42" spans="2:60" ht="12">
      <c r="B42" s="2"/>
      <c r="C42" s="398">
        <f>+IF(C41&gt;$I$13+$I$14,XX,C41+1)</f>
        <v>2022</v>
      </c>
      <c r="D42" s="6"/>
      <c r="E42" s="400">
        <f>'(2.2)_Forward_Price_Curve'!P34</f>
        <v>2.4E-2</v>
      </c>
      <c r="F42" s="6"/>
      <c r="G42" s="461">
        <v>283696.30438630254</v>
      </c>
      <c r="H42" s="6"/>
      <c r="I42" s="466">
        <v>316.70796034661851</v>
      </c>
      <c r="J42" s="6"/>
      <c r="K42" s="466">
        <v>3.4269263998040054</v>
      </c>
      <c r="L42" s="6"/>
      <c r="M42" s="30">
        <f t="shared" si="11"/>
        <v>7.1284518539673885</v>
      </c>
      <c r="N42" s="6"/>
      <c r="O42" s="466">
        <v>0.65</v>
      </c>
      <c r="P42" s="6"/>
      <c r="Q42" s="406">
        <v>-34.476814342354771</v>
      </c>
      <c r="R42" s="6"/>
      <c r="S42" s="20">
        <f t="shared" si="22"/>
        <v>23168.527856489003</v>
      </c>
      <c r="T42" s="6"/>
      <c r="U42" s="20">
        <f t="shared" si="0"/>
        <v>8921.8865914808157</v>
      </c>
      <c r="V42" s="6"/>
      <c r="W42" s="20">
        <f t="shared" si="3"/>
        <v>14246.641265008187</v>
      </c>
      <c r="X42" s="6"/>
      <c r="Y42" s="296">
        <f t="shared" si="4"/>
        <v>50.217930388014054</v>
      </c>
      <c r="Z42" s="255"/>
      <c r="AB42" s="423">
        <f>+IF(AB41&gt;$I$13+$I$14,XX,AB41+1)</f>
        <v>2022</v>
      </c>
      <c r="AC42" s="124"/>
      <c r="AD42" s="159">
        <f t="shared" si="5"/>
        <v>283696.30438630254</v>
      </c>
      <c r="AE42" s="3"/>
      <c r="AF42" s="162">
        <f t="shared" si="13"/>
        <v>102.9664481732698</v>
      </c>
      <c r="AG42" s="3"/>
      <c r="AH42" s="162">
        <f t="shared" si="14"/>
        <v>21.044784162980964</v>
      </c>
      <c r="AI42" s="3"/>
      <c r="AJ42" s="162">
        <f t="shared" si="15"/>
        <v>2.420732569666419</v>
      </c>
      <c r="AK42" s="3"/>
      <c r="AL42" s="161">
        <f t="shared" si="20"/>
        <v>6443.1040824541897</v>
      </c>
      <c r="AM42" s="3"/>
      <c r="AN42" s="162">
        <f>INDEX('(2.2)_Forward_Price_Curve'!$H:$H,MATCH($AB42,'(2.2)_Forward_Price_Curve'!$C:$C,0),1)</f>
        <v>2.431295833333333</v>
      </c>
      <c r="AO42" s="3"/>
      <c r="AP42" s="162">
        <f t="shared" si="23"/>
        <v>15.805608214255424</v>
      </c>
      <c r="AQ42" s="3"/>
      <c r="AR42" s="162">
        <f t="shared" si="16"/>
        <v>3.1358905101570573</v>
      </c>
      <c r="AS42" s="162"/>
      <c r="AT42" s="161">
        <f t="shared" si="1"/>
        <v>3548.2534038271324</v>
      </c>
      <c r="AU42" s="3"/>
      <c r="AV42" s="161">
        <f t="shared" si="2"/>
        <v>5373.6331876536842</v>
      </c>
      <c r="AW42" s="299"/>
      <c r="AX42" s="163">
        <f t="shared" si="8"/>
        <v>8921.8865914808157</v>
      </c>
      <c r="AZ42" s="423">
        <f>+IF(AZ41&gt;$I$13+$I$14,XX,AZ41+1)</f>
        <v>2022</v>
      </c>
      <c r="BA42" s="124"/>
      <c r="BB42" s="162">
        <f t="shared" si="17"/>
        <v>64.259120462561256</v>
      </c>
      <c r="BC42" s="3"/>
      <c r="BD42" s="162">
        <f t="shared" si="18"/>
        <v>17.687664394240002</v>
      </c>
      <c r="BE42" s="3"/>
      <c r="BF42" s="161">
        <f t="shared" si="21"/>
        <v>2894.8506786270573</v>
      </c>
      <c r="BG42" s="3"/>
      <c r="BH42" s="165"/>
    </row>
    <row r="43" spans="2:60" ht="12">
      <c r="B43" s="2"/>
      <c r="C43" s="398">
        <f>+IF(C42&gt;$I$13+$I$14,XX,C42+1)</f>
        <v>2023</v>
      </c>
      <c r="D43" s="6"/>
      <c r="E43" s="400">
        <f>'(2.2)_Forward_Price_Curve'!P35</f>
        <v>2.4E-2</v>
      </c>
      <c r="F43" s="6"/>
      <c r="G43" s="461">
        <v>283696.30438630254</v>
      </c>
      <c r="H43" s="6"/>
      <c r="I43" s="466">
        <v>321.50546461160349</v>
      </c>
      <c r="J43" s="6"/>
      <c r="K43" s="466">
        <v>3.5022163336229348</v>
      </c>
      <c r="L43" s="6"/>
      <c r="M43" s="30">
        <f t="shared" si="11"/>
        <v>7.2995346984626055</v>
      </c>
      <c r="N43" s="6"/>
      <c r="O43" s="466">
        <v>0.67</v>
      </c>
      <c r="P43" s="6"/>
      <c r="Q43" s="406">
        <v>-35.802845663214562</v>
      </c>
      <c r="R43" s="6"/>
      <c r="S43" s="20">
        <f t="shared" si="22"/>
        <v>23318.872044966021</v>
      </c>
      <c r="T43" s="6"/>
      <c r="U43" s="20">
        <f t="shared" si="0"/>
        <v>9961.4254737982574</v>
      </c>
      <c r="V43" s="6"/>
      <c r="W43" s="20">
        <f t="shared" si="3"/>
        <v>13357.446571167764</v>
      </c>
      <c r="X43" s="6"/>
      <c r="Y43" s="296">
        <f t="shared" si="4"/>
        <v>47.083611469888041</v>
      </c>
      <c r="Z43" s="255"/>
      <c r="AB43" s="423">
        <f>+IF(AB42&gt;$I$13+$I$14,XX,AB42+1)</f>
        <v>2023</v>
      </c>
      <c r="AC43" s="124"/>
      <c r="AD43" s="159">
        <f t="shared" si="5"/>
        <v>283696.30438630254</v>
      </c>
      <c r="AE43" s="3"/>
      <c r="AF43" s="162">
        <f t="shared" si="13"/>
        <v>105.43764292942828</v>
      </c>
      <c r="AG43" s="3"/>
      <c r="AH43" s="162">
        <f t="shared" si="14"/>
        <v>21.549858982892509</v>
      </c>
      <c r="AI43" s="3"/>
      <c r="AJ43" s="162">
        <f t="shared" si="15"/>
        <v>2.4788301513384132</v>
      </c>
      <c r="AK43" s="3"/>
      <c r="AL43" s="161">
        <f t="shared" si="20"/>
        <v>6597.7385804330916</v>
      </c>
      <c r="AM43" s="3"/>
      <c r="AN43" s="162">
        <f>INDEX('(2.2)_Forward_Price_Curve'!$H:$H,MATCH($AB43,'(2.2)_Forward_Price_Curve'!$C:$C,0),1)</f>
        <v>2.9371999999999994</v>
      </c>
      <c r="AO43" s="3"/>
      <c r="AP43" s="162">
        <f t="shared" si="23"/>
        <v>19.094440014427573</v>
      </c>
      <c r="AQ43" s="3"/>
      <c r="AR43" s="162">
        <f t="shared" si="16"/>
        <v>3.2111518824008267</v>
      </c>
      <c r="AS43" s="162"/>
      <c r="AT43" s="161">
        <f t="shared" si="1"/>
        <v>3633.4114855189846</v>
      </c>
      <c r="AU43" s="3"/>
      <c r="AV43" s="161">
        <f t="shared" si="2"/>
        <v>6328.0139882792728</v>
      </c>
      <c r="AW43" s="299"/>
      <c r="AX43" s="163">
        <f t="shared" si="8"/>
        <v>9961.4254737982574</v>
      </c>
      <c r="AZ43" s="423">
        <f>+IF(AZ42&gt;$I$13+$I$14,XX,AZ42+1)</f>
        <v>2023</v>
      </c>
      <c r="BA43" s="124"/>
      <c r="BB43" s="162">
        <f t="shared" si="17"/>
        <v>65.801339353662726</v>
      </c>
      <c r="BC43" s="3"/>
      <c r="BD43" s="162">
        <f t="shared" si="18"/>
        <v>18.112168339701764</v>
      </c>
      <c r="BE43" s="3"/>
      <c r="BF43" s="161">
        <f t="shared" si="21"/>
        <v>2964.327094914107</v>
      </c>
      <c r="BG43" s="3"/>
      <c r="BH43" s="165"/>
    </row>
    <row r="44" spans="2:60" ht="12">
      <c r="B44" s="2"/>
      <c r="C44" s="398">
        <f>+IF(C43&gt;$I$13+$I$14,XX,C43+1)</f>
        <v>2024</v>
      </c>
      <c r="D44" s="6"/>
      <c r="E44" s="400">
        <f>'(2.2)_Forward_Price_Curve'!P36</f>
        <v>2.3E-2</v>
      </c>
      <c r="F44" s="6"/>
      <c r="G44" s="461">
        <v>283696.30438630254</v>
      </c>
      <c r="H44" s="6"/>
      <c r="I44" s="466">
        <v>326.39412145762316</v>
      </c>
      <c r="J44" s="6"/>
      <c r="K44" s="466">
        <v>3.5759634490849193</v>
      </c>
      <c r="L44" s="6"/>
      <c r="M44" s="30">
        <f t="shared" si="11"/>
        <v>7.4674239965272449</v>
      </c>
      <c r="N44" s="6"/>
      <c r="O44" s="466">
        <v>0.68000000000000016</v>
      </c>
      <c r="P44" s="6"/>
      <c r="Q44" s="406">
        <v>-35.802845663214562</v>
      </c>
      <c r="R44" s="6"/>
      <c r="S44" s="20">
        <f t="shared" si="22"/>
        <v>23849.794109058395</v>
      </c>
      <c r="T44" s="6"/>
      <c r="U44" s="20">
        <f t="shared" si="0"/>
        <v>11044.084218360669</v>
      </c>
      <c r="V44" s="6"/>
      <c r="W44" s="20">
        <f t="shared" si="3"/>
        <v>12805.709890697726</v>
      </c>
      <c r="X44" s="6"/>
      <c r="Y44" s="296">
        <f t="shared" si="4"/>
        <v>45.138796990673853</v>
      </c>
      <c r="Z44" s="255"/>
      <c r="AB44" s="423">
        <f>+IF(AB43&gt;$I$13+$I$14,XX,AB43+1)</f>
        <v>2024</v>
      </c>
      <c r="AC44" s="124"/>
      <c r="AD44" s="159">
        <f t="shared" si="5"/>
        <v>283696.30438630254</v>
      </c>
      <c r="AE44" s="3"/>
      <c r="AF44" s="162">
        <f t="shared" si="13"/>
        <v>107.86270871680512</v>
      </c>
      <c r="AG44" s="3"/>
      <c r="AH44" s="162">
        <f t="shared" si="14"/>
        <v>22.045505739499035</v>
      </c>
      <c r="AI44" s="3"/>
      <c r="AJ44" s="162">
        <f t="shared" si="15"/>
        <v>2.5358432448191963</v>
      </c>
      <c r="AK44" s="3"/>
      <c r="AL44" s="161">
        <f t="shared" si="20"/>
        <v>6749.4865677830521</v>
      </c>
      <c r="AM44" s="3"/>
      <c r="AN44" s="162">
        <f>INDEX('(2.2)_Forward_Price_Curve'!$H:$H,MATCH($AB44,'(2.2)_Forward_Price_Curve'!$C:$C,0),1)</f>
        <v>3.4675625000000001</v>
      </c>
      <c r="AO44" s="3"/>
      <c r="AP44" s="162">
        <f t="shared" si="23"/>
        <v>22.542272964908253</v>
      </c>
      <c r="AQ44" s="3"/>
      <c r="AR44" s="162">
        <f t="shared" si="16"/>
        <v>3.2850083756960453</v>
      </c>
      <c r="AS44" s="162"/>
      <c r="AT44" s="161">
        <f t="shared" si="1"/>
        <v>3716.9799496859214</v>
      </c>
      <c r="AU44" s="3"/>
      <c r="AV44" s="161">
        <f t="shared" si="2"/>
        <v>7327.1042686747487</v>
      </c>
      <c r="AW44" s="299"/>
      <c r="AX44" s="163">
        <f t="shared" si="8"/>
        <v>11044.084218360669</v>
      </c>
      <c r="AZ44" s="423">
        <f>+IF(AZ43&gt;$I$13+$I$14,XX,AZ43+1)</f>
        <v>2024</v>
      </c>
      <c r="BA44" s="124"/>
      <c r="BB44" s="162">
        <f t="shared" si="17"/>
        <v>67.314770158796961</v>
      </c>
      <c r="BC44" s="3"/>
      <c r="BD44" s="162">
        <f t="shared" si="18"/>
        <v>18.528748211514902</v>
      </c>
      <c r="BE44" s="3"/>
      <c r="BF44" s="161">
        <f t="shared" si="21"/>
        <v>3032.5066180971307</v>
      </c>
      <c r="BG44" s="3"/>
      <c r="BH44" s="165"/>
    </row>
    <row r="45" spans="2:60" ht="12">
      <c r="B45" s="2"/>
      <c r="C45" s="398">
        <f>+IF(C44&gt;$I$13+$I$14,XX,C44+1)</f>
        <v>2025</v>
      </c>
      <c r="D45" s="6"/>
      <c r="E45" s="400">
        <f>'(2.2)_Forward_Price_Curve'!P37</f>
        <v>2.1999999999999999E-2</v>
      </c>
      <c r="F45" s="6"/>
      <c r="G45" s="461">
        <v>283696.30438630254</v>
      </c>
      <c r="H45" s="6"/>
      <c r="I45" s="466">
        <v>331.37566278371725</v>
      </c>
      <c r="J45" s="6"/>
      <c r="K45" s="466">
        <v>3.6546475975034154</v>
      </c>
      <c r="L45" s="6"/>
      <c r="M45" s="30">
        <f t="shared" si="11"/>
        <v>7.6317073244508444</v>
      </c>
      <c r="N45" s="6"/>
      <c r="O45" s="466">
        <v>0.7</v>
      </c>
      <c r="P45" s="6"/>
      <c r="Q45" s="406">
        <v>-37.128876984074367</v>
      </c>
      <c r="R45" s="6"/>
      <c r="S45" s="20">
        <f t="shared" si="22"/>
        <v>24016.47170969487</v>
      </c>
      <c r="T45" s="6"/>
      <c r="U45" s="20">
        <f t="shared" si="0"/>
        <v>11805.875436481685</v>
      </c>
      <c r="V45" s="6"/>
      <c r="W45" s="20">
        <f t="shared" si="3"/>
        <v>12210.596273213185</v>
      </c>
      <c r="X45" s="6"/>
      <c r="Y45" s="296">
        <f t="shared" si="4"/>
        <v>43.041083314875706</v>
      </c>
      <c r="Z45" s="255"/>
      <c r="AB45" s="423">
        <f>+IF(AB44&gt;$I$13+$I$14,XX,AB44+1)</f>
        <v>2025</v>
      </c>
      <c r="AC45" s="124"/>
      <c r="AD45" s="159">
        <f t="shared" si="5"/>
        <v>283696.30438630254</v>
      </c>
      <c r="AE45" s="3"/>
      <c r="AF45" s="162">
        <f t="shared" si="13"/>
        <v>110.23568830857484</v>
      </c>
      <c r="AG45" s="3"/>
      <c r="AH45" s="162">
        <f t="shared" si="14"/>
        <v>22.530506865768015</v>
      </c>
      <c r="AI45" s="3"/>
      <c r="AJ45" s="162">
        <f t="shared" si="15"/>
        <v>2.5916317962052187</v>
      </c>
      <c r="AK45" s="3"/>
      <c r="AL45" s="161">
        <f t="shared" si="20"/>
        <v>6897.9752722742778</v>
      </c>
      <c r="AM45" s="3"/>
      <c r="AN45" s="162">
        <f>INDEX('(2.2)_Forward_Price_Curve'!$H:$H,MATCH($AB45,'(2.2)_Forward_Price_Curve'!$C:$C,0),1)</f>
        <v>3.8251624999999998</v>
      </c>
      <c r="AO45" s="3"/>
      <c r="AP45" s="162">
        <f t="shared" si="23"/>
        <v>24.866994382979648</v>
      </c>
      <c r="AQ45" s="3"/>
      <c r="AR45" s="162">
        <f t="shared" si="16"/>
        <v>3.3572785599613582</v>
      </c>
      <c r="AS45" s="162"/>
      <c r="AT45" s="161">
        <f t="shared" si="1"/>
        <v>3798.7535085790105</v>
      </c>
      <c r="AU45" s="3"/>
      <c r="AV45" s="161">
        <f t="shared" si="2"/>
        <v>8007.1219279026745</v>
      </c>
      <c r="AW45" s="299"/>
      <c r="AX45" s="163">
        <f t="shared" si="8"/>
        <v>11805.875436481685</v>
      </c>
      <c r="AZ45" s="423">
        <f>+IF(AZ44&gt;$I$13+$I$14,XX,AZ44+1)</f>
        <v>2025</v>
      </c>
      <c r="BA45" s="124"/>
      <c r="BB45" s="162">
        <f t="shared" si="17"/>
        <v>68.795695102290495</v>
      </c>
      <c r="BC45" s="3"/>
      <c r="BD45" s="162">
        <f t="shared" si="18"/>
        <v>18.93638067216823</v>
      </c>
      <c r="BE45" s="3"/>
      <c r="BF45" s="161">
        <f t="shared" si="21"/>
        <v>3099.2217636952673</v>
      </c>
      <c r="BG45" s="3"/>
      <c r="BH45" s="165"/>
    </row>
    <row r="46" spans="2:60" ht="12">
      <c r="B46" s="2"/>
      <c r="C46" s="398">
        <f>+IF(C45&gt;$I$13+$I$14,XX,C45+1)</f>
        <v>2026</v>
      </c>
      <c r="D46" s="6"/>
      <c r="E46" s="400">
        <f>'(2.2)_Forward_Price_Curve'!P38</f>
        <v>2.1999999999999999E-2</v>
      </c>
      <c r="F46" s="6"/>
      <c r="G46" s="461">
        <v>283696.30438630254</v>
      </c>
      <c r="H46" s="6"/>
      <c r="I46" s="466">
        <v>336.45185339500711</v>
      </c>
      <c r="J46" s="6"/>
      <c r="K46" s="466">
        <v>3.7348745784931405</v>
      </c>
      <c r="L46" s="6"/>
      <c r="M46" s="30">
        <f t="shared" si="11"/>
        <v>7.7996048855887627</v>
      </c>
      <c r="N46" s="6"/>
      <c r="O46" s="466">
        <v>0.71</v>
      </c>
      <c r="P46" s="6"/>
      <c r="Q46" s="406">
        <v>-37.128876984074367</v>
      </c>
      <c r="R46" s="6"/>
      <c r="S46" s="20">
        <f t="shared" si="22"/>
        <v>24566.862605829134</v>
      </c>
      <c r="T46" s="6"/>
      <c r="U46" s="20">
        <f t="shared" si="0"/>
        <v>12296.33302119176</v>
      </c>
      <c r="V46" s="6"/>
      <c r="W46" s="20">
        <f t="shared" si="3"/>
        <v>12270.529584637374</v>
      </c>
      <c r="X46" s="6"/>
      <c r="Y46" s="296">
        <f t="shared" si="4"/>
        <v>43.252342011226496</v>
      </c>
      <c r="Z46" s="255"/>
      <c r="AB46" s="423">
        <f>+IF(AB45&gt;$I$13+$I$14,XX,AB45+1)</f>
        <v>2026</v>
      </c>
      <c r="AC46" s="124"/>
      <c r="AD46" s="159">
        <f t="shared" si="5"/>
        <v>283696.30438630254</v>
      </c>
      <c r="AE46" s="3"/>
      <c r="AF46" s="162">
        <f t="shared" si="13"/>
        <v>112.66087345136349</v>
      </c>
      <c r="AG46" s="3"/>
      <c r="AH46" s="162">
        <f t="shared" si="14"/>
        <v>23.02617801681491</v>
      </c>
      <c r="AI46" s="3"/>
      <c r="AJ46" s="162">
        <f t="shared" si="15"/>
        <v>2.6486476957217335</v>
      </c>
      <c r="AK46" s="3"/>
      <c r="AL46" s="161">
        <f t="shared" si="20"/>
        <v>7049.7307282643123</v>
      </c>
      <c r="AM46" s="3"/>
      <c r="AN46" s="162">
        <f>INDEX('(2.2)_Forward_Price_Curve'!$H:$H,MATCH($AB46,'(2.2)_Forward_Price_Curve'!$C:$C,0),1)</f>
        <v>4.0344208333333329</v>
      </c>
      <c r="AO46" s="3"/>
      <c r="AP46" s="162">
        <f t="shared" si="23"/>
        <v>26.227361635244531</v>
      </c>
      <c r="AQ46" s="3"/>
      <c r="AR46" s="162">
        <f t="shared" si="16"/>
        <v>3.4311386882805079</v>
      </c>
      <c r="AS46" s="162"/>
      <c r="AT46" s="161">
        <f t="shared" si="1"/>
        <v>3882.3260857677492</v>
      </c>
      <c r="AU46" s="3"/>
      <c r="AV46" s="161">
        <f t="shared" si="2"/>
        <v>8414.0069354240113</v>
      </c>
      <c r="AW46" s="299"/>
      <c r="AX46" s="163">
        <f t="shared" si="8"/>
        <v>12296.33302119176</v>
      </c>
      <c r="AZ46" s="423">
        <f>+IF(AZ45&gt;$I$13+$I$14,XX,AZ45+1)</f>
        <v>2026</v>
      </c>
      <c r="BA46" s="124"/>
      <c r="BB46" s="162">
        <f t="shared" si="17"/>
        <v>70.309200394540881</v>
      </c>
      <c r="BC46" s="3"/>
      <c r="BD46" s="162">
        <f t="shared" si="18"/>
        <v>19.352981046955932</v>
      </c>
      <c r="BE46" s="3"/>
      <c r="BF46" s="161">
        <f t="shared" si="21"/>
        <v>3167.4046424965632</v>
      </c>
      <c r="BG46" s="3"/>
      <c r="BH46" s="165"/>
    </row>
    <row r="47" spans="2:60" ht="12">
      <c r="B47" s="2"/>
      <c r="C47" s="398">
        <f>+IF(C46&gt;$I$13+$I$14,XX,C46+1)</f>
        <v>2027</v>
      </c>
      <c r="D47" s="6"/>
      <c r="E47" s="400">
        <f>'(2.2)_Forward_Price_Curve'!P39</f>
        <v>2.1999999999999999E-2</v>
      </c>
      <c r="F47" s="6"/>
      <c r="G47" s="461">
        <v>283696.30438630254</v>
      </c>
      <c r="H47" s="6"/>
      <c r="I47" s="466">
        <v>341.62449162791148</v>
      </c>
      <c r="J47" s="6"/>
      <c r="K47" s="466">
        <v>3.8170418192199898</v>
      </c>
      <c r="L47" s="6"/>
      <c r="M47" s="30">
        <f t="shared" si="11"/>
        <v>7.9711961930717159</v>
      </c>
      <c r="N47" s="6"/>
      <c r="O47" s="466">
        <v>0.73</v>
      </c>
      <c r="P47" s="6"/>
      <c r="Q47" s="406">
        <v>-38.454908304934165</v>
      </c>
      <c r="R47" s="6"/>
      <c r="S47" s="20">
        <f t="shared" si="22"/>
        <v>24754.564702915013</v>
      </c>
      <c r="T47" s="6"/>
      <c r="U47" s="20">
        <f t="shared" si="0"/>
        <v>12325.891336966095</v>
      </c>
      <c r="V47" s="6"/>
      <c r="W47" s="20">
        <f t="shared" si="3"/>
        <v>12428.673365948918</v>
      </c>
      <c r="X47" s="6"/>
      <c r="Y47" s="296">
        <f t="shared" si="4"/>
        <v>43.809782410930133</v>
      </c>
      <c r="Z47" s="255"/>
      <c r="AB47" s="423">
        <f>+IF(AB46&gt;$I$13+$I$14,XX,AB46+1)</f>
        <v>2027</v>
      </c>
      <c r="AC47" s="124"/>
      <c r="AD47" s="159">
        <f t="shared" si="5"/>
        <v>283696.30438630254</v>
      </c>
      <c r="AE47" s="3"/>
      <c r="AF47" s="162">
        <f t="shared" si="13"/>
        <v>115.13941266729348</v>
      </c>
      <c r="AG47" s="3"/>
      <c r="AH47" s="162">
        <f t="shared" si="14"/>
        <v>23.532753933184839</v>
      </c>
      <c r="AI47" s="3"/>
      <c r="AJ47" s="162">
        <f t="shared" si="15"/>
        <v>2.7069179450276115</v>
      </c>
      <c r="AK47" s="3"/>
      <c r="AL47" s="161">
        <f t="shared" si="20"/>
        <v>7204.8248042861287</v>
      </c>
      <c r="AM47" s="3"/>
      <c r="AN47" s="162">
        <f>INDEX('(2.2)_Forward_Price_Curve'!$H:$H,MATCH($AB47,'(2.2)_Forward_Price_Curve'!$C:$C,0),1)</f>
        <v>3.9925249999999992</v>
      </c>
      <c r="AO47" s="3"/>
      <c r="AP47" s="162">
        <f t="shared" si="23"/>
        <v>25.955001061760328</v>
      </c>
      <c r="AQ47" s="3"/>
      <c r="AR47" s="162">
        <f t="shared" si="16"/>
        <v>3.5066237394226794</v>
      </c>
      <c r="AS47" s="162"/>
      <c r="AT47" s="161">
        <f t="shared" si="1"/>
        <v>3967.7372596546411</v>
      </c>
      <c r="AU47" s="3"/>
      <c r="AV47" s="161">
        <f t="shared" si="2"/>
        <v>8358.1540773114539</v>
      </c>
      <c r="AW47" s="299"/>
      <c r="AX47" s="163">
        <f t="shared" si="8"/>
        <v>12325.891336966095</v>
      </c>
      <c r="AZ47" s="423">
        <f>+IF(AZ46&gt;$I$13+$I$14,XX,AZ46+1)</f>
        <v>2027</v>
      </c>
      <c r="BA47" s="124"/>
      <c r="BB47" s="162">
        <f t="shared" si="17"/>
        <v>71.856002803220775</v>
      </c>
      <c r="BC47" s="3"/>
      <c r="BD47" s="162">
        <f t="shared" si="18"/>
        <v>19.778746629988962</v>
      </c>
      <c r="BE47" s="3"/>
      <c r="BF47" s="161">
        <f t="shared" si="21"/>
        <v>3237.0875446314876</v>
      </c>
      <c r="BG47" s="3"/>
      <c r="BH47" s="165"/>
    </row>
    <row r="48" spans="2:60" ht="12">
      <c r="B48" s="2"/>
      <c r="C48" s="398">
        <f>+IF(C47&gt;$I$13+$I$14,XX,C47+1)</f>
        <v>2028</v>
      </c>
      <c r="D48" s="6"/>
      <c r="E48" s="400">
        <f>'(2.2)_Forward_Price_Curve'!P40</f>
        <v>2.1999999999999999E-2</v>
      </c>
      <c r="F48" s="6"/>
      <c r="G48" s="461">
        <v>283696.30438630254</v>
      </c>
      <c r="H48" s="6"/>
      <c r="I48" s="466">
        <v>346.89540998724101</v>
      </c>
      <c r="J48" s="6"/>
      <c r="K48" s="466">
        <v>3.901016739242829</v>
      </c>
      <c r="L48" s="6"/>
      <c r="M48" s="30">
        <f t="shared" si="11"/>
        <v>8.1465625093192937</v>
      </c>
      <c r="N48" s="6"/>
      <c r="O48" s="466">
        <v>0.71</v>
      </c>
      <c r="P48" s="6"/>
      <c r="Q48" s="406">
        <v>-38.454908304934165</v>
      </c>
      <c r="R48" s="6"/>
      <c r="S48" s="20">
        <f t="shared" si="22"/>
        <v>25317.931252909159</v>
      </c>
      <c r="T48" s="6"/>
      <c r="U48" s="20">
        <f t="shared" si="0"/>
        <v>12324.410654757674</v>
      </c>
      <c r="V48" s="6"/>
      <c r="W48" s="20">
        <f t="shared" si="3"/>
        <v>12993.520598151485</v>
      </c>
      <c r="X48" s="6"/>
      <c r="Y48" s="296">
        <f t="shared" si="4"/>
        <v>45.800810222957701</v>
      </c>
      <c r="Z48" s="255"/>
      <c r="AB48" s="423">
        <f>+IF(AB47&gt;$I$13+$I$14,XX,AB47+1)</f>
        <v>2028</v>
      </c>
      <c r="AC48" s="124"/>
      <c r="AD48" s="159">
        <f t="shared" si="5"/>
        <v>283696.30438630254</v>
      </c>
      <c r="AE48" s="3"/>
      <c r="AF48" s="162">
        <f t="shared" si="13"/>
        <v>117.67247974597394</v>
      </c>
      <c r="AG48" s="3"/>
      <c r="AH48" s="162">
        <f t="shared" si="14"/>
        <v>24.050474519714907</v>
      </c>
      <c r="AI48" s="3"/>
      <c r="AJ48" s="162">
        <f t="shared" si="15"/>
        <v>2.7664701398182192</v>
      </c>
      <c r="AK48" s="3"/>
      <c r="AL48" s="161">
        <f t="shared" si="20"/>
        <v>7363.3309499804227</v>
      </c>
      <c r="AM48" s="3"/>
      <c r="AN48" s="162">
        <f>INDEX('(2.2)_Forward_Price_Curve'!$H:$H,MATCH($AB48,'(2.2)_Forward_Price_Curve'!$C:$C,0),1)</f>
        <v>3.9325250000000005</v>
      </c>
      <c r="AO48" s="3"/>
      <c r="AP48" s="162">
        <f t="shared" si="23"/>
        <v>25.564947132553726</v>
      </c>
      <c r="AQ48" s="3"/>
      <c r="AR48" s="162">
        <f t="shared" si="16"/>
        <v>3.5837694616899785</v>
      </c>
      <c r="AS48" s="162"/>
      <c r="AT48" s="161">
        <f t="shared" si="1"/>
        <v>4055.0274793670424</v>
      </c>
      <c r="AU48" s="3"/>
      <c r="AV48" s="161">
        <f t="shared" si="2"/>
        <v>8269.3831753906306</v>
      </c>
      <c r="AW48" s="299"/>
      <c r="AX48" s="163">
        <f t="shared" si="8"/>
        <v>12324.410654757674</v>
      </c>
      <c r="AZ48" s="423">
        <f>+IF(AZ47&gt;$I$13+$I$14,XX,AZ47+1)</f>
        <v>2028</v>
      </c>
      <c r="BA48" s="124"/>
      <c r="BB48" s="162">
        <f t="shared" si="17"/>
        <v>73.436834864891637</v>
      </c>
      <c r="BC48" s="3"/>
      <c r="BD48" s="162">
        <f t="shared" si="18"/>
        <v>20.213879055848722</v>
      </c>
      <c r="BE48" s="3"/>
      <c r="BF48" s="161">
        <f t="shared" si="21"/>
        <v>3308.3034706133803</v>
      </c>
      <c r="BG48" s="3"/>
      <c r="BH48" s="165"/>
    </row>
    <row r="49" spans="2:60" ht="12">
      <c r="B49" s="2"/>
      <c r="C49" s="398">
        <f>+IF(C48&gt;$I$13+$I$14,XX,C48+1)</f>
        <v>2029</v>
      </c>
      <c r="D49" s="6"/>
      <c r="E49" s="400">
        <f>'(2.2)_Forward_Price_Curve'!P41</f>
        <v>2.1999999999999999E-2</v>
      </c>
      <c r="F49" s="6"/>
      <c r="G49" s="461">
        <v>283696.30438630254</v>
      </c>
      <c r="H49" s="6"/>
      <c r="I49" s="466">
        <v>352.26647579539781</v>
      </c>
      <c r="J49" s="6"/>
      <c r="K49" s="466">
        <v>3.982938090766929</v>
      </c>
      <c r="L49" s="6"/>
      <c r="M49" s="30">
        <f t="shared" si="11"/>
        <v>8.3257868845243177</v>
      </c>
      <c r="N49" s="6"/>
      <c r="O49" s="466">
        <v>0.76</v>
      </c>
      <c r="P49" s="6"/>
      <c r="Q49" s="406">
        <v>-29.835704719345468</v>
      </c>
      <c r="R49" s="6"/>
      <c r="S49" s="20">
        <f t="shared" si="22"/>
        <v>28356.318535659218</v>
      </c>
      <c r="T49" s="6"/>
      <c r="U49" s="20">
        <f t="shared" si="0"/>
        <v>13024.337389736063</v>
      </c>
      <c r="V49" s="6"/>
      <c r="W49" s="20">
        <f t="shared" si="3"/>
        <v>15331.981145923155</v>
      </c>
      <c r="X49" s="6"/>
      <c r="Y49" s="296">
        <f t="shared" si="4"/>
        <v>54.043640713225358</v>
      </c>
      <c r="Z49" s="255"/>
      <c r="AB49" s="423">
        <f>+IF(AB48&gt;$I$13+$I$14,XX,AB48+1)</f>
        <v>2029</v>
      </c>
      <c r="AC49" s="124"/>
      <c r="AD49" s="159">
        <f t="shared" si="5"/>
        <v>283696.30438630254</v>
      </c>
      <c r="AE49" s="3"/>
      <c r="AF49" s="162">
        <f t="shared" si="13"/>
        <v>120.26127430038538</v>
      </c>
      <c r="AG49" s="3"/>
      <c r="AH49" s="162">
        <f t="shared" si="14"/>
        <v>24.579584959148637</v>
      </c>
      <c r="AI49" s="3"/>
      <c r="AJ49" s="162">
        <f t="shared" si="15"/>
        <v>2.8273324828942199</v>
      </c>
      <c r="AK49" s="3"/>
      <c r="AL49" s="161">
        <f t="shared" si="20"/>
        <v>7525.3242308799945</v>
      </c>
      <c r="AM49" s="3"/>
      <c r="AN49" s="162">
        <f>INDEX('(2.2)_Forward_Price_Curve'!$H:$H,MATCH($AB49,'(2.2)_Forward_Price_Curve'!$C:$C,0),1)</f>
        <v>4.2515375000000004</v>
      </c>
      <c r="AO49" s="3"/>
      <c r="AP49" s="162">
        <f t="shared" si="23"/>
        <v>27.638815117404125</v>
      </c>
      <c r="AQ49" s="3"/>
      <c r="AR49" s="162">
        <f t="shared" si="16"/>
        <v>3.6626123898471579</v>
      </c>
      <c r="AS49" s="162"/>
      <c r="AT49" s="161">
        <f t="shared" si="1"/>
        <v>4144.2380839131201</v>
      </c>
      <c r="AU49" s="3"/>
      <c r="AV49" s="161">
        <f t="shared" si="2"/>
        <v>8880.0993058229433</v>
      </c>
      <c r="AW49" s="299"/>
      <c r="AX49" s="163">
        <f t="shared" si="8"/>
        <v>13024.337389736063</v>
      </c>
      <c r="AZ49" s="423">
        <f>+IF(AZ48&gt;$I$13+$I$14,XX,AZ48+1)</f>
        <v>2029</v>
      </c>
      <c r="BA49" s="124"/>
      <c r="BB49" s="162">
        <f t="shared" si="17"/>
        <v>75.052445231919251</v>
      </c>
      <c r="BC49" s="3"/>
      <c r="BD49" s="162">
        <f t="shared" si="18"/>
        <v>20.658584395077394</v>
      </c>
      <c r="BE49" s="3"/>
      <c r="BF49" s="161">
        <f t="shared" si="21"/>
        <v>3381.0861469668748</v>
      </c>
      <c r="BG49" s="3"/>
      <c r="BH49" s="165"/>
    </row>
    <row r="50" spans="2:60" ht="12">
      <c r="B50" s="2"/>
      <c r="C50" s="398">
        <f>+IF(C49&gt;$I$13+$I$14,XX,C49+1)</f>
        <v>2030</v>
      </c>
      <c r="D50" s="6"/>
      <c r="E50" s="400">
        <f>'(2.2)_Forward_Price_Curve'!P42</f>
        <v>2.1999999999999999E-2</v>
      </c>
      <c r="F50" s="6"/>
      <c r="G50" s="461">
        <v>283696.30438630254</v>
      </c>
      <c r="H50" s="6"/>
      <c r="I50" s="466">
        <v>358.02765059383131</v>
      </c>
      <c r="J50" s="6"/>
      <c r="K50" s="466">
        <v>4.0705627287638011</v>
      </c>
      <c r="L50" s="6"/>
      <c r="M50" s="30">
        <f t="shared" si="11"/>
        <v>8.5089541959838524</v>
      </c>
      <c r="N50" s="6"/>
      <c r="O50" s="466">
        <v>0.78</v>
      </c>
      <c r="P50" s="6"/>
      <c r="Q50" s="404">
        <v>0</v>
      </c>
      <c r="R50" s="6"/>
      <c r="S50" s="20">
        <f t="shared" si="22"/>
        <v>37444.644735757305</v>
      </c>
      <c r="T50" s="6"/>
      <c r="U50" s="20">
        <f t="shared" si="0"/>
        <v>14168.34728923948</v>
      </c>
      <c r="V50" s="6"/>
      <c r="W50" s="20">
        <f t="shared" si="3"/>
        <v>23276.297446517827</v>
      </c>
      <c r="X50" s="6"/>
      <c r="Y50" s="296">
        <f t="shared" si="4"/>
        <v>82.046530344727515</v>
      </c>
      <c r="Z50" s="255"/>
      <c r="AB50" s="423">
        <f>+IF(AB49&gt;$I$13+$I$14,XX,AB49+1)</f>
        <v>2030</v>
      </c>
      <c r="AC50" s="124"/>
      <c r="AD50" s="159">
        <f t="shared" si="5"/>
        <v>283696.30438630254</v>
      </c>
      <c r="AE50" s="3"/>
      <c r="AF50" s="162">
        <f t="shared" si="13"/>
        <v>122.90702233499385</v>
      </c>
      <c r="AG50" s="3"/>
      <c r="AH50" s="162">
        <f t="shared" si="14"/>
        <v>25.120335828249907</v>
      </c>
      <c r="AI50" s="3"/>
      <c r="AJ50" s="162">
        <f t="shared" si="15"/>
        <v>2.8895337975178927</v>
      </c>
      <c r="AK50" s="3"/>
      <c r="AL50" s="161">
        <f t="shared" si="20"/>
        <v>7690.8813639593536</v>
      </c>
      <c r="AM50" s="3"/>
      <c r="AN50" s="162">
        <f>INDEX('(2.2)_Forward_Price_Curve'!$H:$H,MATCH($AB50,'(2.2)_Forward_Price_Curve'!$C:$C,0),1)</f>
        <v>4.8100083333333341</v>
      </c>
      <c r="AO50" s="3"/>
      <c r="AP50" s="162">
        <f t="shared" si="23"/>
        <v>31.26937749888673</v>
      </c>
      <c r="AQ50" s="3"/>
      <c r="AR50" s="162">
        <f t="shared" si="16"/>
        <v>3.7431898624237956</v>
      </c>
      <c r="AS50" s="162"/>
      <c r="AT50" s="161">
        <f t="shared" si="1"/>
        <v>4235.4113217592076</v>
      </c>
      <c r="AU50" s="3"/>
      <c r="AV50" s="161">
        <f t="shared" si="2"/>
        <v>9932.9359674802727</v>
      </c>
      <c r="AW50" s="299"/>
      <c r="AX50" s="163">
        <f t="shared" si="8"/>
        <v>14168.34728923948</v>
      </c>
      <c r="AZ50" s="423">
        <f>+IF(AZ49&gt;$I$13+$I$14,XX,AZ49+1)</f>
        <v>2030</v>
      </c>
      <c r="BA50" s="124"/>
      <c r="BB50" s="162">
        <f t="shared" si="17"/>
        <v>76.703599027021482</v>
      </c>
      <c r="BC50" s="3"/>
      <c r="BD50" s="162">
        <f t="shared" si="18"/>
        <v>21.113073251769098</v>
      </c>
      <c r="BE50" s="3"/>
      <c r="BF50" s="161">
        <f t="shared" si="21"/>
        <v>3455.4700422001465</v>
      </c>
      <c r="BG50" s="3"/>
      <c r="BH50" s="165"/>
    </row>
    <row r="51" spans="2:60" ht="12">
      <c r="B51" s="2"/>
      <c r="C51" s="398">
        <f>+IF(C50&gt;$I$13+$I$14,XX,C50+1)</f>
        <v>2031</v>
      </c>
      <c r="D51" s="6"/>
      <c r="E51" s="400">
        <f>'(2.2)_Forward_Price_Curve'!P43</f>
        <v>2.1999999999999999E-2</v>
      </c>
      <c r="F51" s="6"/>
      <c r="G51" s="461">
        <v>283696.30438630254</v>
      </c>
      <c r="H51" s="6"/>
      <c r="I51" s="466">
        <v>363.90404888823349</v>
      </c>
      <c r="J51" s="6"/>
      <c r="K51" s="466">
        <v>4.160115108796604</v>
      </c>
      <c r="L51" s="6"/>
      <c r="M51" s="30">
        <f t="shared" si="11"/>
        <v>8.6961511882954969</v>
      </c>
      <c r="N51" s="6"/>
      <c r="O51" s="466">
        <v>0.8</v>
      </c>
      <c r="P51" s="6"/>
      <c r="Q51" s="404">
        <v>0</v>
      </c>
      <c r="R51" s="6"/>
      <c r="S51" s="20">
        <f t="shared" si="22"/>
        <v>38081.212875694197</v>
      </c>
      <c r="T51" s="6"/>
      <c r="U51" s="20">
        <f t="shared" si="0"/>
        <v>14858.529321538821</v>
      </c>
      <c r="V51" s="6"/>
      <c r="W51" s="20">
        <f t="shared" si="3"/>
        <v>23222.683554155374</v>
      </c>
      <c r="X51" s="6"/>
      <c r="Y51" s="296">
        <f t="shared" si="4"/>
        <v>81.857546944050398</v>
      </c>
      <c r="Z51" s="255"/>
      <c r="AB51" s="423">
        <f>+IF(AB50&gt;$I$13+$I$14,XX,AB50+1)</f>
        <v>2031</v>
      </c>
      <c r="AC51" s="124"/>
      <c r="AD51" s="159">
        <f t="shared" si="5"/>
        <v>283696.30438630254</v>
      </c>
      <c r="AE51" s="3"/>
      <c r="AF51" s="162">
        <f t="shared" si="13"/>
        <v>125.61097682636372</v>
      </c>
      <c r="AG51" s="3"/>
      <c r="AH51" s="162">
        <f t="shared" si="14"/>
        <v>25.672983216471405</v>
      </c>
      <c r="AI51" s="3"/>
      <c r="AJ51" s="162">
        <f t="shared" si="15"/>
        <v>2.9531035410632867</v>
      </c>
      <c r="AK51" s="3"/>
      <c r="AL51" s="161">
        <f t="shared" si="20"/>
        <v>7860.0807539664584</v>
      </c>
      <c r="AM51" s="3"/>
      <c r="AN51" s="162">
        <f>INDEX('(2.2)_Forward_Price_Curve'!$H:$H,MATCH($AB51,'(2.2)_Forward_Price_Curve'!$C:$C,0),1)</f>
        <v>5.1210458333333335</v>
      </c>
      <c r="AO51" s="3"/>
      <c r="AP51" s="162">
        <f t="shared" si="23"/>
        <v>33.291400815646746</v>
      </c>
      <c r="AQ51" s="3"/>
      <c r="AR51" s="162">
        <f t="shared" si="16"/>
        <v>3.8255400393971191</v>
      </c>
      <c r="AS51" s="162"/>
      <c r="AT51" s="161">
        <f t="shared" si="1"/>
        <v>4328.5903708379083</v>
      </c>
      <c r="AU51" s="3"/>
      <c r="AV51" s="161">
        <f t="shared" si="2"/>
        <v>10529.938950700913</v>
      </c>
      <c r="AW51" s="299"/>
      <c r="AX51" s="163">
        <f t="shared" si="8"/>
        <v>14858.529321538821</v>
      </c>
      <c r="AZ51" s="423">
        <f>+IF(AZ50&gt;$I$13+$I$14,XX,AZ50+1)</f>
        <v>2031</v>
      </c>
      <c r="BA51" s="124"/>
      <c r="BB51" s="162">
        <f t="shared" si="17"/>
        <v>78.391078205615955</v>
      </c>
      <c r="BC51" s="3"/>
      <c r="BD51" s="162">
        <f t="shared" si="18"/>
        <v>21.577560863308019</v>
      </c>
      <c r="BE51" s="3"/>
      <c r="BF51" s="161">
        <f t="shared" si="21"/>
        <v>3531.4903831285496</v>
      </c>
      <c r="BG51" s="3"/>
      <c r="BH51" s="165"/>
    </row>
    <row r="52" spans="2:60" ht="12">
      <c r="B52" s="2"/>
      <c r="C52" s="398">
        <f>+IF(C51&gt;$I$13+$I$14,XX,C51+1)</f>
        <v>2032</v>
      </c>
      <c r="D52" s="6"/>
      <c r="E52" s="400">
        <f>'(2.2)_Forward_Price_Curve'!P44</f>
        <v>2.1000000000000001E-2</v>
      </c>
      <c r="F52" s="6"/>
      <c r="G52" s="461">
        <v>283696.30438630254</v>
      </c>
      <c r="H52" s="6"/>
      <c r="I52" s="466">
        <v>370.19767146153816</v>
      </c>
      <c r="J52" s="6"/>
      <c r="K52" s="466">
        <v>4.2516376411901282</v>
      </c>
      <c r="L52" s="6"/>
      <c r="M52" s="30">
        <f t="shared" si="11"/>
        <v>8.8787703632497017</v>
      </c>
      <c r="N52" s="6"/>
      <c r="O52" s="466">
        <v>0.81</v>
      </c>
      <c r="P52" s="6"/>
      <c r="Q52" s="404">
        <v>0</v>
      </c>
      <c r="R52" s="6"/>
      <c r="S52" s="20">
        <f t="shared" si="22"/>
        <v>38753.423349881406</v>
      </c>
      <c r="T52" s="6"/>
      <c r="U52" s="20">
        <f t="shared" ref="U52:U68" si="24">AX52</f>
        <v>15529.393492509451</v>
      </c>
      <c r="V52" s="6"/>
      <c r="W52" s="20">
        <f t="shared" si="3"/>
        <v>23224.029857371956</v>
      </c>
      <c r="X52" s="6"/>
      <c r="Y52" s="296">
        <f t="shared" ref="Y52:Y68" si="25">+W52*1000/G52</f>
        <v>81.862292523022589</v>
      </c>
      <c r="Z52" s="255"/>
      <c r="AB52" s="423">
        <f>+IF(AB51&gt;$I$13+$I$14,XX,AB51+1)</f>
        <v>2032</v>
      </c>
      <c r="AC52" s="124"/>
      <c r="AD52" s="159">
        <f t="shared" ref="AD52:AD68" si="26">G52</f>
        <v>283696.30438630254</v>
      </c>
      <c r="AE52" s="3"/>
      <c r="AF52" s="162">
        <f t="shared" si="13"/>
        <v>128.24880733971736</v>
      </c>
      <c r="AG52" s="3"/>
      <c r="AH52" s="162">
        <f t="shared" si="14"/>
        <v>26.212115864017303</v>
      </c>
      <c r="AI52" s="3"/>
      <c r="AJ52" s="162">
        <f t="shared" si="15"/>
        <v>3.0151187154256154</v>
      </c>
      <c r="AK52" s="3"/>
      <c r="AL52" s="161">
        <f t="shared" si="20"/>
        <v>8025.1424497997541</v>
      </c>
      <c r="AM52" s="3"/>
      <c r="AN52" s="162">
        <f>INDEX('(2.2)_Forward_Price_Curve'!$H:$H,MATCH($AB52,'(2.2)_Forward_Price_Curve'!$C:$C,0),1)</f>
        <v>5.4231541666666665</v>
      </c>
      <c r="AO52" s="3"/>
      <c r="AP52" s="162">
        <f t="shared" si="23"/>
        <v>35.255376523358855</v>
      </c>
      <c r="AQ52" s="3"/>
      <c r="AR52" s="162">
        <f t="shared" si="16"/>
        <v>3.9058763802244583</v>
      </c>
      <c r="AS52" s="162"/>
      <c r="AT52" s="161">
        <f t="shared" ref="AT52:AT68" si="27">AL52-BF52</f>
        <v>4419.4907686255046</v>
      </c>
      <c r="AU52" s="3"/>
      <c r="AV52" s="161">
        <f t="shared" ref="AV52:AV68" si="28">(AP52+AR52)*AD52/1000</f>
        <v>11109.902723883946</v>
      </c>
      <c r="AW52" s="299"/>
      <c r="AX52" s="163">
        <f t="shared" ref="AX52:AX68" si="29">AT52+AV52</f>
        <v>15529.393492509451</v>
      </c>
      <c r="AZ52" s="423">
        <f>+IF(AZ51&gt;$I$13+$I$14,XX,AZ51+1)</f>
        <v>2032</v>
      </c>
      <c r="BA52" s="124"/>
      <c r="BB52" s="162">
        <f t="shared" si="17"/>
        <v>80.037290847933889</v>
      </c>
      <c r="BC52" s="3"/>
      <c r="BD52" s="162">
        <f t="shared" si="18"/>
        <v>22.030689641437487</v>
      </c>
      <c r="BE52" s="3"/>
      <c r="BF52" s="161">
        <f t="shared" si="21"/>
        <v>3605.6516811742495</v>
      </c>
      <c r="BG52" s="3"/>
      <c r="BH52" s="165"/>
    </row>
    <row r="53" spans="2:60" ht="12">
      <c r="B53" s="2"/>
      <c r="C53" s="398">
        <f>+IF(C52&gt;$I$13+$I$14,XX,C52+1)</f>
        <v>2033</v>
      </c>
      <c r="D53" s="6"/>
      <c r="E53" s="400">
        <f>'(2.2)_Forward_Price_Curve'!P45</f>
        <v>2.1000000000000001E-2</v>
      </c>
      <c r="F53" s="6"/>
      <c r="G53" s="461">
        <v>283696.30438630254</v>
      </c>
      <c r="H53" s="6"/>
      <c r="I53" s="466">
        <v>85.41885624030391</v>
      </c>
      <c r="J53" s="6"/>
      <c r="K53" s="466">
        <v>4.3451736692963117</v>
      </c>
      <c r="L53" s="6"/>
      <c r="M53" s="30">
        <f t="shared" si="11"/>
        <v>9.0652245408779439</v>
      </c>
      <c r="N53" s="6"/>
      <c r="O53" s="466">
        <v>0.83</v>
      </c>
      <c r="P53" s="6"/>
      <c r="Q53" s="404">
        <v>0</v>
      </c>
      <c r="R53" s="6"/>
      <c r="S53" s="20">
        <f t="shared" si="22"/>
        <v>12069.32083180432</v>
      </c>
      <c r="T53" s="6"/>
      <c r="U53" s="20">
        <f t="shared" si="24"/>
        <v>16230.347822493666</v>
      </c>
      <c r="V53" s="6"/>
      <c r="W53" s="20">
        <f t="shared" si="3"/>
        <v>-4161.0269906893463</v>
      </c>
      <c r="X53" s="6"/>
      <c r="Y53" s="296">
        <f t="shared" si="25"/>
        <v>-14.667187856713758</v>
      </c>
      <c r="Z53" s="255"/>
      <c r="AB53" s="423">
        <f>+IF(AB52&gt;$I$13+$I$14,XX,AB52+1)</f>
        <v>2033</v>
      </c>
      <c r="AC53" s="124"/>
      <c r="AD53" s="159">
        <f t="shared" si="26"/>
        <v>283696.30438630254</v>
      </c>
      <c r="AE53" s="3"/>
      <c r="AF53" s="162">
        <f t="shared" si="13"/>
        <v>130.94203229385141</v>
      </c>
      <c r="AG53" s="3"/>
      <c r="AH53" s="162">
        <f t="shared" si="14"/>
        <v>26.762570297161663</v>
      </c>
      <c r="AI53" s="3"/>
      <c r="AJ53" s="162">
        <f t="shared" si="15"/>
        <v>3.0784362084495531</v>
      </c>
      <c r="AK53" s="3"/>
      <c r="AL53" s="161">
        <f t="shared" si="20"/>
        <v>8193.6704412455474</v>
      </c>
      <c r="AM53" s="3"/>
      <c r="AN53" s="162">
        <f>INDEX('(2.2)_Forward_Price_Curve'!$H:$H,MATCH($AB53,'(2.2)_Forward_Price_Curve'!$C:$C,0),1)</f>
        <v>5.7402833333333332</v>
      </c>
      <c r="AO53" s="3"/>
      <c r="AP53" s="162">
        <f t="shared" si="23"/>
        <v>37.317001148764703</v>
      </c>
      <c r="AQ53" s="3"/>
      <c r="AR53" s="162">
        <f t="shared" si="16"/>
        <v>3.9878997842091715</v>
      </c>
      <c r="AS53" s="162"/>
      <c r="AT53" s="161">
        <f t="shared" si="27"/>
        <v>4512.3000747666392</v>
      </c>
      <c r="AU53" s="3"/>
      <c r="AV53" s="161">
        <f t="shared" si="28"/>
        <v>11718.047747727027</v>
      </c>
      <c r="AW53" s="299"/>
      <c r="AX53" s="163">
        <f t="shared" si="29"/>
        <v>16230.347822493666</v>
      </c>
      <c r="AZ53" s="423">
        <f>+IF(AZ52&gt;$I$13+$I$14,XX,AZ52+1)</f>
        <v>2033</v>
      </c>
      <c r="BA53" s="124"/>
      <c r="BB53" s="162">
        <f t="shared" si="17"/>
        <v>81.718073955740493</v>
      </c>
      <c r="BC53" s="3"/>
      <c r="BD53" s="162">
        <f t="shared" si="18"/>
        <v>22.493334123907673</v>
      </c>
      <c r="BE53" s="3"/>
      <c r="BF53" s="161">
        <f t="shared" si="21"/>
        <v>3681.3703664789082</v>
      </c>
      <c r="BG53" s="3"/>
      <c r="BH53" s="165"/>
    </row>
    <row r="54" spans="2:60" ht="12">
      <c r="B54" s="2"/>
      <c r="C54" s="398">
        <f>+IF(C53&gt;$I$13+$I$14,XX,C53+1)</f>
        <v>2034</v>
      </c>
      <c r="D54" s="6"/>
      <c r="E54" s="400">
        <f>'(2.2)_Forward_Price_Curve'!P46</f>
        <v>2.1000000000000001E-2</v>
      </c>
      <c r="F54" s="6"/>
      <c r="G54" s="461">
        <v>283696.30438630254</v>
      </c>
      <c r="H54" s="6"/>
      <c r="I54" s="466">
        <v>87.315154848838674</v>
      </c>
      <c r="J54" s="6"/>
      <c r="K54" s="466">
        <v>4.4407674900208312</v>
      </c>
      <c r="L54" s="6"/>
      <c r="M54" s="30">
        <f t="shared" si="11"/>
        <v>9.25559425623638</v>
      </c>
      <c r="N54" s="6"/>
      <c r="O54" s="466">
        <v>0.85000000000000009</v>
      </c>
      <c r="P54" s="6"/>
      <c r="Q54" s="404">
        <v>0</v>
      </c>
      <c r="R54" s="6"/>
      <c r="S54" s="20">
        <f t="shared" si="22"/>
        <v>12334.373625470289</v>
      </c>
      <c r="T54" s="6"/>
      <c r="U54" s="20">
        <f t="shared" si="24"/>
        <v>16917.909734045374</v>
      </c>
      <c r="V54" s="6"/>
      <c r="W54" s="20">
        <f t="shared" si="3"/>
        <v>-4583.5361085750847</v>
      </c>
      <c r="X54" s="6"/>
      <c r="Y54" s="296">
        <f t="shared" si="25"/>
        <v>-16.156488603157101</v>
      </c>
      <c r="Z54" s="255"/>
      <c r="AB54" s="423">
        <f>+IF(AB53&gt;$I$13+$I$14,XX,AB53+1)</f>
        <v>2034</v>
      </c>
      <c r="AC54" s="124"/>
      <c r="AD54" s="159">
        <f t="shared" si="26"/>
        <v>283696.30438630254</v>
      </c>
      <c r="AE54" s="3"/>
      <c r="AF54" s="162">
        <f t="shared" si="13"/>
        <v>133.69181497202229</v>
      </c>
      <c r="AG54" s="3"/>
      <c r="AH54" s="162">
        <f t="shared" si="14"/>
        <v>27.324584273402056</v>
      </c>
      <c r="AI54" s="3"/>
      <c r="AJ54" s="162">
        <f t="shared" si="15"/>
        <v>3.1430833688269932</v>
      </c>
      <c r="AK54" s="3"/>
      <c r="AL54" s="161">
        <f t="shared" si="20"/>
        <v>8365.7375205117041</v>
      </c>
      <c r="AM54" s="3"/>
      <c r="AN54" s="162">
        <f>INDEX('(2.2)_Forward_Price_Curve'!$H:$H,MATCH($AB54,'(2.2)_Forward_Price_Curve'!$C:$C,0),1)</f>
        <v>6.0488291666666667</v>
      </c>
      <c r="AO54" s="3"/>
      <c r="AP54" s="162">
        <f t="shared" si="23"/>
        <v>39.322826392631285</v>
      </c>
      <c r="AQ54" s="3"/>
      <c r="AR54" s="162">
        <f t="shared" si="16"/>
        <v>4.0716456796775633</v>
      </c>
      <c r="AS54" s="162"/>
      <c r="AT54" s="161">
        <f t="shared" si="27"/>
        <v>4607.0583763367395</v>
      </c>
      <c r="AU54" s="3"/>
      <c r="AV54" s="161">
        <f t="shared" si="28"/>
        <v>12310.851357708636</v>
      </c>
      <c r="AW54" s="299"/>
      <c r="AX54" s="163">
        <f t="shared" si="29"/>
        <v>16917.909734045374</v>
      </c>
      <c r="AZ54" s="423">
        <f>+IF(AZ53&gt;$I$13+$I$14,XX,AZ53+1)</f>
        <v>2034</v>
      </c>
      <c r="BA54" s="124"/>
      <c r="BB54" s="162">
        <f t="shared" si="17"/>
        <v>83.434153508811036</v>
      </c>
      <c r="BC54" s="3"/>
      <c r="BD54" s="162">
        <f t="shared" si="18"/>
        <v>22.965694140509733</v>
      </c>
      <c r="BE54" s="3"/>
      <c r="BF54" s="161">
        <f t="shared" si="21"/>
        <v>3758.6791441749651</v>
      </c>
      <c r="BG54" s="3"/>
      <c r="BH54" s="165"/>
    </row>
    <row r="55" spans="2:60" ht="12">
      <c r="B55" s="2"/>
      <c r="C55" s="398">
        <f>+IF(C54&gt;$I$13+$I$14,XX,C54+1)</f>
        <v>2035</v>
      </c>
      <c r="D55" s="6"/>
      <c r="E55" s="400">
        <f>'(2.2)_Forward_Price_Curve'!P47</f>
        <v>2.1000000000000001E-2</v>
      </c>
      <c r="F55" s="6"/>
      <c r="G55" s="461">
        <v>283696.30438630254</v>
      </c>
      <c r="H55" s="6"/>
      <c r="I55" s="466">
        <v>89.253551286482903</v>
      </c>
      <c r="J55" s="6"/>
      <c r="K55" s="466">
        <v>4.5384643748012898</v>
      </c>
      <c r="L55" s="6"/>
      <c r="M55" s="30">
        <f t="shared" si="11"/>
        <v>9.4499617356173431</v>
      </c>
      <c r="N55" s="6"/>
      <c r="O55" s="466">
        <v>0.87</v>
      </c>
      <c r="P55" s="6"/>
      <c r="Q55" s="404">
        <v>0</v>
      </c>
      <c r="R55" s="6"/>
      <c r="S55" s="20">
        <f t="shared" si="22"/>
        <v>12605.114397452104</v>
      </c>
      <c r="T55" s="6"/>
      <c r="U55" s="20">
        <f t="shared" si="24"/>
        <v>16450.789454952574</v>
      </c>
      <c r="V55" s="6"/>
      <c r="W55" s="20">
        <f t="shared" si="3"/>
        <v>-3845.6750575004698</v>
      </c>
      <c r="X55" s="6"/>
      <c r="Y55" s="296">
        <f t="shared" si="25"/>
        <v>-13.555605053860361</v>
      </c>
      <c r="Z55" s="255"/>
      <c r="AB55" s="423">
        <f>+IF(AB54&gt;$I$13+$I$14,XX,AB54+1)</f>
        <v>2035</v>
      </c>
      <c r="AC55" s="124"/>
      <c r="AD55" s="159">
        <f t="shared" si="26"/>
        <v>283696.30438630254</v>
      </c>
      <c r="AE55" s="3"/>
      <c r="AF55" s="162">
        <f t="shared" si="13"/>
        <v>136.49934308643475</v>
      </c>
      <c r="AG55" s="3"/>
      <c r="AH55" s="162">
        <f t="shared" si="14"/>
        <v>27.898400543143499</v>
      </c>
      <c r="AI55" s="3"/>
      <c r="AJ55" s="162">
        <f t="shared" si="15"/>
        <v>3.20908811957236</v>
      </c>
      <c r="AK55" s="3"/>
      <c r="AL55" s="161">
        <f t="shared" si="20"/>
        <v>8541.4180084424497</v>
      </c>
      <c r="AM55" s="3"/>
      <c r="AN55" s="162">
        <f>INDEX('(2.2)_Forward_Price_Curve'!$H:$H,MATCH($AB55,'(2.2)_Forward_Price_Curve'!$C:$C,0),1)</f>
        <v>5.7299374999999992</v>
      </c>
      <c r="AO55" s="3"/>
      <c r="AP55" s="162">
        <f t="shared" si="23"/>
        <v>37.24974393305498</v>
      </c>
      <c r="AQ55" s="3"/>
      <c r="AR55" s="162">
        <f t="shared" si="16"/>
        <v>4.1571502389507922</v>
      </c>
      <c r="AS55" s="162"/>
      <c r="AT55" s="161">
        <f t="shared" si="27"/>
        <v>4703.8066022398107</v>
      </c>
      <c r="AU55" s="3"/>
      <c r="AV55" s="161">
        <f t="shared" si="28"/>
        <v>11746.982852712765</v>
      </c>
      <c r="AW55" s="299"/>
      <c r="AX55" s="163">
        <f t="shared" si="29"/>
        <v>16450.789454952574</v>
      </c>
      <c r="AZ55" s="423">
        <f>+IF(AZ54&gt;$I$13+$I$14,XX,AZ54+1)</f>
        <v>2035</v>
      </c>
      <c r="BA55" s="124"/>
      <c r="BB55" s="162">
        <f t="shared" si="17"/>
        <v>85.186270732496055</v>
      </c>
      <c r="BC55" s="3"/>
      <c r="BD55" s="162">
        <f t="shared" si="18"/>
        <v>23.447973717460435</v>
      </c>
      <c r="BE55" s="3"/>
      <c r="BF55" s="161">
        <f t="shared" si="21"/>
        <v>3837.611406202639</v>
      </c>
      <c r="BG55" s="3"/>
      <c r="BH55" s="165"/>
    </row>
    <row r="56" spans="2:60" ht="12">
      <c r="B56" s="2"/>
      <c r="C56" s="398">
        <f>+IF(C55&gt;$I$13+$I$14,XX,C55+1)</f>
        <v>2036</v>
      </c>
      <c r="D56" s="6"/>
      <c r="E56" s="400">
        <f>'(2.2)_Forward_Price_Curve'!P48</f>
        <v>2.1000000000000001E-2</v>
      </c>
      <c r="F56" s="6"/>
      <c r="G56" s="461">
        <v>283696.30438630254</v>
      </c>
      <c r="H56" s="6"/>
      <c r="I56" s="466">
        <v>91.23498012504281</v>
      </c>
      <c r="J56" s="6"/>
      <c r="K56" s="466">
        <v>4.6383105910469178</v>
      </c>
      <c r="L56" s="6"/>
      <c r="M56" s="30">
        <f t="shared" si="11"/>
        <v>9.6484109320653069</v>
      </c>
      <c r="N56" s="6"/>
      <c r="O56" s="466">
        <v>0.89</v>
      </c>
      <c r="P56" s="6"/>
      <c r="Q56" s="404">
        <v>0</v>
      </c>
      <c r="R56" s="6"/>
      <c r="S56" s="20">
        <f t="shared" si="22"/>
        <v>12881.667940561019</v>
      </c>
      <c r="T56" s="6"/>
      <c r="U56" s="20">
        <f t="shared" si="24"/>
        <v>16662.730974963641</v>
      </c>
      <c r="V56" s="6"/>
      <c r="W56" s="20">
        <f t="shared" si="3"/>
        <v>-3781.0630344026213</v>
      </c>
      <c r="X56" s="6"/>
      <c r="Y56" s="296">
        <f t="shared" si="25"/>
        <v>-13.327854384927191</v>
      </c>
      <c r="Z56" s="255"/>
      <c r="AB56" s="423">
        <f>+IF(AB55&gt;$I$13+$I$14,XX,AB55+1)</f>
        <v>2036</v>
      </c>
      <c r="AC56" s="124"/>
      <c r="AD56" s="159">
        <f t="shared" si="26"/>
        <v>283696.30438630254</v>
      </c>
      <c r="AE56" s="3"/>
      <c r="AF56" s="162">
        <f t="shared" si="13"/>
        <v>139.36582929124987</v>
      </c>
      <c r="AG56" s="3"/>
      <c r="AH56" s="162">
        <f t="shared" si="14"/>
        <v>28.484266954549511</v>
      </c>
      <c r="AI56" s="3"/>
      <c r="AJ56" s="162">
        <f t="shared" si="15"/>
        <v>3.2764789700833794</v>
      </c>
      <c r="AK56" s="3"/>
      <c r="AL56" s="161">
        <f t="shared" si="20"/>
        <v>8720.7877866197396</v>
      </c>
      <c r="AM56" s="3"/>
      <c r="AN56" s="162">
        <f>INDEX('(2.2)_Forward_Price_Curve'!$H:$H,MATCH($AB56,'(2.2)_Forward_Price_Curve'!$C:$C,0),1)</f>
        <v>5.7778666666666672</v>
      </c>
      <c r="AO56" s="3"/>
      <c r="AP56" s="162">
        <f t="shared" si="23"/>
        <v>37.561326596087184</v>
      </c>
      <c r="AQ56" s="3"/>
      <c r="AR56" s="162">
        <f t="shared" si="16"/>
        <v>4.2444503939687586</v>
      </c>
      <c r="AS56" s="162"/>
      <c r="AT56" s="161">
        <f t="shared" si="27"/>
        <v>4802.5865408868458</v>
      </c>
      <c r="AU56" s="3"/>
      <c r="AV56" s="161">
        <f t="shared" si="28"/>
        <v>11860.144434076796</v>
      </c>
      <c r="AW56" s="299"/>
      <c r="AX56" s="163">
        <f t="shared" si="29"/>
        <v>16662.730974963641</v>
      </c>
      <c r="AZ56" s="423">
        <f>+IF(AZ55&gt;$I$13+$I$14,XX,AZ55+1)</f>
        <v>2036</v>
      </c>
      <c r="BA56" s="124"/>
      <c r="BB56" s="162">
        <f t="shared" si="17"/>
        <v>86.975182417878472</v>
      </c>
      <c r="BC56" s="3"/>
      <c r="BD56" s="162">
        <f t="shared" si="18"/>
        <v>23.940381165527103</v>
      </c>
      <c r="BE56" s="3"/>
      <c r="BF56" s="161">
        <f t="shared" si="21"/>
        <v>3918.2012457328938</v>
      </c>
      <c r="BG56" s="3"/>
      <c r="BH56" s="165"/>
    </row>
    <row r="57" spans="2:60" ht="12">
      <c r="B57" s="2"/>
      <c r="C57" s="398">
        <f>+IF(C56&gt;$I$13+$I$14,XX,C56+1)</f>
        <v>2037</v>
      </c>
      <c r="D57" s="6"/>
      <c r="E57" s="400">
        <f>'(2.2)_Forward_Price_Curve'!P49</f>
        <v>2.1000000000000001E-2</v>
      </c>
      <c r="F57" s="6"/>
      <c r="G57" s="461">
        <v>283696.30438630254</v>
      </c>
      <c r="H57" s="6"/>
      <c r="I57" s="466">
        <v>93.26039668381874</v>
      </c>
      <c r="J57" s="6"/>
      <c r="K57" s="466">
        <v>4.7403534240499505</v>
      </c>
      <c r="L57" s="6"/>
      <c r="M57" s="30">
        <f t="shared" si="11"/>
        <v>9.8510275616386771</v>
      </c>
      <c r="N57" s="6"/>
      <c r="O57" s="466">
        <v>0.91000000000000014</v>
      </c>
      <c r="P57" s="6"/>
      <c r="Q57" s="404">
        <v>0</v>
      </c>
      <c r="R57" s="6"/>
      <c r="S57" s="20">
        <f t="shared" si="22"/>
        <v>13164.161786802924</v>
      </c>
      <c r="T57" s="6"/>
      <c r="U57" s="20">
        <f t="shared" si="24"/>
        <v>17416.680736382386</v>
      </c>
      <c r="V57" s="6"/>
      <c r="W57" s="20">
        <f t="shared" si="3"/>
        <v>-4252.5189495794621</v>
      </c>
      <c r="X57" s="6"/>
      <c r="Y57" s="296">
        <f t="shared" si="25"/>
        <v>-14.989687506781577</v>
      </c>
      <c r="Z57" s="255"/>
      <c r="AB57" s="423">
        <f>+IF(AB56&gt;$I$13+$I$14,XX,AB56+1)</f>
        <v>2037</v>
      </c>
      <c r="AC57" s="124"/>
      <c r="AD57" s="159">
        <f t="shared" si="26"/>
        <v>283696.30438630254</v>
      </c>
      <c r="AE57" s="3"/>
      <c r="AF57" s="162">
        <f t="shared" si="13"/>
        <v>142.2925117063661</v>
      </c>
      <c r="AG57" s="3"/>
      <c r="AH57" s="162">
        <f t="shared" si="14"/>
        <v>29.082436560595049</v>
      </c>
      <c r="AI57" s="3"/>
      <c r="AJ57" s="162">
        <f t="shared" si="15"/>
        <v>3.3452850284551299</v>
      </c>
      <c r="AK57" s="3"/>
      <c r="AL57" s="161">
        <f t="shared" si="20"/>
        <v>8903.9243301387542</v>
      </c>
      <c r="AM57" s="3"/>
      <c r="AN57" s="162">
        <f>INDEX('(2.2)_Forward_Price_Curve'!$H:$H,MATCH($AB57,'(2.2)_Forward_Price_Curve'!$C:$C,0),1)</f>
        <v>6.1182749999999997</v>
      </c>
      <c r="AO57" s="3"/>
      <c r="AP57" s="162">
        <f t="shared" si="23"/>
        <v>39.774286728609511</v>
      </c>
      <c r="AQ57" s="3"/>
      <c r="AR57" s="162">
        <f t="shared" si="16"/>
        <v>4.3335838522421017</v>
      </c>
      <c r="AS57" s="162"/>
      <c r="AT57" s="161">
        <f t="shared" si="27"/>
        <v>4903.4408582454689</v>
      </c>
      <c r="AU57" s="3"/>
      <c r="AV57" s="161">
        <f t="shared" si="28"/>
        <v>12513.239878136917</v>
      </c>
      <c r="AW57" s="299"/>
      <c r="AX57" s="163">
        <f t="shared" si="29"/>
        <v>17416.680736382386</v>
      </c>
      <c r="AZ57" s="423">
        <f>+IF(AZ56&gt;$I$13+$I$14,XX,AZ56+1)</f>
        <v>2037</v>
      </c>
      <c r="BA57" s="124"/>
      <c r="BB57" s="162">
        <f t="shared" si="17"/>
        <v>88.801661248653915</v>
      </c>
      <c r="BC57" s="3"/>
      <c r="BD57" s="162">
        <f t="shared" si="18"/>
        <v>24.443129170003171</v>
      </c>
      <c r="BE57" s="3"/>
      <c r="BF57" s="161">
        <f t="shared" si="21"/>
        <v>4000.4834718932848</v>
      </c>
      <c r="BG57" s="3"/>
      <c r="BH57" s="165"/>
    </row>
    <row r="58" spans="2:60" ht="12">
      <c r="B58" s="2"/>
      <c r="C58" s="398">
        <f>+IF(C57&gt;$I$13+$I$14,XX,C57+1)</f>
        <v>2038</v>
      </c>
      <c r="D58" s="6"/>
      <c r="E58" s="400">
        <f>'(2.2)_Forward_Price_Curve'!P50</f>
        <v>2.1000000000000001E-2</v>
      </c>
      <c r="F58" s="6"/>
      <c r="G58" s="461">
        <v>283696.30438630254</v>
      </c>
      <c r="H58" s="6"/>
      <c r="I58" s="466">
        <v>95.330777490199537</v>
      </c>
      <c r="J58" s="6"/>
      <c r="K58" s="466">
        <v>4.8493815528030986</v>
      </c>
      <c r="L58" s="6"/>
      <c r="M58" s="30">
        <f t="shared" si="11"/>
        <v>10.057899140433088</v>
      </c>
      <c r="N58" s="6"/>
      <c r="O58" s="466">
        <v>0.93</v>
      </c>
      <c r="P58" s="6"/>
      <c r="Q58" s="404">
        <v>0</v>
      </c>
      <c r="R58" s="6"/>
      <c r="S58" s="20">
        <f t="shared" si="22"/>
        <v>13454.071088278402</v>
      </c>
      <c r="T58" s="6"/>
      <c r="U58" s="20">
        <f t="shared" si="24"/>
        <v>18455.784884105982</v>
      </c>
      <c r="V58" s="6"/>
      <c r="W58" s="20">
        <f t="shared" si="3"/>
        <v>-5001.7137958275798</v>
      </c>
      <c r="X58" s="6"/>
      <c r="Y58" s="296">
        <f t="shared" si="25"/>
        <v>-17.630521506606811</v>
      </c>
      <c r="Z58" s="255"/>
      <c r="AB58" s="423">
        <f>+IF(AB57&gt;$I$13+$I$14,XX,AB57+1)</f>
        <v>2038</v>
      </c>
      <c r="AC58" s="124"/>
      <c r="AD58" s="159">
        <f t="shared" si="26"/>
        <v>283696.30438630254</v>
      </c>
      <c r="AE58" s="3"/>
      <c r="AF58" s="162">
        <f t="shared" si="13"/>
        <v>145.28065445219977</v>
      </c>
      <c r="AG58" s="3"/>
      <c r="AH58" s="162">
        <f t="shared" si="14"/>
        <v>29.693167728367541</v>
      </c>
      <c r="AI58" s="3"/>
      <c r="AJ58" s="162">
        <f t="shared" si="15"/>
        <v>3.4155360140526874</v>
      </c>
      <c r="AK58" s="3"/>
      <c r="AL58" s="161">
        <f t="shared" si="20"/>
        <v>9090.9067410716652</v>
      </c>
      <c r="AM58" s="3"/>
      <c r="AN58" s="162">
        <f>INDEX('(2.2)_Forward_Price_Curve'!$H:$H,MATCH($AB58,'(2.2)_Forward_Price_Curve'!$C:$C,0),1)</f>
        <v>6.6118625</v>
      </c>
      <c r="AO58" s="3"/>
      <c r="AP58" s="162">
        <f t="shared" si="23"/>
        <v>42.983049124980646</v>
      </c>
      <c r="AQ58" s="3"/>
      <c r="AR58" s="162">
        <f t="shared" si="16"/>
        <v>4.4245891131391852</v>
      </c>
      <c r="AS58" s="162"/>
      <c r="AT58" s="161">
        <f t="shared" si="27"/>
        <v>5006.4131162686226</v>
      </c>
      <c r="AU58" s="3"/>
      <c r="AV58" s="161">
        <f t="shared" si="28"/>
        <v>13449.371767837358</v>
      </c>
      <c r="AW58" s="299"/>
      <c r="AX58" s="163">
        <f t="shared" si="29"/>
        <v>18455.784884105982</v>
      </c>
      <c r="AZ58" s="423">
        <f>+IF(AZ57&gt;$I$13+$I$14,XX,AZ57+1)</f>
        <v>2038</v>
      </c>
      <c r="BA58" s="124"/>
      <c r="BB58" s="162">
        <f t="shared" si="17"/>
        <v>90.666496134875644</v>
      </c>
      <c r="BC58" s="3"/>
      <c r="BD58" s="162">
        <f t="shared" si="18"/>
        <v>24.956434882573237</v>
      </c>
      <c r="BE58" s="3"/>
      <c r="BF58" s="161">
        <f t="shared" si="21"/>
        <v>4084.4936248030431</v>
      </c>
      <c r="BG58" s="3"/>
      <c r="BH58" s="165"/>
    </row>
    <row r="59" spans="2:60" ht="12">
      <c r="B59" s="2"/>
      <c r="C59" s="398">
        <f>+IF(C58&gt;$I$13+$I$14,XX,C58+1)</f>
        <v>2039</v>
      </c>
      <c r="D59" s="6"/>
      <c r="E59" s="400">
        <f>'(2.2)_Forward_Price_Curve'!P51</f>
        <v>2.1000000000000001E-2</v>
      </c>
      <c r="F59" s="6"/>
      <c r="G59" s="461">
        <v>283696.30438630254</v>
      </c>
      <c r="H59" s="6"/>
      <c r="I59" s="466">
        <v>97.447120750481957</v>
      </c>
      <c r="J59" s="6"/>
      <c r="K59" s="466">
        <v>4.9609173285175707</v>
      </c>
      <c r="L59" s="6"/>
      <c r="M59" s="30">
        <f t="shared" si="11"/>
        <v>10.269115022382183</v>
      </c>
      <c r="N59" s="6"/>
      <c r="O59" s="466">
        <v>0.95000000000000007</v>
      </c>
      <c r="P59" s="6"/>
      <c r="Q59" s="404">
        <v>0</v>
      </c>
      <c r="R59" s="6"/>
      <c r="S59" s="20">
        <f t="shared" si="22"/>
        <v>13750.244733346384</v>
      </c>
      <c r="T59" s="6"/>
      <c r="U59" s="20">
        <f t="shared" si="24"/>
        <v>19472.626670590653</v>
      </c>
      <c r="V59" s="6"/>
      <c r="W59" s="20">
        <f t="shared" si="3"/>
        <v>-5722.3819372442686</v>
      </c>
      <c r="X59" s="6"/>
      <c r="Y59" s="296">
        <f t="shared" si="25"/>
        <v>-20.170801835515757</v>
      </c>
      <c r="Z59" s="255"/>
      <c r="AB59" s="423">
        <f>+IF(AB58&gt;$I$13+$I$14,XX,AB58+1)</f>
        <v>2039</v>
      </c>
      <c r="AC59" s="124"/>
      <c r="AD59" s="159">
        <f t="shared" si="26"/>
        <v>283696.30438630254</v>
      </c>
      <c r="AE59" s="3"/>
      <c r="AF59" s="162">
        <f t="shared" si="13"/>
        <v>148.33154819569594</v>
      </c>
      <c r="AG59" s="3"/>
      <c r="AH59" s="162">
        <f t="shared" si="14"/>
        <v>30.316724250663256</v>
      </c>
      <c r="AI59" s="3"/>
      <c r="AJ59" s="162">
        <f t="shared" si="15"/>
        <v>3.4872622703477933</v>
      </c>
      <c r="AK59" s="3"/>
      <c r="AL59" s="161">
        <f t="shared" si="20"/>
        <v>9281.8157826341703</v>
      </c>
      <c r="AM59" s="3"/>
      <c r="AN59" s="162">
        <f>INDEX('(2.2)_Forward_Price_Curve'!$H:$H,MATCH($AB59,'(2.2)_Forward_Price_Curve'!$C:$C,0),1)</f>
        <v>7.0919124999999994</v>
      </c>
      <c r="AO59" s="3"/>
      <c r="AP59" s="162">
        <f t="shared" si="23"/>
        <v>46.103805603574521</v>
      </c>
      <c r="AQ59" s="3"/>
      <c r="AR59" s="162">
        <f t="shared" si="16"/>
        <v>4.5175054845151079</v>
      </c>
      <c r="AS59" s="162"/>
      <c r="AT59" s="161">
        <f t="shared" si="27"/>
        <v>5111.5477917102635</v>
      </c>
      <c r="AU59" s="3"/>
      <c r="AV59" s="161">
        <f t="shared" si="28"/>
        <v>14361.078878880387</v>
      </c>
      <c r="AW59" s="299"/>
      <c r="AX59" s="163">
        <f t="shared" si="29"/>
        <v>19472.626670590653</v>
      </c>
      <c r="AZ59" s="423">
        <f>+IF(AZ58&gt;$I$13+$I$14,XX,AZ58+1)</f>
        <v>2039</v>
      </c>
      <c r="BA59" s="124"/>
      <c r="BB59" s="162">
        <f t="shared" si="17"/>
        <v>92.570492553708021</v>
      </c>
      <c r="BC59" s="3"/>
      <c r="BD59" s="162">
        <f t="shared" si="18"/>
        <v>25.480520015107274</v>
      </c>
      <c r="BE59" s="3"/>
      <c r="BF59" s="161">
        <f t="shared" si="21"/>
        <v>4170.2679909239068</v>
      </c>
      <c r="BG59" s="3"/>
      <c r="BH59" s="165"/>
    </row>
    <row r="60" spans="2:60" ht="12">
      <c r="B60" s="2"/>
      <c r="C60" s="398">
        <f>+IF(C59&gt;$I$13+$I$14,XX,C59+1)</f>
        <v>2040</v>
      </c>
      <c r="D60" s="6"/>
      <c r="E60" s="400">
        <f>'(2.2)_Forward_Price_Curve'!P52</f>
        <v>2.1000000000000001E-2</v>
      </c>
      <c r="F60" s="6"/>
      <c r="G60" s="461">
        <v>283696.30438630254</v>
      </c>
      <c r="H60" s="6"/>
      <c r="I60" s="466">
        <v>99.610446831142653</v>
      </c>
      <c r="J60" s="6"/>
      <c r="K60" s="466">
        <v>5.0750184270734726</v>
      </c>
      <c r="L60" s="6"/>
      <c r="M60" s="30">
        <f t="shared" si="11"/>
        <v>10.484766437852208</v>
      </c>
      <c r="N60" s="6"/>
      <c r="O60" s="466">
        <v>0.97000000000000008</v>
      </c>
      <c r="P60" s="6"/>
      <c r="Q60" s="404">
        <v>0</v>
      </c>
      <c r="R60" s="6"/>
      <c r="S60" s="20">
        <f t="shared" si="22"/>
        <v>14052.820880607462</v>
      </c>
      <c r="T60" s="6"/>
      <c r="U60" s="20">
        <f t="shared" si="24"/>
        <v>20032.266171882944</v>
      </c>
      <c r="V60" s="6"/>
      <c r="W60" s="20">
        <f t="shared" si="3"/>
        <v>-5979.4452912754823</v>
      </c>
      <c r="X60" s="6"/>
      <c r="Y60" s="296">
        <f t="shared" si="25"/>
        <v>-21.076923452388062</v>
      </c>
      <c r="Z60" s="255"/>
      <c r="AB60" s="423">
        <f>+IF(AB59&gt;$I$13+$I$14,XX,AB59+1)</f>
        <v>2040</v>
      </c>
      <c r="AC60" s="124"/>
      <c r="AD60" s="159">
        <f t="shared" si="26"/>
        <v>283696.30438630254</v>
      </c>
      <c r="AE60" s="3"/>
      <c r="AF60" s="162">
        <f t="shared" si="13"/>
        <v>151.44651070780554</v>
      </c>
      <c r="AG60" s="3"/>
      <c r="AH60" s="162">
        <f t="shared" si="14"/>
        <v>30.95337545992718</v>
      </c>
      <c r="AI60" s="3"/>
      <c r="AJ60" s="162">
        <f t="shared" si="15"/>
        <v>3.5604947780250966</v>
      </c>
      <c r="AK60" s="3"/>
      <c r="AL60" s="161">
        <f t="shared" si="20"/>
        <v>9476.7339140694876</v>
      </c>
      <c r="AM60" s="3"/>
      <c r="AN60" s="162">
        <f>INDEX('(2.2)_Forward_Price_Curve'!$H:$H,MATCH($AB60,'(2.2)_Forward_Price_Curve'!$C:$C,0),1)</f>
        <v>7.3225625000000001</v>
      </c>
      <c r="AO60" s="3"/>
      <c r="AP60" s="162">
        <f t="shared" si="23"/>
        <v>47.603237916432938</v>
      </c>
      <c r="AQ60" s="3"/>
      <c r="AR60" s="162">
        <f t="shared" si="16"/>
        <v>4.6123730996899246</v>
      </c>
      <c r="AS60" s="162"/>
      <c r="AT60" s="161">
        <f t="shared" si="27"/>
        <v>5218.8902953361794</v>
      </c>
      <c r="AU60" s="3"/>
      <c r="AV60" s="161">
        <f t="shared" si="28"/>
        <v>14813.375876546765</v>
      </c>
      <c r="AW60" s="299"/>
      <c r="AX60" s="163">
        <f t="shared" si="29"/>
        <v>20032.266171882944</v>
      </c>
      <c r="AZ60" s="423">
        <f>+IF(AZ59&gt;$I$13+$I$14,XX,AZ59+1)</f>
        <v>2040</v>
      </c>
      <c r="BA60" s="124"/>
      <c r="BB60" s="162">
        <f t="shared" si="17"/>
        <v>94.514472897335878</v>
      </c>
      <c r="BC60" s="3"/>
      <c r="BD60" s="162">
        <f t="shared" si="18"/>
        <v>26.015610935424526</v>
      </c>
      <c r="BE60" s="3"/>
      <c r="BF60" s="161">
        <f t="shared" si="21"/>
        <v>4257.8436187333082</v>
      </c>
      <c r="BG60" s="3"/>
      <c r="BH60" s="165"/>
    </row>
    <row r="61" spans="2:60" ht="12">
      <c r="B61" s="2"/>
      <c r="C61" s="398">
        <f>+IF(C60&gt;$I$13+$I$14,XX,C60+1)</f>
        <v>2041</v>
      </c>
      <c r="D61" s="6"/>
      <c r="E61" s="400">
        <f>'(2.2)_Forward_Price_Curve'!P53</f>
        <v>2.1000000000000001E-2</v>
      </c>
      <c r="F61" s="6"/>
      <c r="G61" s="461">
        <v>283696.30438630254</v>
      </c>
      <c r="H61" s="6"/>
      <c r="I61" s="466">
        <v>101.82179875079402</v>
      </c>
      <c r="J61" s="6"/>
      <c r="K61" s="466">
        <v>5.1917438508961613</v>
      </c>
      <c r="L61" s="6"/>
      <c r="M61" s="30">
        <f t="shared" si="11"/>
        <v>10.704946533047103</v>
      </c>
      <c r="N61" s="6"/>
      <c r="O61" s="466">
        <v>0.99</v>
      </c>
      <c r="P61" s="6"/>
      <c r="Q61" s="404">
        <v>0</v>
      </c>
      <c r="R61" s="6"/>
      <c r="S61" s="20">
        <f t="shared" si="22"/>
        <v>14361.940737815054</v>
      </c>
      <c r="T61" s="6"/>
      <c r="U61" s="20">
        <f t="shared" si="24"/>
        <v>20466.448624166194</v>
      </c>
      <c r="V61" s="6"/>
      <c r="W61" s="20">
        <f t="shared" si="3"/>
        <v>-6104.5078863511408</v>
      </c>
      <c r="X61" s="6"/>
      <c r="Y61" s="296">
        <f t="shared" si="25"/>
        <v>-21.517756107385797</v>
      </c>
      <c r="Z61" s="255"/>
      <c r="AB61" s="423">
        <f>+IF(AB60&gt;$I$13+$I$14,XX,AB60+1)</f>
        <v>2041</v>
      </c>
      <c r="AC61" s="124"/>
      <c r="AD61" s="159">
        <f t="shared" si="26"/>
        <v>283696.30438630254</v>
      </c>
      <c r="AE61" s="3"/>
      <c r="AF61" s="162">
        <f t="shared" si="13"/>
        <v>154.62688743266943</v>
      </c>
      <c r="AG61" s="3"/>
      <c r="AH61" s="162">
        <f t="shared" si="14"/>
        <v>31.603396344585647</v>
      </c>
      <c r="AI61" s="3"/>
      <c r="AJ61" s="162">
        <f t="shared" si="15"/>
        <v>3.6352651683636235</v>
      </c>
      <c r="AK61" s="3"/>
      <c r="AL61" s="161">
        <f t="shared" si="20"/>
        <v>9675.7453262649415</v>
      </c>
      <c r="AM61" s="3"/>
      <c r="AN61" s="162">
        <f>INDEX('(2.2)_Forward_Price_Curve'!$H:$H,MATCH($AB61,'(2.2)_Forward_Price_Curve'!$C:$C,0),1)</f>
        <v>7.4836588750000006</v>
      </c>
      <c r="AO61" s="3"/>
      <c r="AP61" s="162">
        <f t="shared" si="23"/>
        <v>48.650509150594466</v>
      </c>
      <c r="AQ61" s="3"/>
      <c r="AR61" s="162">
        <f t="shared" si="16"/>
        <v>4.7092329347834125</v>
      </c>
      <c r="AS61" s="162"/>
      <c r="AT61" s="161">
        <f t="shared" si="27"/>
        <v>5328.4869915382342</v>
      </c>
      <c r="AU61" s="3"/>
      <c r="AV61" s="161">
        <f t="shared" si="28"/>
        <v>15137.961632627961</v>
      </c>
      <c r="AW61" s="299"/>
      <c r="AX61" s="163">
        <f t="shared" si="29"/>
        <v>20466.448624166194</v>
      </c>
      <c r="AZ61" s="423">
        <f>+IF(AZ60&gt;$I$13+$I$14,XX,AZ60+1)</f>
        <v>2041</v>
      </c>
      <c r="BA61" s="124"/>
      <c r="BB61" s="162">
        <f t="shared" si="17"/>
        <v>96.499276828179916</v>
      </c>
      <c r="BC61" s="3"/>
      <c r="BD61" s="162">
        <f t="shared" si="18"/>
        <v>26.56193876506844</v>
      </c>
      <c r="BE61" s="3"/>
      <c r="BF61" s="161">
        <f t="shared" si="21"/>
        <v>4347.2583347267073</v>
      </c>
      <c r="BG61" s="3"/>
      <c r="BH61" s="165"/>
    </row>
    <row r="62" spans="2:60" ht="12">
      <c r="B62" s="2"/>
      <c r="C62" s="398">
        <f>+IF(C61&gt;$I$13+$I$14,XX,C61+1)</f>
        <v>2042</v>
      </c>
      <c r="D62" s="6"/>
      <c r="E62" s="400">
        <f>'(2.2)_Forward_Price_Curve'!P54</f>
        <v>2.1999999999999999E-2</v>
      </c>
      <c r="F62" s="6"/>
      <c r="G62" s="461">
        <v>283696.30438630254</v>
      </c>
      <c r="H62" s="6"/>
      <c r="I62" s="466">
        <v>104.08224268306165</v>
      </c>
      <c r="J62" s="6"/>
      <c r="K62" s="466">
        <v>5.3111539594667736</v>
      </c>
      <c r="L62" s="6"/>
      <c r="M62" s="30">
        <f t="shared" si="11"/>
        <v>10.940455356774139</v>
      </c>
      <c r="N62" s="6"/>
      <c r="O62" s="466">
        <v>1.01</v>
      </c>
      <c r="P62" s="6"/>
      <c r="Q62" s="404">
        <v>0</v>
      </c>
      <c r="R62" s="6"/>
      <c r="S62" s="20">
        <f t="shared" si="22"/>
        <v>14680.785582985513</v>
      </c>
      <c r="T62" s="6"/>
      <c r="U62" s="20">
        <f t="shared" si="24"/>
        <v>20916.710493897859</v>
      </c>
      <c r="V62" s="6"/>
      <c r="W62" s="20">
        <f t="shared" si="3"/>
        <v>-6235.9249109123466</v>
      </c>
      <c r="X62" s="6"/>
      <c r="Y62" s="296">
        <f t="shared" si="25"/>
        <v>-21.980987466163942</v>
      </c>
      <c r="Z62" s="255"/>
      <c r="AB62" s="423">
        <f>+IF(AB61&gt;$I$13+$I$14,XX,AB61+1)</f>
        <v>2042</v>
      </c>
      <c r="AC62" s="124"/>
      <c r="AD62" s="159">
        <f t="shared" si="26"/>
        <v>283696.30438630254</v>
      </c>
      <c r="AE62" s="3"/>
      <c r="AF62" s="162">
        <f t="shared" si="13"/>
        <v>158.02867895618817</v>
      </c>
      <c r="AG62" s="3"/>
      <c r="AH62" s="162">
        <f t="shared" si="14"/>
        <v>32.298671064166534</v>
      </c>
      <c r="AI62" s="3"/>
      <c r="AJ62" s="162">
        <f t="shared" si="15"/>
        <v>3.7152410020676232</v>
      </c>
      <c r="AK62" s="3"/>
      <c r="AL62" s="161">
        <f t="shared" si="20"/>
        <v>9888.6117234427766</v>
      </c>
      <c r="AM62" s="3"/>
      <c r="AN62" s="162">
        <f>INDEX('(2.2)_Forward_Price_Curve'!$H:$H,MATCH($AB62,'(2.2)_Forward_Price_Curve'!$C:$C,0),1)</f>
        <v>7.6482993702500011</v>
      </c>
      <c r="AO62" s="3"/>
      <c r="AP62" s="162">
        <f t="shared" si="23"/>
        <v>49.720820351907548</v>
      </c>
      <c r="AQ62" s="3"/>
      <c r="AR62" s="162">
        <f t="shared" si="16"/>
        <v>4.8128360593486477</v>
      </c>
      <c r="AS62" s="162"/>
      <c r="AT62" s="161">
        <f t="shared" si="27"/>
        <v>5445.7137053520819</v>
      </c>
      <c r="AU62" s="3"/>
      <c r="AV62" s="161">
        <f t="shared" si="28"/>
        <v>15470.996788545775</v>
      </c>
      <c r="AW62" s="299"/>
      <c r="AX62" s="163">
        <f t="shared" si="29"/>
        <v>20916.710493897859</v>
      </c>
      <c r="AZ62" s="423">
        <f>+IF(AZ61&gt;$I$13+$I$14,XX,AZ61+1)</f>
        <v>2042</v>
      </c>
      <c r="BA62" s="124"/>
      <c r="BB62" s="162">
        <f t="shared" si="17"/>
        <v>98.622260918399874</v>
      </c>
      <c r="BC62" s="3"/>
      <c r="BD62" s="162">
        <f t="shared" si="18"/>
        <v>27.146301417899945</v>
      </c>
      <c r="BE62" s="3"/>
      <c r="BF62" s="161">
        <f t="shared" si="21"/>
        <v>4442.8980180906947</v>
      </c>
      <c r="BG62" s="3"/>
      <c r="BH62" s="165"/>
    </row>
    <row r="63" spans="2:60" ht="12">
      <c r="B63" s="2"/>
      <c r="C63" s="398">
        <f>+IF(C62&gt;$I$13+$I$14,XX,C62+1)</f>
        <v>2043</v>
      </c>
      <c r="D63" s="6"/>
      <c r="E63" s="400">
        <f>'(2.2)_Forward_Price_Curve'!P55</f>
        <v>2.1999999999999999E-2</v>
      </c>
      <c r="F63" s="6"/>
      <c r="G63" s="461">
        <v>283696.30438630254</v>
      </c>
      <c r="H63" s="6"/>
      <c r="I63" s="466">
        <v>106.39286847062564</v>
      </c>
      <c r="J63" s="6"/>
      <c r="K63" s="466">
        <v>5.4333105005345086</v>
      </c>
      <c r="L63" s="6"/>
      <c r="M63" s="30">
        <f t="shared" si="11"/>
        <v>11.181145374623171</v>
      </c>
      <c r="N63" s="6"/>
      <c r="O63" s="466">
        <v>1.04</v>
      </c>
      <c r="P63" s="6"/>
      <c r="Q63" s="404">
        <v>0</v>
      </c>
      <c r="R63" s="6"/>
      <c r="S63" s="20">
        <f t="shared" si="22"/>
        <v>15009.433523972089</v>
      </c>
      <c r="T63" s="6"/>
      <c r="U63" s="20">
        <f t="shared" ref="U63:U65" si="30">AX63</f>
        <v>21376.878124763611</v>
      </c>
      <c r="V63" s="6"/>
      <c r="W63" s="20">
        <f t="shared" si="3"/>
        <v>-6367.4446007915212</v>
      </c>
      <c r="X63" s="6"/>
      <c r="Y63" s="296">
        <f t="shared" ref="Y63:Y65" si="31">+W63*1000/G63</f>
        <v>-22.444580709522118</v>
      </c>
      <c r="Z63" s="255"/>
      <c r="AB63" s="423">
        <f>+IF(AB62&gt;$I$13+$I$14,XX,AB62+1)</f>
        <v>2043</v>
      </c>
      <c r="AC63" s="124"/>
      <c r="AD63" s="159">
        <f t="shared" ref="AD63:AD65" si="32">G63</f>
        <v>283696.30438630254</v>
      </c>
      <c r="AE63" s="3"/>
      <c r="AF63" s="162">
        <f t="shared" si="13"/>
        <v>161.50530989322431</v>
      </c>
      <c r="AG63" s="3"/>
      <c r="AH63" s="162">
        <f t="shared" si="14"/>
        <v>33.009241827578201</v>
      </c>
      <c r="AI63" s="3"/>
      <c r="AJ63" s="162">
        <f t="shared" si="15"/>
        <v>3.796976304113111</v>
      </c>
      <c r="AK63" s="3"/>
      <c r="AL63" s="161">
        <f t="shared" si="20"/>
        <v>10106.161181358517</v>
      </c>
      <c r="AM63" s="3"/>
      <c r="AN63" s="162">
        <f>INDEX('(2.2)_Forward_Price_Curve'!$H:$H,MATCH($AB63,'(2.2)_Forward_Price_Curve'!$C:$C,0),1)</f>
        <v>7.8165619563955016</v>
      </c>
      <c r="AO63" s="3"/>
      <c r="AP63" s="162">
        <f t="shared" si="23"/>
        <v>50.814678399649516</v>
      </c>
      <c r="AQ63" s="3"/>
      <c r="AR63" s="162">
        <f t="shared" si="16"/>
        <v>4.9187184526543177</v>
      </c>
      <c r="AS63" s="162"/>
      <c r="AT63" s="161">
        <f t="shared" ref="AT63:AT65" si="33">AL63-BF63</f>
        <v>5565.5194068698256</v>
      </c>
      <c r="AU63" s="3"/>
      <c r="AV63" s="161">
        <f t="shared" ref="AV63:AV65" si="34">(AP63+AR63)*AD63/1000</f>
        <v>15811.358717893785</v>
      </c>
      <c r="AW63" s="299"/>
      <c r="AX63" s="163">
        <f t="shared" ref="AX63:AX65" si="35">AT63+AV63</f>
        <v>21376.878124763611</v>
      </c>
      <c r="AZ63" s="423">
        <f>+IF(AZ62&gt;$I$13+$I$14,XX,AZ62+1)</f>
        <v>2043</v>
      </c>
      <c r="BA63" s="124"/>
      <c r="BB63" s="162">
        <f t="shared" si="17"/>
        <v>100.79195065860468</v>
      </c>
      <c r="BC63" s="3"/>
      <c r="BD63" s="162">
        <f t="shared" si="18"/>
        <v>27.743520049093746</v>
      </c>
      <c r="BE63" s="3"/>
      <c r="BF63" s="161">
        <f t="shared" si="21"/>
        <v>4540.6417744886912</v>
      </c>
      <c r="BG63" s="3"/>
      <c r="BH63" s="165"/>
    </row>
    <row r="64" spans="2:60" ht="12">
      <c r="B64" s="2"/>
      <c r="C64" s="398">
        <f>+IF(C63&gt;$I$13+$I$14,XX,C63+1)</f>
        <v>2044</v>
      </c>
      <c r="D64" s="6"/>
      <c r="E64" s="400">
        <f>'(2.2)_Forward_Price_Curve'!P56</f>
        <v>2.1999999999999999E-2</v>
      </c>
      <c r="F64" s="6"/>
      <c r="G64" s="461">
        <v>283696.30438630254</v>
      </c>
      <c r="H64" s="6"/>
      <c r="I64" s="466">
        <v>108.7547901506735</v>
      </c>
      <c r="J64" s="6"/>
      <c r="K64" s="466">
        <v>5.5582766420468017</v>
      </c>
      <c r="L64" s="6"/>
      <c r="M64" s="30">
        <f t="shared" si="11"/>
        <v>11.427130572864881</v>
      </c>
      <c r="N64" s="6"/>
      <c r="O64" s="466">
        <v>1.06</v>
      </c>
      <c r="P64" s="6"/>
      <c r="Q64" s="404">
        <v>0</v>
      </c>
      <c r="R64" s="6"/>
      <c r="S64" s="20">
        <f t="shared" si="22"/>
        <v>15342.365612179674</v>
      </c>
      <c r="T64" s="6"/>
      <c r="U64" s="20">
        <f t="shared" si="30"/>
        <v>21847.16944350841</v>
      </c>
      <c r="V64" s="6"/>
      <c r="W64" s="20">
        <f t="shared" si="3"/>
        <v>-6504.8038313287361</v>
      </c>
      <c r="X64" s="6"/>
      <c r="Y64" s="296">
        <f t="shared" si="31"/>
        <v>-22.928757727035098</v>
      </c>
      <c r="Z64" s="255"/>
      <c r="AB64" s="423">
        <f>+IF(AB63&gt;$I$13+$I$14,XX,AB63+1)</f>
        <v>2044</v>
      </c>
      <c r="AC64" s="124"/>
      <c r="AD64" s="159">
        <f t="shared" si="32"/>
        <v>283696.30438630254</v>
      </c>
      <c r="AE64" s="3"/>
      <c r="AF64" s="162">
        <f t="shared" si="13"/>
        <v>165.05842671087524</v>
      </c>
      <c r="AG64" s="3"/>
      <c r="AH64" s="162">
        <f t="shared" si="14"/>
        <v>33.735445147784922</v>
      </c>
      <c r="AI64" s="3"/>
      <c r="AJ64" s="162">
        <f t="shared" si="15"/>
        <v>3.8805097828035997</v>
      </c>
      <c r="AK64" s="3"/>
      <c r="AL64" s="161">
        <f t="shared" si="20"/>
        <v>10328.496727348404</v>
      </c>
      <c r="AM64" s="3"/>
      <c r="AN64" s="162">
        <f>INDEX('(2.2)_Forward_Price_Curve'!$H:$H,MATCH($AB64,'(2.2)_Forward_Price_Curve'!$C:$C,0),1)</f>
        <v>7.9885263194362031</v>
      </c>
      <c r="AO64" s="3"/>
      <c r="AP64" s="162">
        <f t="shared" si="23"/>
        <v>51.932601324441805</v>
      </c>
      <c r="AQ64" s="3"/>
      <c r="AR64" s="162">
        <f t="shared" si="16"/>
        <v>5.0269302586127127</v>
      </c>
      <c r="AS64" s="162"/>
      <c r="AT64" s="161">
        <f t="shared" si="33"/>
        <v>5687.9608338209619</v>
      </c>
      <c r="AU64" s="3"/>
      <c r="AV64" s="161">
        <f t="shared" si="34"/>
        <v>16159.208609687448</v>
      </c>
      <c r="AW64" s="299"/>
      <c r="AX64" s="163">
        <f t="shared" si="35"/>
        <v>21847.16944350841</v>
      </c>
      <c r="AZ64" s="423">
        <f>+IF(AZ63&gt;$I$13+$I$14,XX,AZ63+1)</f>
        <v>2044</v>
      </c>
      <c r="BA64" s="124"/>
      <c r="BB64" s="162">
        <f t="shared" si="17"/>
        <v>103.00937357309398</v>
      </c>
      <c r="BC64" s="3"/>
      <c r="BD64" s="162">
        <f t="shared" si="18"/>
        <v>28.353877490173808</v>
      </c>
      <c r="BE64" s="3"/>
      <c r="BF64" s="161">
        <f t="shared" si="21"/>
        <v>4640.5358935274417</v>
      </c>
      <c r="BG64" s="3"/>
      <c r="BH64" s="165"/>
    </row>
    <row r="65" spans="2:60" ht="12">
      <c r="B65" s="2"/>
      <c r="C65" s="398">
        <f>+IF(C64&gt;$I$13+$I$14,XX,C64+1)</f>
        <v>2045</v>
      </c>
      <c r="D65" s="6"/>
      <c r="E65" s="400">
        <f>'(2.2)_Forward_Price_Curve'!P57</f>
        <v>2.1999999999999999E-2</v>
      </c>
      <c r="F65" s="6"/>
      <c r="G65" s="461">
        <v>283696.30438630254</v>
      </c>
      <c r="H65" s="6"/>
      <c r="I65" s="466">
        <v>111.16914649201846</v>
      </c>
      <c r="J65" s="6"/>
      <c r="K65" s="466">
        <v>5.6861170048138776</v>
      </c>
      <c r="L65" s="6"/>
      <c r="M65" s="30">
        <f t="shared" si="11"/>
        <v>11.678527445467909</v>
      </c>
      <c r="N65" s="6"/>
      <c r="O65" s="466">
        <v>1.08</v>
      </c>
      <c r="P65" s="6"/>
      <c r="Q65" s="404">
        <v>0</v>
      </c>
      <c r="R65" s="6"/>
      <c r="S65" s="20">
        <f t="shared" si="22"/>
        <v>15682.577236514002</v>
      </c>
      <c r="T65" s="6"/>
      <c r="U65" s="20">
        <f t="shared" si="30"/>
        <v>20128.944619936367</v>
      </c>
      <c r="V65" s="6"/>
      <c r="W65" s="20">
        <f t="shared" si="3"/>
        <v>-4446.3673834223646</v>
      </c>
      <c r="X65" s="6"/>
      <c r="Y65" s="296">
        <f t="shared" si="31"/>
        <v>-15.672983097333024</v>
      </c>
      <c r="Z65" s="255"/>
      <c r="AB65" s="423">
        <f>+IF(AB64&gt;$I$13+$I$14,XX,AB64+1)</f>
        <v>2045</v>
      </c>
      <c r="AC65" s="124"/>
      <c r="AD65" s="159">
        <f t="shared" si="32"/>
        <v>283696.30438630254</v>
      </c>
      <c r="AE65" s="3"/>
      <c r="AF65" s="162">
        <f>AF47*(1+$E65)</f>
        <v>117.67247974597394</v>
      </c>
      <c r="AG65" s="3"/>
      <c r="AH65" s="162">
        <f>AH47*(1+$E65)</f>
        <v>24.050474519714907</v>
      </c>
      <c r="AI65" s="3"/>
      <c r="AJ65" s="162">
        <f>AJ47*(1+$E65)</f>
        <v>2.7664701398182192</v>
      </c>
      <c r="AK65" s="3"/>
      <c r="AL65" s="161">
        <f t="shared" si="20"/>
        <v>7363.3309499804227</v>
      </c>
      <c r="AM65" s="3"/>
      <c r="AN65" s="162">
        <f>INDEX('(2.2)_Forward_Price_Curve'!$H:$H,MATCH($AB65,'(2.2)_Forward_Price_Curve'!$C:$C,0),1)</f>
        <v>8.164273898463799</v>
      </c>
      <c r="AO65" s="3"/>
      <c r="AP65" s="162">
        <f t="shared" si="23"/>
        <v>53.075118553579522</v>
      </c>
      <c r="AQ65" s="3"/>
      <c r="AR65" s="162">
        <f>AR47*(1+$E65)</f>
        <v>3.5837694616899785</v>
      </c>
      <c r="AS65" s="162"/>
      <c r="AT65" s="161">
        <f t="shared" si="33"/>
        <v>4055.0274793670424</v>
      </c>
      <c r="AU65" s="3"/>
      <c r="AV65" s="161">
        <f t="shared" si="34"/>
        <v>16073.917140569323</v>
      </c>
      <c r="AW65" s="299"/>
      <c r="AX65" s="163">
        <f t="shared" si="35"/>
        <v>20128.944619936367</v>
      </c>
      <c r="AZ65" s="423">
        <f>+IF(AZ64&gt;$I$13+$I$14,XX,AZ64+1)</f>
        <v>2045</v>
      </c>
      <c r="BA65" s="124"/>
      <c r="BB65" s="162">
        <f>BB47*(1+$E65)</f>
        <v>73.436834864891637</v>
      </c>
      <c r="BC65" s="3"/>
      <c r="BD65" s="162">
        <f>BD47*(1+$E65)</f>
        <v>20.213879055848722</v>
      </c>
      <c r="BE65" s="3"/>
      <c r="BF65" s="161">
        <f t="shared" si="21"/>
        <v>3308.3034706133803</v>
      </c>
      <c r="BG65" s="3"/>
      <c r="BH65" s="165"/>
    </row>
    <row r="66" spans="2:60" ht="12">
      <c r="B66" s="2"/>
      <c r="C66" s="398">
        <f>+IF(C65&gt;$I$13+$I$14,XX,C65+1)</f>
        <v>2046</v>
      </c>
      <c r="D66" s="6"/>
      <c r="E66" s="400">
        <f>'(2.2)_Forward_Price_Curve'!P58</f>
        <v>2.1999999999999999E-2</v>
      </c>
      <c r="F66" s="6"/>
      <c r="G66" s="461">
        <v>283696.30438630254</v>
      </c>
      <c r="H66" s="6"/>
      <c r="I66" s="466">
        <v>113.63710154414126</v>
      </c>
      <c r="J66" s="6"/>
      <c r="K66" s="466">
        <v>5.816897695924597</v>
      </c>
      <c r="L66" s="6"/>
      <c r="M66" s="30">
        <f t="shared" si="11"/>
        <v>11.935455049268203</v>
      </c>
      <c r="N66" s="6"/>
      <c r="O66" s="466">
        <v>1.1100000000000001</v>
      </c>
      <c r="P66" s="6"/>
      <c r="Q66" s="404">
        <v>0</v>
      </c>
      <c r="R66" s="6"/>
      <c r="S66" s="20">
        <f t="shared" si="22"/>
        <v>16033.067310991304</v>
      </c>
      <c r="T66" s="6"/>
      <c r="U66" s="20">
        <f t="shared" si="24"/>
        <v>22349.415372467298</v>
      </c>
      <c r="V66" s="6"/>
      <c r="W66" s="20">
        <f t="shared" si="3"/>
        <v>-6316.3480614759937</v>
      </c>
      <c r="X66" s="6"/>
      <c r="Y66" s="296">
        <f t="shared" si="25"/>
        <v>-22.264470716809807</v>
      </c>
      <c r="Z66" s="255"/>
      <c r="AB66" s="423">
        <f>+IF(AB65&gt;$I$13+$I$14,XX,AB65+1)</f>
        <v>2046</v>
      </c>
      <c r="AC66" s="124"/>
      <c r="AD66" s="159">
        <f t="shared" si="26"/>
        <v>283696.30438630254</v>
      </c>
      <c r="AE66" s="3"/>
      <c r="AF66" s="162">
        <f>AF62*(1+$E66)</f>
        <v>161.50530989322431</v>
      </c>
      <c r="AG66" s="3"/>
      <c r="AH66" s="162">
        <f>AH62*(1+$E66)</f>
        <v>33.009241827578201</v>
      </c>
      <c r="AI66" s="3"/>
      <c r="AJ66" s="162">
        <f>AJ62*(1+$E66)</f>
        <v>3.796976304113111</v>
      </c>
      <c r="AK66" s="3"/>
      <c r="AL66" s="161">
        <f t="shared" si="20"/>
        <v>10106.161181358517</v>
      </c>
      <c r="AM66" s="3"/>
      <c r="AN66" s="162">
        <f>INDEX('(2.2)_Forward_Price_Curve'!$H:$H,MATCH($AB66,'(2.2)_Forward_Price_Curve'!$C:$C,0),1)</f>
        <v>8.3438879242300033</v>
      </c>
      <c r="AO66" s="3"/>
      <c r="AP66" s="162">
        <f t="shared" si="23"/>
        <v>54.242771161758284</v>
      </c>
      <c r="AQ66" s="3"/>
      <c r="AR66" s="162">
        <f>AR62*(1+$E66)</f>
        <v>4.9187184526543177</v>
      </c>
      <c r="AS66" s="162"/>
      <c r="AT66" s="161">
        <f t="shared" si="27"/>
        <v>5565.5194068698256</v>
      </c>
      <c r="AU66" s="3"/>
      <c r="AV66" s="161">
        <f t="shared" si="28"/>
        <v>16783.895965597472</v>
      </c>
      <c r="AW66" s="299"/>
      <c r="AX66" s="163">
        <f t="shared" si="29"/>
        <v>22349.415372467298</v>
      </c>
      <c r="AZ66" s="423">
        <f>+IF(AZ65&gt;$I$13+$I$14,XX,AZ65+1)</f>
        <v>2046</v>
      </c>
      <c r="BA66" s="124"/>
      <c r="BB66" s="162">
        <f>BB62*(1+$E66)</f>
        <v>100.79195065860468</v>
      </c>
      <c r="BC66" s="3"/>
      <c r="BD66" s="162">
        <f>BD62*(1+$E66)</f>
        <v>27.743520049093746</v>
      </c>
      <c r="BE66" s="3"/>
      <c r="BF66" s="161">
        <f t="shared" si="21"/>
        <v>4540.6417744886912</v>
      </c>
      <c r="BG66" s="3"/>
      <c r="BH66" s="165"/>
    </row>
    <row r="67" spans="2:60" ht="12">
      <c r="B67" s="2"/>
      <c r="C67" s="398">
        <f>+IF(C66&gt;$I$13+$I$14,XX,C66+1)</f>
        <v>2047</v>
      </c>
      <c r="D67" s="6"/>
      <c r="E67" s="400">
        <f>'(2.2)_Forward_Price_Curve'!P59</f>
        <v>2.1999999999999999E-2</v>
      </c>
      <c r="F67" s="6"/>
      <c r="G67" s="461">
        <v>283696.30438630254</v>
      </c>
      <c r="H67" s="6"/>
      <c r="I67" s="466">
        <v>116.15984519842118</v>
      </c>
      <c r="J67" s="6"/>
      <c r="K67" s="466">
        <v>5.9506863429308616</v>
      </c>
      <c r="L67" s="6"/>
      <c r="M67" s="30">
        <f t="shared" si="11"/>
        <v>12.198035060352103</v>
      </c>
      <c r="N67" s="6"/>
      <c r="O67" s="466">
        <v>1.1299999999999999</v>
      </c>
      <c r="P67" s="6"/>
      <c r="Q67" s="404">
        <v>0</v>
      </c>
      <c r="R67" s="6"/>
      <c r="S67" s="20">
        <f t="shared" si="22"/>
        <v>16388.327464056081</v>
      </c>
      <c r="T67" s="6"/>
      <c r="U67" s="20">
        <f t="shared" si="24"/>
        <v>22841.102510661582</v>
      </c>
      <c r="V67" s="6"/>
      <c r="W67" s="20">
        <f t="shared" si="3"/>
        <v>-6452.7750466055004</v>
      </c>
      <c r="X67" s="6"/>
      <c r="Y67" s="296">
        <f t="shared" si="25"/>
        <v>-22.745361666110778</v>
      </c>
      <c r="Z67" s="255"/>
      <c r="AB67" s="423">
        <f>+IF(AB66&gt;$I$13+$I$14,XX,AB66+1)</f>
        <v>2047</v>
      </c>
      <c r="AC67" s="124"/>
      <c r="AD67" s="159">
        <f t="shared" si="26"/>
        <v>283696.30438630254</v>
      </c>
      <c r="AE67" s="3"/>
      <c r="AF67" s="162">
        <f t="shared" si="13"/>
        <v>165.05842671087524</v>
      </c>
      <c r="AG67" s="3"/>
      <c r="AH67" s="162">
        <f t="shared" si="14"/>
        <v>33.735445147784922</v>
      </c>
      <c r="AI67" s="3"/>
      <c r="AJ67" s="162">
        <f t="shared" si="15"/>
        <v>3.8805097828035997</v>
      </c>
      <c r="AK67" s="3"/>
      <c r="AL67" s="161">
        <f t="shared" si="20"/>
        <v>10328.496727348404</v>
      </c>
      <c r="AM67" s="3"/>
      <c r="AN67" s="162">
        <f>INDEX('(2.2)_Forward_Price_Curve'!$H:$H,MATCH($AB67,'(2.2)_Forward_Price_Curve'!$C:$C,0),1)</f>
        <v>8.5274534585630644</v>
      </c>
      <c r="AO67" s="3"/>
      <c r="AP67" s="162">
        <f t="shared" si="23"/>
        <v>55.436112127316967</v>
      </c>
      <c r="AQ67" s="3"/>
      <c r="AR67" s="162">
        <f t="shared" si="16"/>
        <v>5.0269302586127127</v>
      </c>
      <c r="AS67" s="162"/>
      <c r="AT67" s="161">
        <f t="shared" si="27"/>
        <v>5687.9608338209619</v>
      </c>
      <c r="AU67" s="3"/>
      <c r="AV67" s="161">
        <f t="shared" si="28"/>
        <v>17153.14167684062</v>
      </c>
      <c r="AW67" s="299"/>
      <c r="AX67" s="163">
        <f t="shared" si="29"/>
        <v>22841.102510661582</v>
      </c>
      <c r="AZ67" s="423">
        <f>+IF(AZ66&gt;$I$13+$I$14,XX,AZ66+1)</f>
        <v>2047</v>
      </c>
      <c r="BA67" s="124"/>
      <c r="BB67" s="162">
        <f t="shared" si="17"/>
        <v>103.00937357309398</v>
      </c>
      <c r="BC67" s="3"/>
      <c r="BD67" s="162">
        <f t="shared" si="18"/>
        <v>28.353877490173808</v>
      </c>
      <c r="BE67" s="3"/>
      <c r="BF67" s="161">
        <f t="shared" si="21"/>
        <v>4640.5358935274417</v>
      </c>
      <c r="BG67" s="3"/>
      <c r="BH67" s="165"/>
    </row>
    <row r="68" spans="2:60" ht="12">
      <c r="B68" s="2"/>
      <c r="C68" s="398">
        <f>+IF(C67&gt;$I$13+$I$14,XX,C67+1)</f>
        <v>2048</v>
      </c>
      <c r="D68" s="6"/>
      <c r="E68" s="400">
        <f>'(2.2)_Forward_Price_Curve'!P60</f>
        <v>2.1999999999999999E-2</v>
      </c>
      <c r="F68" s="6"/>
      <c r="G68" s="461">
        <v>255326.6739476723</v>
      </c>
      <c r="H68" s="6"/>
      <c r="I68" s="466">
        <v>118.73859376182617</v>
      </c>
      <c r="J68" s="6"/>
      <c r="K68" s="466">
        <v>6.0875521288182703</v>
      </c>
      <c r="L68" s="6"/>
      <c r="M68" s="30">
        <f t="shared" si="11"/>
        <v>12.46639183167985</v>
      </c>
      <c r="N68" s="6"/>
      <c r="O68" s="466">
        <v>1.1599999999999999</v>
      </c>
      <c r="P68" s="6"/>
      <c r="Q68" s="404">
        <v>0</v>
      </c>
      <c r="R68" s="6"/>
      <c r="S68" s="20">
        <f t="shared" si="22"/>
        <v>16194.923555436446</v>
      </c>
      <c r="T68" s="6"/>
      <c r="U68" s="20">
        <f t="shared" si="24"/>
        <v>21478.04510824546</v>
      </c>
      <c r="V68" s="6"/>
      <c r="W68" s="20">
        <f t="shared" si="3"/>
        <v>-5283.1215528090142</v>
      </c>
      <c r="X68" s="6"/>
      <c r="Y68" s="296">
        <f t="shared" si="25"/>
        <v>-20.69161623862205</v>
      </c>
      <c r="Z68" s="255"/>
      <c r="AB68" s="423">
        <f>+IF(AB67&gt;$I$13+$I$14,XX,AB67+1)</f>
        <v>2048</v>
      </c>
      <c r="AC68" s="124"/>
      <c r="AD68" s="159">
        <f t="shared" si="26"/>
        <v>255326.6739476723</v>
      </c>
      <c r="AE68" s="3"/>
      <c r="AF68" s="162">
        <f t="shared" si="13"/>
        <v>168.68971209851449</v>
      </c>
      <c r="AG68" s="3"/>
      <c r="AH68" s="162">
        <f t="shared" si="14"/>
        <v>34.47762494103619</v>
      </c>
      <c r="AI68" s="3"/>
      <c r="AJ68" s="162">
        <f t="shared" si="15"/>
        <v>3.9658809980252792</v>
      </c>
      <c r="AK68" s="3"/>
      <c r="AL68" s="161">
        <f t="shared" si="20"/>
        <v>10443.213077072503</v>
      </c>
      <c r="AM68" s="3"/>
      <c r="AN68" s="162">
        <f>INDEX('(2.2)_Forward_Price_Curve'!$H:$H,MATCH($AB68,'(2.2)_Forward_Price_Curve'!$C:$C,0),1)</f>
        <v>8.7150574346514524</v>
      </c>
      <c r="AO68" s="3"/>
      <c r="AP68" s="162">
        <f t="shared" si="23"/>
        <v>56.655706594117945</v>
      </c>
      <c r="AQ68" s="3"/>
      <c r="AR68" s="162">
        <f t="shared" si="16"/>
        <v>5.1375227243021921</v>
      </c>
      <c r="AS68" s="162"/>
      <c r="AT68" s="161">
        <f t="shared" si="27"/>
        <v>5700.5853938874579</v>
      </c>
      <c r="AU68" s="3"/>
      <c r="AV68" s="161">
        <f t="shared" si="28"/>
        <v>15777.459714358003</v>
      </c>
      <c r="AW68" s="299"/>
      <c r="AX68" s="163">
        <f t="shared" si="29"/>
        <v>21478.04510824546</v>
      </c>
      <c r="AZ68" s="423">
        <f>+IF(AZ67&gt;$I$13+$I$14,XX,AZ67+1)</f>
        <v>2048</v>
      </c>
      <c r="BA68" s="124"/>
      <c r="BB68" s="162">
        <f t="shared" si="17"/>
        <v>105.27557979170206</v>
      </c>
      <c r="BC68" s="3"/>
      <c r="BD68" s="162">
        <f t="shared" si="18"/>
        <v>28.977662794957631</v>
      </c>
      <c r="BE68" s="3"/>
      <c r="BF68" s="161">
        <f t="shared" si="21"/>
        <v>4742.6276831850455</v>
      </c>
      <c r="BG68" s="3"/>
      <c r="BH68" s="165"/>
    </row>
    <row r="69" spans="2:60" ht="12">
      <c r="B69" s="2"/>
      <c r="C69" s="398">
        <f>+IF(C68&gt;$I$13+$I$14,XX,C68+1)</f>
        <v>2049</v>
      </c>
      <c r="D69" s="6"/>
      <c r="E69" s="400">
        <f>'(2.2)_Forward_Price_Curve'!P61</f>
        <v>2.1999999999999999E-2</v>
      </c>
      <c r="F69" s="6"/>
      <c r="G69" s="461">
        <v>159579.17121729517</v>
      </c>
      <c r="H69" s="6"/>
      <c r="I69" s="466">
        <v>91.030942907503999</v>
      </c>
      <c r="J69" s="6"/>
      <c r="K69" s="466">
        <v>4.670674370835818</v>
      </c>
      <c r="L69" s="6"/>
      <c r="M69" s="30">
        <f t="shared" si="11"/>
        <v>12.740652451976807</v>
      </c>
      <c r="N69" s="6"/>
      <c r="O69" s="466">
        <v>1.18</v>
      </c>
      <c r="P69" s="6"/>
      <c r="Q69" s="404">
        <v>0</v>
      </c>
      <c r="R69" s="6"/>
      <c r="S69" s="20">
        <f t="shared" si="22"/>
        <v>11523.697159519683</v>
      </c>
      <c r="T69" s="6"/>
      <c r="U69" s="20">
        <f t="shared" si="0"/>
        <v>13913.106187756421</v>
      </c>
      <c r="V69" s="6"/>
      <c r="W69" s="20">
        <f t="shared" si="3"/>
        <v>-2389.4090282367379</v>
      </c>
      <c r="X69" s="6"/>
      <c r="Y69" s="296">
        <f t="shared" si="4"/>
        <v>-14.973188606069</v>
      </c>
      <c r="Z69" s="255"/>
      <c r="AB69" s="423">
        <f>+IF(AB68&gt;$I$13+$I$14,XX,AB68+1)</f>
        <v>2049</v>
      </c>
      <c r="AC69" s="124"/>
      <c r="AD69" s="159">
        <f t="shared" si="5"/>
        <v>159579.17121729517</v>
      </c>
      <c r="AE69" s="3"/>
      <c r="AF69" s="162">
        <f>AF51*(1+$E69)</f>
        <v>128.37441831654374</v>
      </c>
      <c r="AG69" s="3"/>
      <c r="AH69" s="162">
        <f>AH51*(1+$E69)</f>
        <v>26.237788847233777</v>
      </c>
      <c r="AI69" s="3"/>
      <c r="AJ69" s="162">
        <f>AJ51*(1+$E69)</f>
        <v>3.0180718189666789</v>
      </c>
      <c r="AK69" s="3"/>
      <c r="AL69" s="161">
        <f t="shared" si="20"/>
        <v>7658.4081086854058</v>
      </c>
      <c r="AM69" s="3"/>
      <c r="AN69" s="162">
        <f>INDEX('(2.2)_Forward_Price_Curve'!$H:$H,MATCH($AB69,'(2.2)_Forward_Price_Curve'!$C:$C,0),1)</f>
        <v>8.9067886982137843</v>
      </c>
      <c r="AO69" s="3"/>
      <c r="AP69" s="162">
        <f t="shared" si="23"/>
        <v>57.902132139188545</v>
      </c>
      <c r="AQ69" s="3"/>
      <c r="AR69" s="162">
        <f>AR51*(1+$E69)</f>
        <v>3.9097019202638559</v>
      </c>
      <c r="AS69" s="162"/>
      <c r="AT69" s="161">
        <f t="shared" si="1"/>
        <v>4049.2249371280282</v>
      </c>
      <c r="AU69" s="3"/>
      <c r="AV69" s="161">
        <f t="shared" si="2"/>
        <v>9863.8812506283921</v>
      </c>
      <c r="AW69" s="299"/>
      <c r="AX69" s="163">
        <f t="shared" si="8"/>
        <v>13913.106187756421</v>
      </c>
      <c r="AZ69" s="423">
        <f>+IF(AZ68&gt;$I$13+$I$14,XX,AZ68+1)</f>
        <v>2049</v>
      </c>
      <c r="BA69" s="124"/>
      <c r="BB69" s="162">
        <f>BB51*(1+$E69)</f>
        <v>80.115681926139501</v>
      </c>
      <c r="BC69" s="3"/>
      <c r="BD69" s="162">
        <f>BD51*(1+$E69)</f>
        <v>22.052267202300797</v>
      </c>
      <c r="BE69" s="3"/>
      <c r="BF69" s="161">
        <f t="shared" si="21"/>
        <v>3609.1831715573776</v>
      </c>
      <c r="BG69" s="3"/>
      <c r="BH69" s="165"/>
    </row>
    <row r="70" spans="2:60">
      <c r="B70" s="2"/>
      <c r="C70" s="3"/>
      <c r="D70" s="3"/>
      <c r="E70" s="178"/>
      <c r="F70" s="3"/>
      <c r="G70" s="290"/>
      <c r="H70" s="3"/>
      <c r="I70" s="290"/>
      <c r="J70" s="3"/>
      <c r="K70" s="290"/>
      <c r="L70" s="3"/>
      <c r="M70" s="290"/>
      <c r="N70" s="3"/>
      <c r="O70" s="290"/>
      <c r="P70" s="3"/>
      <c r="Q70" s="290"/>
      <c r="R70" s="3"/>
      <c r="S70" s="290"/>
      <c r="T70" s="3"/>
      <c r="U70" s="290"/>
      <c r="V70" s="3"/>
      <c r="W70" s="290"/>
      <c r="X70" s="3"/>
      <c r="Y70" s="300"/>
      <c r="Z70" s="255"/>
      <c r="AB70" s="2"/>
      <c r="AC70" s="3"/>
      <c r="AD70" s="3"/>
      <c r="AE70" s="3"/>
      <c r="AF70" s="301"/>
      <c r="AG70" s="3"/>
      <c r="AH70" s="301"/>
      <c r="AI70" s="3"/>
      <c r="AJ70" s="301"/>
      <c r="AK70" s="3"/>
      <c r="AL70" s="299"/>
      <c r="AM70" s="3"/>
      <c r="AN70" s="301"/>
      <c r="AO70" s="3"/>
      <c r="AP70" s="301"/>
      <c r="AQ70" s="3"/>
      <c r="AR70" s="301"/>
      <c r="AS70" s="301"/>
      <c r="AT70" s="301"/>
      <c r="AU70" s="3"/>
      <c r="AV70" s="299"/>
      <c r="AW70" s="299"/>
      <c r="AX70" s="302"/>
      <c r="AZ70" s="2"/>
      <c r="BA70" s="3"/>
      <c r="BB70" s="301"/>
      <c r="BC70" s="3"/>
      <c r="BD70" s="3"/>
      <c r="BE70" s="3"/>
      <c r="BF70" s="299"/>
      <c r="BG70" s="3"/>
      <c r="BH70" s="255"/>
    </row>
    <row r="71" spans="2:60" ht="12">
      <c r="B71" s="2"/>
      <c r="C71" s="303" t="str">
        <f>K14&amp;"-year Nominal Levelized at "&amp;TEXT($I$18,"#.00%")</f>
        <v>42-year Nominal Levelized at 6.92%</v>
      </c>
      <c r="E71" s="178"/>
      <c r="F71" s="3"/>
      <c r="G71" s="407">
        <f>+-PMT($I$18,$K$14,NPV($I$18,G28:G69))</f>
        <v>272164.26617445686</v>
      </c>
      <c r="H71" s="6"/>
      <c r="I71" s="30">
        <f>+-PMT($I$18,$K$14,NPV($I$18,I28:I69))</f>
        <v>231.45773135684382</v>
      </c>
      <c r="J71" s="30"/>
      <c r="K71" s="30">
        <f>+-PMT($I$18,$K$14,NPV($I$18,K28:K69))</f>
        <v>10.615632488407092</v>
      </c>
      <c r="L71" s="6"/>
      <c r="M71" s="30">
        <f>+-PMT($I$18,$K$14,NPV($I$18,M28:M69))</f>
        <v>7.015275149823867</v>
      </c>
      <c r="N71" s="6"/>
      <c r="O71" s="30">
        <f>+-PMT($I$18,$K$14,NPV($I$18,O28:O69))</f>
        <v>3.4625718376658345</v>
      </c>
      <c r="P71" s="6"/>
      <c r="Q71" s="30">
        <f>+-PMT($I$18,$K$14,NPV($I$18,Q28:Q69))</f>
        <v>-26.408312167259535</v>
      </c>
      <c r="R71" s="6"/>
      <c r="S71" s="317">
        <f>+-PMT($I$18,$K$14,NPV($I$18,S28:S69))</f>
        <v>20279.851149041704</v>
      </c>
      <c r="T71" s="6"/>
      <c r="U71" s="317">
        <f>+-PMT($I$18,$K$14,NPV($I$18,U28:U69))</f>
        <v>15628.68978043069</v>
      </c>
      <c r="V71" s="3"/>
      <c r="W71" s="317">
        <f>+-PMT($I$18,$K$14,NPV($I$18,W28:W69))</f>
        <v>4651.1613686110186</v>
      </c>
      <c r="X71" s="3"/>
      <c r="Y71" s="296">
        <f>+W71/G71*1000</f>
        <v>17.08953726360841</v>
      </c>
      <c r="Z71" s="255"/>
      <c r="AB71" s="2"/>
      <c r="AC71" s="3"/>
      <c r="AD71" s="459">
        <f>+-PMT($I$18,$K$14,NPV($I$18,AD28:AD69))</f>
        <v>272164.26617445686</v>
      </c>
      <c r="AE71" s="3"/>
      <c r="AF71" s="162">
        <f>+-PMT($I$18,$K$14,NPV($I$18,AF28:AF69))</f>
        <v>88.487298292951508</v>
      </c>
      <c r="AG71" s="3"/>
      <c r="AH71" s="162">
        <f>+-PMT($I$18,$K$14,NPV($I$18,AH28:AH69))</f>
        <v>15.868604670362874</v>
      </c>
      <c r="AI71" s="3"/>
      <c r="AJ71" s="162">
        <f>+-PMT($I$18,$K$14,NPV($I$18,AJ28:AJ69))</f>
        <v>2.6440263314118808</v>
      </c>
      <c r="AK71" s="3"/>
      <c r="AL71" s="162">
        <f>+-PMT($I$18,$K$14,NPV($I$18,AL28:AL69))</f>
        <v>6211.119059026385</v>
      </c>
      <c r="AM71" s="3"/>
      <c r="AN71" s="162">
        <f>+-PMT($I$18,$K$14,NPV($I$18,AN28:AN69))</f>
        <v>6.1393156867571417</v>
      </c>
      <c r="AO71" s="3"/>
      <c r="AP71" s="162">
        <f>+-PMT($I$18,$K$14,NPV($I$18,AP28:AP69))</f>
        <v>43.109001667294294</v>
      </c>
      <c r="AQ71" s="3"/>
      <c r="AR71" s="162">
        <f>+-PMT($I$18,$K$14,NPV($I$18,AR28:AR69))</f>
        <v>3.0644329931777485</v>
      </c>
      <c r="AS71" s="162"/>
      <c r="AT71" s="162">
        <f>+-PMT($I$18,$K$14,NPV($I$18,AT28:AT69))</f>
        <v>3126.0648819911435</v>
      </c>
      <c r="AU71" s="3"/>
      <c r="AV71" s="162">
        <f>+-PMT($I$18,$K$14,NPV($I$18,AV28:AV69))</f>
        <v>12502.624898439542</v>
      </c>
      <c r="AW71" s="299"/>
      <c r="AX71" s="162">
        <f>+-PMT($I$18,$K$14,NPV($I$18,AX28:AX69))</f>
        <v>15628.68978043069</v>
      </c>
      <c r="AZ71" s="2"/>
      <c r="BA71" s="3"/>
      <c r="BB71" s="162">
        <f>+-PMT($I$18,$K$14,NPV($I$18,BB28:BB69))</f>
        <v>56.962373830349591</v>
      </c>
      <c r="BC71" s="3"/>
      <c r="BD71" s="162">
        <f>+-PMT($I$18,$K$14,NPV($I$18,BD28:BD69))</f>
        <v>12.776230783330261</v>
      </c>
      <c r="BE71" s="3"/>
      <c r="BF71" s="162">
        <f>+-PMT($I$18,$K$14,NPV($I$18,BF28:BF69))</f>
        <v>3085.0541770352374</v>
      </c>
      <c r="BG71" s="3"/>
      <c r="BH71" s="165"/>
    </row>
    <row r="72" spans="2:60">
      <c r="B72" s="2"/>
      <c r="C72" s="3"/>
      <c r="D72" s="3"/>
      <c r="E72" s="178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04"/>
      <c r="X72" s="3"/>
      <c r="Y72" s="305"/>
      <c r="Z72" s="255"/>
      <c r="AB72" s="2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255"/>
      <c r="AZ72" s="2"/>
      <c r="BA72" s="3"/>
      <c r="BB72" s="3"/>
      <c r="BC72" s="3"/>
      <c r="BD72" s="3"/>
      <c r="BE72" s="3"/>
      <c r="BF72" s="3"/>
      <c r="BG72" s="3"/>
      <c r="BH72" s="255"/>
    </row>
    <row r="73" spans="2:60">
      <c r="B73" s="258"/>
      <c r="C73" s="306"/>
      <c r="D73" s="306"/>
      <c r="E73" s="307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259"/>
      <c r="AB73" s="258"/>
      <c r="AC73" s="306"/>
      <c r="AD73" s="306"/>
      <c r="AE73" s="306"/>
      <c r="AF73" s="306"/>
      <c r="AG73" s="306"/>
      <c r="AH73" s="306"/>
      <c r="AI73" s="306"/>
      <c r="AJ73" s="306"/>
      <c r="AK73" s="306"/>
      <c r="AL73" s="306"/>
      <c r="AM73" s="306"/>
      <c r="AN73" s="306"/>
      <c r="AO73" s="306"/>
      <c r="AP73" s="306"/>
      <c r="AQ73" s="306"/>
      <c r="AR73" s="306"/>
      <c r="AS73" s="306"/>
      <c r="AT73" s="306"/>
      <c r="AU73" s="306"/>
      <c r="AV73" s="306"/>
      <c r="AW73" s="306"/>
      <c r="AX73" s="259"/>
      <c r="AZ73" s="258"/>
      <c r="BA73" s="306"/>
      <c r="BB73" s="306"/>
      <c r="BC73" s="306"/>
      <c r="BD73" s="306"/>
      <c r="BE73" s="306"/>
      <c r="BF73" s="306"/>
      <c r="BG73" s="306"/>
      <c r="BH73" s="259"/>
    </row>
    <row r="74" spans="2:60">
      <c r="E74" s="308"/>
    </row>
    <row r="75" spans="2:60">
      <c r="E75" s="308"/>
      <c r="G75" s="309"/>
      <c r="I75" s="309"/>
      <c r="K75" s="309"/>
      <c r="O75" s="309"/>
      <c r="Q75" s="309"/>
      <c r="S75" s="309"/>
      <c r="U75" s="309"/>
      <c r="W75" s="309"/>
    </row>
    <row r="76" spans="2:60">
      <c r="E76" s="308"/>
    </row>
    <row r="77" spans="2:60">
      <c r="E77" s="308"/>
    </row>
    <row r="78" spans="2:60">
      <c r="E78" s="308"/>
    </row>
    <row r="79" spans="2:60">
      <c r="E79" s="308"/>
    </row>
    <row r="80" spans="2:60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  <row r="88" spans="5:5">
      <c r="E88" s="308"/>
    </row>
    <row r="89" spans="5:5">
      <c r="E89" s="308"/>
    </row>
    <row r="90" spans="5:5">
      <c r="E90" s="308"/>
    </row>
    <row r="91" spans="5:5">
      <c r="E91" s="308"/>
    </row>
    <row r="92" spans="5:5">
      <c r="E92" s="308"/>
    </row>
    <row r="93" spans="5:5">
      <c r="E93" s="308"/>
    </row>
    <row r="94" spans="5:5">
      <c r="E94" s="308"/>
    </row>
    <row r="95" spans="5:5">
      <c r="E95" s="308"/>
    </row>
    <row r="96" spans="5:5">
      <c r="E96" s="308"/>
    </row>
    <row r="97" spans="5:5">
      <c r="E97" s="308"/>
    </row>
  </sheetData>
  <pageMargins left="0.25" right="0.25" top="0.25" bottom="0.75" header="0.3" footer="0.3"/>
  <pageSetup paperSize="5" scale="4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967E4-076D-4694-B40D-D8011593B5D8}">
  <sheetPr codeName="Sheet38">
    <tabColor theme="4" tint="0.59999389629810485"/>
    <pageSetUpPr fitToPage="1"/>
  </sheetPr>
  <dimension ref="A1:BL81"/>
  <sheetViews>
    <sheetView topLeftCell="P61" workbookViewId="0">
      <selection activeCell="G17" sqref="G17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255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99</v>
      </c>
      <c r="H11" s="510"/>
      <c r="I11" s="621">
        <v>99</v>
      </c>
      <c r="AB11" s="511" t="s">
        <v>99</v>
      </c>
      <c r="AC11" s="512"/>
      <c r="AD11" s="512"/>
      <c r="AE11" s="512"/>
      <c r="AF11" s="518">
        <f>+G11*(G12/AJ16)</f>
        <v>74.758446896876848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53.687641496050453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74.758446896876848</v>
      </c>
      <c r="BE11" s="519"/>
      <c r="BG11" s="586" t="s">
        <v>99</v>
      </c>
      <c r="BH11" s="587"/>
      <c r="BI11" s="587"/>
      <c r="BJ11" s="587"/>
      <c r="BK11" s="591">
        <f>(AR11*AR13-I11*I19)</f>
        <v>38.04564149605045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0.36768341143012434</v>
      </c>
      <c r="H12" s="510"/>
      <c r="I12" s="593">
        <v>0.38115824990285679</v>
      </c>
      <c r="AB12" s="511" t="s">
        <v>32</v>
      </c>
      <c r="AC12" s="512"/>
      <c r="AD12" s="512"/>
      <c r="AE12" s="512"/>
      <c r="AF12" s="520">
        <f>+AD53/8760/AF11</f>
        <v>0.56232387536888873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0.71607937983337722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188.95564207714702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7.5536675262871498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321919</v>
      </c>
      <c r="I28" s="550">
        <f>$G$15</f>
        <v>188.95564207714702</v>
      </c>
      <c r="J28" s="550"/>
      <c r="K28" s="550">
        <f>$G$16</f>
        <v>7.5536675262871498</v>
      </c>
      <c r="L28" s="551"/>
      <c r="M28" s="550">
        <f>$G$17</f>
        <v>0</v>
      </c>
      <c r="O28" s="552">
        <v>5.1866999999999992</v>
      </c>
      <c r="Q28" s="553">
        <f>-'(2.2)_Forward_Price_Curve'!AG18</f>
        <v>-33.844219890731516</v>
      </c>
      <c r="S28" s="475">
        <f t="shared" ref="S28:S34" si="0">(I28*$G$11*1000+(K28+M28+O28+Q28)*G28)/1000</f>
        <v>11912.877516327988</v>
      </c>
      <c r="U28" s="475">
        <f t="shared" ref="U28:U34" si="1">AX28</f>
        <v>21284.212812174625</v>
      </c>
      <c r="W28" s="475">
        <f t="shared" ref="W28:W34" si="2">S28-U28</f>
        <v>-9371.3352958466367</v>
      </c>
      <c r="Y28" s="554">
        <f t="shared" ref="Y28:Y34" si="3">+W28*1000/G28</f>
        <v>-29.110848678849763</v>
      </c>
      <c r="Z28" s="516"/>
      <c r="AB28" s="544">
        <f>$C$28</f>
        <v>2009</v>
      </c>
      <c r="AC28" s="503"/>
      <c r="AD28" s="488">
        <f t="shared" ref="AD28:AD68" si="4">G28</f>
        <v>321919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5703.2871273190804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2327.8888460651929</v>
      </c>
      <c r="AU28" s="557"/>
      <c r="AV28" s="558">
        <f t="shared" ref="AV28:AV68" si="7">(AP28+AR28)*AD28/1000</f>
        <v>18956.32396610943</v>
      </c>
      <c r="AW28" s="560"/>
      <c r="AX28" s="561">
        <f t="shared" ref="AX28:AX68" si="8">AT28+AV28</f>
        <v>21284.212812174625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3375.3982812538875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309371</v>
      </c>
      <c r="I29" s="553">
        <f t="shared" ref="I29:I37" si="10">I28*(1+$E29)</f>
        <v>192.5457992766128</v>
      </c>
      <c r="K29" s="553">
        <f t="shared" ref="K29:K37" si="11">K28*(1+$E29)</f>
        <v>7.6971872092866045</v>
      </c>
      <c r="M29" s="553">
        <f t="shared" ref="M29:M37" si="12">M28*(1+$E29)</f>
        <v>0</v>
      </c>
      <c r="O29" s="552">
        <v>5.2748738999999985</v>
      </c>
      <c r="Q29" s="553">
        <f>-'(2.2)_Forward_Price_Curve'!AG19</f>
        <v>-35.45584940933778</v>
      </c>
      <c r="S29" s="475">
        <f t="shared" si="0"/>
        <v>12106.202058209536</v>
      </c>
      <c r="U29" s="475">
        <f t="shared" si="1"/>
        <v>19903.368790757748</v>
      </c>
      <c r="W29" s="475">
        <f t="shared" si="2"/>
        <v>-7797.1667325482122</v>
      </c>
      <c r="Y29" s="554">
        <f t="shared" si="3"/>
        <v>-25.203289036620152</v>
      </c>
      <c r="Z29" s="516"/>
      <c r="AB29" s="544">
        <f>+IF(AB28&gt;$G$13+$G$14,XX,AB28+1)</f>
        <v>2010</v>
      </c>
      <c r="AC29" s="503"/>
      <c r="AD29" s="488">
        <f t="shared" si="4"/>
        <v>309371</v>
      </c>
      <c r="AF29" s="555">
        <f t="shared" ref="AF29:AF37" si="13">AF28*(1+$E29)</f>
        <v>59.268516989789418</v>
      </c>
      <c r="AH29" s="555">
        <f t="shared" ref="AH29:AH37" si="14">AH28*(1+$E29)</f>
        <v>8.3559056765968087</v>
      </c>
      <c r="AJ29" s="555">
        <f t="shared" ref="AJ29:AJ37" si="15">AJ28*(1+$E29)</f>
        <v>2.3488914040524227</v>
      </c>
      <c r="AL29" s="558">
        <f t="shared" ref="AL29:AL66" si="16">((AF29+AH29)*$AF$11*1000+AJ29*AD29)/1000</f>
        <v>5782.1756934000914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2342.6448448023807</v>
      </c>
      <c r="AV29" s="558">
        <f t="shared" si="7"/>
        <v>17560.723945955368</v>
      </c>
      <c r="AW29" s="560"/>
      <c r="AX29" s="561">
        <f t="shared" si="8"/>
        <v>19903.368790757748</v>
      </c>
      <c r="AZ29" s="544">
        <f>+IF(AZ28&gt;$G$13+$G$14,XX,AZ28+1)</f>
        <v>2010</v>
      </c>
      <c r="BA29" s="503"/>
      <c r="BB29" s="555">
        <f t="shared" ref="BB29:BB68" si="17">BB28*(1+$E29)</f>
        <v>39.936516017693386</v>
      </c>
      <c r="BD29" s="555">
        <f t="shared" ref="BD29:BD68" si="18">BD28*(1+$E29)</f>
        <v>6.0720755377499982</v>
      </c>
      <c r="BF29" s="558">
        <f t="shared" si="9"/>
        <v>3439.5308485977107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309371</v>
      </c>
      <c r="I30" s="553">
        <f t="shared" si="10"/>
        <v>196.20416946286844</v>
      </c>
      <c r="K30" s="553">
        <f t="shared" si="11"/>
        <v>7.8434337662630496</v>
      </c>
      <c r="M30" s="553">
        <f t="shared" si="12"/>
        <v>0</v>
      </c>
      <c r="O30" s="552">
        <v>5.3750965040999983</v>
      </c>
      <c r="Q30" s="553">
        <f>-'(2.2)_Forward_Price_Curve'!AG20</f>
        <v>-35.45584940933778</v>
      </c>
      <c r="S30" s="475">
        <f t="shared" si="0"/>
        <v>12544.631117480221</v>
      </c>
      <c r="U30" s="475">
        <f t="shared" si="1"/>
        <v>19073.572680971589</v>
      </c>
      <c r="W30" s="475">
        <f t="shared" si="2"/>
        <v>-6528.9415634913676</v>
      </c>
      <c r="Y30" s="554">
        <f t="shared" si="3"/>
        <v>-21.103922356948026</v>
      </c>
      <c r="Z30" s="516"/>
      <c r="AB30" s="544">
        <f>+IF(AB29&gt;$G$13+$G$14,XX,AB29+1)</f>
        <v>2011</v>
      </c>
      <c r="AC30" s="503"/>
      <c r="AD30" s="488">
        <f t="shared" si="4"/>
        <v>309371</v>
      </c>
      <c r="AF30" s="555">
        <f t="shared" si="13"/>
        <v>60.394618812595411</v>
      </c>
      <c r="AH30" s="555">
        <f t="shared" si="14"/>
        <v>8.5146678844521482</v>
      </c>
      <c r="AJ30" s="555">
        <f t="shared" si="15"/>
        <v>2.3935203407294185</v>
      </c>
      <c r="AL30" s="558">
        <f t="shared" si="16"/>
        <v>5892.0370315746932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41" si="19">AR29*(1+$E30)</f>
        <v>2.4775859496653472</v>
      </c>
      <c r="AS30" s="555"/>
      <c r="AT30" s="558">
        <f t="shared" si="6"/>
        <v>2387.1550968536262</v>
      </c>
      <c r="AV30" s="558">
        <f t="shared" si="7"/>
        <v>16686.417584117964</v>
      </c>
      <c r="AW30" s="560"/>
      <c r="AX30" s="561">
        <f t="shared" si="8"/>
        <v>19073.572680971589</v>
      </c>
      <c r="AZ30" s="544">
        <f>+IF(AZ29&gt;$G$13+$G$14,XX,AZ29+1)</f>
        <v>2011</v>
      </c>
      <c r="BA30" s="503"/>
      <c r="BB30" s="555">
        <f t="shared" si="17"/>
        <v>40.695309822029557</v>
      </c>
      <c r="BD30" s="555">
        <f t="shared" si="18"/>
        <v>6.1874449729672474</v>
      </c>
      <c r="BF30" s="558">
        <f t="shared" si="9"/>
        <v>3504.881934721067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310334</v>
      </c>
      <c r="I31" s="553">
        <f t="shared" si="10"/>
        <v>200.1282528521258</v>
      </c>
      <c r="K31" s="553">
        <f t="shared" si="11"/>
        <v>8.0003024415883104</v>
      </c>
      <c r="M31" s="553">
        <f t="shared" si="12"/>
        <v>0</v>
      </c>
      <c r="O31" s="552">
        <v>5.4772233376778976</v>
      </c>
      <c r="Q31" s="553">
        <f>-'(2.2)_Forward_Price_Curve'!AG21</f>
        <v>-35.45584940933778</v>
      </c>
      <c r="S31" s="475">
        <f t="shared" si="0"/>
        <v>12992.075946945823</v>
      </c>
      <c r="U31" s="475">
        <f t="shared" si="1"/>
        <v>18334.861575521707</v>
      </c>
      <c r="W31" s="475">
        <f t="shared" si="2"/>
        <v>-5342.7856285758844</v>
      </c>
      <c r="Y31" s="554">
        <f t="shared" si="3"/>
        <v>-17.216243236564104</v>
      </c>
      <c r="Z31" s="516"/>
      <c r="AB31" s="544">
        <f>+IF(AB30&gt;$G$13+$G$14,XX,AB30+1)</f>
        <v>2012</v>
      </c>
      <c r="AC31" s="503"/>
      <c r="AD31" s="488">
        <f t="shared" si="4"/>
        <v>310334</v>
      </c>
      <c r="AF31" s="555">
        <f t="shared" si="13"/>
        <v>61.602511188847323</v>
      </c>
      <c r="AH31" s="555">
        <f t="shared" si="14"/>
        <v>8.6849612421411919</v>
      </c>
      <c r="AJ31" s="555">
        <f t="shared" si="15"/>
        <v>2.4413907475440069</v>
      </c>
      <c r="AL31" s="558">
        <f t="shared" si="16"/>
        <v>6012.2288314960733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9"/>
        <v>2.527137668658654</v>
      </c>
      <c r="AS31" s="555"/>
      <c r="AT31" s="558">
        <f t="shared" si="6"/>
        <v>2437.2492580805852</v>
      </c>
      <c r="AV31" s="558">
        <f t="shared" si="7"/>
        <v>15897.612317441122</v>
      </c>
      <c r="AW31" s="560"/>
      <c r="AX31" s="561">
        <f t="shared" si="8"/>
        <v>18334.861575521707</v>
      </c>
      <c r="AZ31" s="544">
        <f>+IF(AZ30&gt;$G$13+$G$14,XX,AZ30+1)</f>
        <v>2012</v>
      </c>
      <c r="BA31" s="503"/>
      <c r="BB31" s="555">
        <f t="shared" si="17"/>
        <v>41.509216018470148</v>
      </c>
      <c r="BD31" s="555">
        <f t="shared" si="18"/>
        <v>6.3111938724265926</v>
      </c>
      <c r="BF31" s="558">
        <f t="shared" si="9"/>
        <v>3574.9795734154882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309371</v>
      </c>
      <c r="I32" s="553">
        <f t="shared" si="10"/>
        <v>203.93068965631616</v>
      </c>
      <c r="K32" s="553">
        <f t="shared" si="11"/>
        <v>8.1523081879784876</v>
      </c>
      <c r="M32" s="553">
        <f t="shared" si="12"/>
        <v>0</v>
      </c>
      <c r="O32" s="552">
        <v>5.5867678044314557</v>
      </c>
      <c r="Q32" s="553">
        <f>-'(2.2)_Forward_Price_Curve'!AG22</f>
        <v>-37.067478927944045</v>
      </c>
      <c r="S32" s="475">
        <f t="shared" si="0"/>
        <v>12972.006931406178</v>
      </c>
      <c r="U32" s="475">
        <f t="shared" si="1"/>
        <v>18337.608665465359</v>
      </c>
      <c r="W32" s="475">
        <f t="shared" si="2"/>
        <v>-5365.6017340591807</v>
      </c>
      <c r="Y32" s="554">
        <f t="shared" si="3"/>
        <v>-17.343583380663286</v>
      </c>
      <c r="Z32" s="516"/>
      <c r="AB32" s="544">
        <f>+IF(AB31&gt;$G$13+$G$14,XX,AB31+1)</f>
        <v>2013</v>
      </c>
      <c r="AC32" s="503"/>
      <c r="AD32" s="488">
        <f t="shared" si="4"/>
        <v>309371</v>
      </c>
      <c r="AF32" s="555">
        <f t="shared" si="13"/>
        <v>62.772958901435416</v>
      </c>
      <c r="AH32" s="555">
        <f t="shared" si="14"/>
        <v>8.8499755057418739</v>
      </c>
      <c r="AJ32" s="555">
        <f t="shared" si="15"/>
        <v>2.4877771717473429</v>
      </c>
      <c r="AL32" s="558">
        <f t="shared" si="16"/>
        <v>6124.065449878105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9"/>
        <v>2.5751532843631684</v>
      </c>
      <c r="AS32" s="555"/>
      <c r="AT32" s="558">
        <f t="shared" si="6"/>
        <v>2481.1612645677228</v>
      </c>
      <c r="AV32" s="558">
        <f t="shared" si="7"/>
        <v>15856.447400897638</v>
      </c>
      <c r="AW32" s="560"/>
      <c r="AX32" s="561">
        <f t="shared" si="8"/>
        <v>18337.608665465359</v>
      </c>
      <c r="AZ32" s="544">
        <f>+IF(AZ31&gt;$G$13+$G$14,XX,AZ31+1)</f>
        <v>2013</v>
      </c>
      <c r="BA32" s="503"/>
      <c r="BB32" s="555">
        <f t="shared" si="17"/>
        <v>42.297891122821078</v>
      </c>
      <c r="BD32" s="555">
        <f t="shared" si="18"/>
        <v>6.431106556002697</v>
      </c>
      <c r="BF32" s="558">
        <f t="shared" si="9"/>
        <v>3642.9041853103822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309371</v>
      </c>
      <c r="I33" s="553">
        <f t="shared" si="10"/>
        <v>207.60144207012985</v>
      </c>
      <c r="K33" s="553">
        <f t="shared" si="11"/>
        <v>8.2990497353621002</v>
      </c>
      <c r="M33" s="553">
        <f t="shared" si="12"/>
        <v>0</v>
      </c>
      <c r="O33" s="552">
        <v>5.6929163927156532</v>
      </c>
      <c r="Q33" s="553">
        <f>-'(2.2)_Forward_Price_Curve'!AG23</f>
        <v>-37.067478927944045</v>
      </c>
      <c r="S33" s="475">
        <f t="shared" si="0"/>
        <v>13413.648294535424</v>
      </c>
      <c r="U33" s="475">
        <f t="shared" si="1"/>
        <v>18878.814318209592</v>
      </c>
      <c r="W33" s="475">
        <f t="shared" si="2"/>
        <v>-5465.1660236741682</v>
      </c>
      <c r="Y33" s="554">
        <f t="shared" si="3"/>
        <v>-17.665411508105699</v>
      </c>
      <c r="Z33" s="516"/>
      <c r="AB33" s="544">
        <f>+IF(AB32&gt;$G$13+$G$14,XX,AB32+1)</f>
        <v>2014</v>
      </c>
      <c r="AC33" s="503"/>
      <c r="AD33" s="488">
        <f t="shared" si="4"/>
        <v>309371</v>
      </c>
      <c r="AF33" s="555">
        <f t="shared" si="13"/>
        <v>63.902872161661257</v>
      </c>
      <c r="AH33" s="555">
        <f t="shared" si="14"/>
        <v>9.0092750648452284</v>
      </c>
      <c r="AJ33" s="555">
        <f t="shared" si="15"/>
        <v>2.5325571608387953</v>
      </c>
      <c r="AL33" s="558">
        <f t="shared" si="16"/>
        <v>6234.2986279759098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9"/>
        <v>2.6215060434817055</v>
      </c>
      <c r="AS33" s="555"/>
      <c r="AT33" s="558">
        <f t="shared" si="6"/>
        <v>2525.8221673299404</v>
      </c>
      <c r="AV33" s="558">
        <f t="shared" si="7"/>
        <v>16352.992150879651</v>
      </c>
      <c r="AW33" s="560"/>
      <c r="AX33" s="561">
        <f t="shared" si="8"/>
        <v>18878.814318209592</v>
      </c>
      <c r="AZ33" s="544">
        <f>+IF(AZ32&gt;$G$13+$G$14,XX,AZ32+1)</f>
        <v>2014</v>
      </c>
      <c r="BA33" s="503"/>
      <c r="BB33" s="555">
        <f t="shared" si="17"/>
        <v>43.059253163031855</v>
      </c>
      <c r="BD33" s="555">
        <f t="shared" si="18"/>
        <v>6.5468664740107458</v>
      </c>
      <c r="BF33" s="558">
        <f t="shared" si="9"/>
        <v>3708.4764606459694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309371</v>
      </c>
      <c r="I34" s="553">
        <f t="shared" si="10"/>
        <v>211.33826802739219</v>
      </c>
      <c r="K34" s="553">
        <f t="shared" si="11"/>
        <v>8.448432630598619</v>
      </c>
      <c r="M34" s="553">
        <f t="shared" si="12"/>
        <v>0</v>
      </c>
      <c r="O34" s="552">
        <v>5.7953888877845348</v>
      </c>
      <c r="Q34" s="553">
        <f>-'(2.2)_Forward_Price_Curve'!AG24</f>
        <v>-37.067478927944045</v>
      </c>
      <c r="S34" s="475">
        <f t="shared" si="0"/>
        <v>13861.510818258565</v>
      </c>
      <c r="U34" s="475">
        <f t="shared" si="1"/>
        <v>19843.41428144959</v>
      </c>
      <c r="W34" s="475">
        <f t="shared" si="2"/>
        <v>-5981.9034631910254</v>
      </c>
      <c r="Y34" s="554">
        <f t="shared" si="3"/>
        <v>-19.335695534458708</v>
      </c>
      <c r="Z34" s="516"/>
      <c r="AB34" s="544">
        <f>+IF(AB33&gt;$G$13+$G$14,XX,AB33+1)</f>
        <v>2015</v>
      </c>
      <c r="AC34" s="503"/>
      <c r="AD34" s="488">
        <f t="shared" si="4"/>
        <v>309371</v>
      </c>
      <c r="AF34" s="555">
        <f t="shared" si="13"/>
        <v>65.053123860571162</v>
      </c>
      <c r="AH34" s="555">
        <f t="shared" si="14"/>
        <v>9.1714420160124419</v>
      </c>
      <c r="AJ34" s="555">
        <f t="shared" si="15"/>
        <v>2.5781431897338938</v>
      </c>
      <c r="AL34" s="558">
        <f t="shared" si="16"/>
        <v>6346.5160032794765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9"/>
        <v>2.6686931522643764</v>
      </c>
      <c r="AS34" s="555"/>
      <c r="AT34" s="558">
        <f t="shared" si="6"/>
        <v>2571.2869663418801</v>
      </c>
      <c r="AV34" s="558">
        <f t="shared" si="7"/>
        <v>17272.127315107711</v>
      </c>
      <c r="AW34" s="560"/>
      <c r="AX34" s="561">
        <f t="shared" si="8"/>
        <v>19843.41428144959</v>
      </c>
      <c r="AZ34" s="544">
        <f>+IF(AZ33&gt;$G$13+$G$14,XX,AZ33+1)</f>
        <v>2015</v>
      </c>
      <c r="BA34" s="503"/>
      <c r="BB34" s="555">
        <f t="shared" si="17"/>
        <v>43.83431971996643</v>
      </c>
      <c r="BD34" s="555">
        <f t="shared" si="18"/>
        <v>6.664710070542939</v>
      </c>
      <c r="BF34" s="558">
        <f t="shared" si="9"/>
        <v>3775.2290369375964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310218.59178082197</v>
      </c>
      <c r="I35" s="553">
        <f t="shared" si="10"/>
        <v>215.14235685188524</v>
      </c>
      <c r="K35" s="553">
        <f t="shared" si="11"/>
        <v>8.600504417949395</v>
      </c>
      <c r="M35" s="553">
        <f t="shared" si="12"/>
        <v>0</v>
      </c>
      <c r="O35" s="552">
        <v>5.8997058877646564</v>
      </c>
      <c r="Q35" s="553">
        <f>-'(2.2)_Forward_Price_Curve'!AG25</f>
        <v>-37.067478927944045</v>
      </c>
      <c r="S35" s="475">
        <f t="shared" ref="S35:S68" si="20">(I35*$G$11*1000+(K35+M35+O35+Q35)*G35)/1000</f>
        <v>14298.307036008922</v>
      </c>
      <c r="U35" s="475">
        <f t="shared" ref="U35:U68" si="21">AX35</f>
        <v>21317.355756390109</v>
      </c>
      <c r="W35" s="475">
        <f t="shared" ref="W35:W68" si="22">S35-U35</f>
        <v>-7019.0487203811863</v>
      </c>
      <c r="Y35" s="554">
        <f t="shared" ref="Y35:Y68" si="23">+W35*1000/G35</f>
        <v>-22.626138169501907</v>
      </c>
      <c r="Z35" s="516"/>
      <c r="AB35" s="544">
        <f>+IF(AB34&gt;$G$13+$G$14,XX,AB34+1)</f>
        <v>2016</v>
      </c>
      <c r="AC35" s="503"/>
      <c r="AD35" s="488">
        <f t="shared" si="4"/>
        <v>310218.59178082197</v>
      </c>
      <c r="AF35" s="555">
        <f t="shared" si="13"/>
        <v>66.224080090061449</v>
      </c>
      <c r="AH35" s="555">
        <f t="shared" si="14"/>
        <v>9.3365279723006669</v>
      </c>
      <c r="AJ35" s="555">
        <f t="shared" si="15"/>
        <v>2.6245497671491038</v>
      </c>
      <c r="AL35" s="558">
        <f t="shared" si="16"/>
        <v>6462.9778381495025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9"/>
        <v>2.716729629005135</v>
      </c>
      <c r="AS35" s="555"/>
      <c r="AT35" s="558">
        <f t="shared" si="6"/>
        <v>2619.7946785470294</v>
      </c>
      <c r="AV35" s="558">
        <f t="shared" si="7"/>
        <v>18697.561077843078</v>
      </c>
      <c r="AW35" s="560"/>
      <c r="AX35" s="561">
        <f t="shared" si="8"/>
        <v>21317.355756390109</v>
      </c>
      <c r="AZ35" s="544">
        <f>+IF(AZ34&gt;$G$13+$G$14,XX,AZ34+1)</f>
        <v>2016</v>
      </c>
      <c r="BA35" s="503"/>
      <c r="BB35" s="555">
        <f t="shared" si="17"/>
        <v>44.623337474925826</v>
      </c>
      <c r="BD35" s="555">
        <f t="shared" si="18"/>
        <v>6.7846748518127118</v>
      </c>
      <c r="BF35" s="558">
        <f t="shared" si="9"/>
        <v>3843.1831596024731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309371</v>
      </c>
      <c r="I36" s="553">
        <f t="shared" si="10"/>
        <v>219.01491927521917</v>
      </c>
      <c r="K36" s="553">
        <f t="shared" si="11"/>
        <v>8.7553134974724838</v>
      </c>
      <c r="M36" s="553">
        <f t="shared" si="12"/>
        <v>0</v>
      </c>
      <c r="O36" s="552">
        <v>6.0059005937444203</v>
      </c>
      <c r="Q36" s="553">
        <f>-'(2.2)_Forward_Price_Curve'!AG26</f>
        <v>-38.679108446550309</v>
      </c>
      <c r="S36" s="475">
        <f t="shared" si="20"/>
        <v>14282.974113642846</v>
      </c>
      <c r="U36" s="475">
        <f t="shared" si="21"/>
        <v>22732.510183388105</v>
      </c>
      <c r="W36" s="475">
        <f t="shared" si="22"/>
        <v>-8449.5360697452597</v>
      </c>
      <c r="Y36" s="554">
        <f t="shared" si="23"/>
        <v>-27.311984865243542</v>
      </c>
      <c r="Z36" s="516"/>
      <c r="AB36" s="544">
        <f>+IF(AB35&gt;$G$13+$G$14,XX,AB35+1)</f>
        <v>2017</v>
      </c>
      <c r="AC36" s="503"/>
      <c r="AD36" s="488">
        <f t="shared" si="4"/>
        <v>309371</v>
      </c>
      <c r="AF36" s="555">
        <f t="shared" si="13"/>
        <v>67.416113531682555</v>
      </c>
      <c r="AH36" s="555">
        <f t="shared" si="14"/>
        <v>9.5045854758020791</v>
      </c>
      <c r="AJ36" s="555">
        <f t="shared" si="15"/>
        <v>2.6717916629577876</v>
      </c>
      <c r="AL36" s="558">
        <f t="shared" si="16"/>
        <v>6577.0468505826011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9"/>
        <v>2.7656307623272274</v>
      </c>
      <c r="AS36" s="555"/>
      <c r="AT36" s="558">
        <f t="shared" si="6"/>
        <v>2664.6863941072829</v>
      </c>
      <c r="AV36" s="558">
        <f t="shared" si="7"/>
        <v>20067.823789280821</v>
      </c>
      <c r="AW36" s="560"/>
      <c r="AX36" s="561">
        <f t="shared" si="8"/>
        <v>22732.510183388105</v>
      </c>
      <c r="AZ36" s="544">
        <f>+IF(AZ35&gt;$G$13+$G$14,XX,AZ35+1)</f>
        <v>2017</v>
      </c>
      <c r="BA36" s="503"/>
      <c r="BB36" s="555">
        <f t="shared" si="17"/>
        <v>45.426557549474495</v>
      </c>
      <c r="BD36" s="555">
        <f t="shared" si="18"/>
        <v>6.9067989991453409</v>
      </c>
      <c r="BF36" s="558">
        <f t="shared" si="9"/>
        <v>3912.3604564753182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309371</v>
      </c>
      <c r="I37" s="553">
        <f t="shared" si="10"/>
        <v>222.95718782217313</v>
      </c>
      <c r="K37" s="553">
        <f t="shared" si="11"/>
        <v>8.9129091404269882</v>
      </c>
      <c r="M37" s="553">
        <f t="shared" si="12"/>
        <v>0</v>
      </c>
      <c r="O37" s="552">
        <v>6.1140068044318197</v>
      </c>
      <c r="Q37" s="553">
        <f>-'(2.2)_Forward_Price_Curve'!AG27</f>
        <v>-38.679108446550309</v>
      </c>
      <c r="S37" s="475">
        <f t="shared" si="20"/>
        <v>14755.459147954338</v>
      </c>
      <c r="U37" s="475">
        <f t="shared" si="21"/>
        <v>24055.583650667853</v>
      </c>
      <c r="W37" s="475">
        <f t="shared" si="22"/>
        <v>-9300.1245027135155</v>
      </c>
      <c r="Y37" s="554">
        <f t="shared" si="23"/>
        <v>-30.061397166229273</v>
      </c>
      <c r="Z37" s="516"/>
      <c r="AB37" s="544">
        <f>+IF(AB36&gt;$G$13+$G$14,XX,AB36+1)</f>
        <v>2018</v>
      </c>
      <c r="AC37" s="503"/>
      <c r="AD37" s="488">
        <f t="shared" si="4"/>
        <v>309371</v>
      </c>
      <c r="AF37" s="555">
        <f t="shared" si="13"/>
        <v>68.629603575252844</v>
      </c>
      <c r="AH37" s="555">
        <f t="shared" si="14"/>
        <v>9.6756680143665168</v>
      </c>
      <c r="AJ37" s="555">
        <f t="shared" si="15"/>
        <v>2.7198839128910279</v>
      </c>
      <c r="AL37" s="558">
        <f t="shared" si="16"/>
        <v>6695.4336938930892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9"/>
        <v>2.8154121160491177</v>
      </c>
      <c r="AS37" s="555"/>
      <c r="AT37" s="558">
        <f t="shared" si="6"/>
        <v>2712.6507492012151</v>
      </c>
      <c r="AV37" s="558">
        <f t="shared" si="7"/>
        <v>21342.93290146664</v>
      </c>
      <c r="AW37" s="560"/>
      <c r="AX37" s="561">
        <f t="shared" si="8"/>
        <v>24055.583650667853</v>
      </c>
      <c r="AZ37" s="544">
        <f>+IF(AZ36&gt;$G$13+$G$14,XX,AZ36+1)</f>
        <v>2018</v>
      </c>
      <c r="BA37" s="503"/>
      <c r="BB37" s="555">
        <f t="shared" si="17"/>
        <v>46.24423558536504</v>
      </c>
      <c r="BD37" s="555">
        <f t="shared" si="18"/>
        <v>7.0311213811299575</v>
      </c>
      <c r="BF37" s="558">
        <f t="shared" si="9"/>
        <v>3982.782944691874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307012</v>
      </c>
      <c r="I38" s="725">
        <v>233.64815473251235</v>
      </c>
      <c r="K38" s="613">
        <v>10.777120355497136</v>
      </c>
      <c r="M38" s="553">
        <f t="shared" ref="M38:M68" si="24">M37*(1+$E38)</f>
        <v>0</v>
      </c>
      <c r="O38" s="613">
        <v>6.2240589269115922</v>
      </c>
      <c r="Q38" s="613">
        <v>-23.214576927028542</v>
      </c>
      <c r="S38" s="475">
        <f t="shared" si="20"/>
        <v>21223.579680848707</v>
      </c>
      <c r="U38" s="475">
        <f t="shared" si="21"/>
        <v>27841.613602366018</v>
      </c>
      <c r="W38" s="475">
        <f t="shared" si="22"/>
        <v>-6618.0339215173117</v>
      </c>
      <c r="Y38" s="554">
        <f t="shared" si="23"/>
        <v>-21.556271160467055</v>
      </c>
      <c r="Z38" s="516"/>
      <c r="AB38" s="422">
        <f>+IF(AB37&gt;$G$13+$G$14,XX,AB37+1)</f>
        <v>2019</v>
      </c>
      <c r="AC38" s="503"/>
      <c r="AD38" s="488">
        <f t="shared" si="4"/>
        <v>307012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6"/>
        <v>9492.9281341126243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5438.4550964162963</v>
      </c>
      <c r="AV38" s="558">
        <f t="shared" si="7"/>
        <v>22403.158505949723</v>
      </c>
      <c r="AW38" s="560"/>
      <c r="AX38" s="561">
        <f t="shared" si="8"/>
        <v>27841.613602366018</v>
      </c>
      <c r="AZ38" s="429">
        <f>+IF(AZ37&gt;$G$13+$G$14,XX,AZ37+1)</f>
        <v>2019</v>
      </c>
      <c r="BA38" s="503"/>
      <c r="BB38" s="445">
        <f t="shared" si="17"/>
        <v>47.076631825901615</v>
      </c>
      <c r="BD38" s="445">
        <f t="shared" si="18"/>
        <v>7.1576815659902966</v>
      </c>
      <c r="BF38" s="558">
        <f t="shared" si="9"/>
        <v>4054.473037696328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368255.90588235296</v>
      </c>
      <c r="I39" s="726">
        <v>306.3420991805142</v>
      </c>
      <c r="K39" s="625">
        <v>24.245242249872422</v>
      </c>
      <c r="M39" s="553">
        <f t="shared" si="24"/>
        <v>0</v>
      </c>
      <c r="O39" s="625">
        <v>0.63</v>
      </c>
      <c r="Q39" s="625">
        <v>-33.150783021494966</v>
      </c>
      <c r="S39" s="475">
        <f t="shared" si="20"/>
        <v>27280.3510553507</v>
      </c>
      <c r="U39" s="475">
        <f t="shared" si="21"/>
        <v>13759.008610777077</v>
      </c>
      <c r="W39" s="475">
        <f t="shared" si="22"/>
        <v>13521.342444573624</v>
      </c>
      <c r="Y39" s="554">
        <f t="shared" si="23"/>
        <v>36.717245341051772</v>
      </c>
      <c r="Z39" s="516"/>
      <c r="AB39" s="423">
        <f>+IF(AB38&gt;$I$13+$I$14,XX,AB38+1)</f>
        <v>2020</v>
      </c>
      <c r="AC39" s="503"/>
      <c r="AD39" s="488">
        <f t="shared" si="4"/>
        <v>368255.90588235296</v>
      </c>
      <c r="AF39" s="555">
        <f t="shared" ref="AF39:AF68" si="25">AF38*(1+$E39)</f>
        <v>101.14988775589339</v>
      </c>
      <c r="AH39" s="555">
        <f t="shared" ref="AH39:AH68" si="26">AH38*(1+$E39)</f>
        <v>20.260761973544962</v>
      </c>
      <c r="AJ39" s="555">
        <f t="shared" ref="AJ39:AJ68" si="27">AJ38*(1+$E39)</f>
        <v>2.0676516575367789</v>
      </c>
      <c r="AL39" s="558">
        <f t="shared" si="16"/>
        <v>9837.8965447088867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5690.1706271455432</v>
      </c>
      <c r="AV39" s="558">
        <f t="shared" si="7"/>
        <v>8068.8379836315326</v>
      </c>
      <c r="AW39" s="560"/>
      <c r="AX39" s="561">
        <f t="shared" si="8"/>
        <v>13759.008610777077</v>
      </c>
      <c r="AZ39" s="430">
        <f>+IF(AZ38&gt;$I$13+$I$14,XX,AZ38+1)</f>
        <v>2020</v>
      </c>
      <c r="BA39" s="503"/>
      <c r="BB39" s="555">
        <f t="shared" si="17"/>
        <v>48.159394357897348</v>
      </c>
      <c r="BD39" s="555">
        <f t="shared" si="18"/>
        <v>7.3223082420080727</v>
      </c>
      <c r="BF39" s="558">
        <f t="shared" si="9"/>
        <v>4147.7259175633435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368256.9058823529</v>
      </c>
      <c r="I40" s="726">
        <v>313.76794066935872</v>
      </c>
      <c r="K40" s="625">
        <v>24.759294380634746</v>
      </c>
      <c r="M40" s="553">
        <f t="shared" si="24"/>
        <v>0</v>
      </c>
      <c r="O40" s="625">
        <v>0.6399999999999999</v>
      </c>
      <c r="Q40" s="625">
        <v>-34.476814342354757</v>
      </c>
      <c r="S40" s="475">
        <f t="shared" si="20"/>
        <v>27720.166712078211</v>
      </c>
      <c r="U40" s="475">
        <f t="shared" si="21"/>
        <v>14417.220048447762</v>
      </c>
      <c r="W40" s="475">
        <f t="shared" si="22"/>
        <v>13302.94666363045</v>
      </c>
      <c r="Y40" s="554">
        <f t="shared" si="23"/>
        <v>36.124092857827748</v>
      </c>
      <c r="Z40" s="516"/>
      <c r="AB40" s="423">
        <f>+IF(AB39&gt;$I$13+$I$14,XX,AB39+1)</f>
        <v>2021</v>
      </c>
      <c r="AC40" s="503"/>
      <c r="AD40" s="488">
        <f t="shared" si="4"/>
        <v>368256.9058823529</v>
      </c>
      <c r="AF40" s="555">
        <f t="shared" si="25"/>
        <v>103.77978483754661</v>
      </c>
      <c r="AH40" s="555">
        <f t="shared" si="26"/>
        <v>20.787541784857133</v>
      </c>
      <c r="AJ40" s="555">
        <f t="shared" si="27"/>
        <v>2.1214106006327351</v>
      </c>
      <c r="AL40" s="558">
        <f t="shared" si="16"/>
        <v>10093.683976281918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9"/>
        <v>2.3938982129262119</v>
      </c>
      <c r="AS40" s="555"/>
      <c r="AT40" s="558">
        <f t="shared" si="6"/>
        <v>5838.1171848619269</v>
      </c>
      <c r="AV40" s="558">
        <f t="shared" si="7"/>
        <v>8579.1028635858347</v>
      </c>
      <c r="AW40" s="560"/>
      <c r="AX40" s="561">
        <f t="shared" si="8"/>
        <v>14417.220048447762</v>
      </c>
      <c r="AZ40" s="430">
        <f>+IF(AZ39&gt;$I$13+$I$14,XX,AZ39+1)</f>
        <v>2021</v>
      </c>
      <c r="BA40" s="503"/>
      <c r="BB40" s="555">
        <f t="shared" si="17"/>
        <v>49.41153861120268</v>
      </c>
      <c r="BD40" s="555">
        <f t="shared" si="18"/>
        <v>7.512688256300283</v>
      </c>
      <c r="BF40" s="558">
        <f t="shared" si="9"/>
        <v>4255.5667914199912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368256.9058823529</v>
      </c>
      <c r="I41" s="726">
        <v>321.21291068984897</v>
      </c>
      <c r="K41" s="625">
        <v>25.328758151389337</v>
      </c>
      <c r="M41" s="553">
        <f t="shared" si="24"/>
        <v>0</v>
      </c>
      <c r="O41" s="625">
        <v>0.66</v>
      </c>
      <c r="Q41" s="625">
        <v>-34.476814342354757</v>
      </c>
      <c r="S41" s="475">
        <f t="shared" si="20"/>
        <v>28674.292848454574</v>
      </c>
      <c r="U41" s="475">
        <f t="shared" si="21"/>
        <v>14934.614225218631</v>
      </c>
      <c r="W41" s="475">
        <f t="shared" si="22"/>
        <v>13739.678623235943</v>
      </c>
      <c r="Y41" s="554">
        <f t="shared" si="23"/>
        <v>37.310036563510799</v>
      </c>
      <c r="Z41" s="516"/>
      <c r="AB41" s="423">
        <f>+IF(AB40&gt;$I$13+$I$14,XX,AB40+1)</f>
        <v>2022</v>
      </c>
      <c r="AC41" s="503"/>
      <c r="AD41" s="488">
        <f t="shared" si="4"/>
        <v>368256.9058823529</v>
      </c>
      <c r="AF41" s="555">
        <f t="shared" si="25"/>
        <v>106.27049967364773</v>
      </c>
      <c r="AH41" s="555">
        <f t="shared" si="26"/>
        <v>21.286442787693705</v>
      </c>
      <c r="AJ41" s="555">
        <f t="shared" si="27"/>
        <v>2.1723244550479208</v>
      </c>
      <c r="AL41" s="558">
        <f t="shared" si="16"/>
        <v>10335.932391712684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9"/>
        <v>2.4513517700364411</v>
      </c>
      <c r="AS41" s="555"/>
      <c r="AT41" s="558">
        <f t="shared" si="6"/>
        <v>5978.2319972986134</v>
      </c>
      <c r="AV41" s="558">
        <f t="shared" si="7"/>
        <v>8956.3822279200176</v>
      </c>
      <c r="AW41" s="560"/>
      <c r="AX41" s="561">
        <f t="shared" si="8"/>
        <v>14934.614225218631</v>
      </c>
      <c r="AZ41" s="430">
        <f>+IF(AZ40&gt;$I$13+$I$14,XX,AZ40+1)</f>
        <v>2022</v>
      </c>
      <c r="BA41" s="503"/>
      <c r="BB41" s="555">
        <f t="shared" si="17"/>
        <v>50.597415537871548</v>
      </c>
      <c r="BD41" s="555">
        <f t="shared" si="18"/>
        <v>7.6929927744514899</v>
      </c>
      <c r="BF41" s="558">
        <f t="shared" si="9"/>
        <v>4357.7003944140706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368256.9058823529</v>
      </c>
      <c r="I42" s="726">
        <v>328.7923179455297</v>
      </c>
      <c r="K42" s="625">
        <v>25.911319588871287</v>
      </c>
      <c r="M42" s="553">
        <f t="shared" si="24"/>
        <v>0</v>
      </c>
      <c r="O42" s="625">
        <v>0.67</v>
      </c>
      <c r="Q42" s="625">
        <v>-35.802845663214569</v>
      </c>
      <c r="S42" s="475">
        <f t="shared" si="20"/>
        <v>29154.548816956343</v>
      </c>
      <c r="U42" s="475">
        <f t="shared" si="21"/>
        <v>16343.115181844823</v>
      </c>
      <c r="W42" s="475">
        <f t="shared" si="22"/>
        <v>12811.43363511152</v>
      </c>
      <c r="Y42" s="554">
        <f t="shared" si="23"/>
        <v>34.789391401676497</v>
      </c>
      <c r="Z42" s="516"/>
      <c r="AB42" s="423">
        <f>+IF(AB41&gt;$I$13+$I$14,XX,AB41+1)</f>
        <v>2023</v>
      </c>
      <c r="AC42" s="503"/>
      <c r="AD42" s="488">
        <f t="shared" si="4"/>
        <v>368256.9058823529</v>
      </c>
      <c r="AF42" s="555">
        <f t="shared" si="25"/>
        <v>108.71472116614163</v>
      </c>
      <c r="AH42" s="555">
        <f t="shared" si="26"/>
        <v>21.776030971810659</v>
      </c>
      <c r="AJ42" s="555">
        <f t="shared" si="27"/>
        <v>2.2222879175140227</v>
      </c>
      <c r="AL42" s="558">
        <f t="shared" si="16"/>
        <v>10573.658836722076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ref="AR42:AR68" si="28">AR41*(1+$E42)</f>
        <v>2.5077328607472791</v>
      </c>
      <c r="AS42" s="555"/>
      <c r="AT42" s="558">
        <f t="shared" si="6"/>
        <v>6115.7313332364811</v>
      </c>
      <c r="AV42" s="558">
        <f t="shared" si="7"/>
        <v>10227.383848608342</v>
      </c>
      <c r="AW42" s="560"/>
      <c r="AX42" s="561">
        <f t="shared" si="8"/>
        <v>16343.115181844823</v>
      </c>
      <c r="AZ42" s="430">
        <f>+IF(AZ41&gt;$I$13+$I$14,XX,AZ41+1)</f>
        <v>2023</v>
      </c>
      <c r="BA42" s="503"/>
      <c r="BB42" s="555">
        <f t="shared" si="17"/>
        <v>51.76115609524259</v>
      </c>
      <c r="BD42" s="555">
        <f t="shared" si="18"/>
        <v>7.8699316082638733</v>
      </c>
      <c r="BF42" s="558">
        <f t="shared" si="9"/>
        <v>4457.9275034855946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368255.90588235296</v>
      </c>
      <c r="I43" s="726">
        <v>336.39078823153659</v>
      </c>
      <c r="K43" s="625">
        <v>26.57990262418086</v>
      </c>
      <c r="M43" s="553">
        <f t="shared" si="24"/>
        <v>0</v>
      </c>
      <c r="O43" s="625">
        <v>0.69</v>
      </c>
      <c r="Q43" s="625">
        <v>-35.802845663214569</v>
      </c>
      <c r="S43" s="475">
        <f t="shared" si="20"/>
        <v>30160.381366240246</v>
      </c>
      <c r="U43" s="475">
        <f t="shared" si="21"/>
        <v>17780.475107718645</v>
      </c>
      <c r="W43" s="475">
        <f t="shared" si="22"/>
        <v>12379.906258521602</v>
      </c>
      <c r="Y43" s="554">
        <f t="shared" si="23"/>
        <v>33.617672006804476</v>
      </c>
      <c r="Z43" s="516"/>
      <c r="AB43" s="423">
        <f>+IF(AB42&gt;$I$13+$I$14,XX,AB42+1)</f>
        <v>2024</v>
      </c>
      <c r="AC43" s="503"/>
      <c r="AD43" s="488">
        <f t="shared" si="4"/>
        <v>368255.90588235296</v>
      </c>
      <c r="AF43" s="555">
        <f t="shared" si="25"/>
        <v>111.21515975296288</v>
      </c>
      <c r="AH43" s="555">
        <f t="shared" si="26"/>
        <v>22.276879684162303</v>
      </c>
      <c r="AJ43" s="555">
        <f t="shared" si="27"/>
        <v>2.2734005396168451</v>
      </c>
      <c r="AL43" s="558">
        <f t="shared" si="16"/>
        <v>10816.850716566143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28"/>
        <v>2.5654107165444664</v>
      </c>
      <c r="AS43" s="555"/>
      <c r="AT43" s="558">
        <f t="shared" si="6"/>
        <v>6256.3908805003812</v>
      </c>
      <c r="AV43" s="558">
        <f t="shared" si="7"/>
        <v>11524.084227218265</v>
      </c>
      <c r="AW43" s="560"/>
      <c r="AX43" s="561">
        <f t="shared" si="8"/>
        <v>17780.475107718645</v>
      </c>
      <c r="AZ43" s="430">
        <f>+IF(AZ42&gt;$I$13+$I$14,XX,AZ42+1)</f>
        <v>2024</v>
      </c>
      <c r="BA43" s="503"/>
      <c r="BB43" s="555">
        <f t="shared" si="17"/>
        <v>52.951662685433163</v>
      </c>
      <c r="BD43" s="555">
        <f t="shared" si="18"/>
        <v>8.0509400352539409</v>
      </c>
      <c r="BF43" s="558">
        <f t="shared" si="9"/>
        <v>4560.4598360657619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368256.9058823529</v>
      </c>
      <c r="I44" s="726">
        <v>343.83892681169613</v>
      </c>
      <c r="K44" s="625">
        <v>27.090440098082464</v>
      </c>
      <c r="M44" s="553">
        <f t="shared" si="24"/>
        <v>0</v>
      </c>
      <c r="O44" s="625">
        <v>0.69999999999999984</v>
      </c>
      <c r="Q44" s="625">
        <v>-37.12887698407436</v>
      </c>
      <c r="S44" s="475">
        <f t="shared" si="20"/>
        <v>30601.109880944907</v>
      </c>
      <c r="U44" s="475">
        <f t="shared" si="21"/>
        <v>18360.57668161406</v>
      </c>
      <c r="W44" s="475">
        <f t="shared" si="22"/>
        <v>12240.533199330846</v>
      </c>
      <c r="Y44" s="554">
        <f t="shared" si="23"/>
        <v>33.239113792047476</v>
      </c>
      <c r="Z44" s="516"/>
      <c r="AB44" s="423">
        <f>+IF(AB43&gt;$I$13+$I$14,XX,AB43+1)</f>
        <v>2025</v>
      </c>
      <c r="AC44" s="503"/>
      <c r="AD44" s="488">
        <f t="shared" si="4"/>
        <v>368256.9058823529</v>
      </c>
      <c r="AF44" s="555">
        <f t="shared" si="25"/>
        <v>113.77310842728102</v>
      </c>
      <c r="AH44" s="555">
        <f t="shared" si="26"/>
        <v>22.789247916898034</v>
      </c>
      <c r="AJ44" s="555">
        <f t="shared" si="27"/>
        <v>2.3256887520280323</v>
      </c>
      <c r="AL44" s="558">
        <f t="shared" si="16"/>
        <v>11065.640608735917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28"/>
        <v>2.624415163024989</v>
      </c>
      <c r="AS44" s="555"/>
      <c r="AT44" s="558">
        <f t="shared" si="6"/>
        <v>6400.2901964406428</v>
      </c>
      <c r="AV44" s="558">
        <f t="shared" si="7"/>
        <v>11960.286485173416</v>
      </c>
      <c r="AW44" s="560"/>
      <c r="AX44" s="561">
        <f t="shared" si="8"/>
        <v>18360.57668161406</v>
      </c>
      <c r="AZ44" s="430">
        <f>+IF(AZ43&gt;$I$13+$I$14,XX,AZ43+1)</f>
        <v>2025</v>
      </c>
      <c r="BA44" s="503"/>
      <c r="BB44" s="555">
        <f t="shared" si="17"/>
        <v>54.169550927198124</v>
      </c>
      <c r="BD44" s="555">
        <f t="shared" si="18"/>
        <v>8.2361116560647805</v>
      </c>
      <c r="BF44" s="558">
        <f t="shared" si="9"/>
        <v>4665.3504122952745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368256.9058823529</v>
      </c>
      <c r="I45" s="726">
        <v>351.21141421750946</v>
      </c>
      <c r="K45" s="625">
        <v>27.686429780240282</v>
      </c>
      <c r="M45" s="553">
        <f t="shared" si="24"/>
        <v>0</v>
      </c>
      <c r="O45" s="625">
        <v>0.72</v>
      </c>
      <c r="Q45" s="625">
        <v>-38.454908304934172</v>
      </c>
      <c r="S45" s="475">
        <f t="shared" si="20"/>
        <v>31069.508397204394</v>
      </c>
      <c r="U45" s="475">
        <f t="shared" si="21"/>
        <v>18738.264281473435</v>
      </c>
      <c r="W45" s="475">
        <f t="shared" si="22"/>
        <v>12331.244115730959</v>
      </c>
      <c r="Y45" s="554">
        <f t="shared" si="23"/>
        <v>33.485438884533565</v>
      </c>
      <c r="Z45" s="516"/>
      <c r="AB45" s="423">
        <f>+IF(AB44&gt;$I$13+$I$14,XX,AB44+1)</f>
        <v>2026</v>
      </c>
      <c r="AC45" s="503"/>
      <c r="AD45" s="488">
        <f t="shared" si="4"/>
        <v>368256.9058823529</v>
      </c>
      <c r="AF45" s="555">
        <f t="shared" si="25"/>
        <v>116.38988992110846</v>
      </c>
      <c r="AH45" s="555">
        <f t="shared" si="26"/>
        <v>23.313400618986687</v>
      </c>
      <c r="AJ45" s="555">
        <f t="shared" si="27"/>
        <v>2.3791795933246767</v>
      </c>
      <c r="AL45" s="558">
        <f t="shared" si="16"/>
        <v>11320.150342736843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28"/>
        <v>2.6847767117745636</v>
      </c>
      <c r="AS45" s="555"/>
      <c r="AT45" s="558">
        <f t="shared" si="6"/>
        <v>6547.4968709587774</v>
      </c>
      <c r="AV45" s="558">
        <f t="shared" si="7"/>
        <v>12190.767410514658</v>
      </c>
      <c r="AW45" s="560"/>
      <c r="AX45" s="561">
        <f t="shared" si="8"/>
        <v>18738.264281473435</v>
      </c>
      <c r="AZ45" s="430">
        <f>+IF(AZ44&gt;$I$13+$I$14,XX,AZ44+1)</f>
        <v>2026</v>
      </c>
      <c r="BA45" s="503"/>
      <c r="BB45" s="555">
        <f t="shared" si="17"/>
        <v>55.415450598523677</v>
      </c>
      <c r="BD45" s="555">
        <f t="shared" si="18"/>
        <v>8.4255422241542703</v>
      </c>
      <c r="BF45" s="558">
        <f t="shared" si="9"/>
        <v>4772.6534717780651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368256.9058823529</v>
      </c>
      <c r="I46" s="726">
        <v>358.67838273096015</v>
      </c>
      <c r="K46" s="625">
        <v>28.295531235405562</v>
      </c>
      <c r="M46" s="553">
        <f t="shared" si="24"/>
        <v>0</v>
      </c>
      <c r="O46" s="625">
        <v>0.74</v>
      </c>
      <c r="Q46" s="625">
        <v>-38.454908304934172</v>
      </c>
      <c r="S46" s="475">
        <f t="shared" si="20"/>
        <v>32040.409235401257</v>
      </c>
      <c r="U46" s="475">
        <f t="shared" si="21"/>
        <v>19628.690280110251</v>
      </c>
      <c r="W46" s="475">
        <f t="shared" si="22"/>
        <v>12411.718955291006</v>
      </c>
      <c r="Y46" s="554">
        <f t="shared" si="23"/>
        <v>33.70396795561026</v>
      </c>
      <c r="Z46" s="516"/>
      <c r="AB46" s="423">
        <f>+IF(AB45&gt;$I$13+$I$14,XX,AB45+1)</f>
        <v>2027</v>
      </c>
      <c r="AC46" s="503"/>
      <c r="AD46" s="488">
        <f t="shared" si="4"/>
        <v>368256.9058823529</v>
      </c>
      <c r="AF46" s="555">
        <f t="shared" si="25"/>
        <v>118.95046749937285</v>
      </c>
      <c r="AH46" s="555">
        <f t="shared" si="26"/>
        <v>23.826295432604393</v>
      </c>
      <c r="AJ46" s="555">
        <f t="shared" si="27"/>
        <v>2.4315215443778198</v>
      </c>
      <c r="AL46" s="558">
        <f t="shared" si="16"/>
        <v>11569.193650277051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28"/>
        <v>2.743841799433604</v>
      </c>
      <c r="AS46" s="555"/>
      <c r="AT46" s="558">
        <f t="shared" si="6"/>
        <v>6691.5418021198684</v>
      </c>
      <c r="AV46" s="558">
        <f t="shared" si="7"/>
        <v>12937.148477990382</v>
      </c>
      <c r="AW46" s="560"/>
      <c r="AX46" s="561">
        <f t="shared" si="8"/>
        <v>19628.690280110251</v>
      </c>
      <c r="AZ46" s="430">
        <f>+IF(AZ45&gt;$I$13+$I$14,XX,AZ45+1)</f>
        <v>2027</v>
      </c>
      <c r="BA46" s="503"/>
      <c r="BB46" s="555">
        <f t="shared" si="17"/>
        <v>56.634590511691201</v>
      </c>
      <c r="BD46" s="555">
        <f t="shared" si="18"/>
        <v>8.6109041530856647</v>
      </c>
      <c r="BF46" s="558">
        <f t="shared" si="9"/>
        <v>4877.6518481571829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368255.90588235296</v>
      </c>
      <c r="I47" s="726">
        <v>366.33713602386064</v>
      </c>
      <c r="K47" s="625">
        <v>28.99726041004363</v>
      </c>
      <c r="M47" s="553">
        <f t="shared" si="24"/>
        <v>0</v>
      </c>
      <c r="O47" s="625">
        <v>0.75000000000000011</v>
      </c>
      <c r="Q47" s="625">
        <v>-39.78093962579397</v>
      </c>
      <c r="S47" s="475">
        <f t="shared" si="20"/>
        <v>32572.414837433131</v>
      </c>
      <c r="U47" s="475">
        <f t="shared" si="21"/>
        <v>20216.294425130996</v>
      </c>
      <c r="W47" s="475">
        <f t="shared" si="22"/>
        <v>12356.120412302134</v>
      </c>
      <c r="Y47" s="554">
        <f t="shared" si="23"/>
        <v>33.553081471148367</v>
      </c>
      <c r="Z47" s="516"/>
      <c r="AB47" s="423">
        <f>+IF(AB46&gt;$I$13+$I$14,XX,AB46+1)</f>
        <v>2028</v>
      </c>
      <c r="AC47" s="503"/>
      <c r="AD47" s="488">
        <f t="shared" si="4"/>
        <v>368255.90588235296</v>
      </c>
      <c r="AF47" s="555">
        <f t="shared" si="25"/>
        <v>121.56737778435905</v>
      </c>
      <c r="AH47" s="555">
        <f t="shared" si="26"/>
        <v>24.350473932121691</v>
      </c>
      <c r="AJ47" s="555">
        <f t="shared" si="27"/>
        <v>2.4850150183541317</v>
      </c>
      <c r="AL47" s="558">
        <f t="shared" si="16"/>
        <v>11823.71342556813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28"/>
        <v>2.8042063190211435</v>
      </c>
      <c r="AS47" s="555"/>
      <c r="AT47" s="558">
        <f t="shared" si="6"/>
        <v>6838.7532367514887</v>
      </c>
      <c r="AV47" s="558">
        <f t="shared" si="7"/>
        <v>13377.541188379508</v>
      </c>
      <c r="AW47" s="560"/>
      <c r="AX47" s="561">
        <f t="shared" si="8"/>
        <v>20216.294425130996</v>
      </c>
      <c r="AZ47" s="430">
        <f>+IF(AZ46&gt;$I$13+$I$14,XX,AZ46+1)</f>
        <v>2028</v>
      </c>
      <c r="BA47" s="503"/>
      <c r="BB47" s="555">
        <f t="shared" si="17"/>
        <v>57.880551502948407</v>
      </c>
      <c r="BD47" s="555">
        <f t="shared" si="18"/>
        <v>8.8003440444535492</v>
      </c>
      <c r="BF47" s="558">
        <f t="shared" si="9"/>
        <v>4984.9601888166417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368256.9058823529</v>
      </c>
      <c r="I48" s="726">
        <v>374.23305348540669</v>
      </c>
      <c r="K48" s="625">
        <v>29.52531161395876</v>
      </c>
      <c r="M48" s="553">
        <f t="shared" si="24"/>
        <v>0</v>
      </c>
      <c r="O48" s="625">
        <v>0.76999999999999991</v>
      </c>
      <c r="Q48" s="625">
        <v>-39.78093962579397</v>
      </c>
      <c r="S48" s="475">
        <f t="shared" si="20"/>
        <v>33555.924273065844</v>
      </c>
      <c r="U48" s="475">
        <f t="shared" si="21"/>
        <v>20765.616437399127</v>
      </c>
      <c r="W48" s="475">
        <f t="shared" si="22"/>
        <v>12790.307835666717</v>
      </c>
      <c r="Y48" s="554">
        <f t="shared" si="23"/>
        <v>34.732024386673253</v>
      </c>
      <c r="Z48" s="516"/>
      <c r="AB48" s="423">
        <f>+IF(AB47&gt;$I$13+$I$14,XX,AB47+1)</f>
        <v>2029</v>
      </c>
      <c r="AC48" s="503"/>
      <c r="AD48" s="488">
        <f t="shared" si="4"/>
        <v>368256.9058823529</v>
      </c>
      <c r="AF48" s="555">
        <f t="shared" si="25"/>
        <v>124.24186009561495</v>
      </c>
      <c r="AH48" s="555">
        <f t="shared" si="26"/>
        <v>24.88618435862837</v>
      </c>
      <c r="AJ48" s="555">
        <f t="shared" si="27"/>
        <v>2.5396853487579225</v>
      </c>
      <c r="AL48" s="558">
        <f t="shared" si="16"/>
        <v>12083.837660615975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28"/>
        <v>2.8658988580396088</v>
      </c>
      <c r="AS48" s="555"/>
      <c r="AT48" s="558">
        <f t="shared" si="6"/>
        <v>6989.2083476453663</v>
      </c>
      <c r="AV48" s="558">
        <f t="shared" si="7"/>
        <v>13776.408089753759</v>
      </c>
      <c r="AW48" s="560"/>
      <c r="AX48" s="561">
        <f t="shared" si="8"/>
        <v>20765.616437399127</v>
      </c>
      <c r="AZ48" s="430">
        <f>+IF(AZ47&gt;$I$13+$I$14,XX,AZ47+1)</f>
        <v>2029</v>
      </c>
      <c r="BA48" s="503"/>
      <c r="BB48" s="555">
        <f t="shared" si="17"/>
        <v>59.153923636013275</v>
      </c>
      <c r="BD48" s="555">
        <f t="shared" si="18"/>
        <v>8.9939516134315269</v>
      </c>
      <c r="BF48" s="558">
        <f t="shared" si="9"/>
        <v>5094.6293129706082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368256.9058823529</v>
      </c>
      <c r="I49" s="726">
        <v>382.38792823476797</v>
      </c>
      <c r="K49" s="625">
        <v>30.174868469465853</v>
      </c>
      <c r="M49" s="553">
        <f t="shared" si="24"/>
        <v>0</v>
      </c>
      <c r="O49" s="625">
        <v>0.78</v>
      </c>
      <c r="Q49" s="625">
        <v>0</v>
      </c>
      <c r="S49" s="475">
        <f t="shared" si="20"/>
        <v>49255.748979802731</v>
      </c>
      <c r="U49" s="475">
        <f t="shared" si="21"/>
        <v>21740.944734901146</v>
      </c>
      <c r="W49" s="475">
        <f t="shared" si="22"/>
        <v>27514.804244901585</v>
      </c>
      <c r="Y49" s="554">
        <f t="shared" si="23"/>
        <v>74.71632929455977</v>
      </c>
      <c r="Z49" s="516"/>
      <c r="AB49" s="423">
        <f>+IF(AB48&gt;$I$13+$I$14,XX,AB48+1)</f>
        <v>2030</v>
      </c>
      <c r="AC49" s="503"/>
      <c r="AD49" s="488">
        <f t="shared" si="4"/>
        <v>368256.9058823529</v>
      </c>
      <c r="AF49" s="555">
        <f t="shared" si="25"/>
        <v>126.97518101771848</v>
      </c>
      <c r="AH49" s="555">
        <f t="shared" si="26"/>
        <v>25.433680414518193</v>
      </c>
      <c r="AJ49" s="555">
        <f t="shared" si="27"/>
        <v>2.5955584264305966</v>
      </c>
      <c r="AL49" s="558">
        <f t="shared" si="16"/>
        <v>12349.682089149528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28"/>
        <v>2.9289486329164802</v>
      </c>
      <c r="AS49" s="555"/>
      <c r="AT49" s="558">
        <f t="shared" si="6"/>
        <v>7142.9709312935665</v>
      </c>
      <c r="AV49" s="558">
        <f t="shared" si="7"/>
        <v>14597.97380360758</v>
      </c>
      <c r="AW49" s="560"/>
      <c r="AX49" s="561">
        <f t="shared" si="8"/>
        <v>21740.944734901146</v>
      </c>
      <c r="AZ49" s="430">
        <f>+IF(AZ48&gt;$I$13+$I$14,XX,AZ48+1)</f>
        <v>2030</v>
      </c>
      <c r="BA49" s="503"/>
      <c r="BB49" s="555">
        <f t="shared" si="17"/>
        <v>60.455309956005571</v>
      </c>
      <c r="BD49" s="555">
        <f t="shared" si="18"/>
        <v>9.1918185489270208</v>
      </c>
      <c r="BF49" s="558">
        <f t="shared" si="9"/>
        <v>5206.7111578559616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368256.9058823529</v>
      </c>
      <c r="I50" s="726">
        <v>390.62059853986057</v>
      </c>
      <c r="K50" s="625">
        <v>30.838715575794104</v>
      </c>
      <c r="M50" s="553">
        <f t="shared" si="24"/>
        <v>0</v>
      </c>
      <c r="O50" s="625">
        <v>0.8</v>
      </c>
      <c r="Q50" s="625">
        <v>0</v>
      </c>
      <c r="S50" s="475">
        <f t="shared" si="20"/>
        <v>50322.61475947994</v>
      </c>
      <c r="U50" s="475">
        <f t="shared" si="21"/>
        <v>22289.335401681088</v>
      </c>
      <c r="W50" s="475">
        <f t="shared" si="22"/>
        <v>28033.279357798852</v>
      </c>
      <c r="Y50" s="554">
        <f t="shared" si="23"/>
        <v>76.124246171651293</v>
      </c>
      <c r="Z50" s="516"/>
      <c r="AB50" s="423">
        <f>+IF(AB49&gt;$I$13+$I$14,XX,AB49+1)</f>
        <v>2031</v>
      </c>
      <c r="AC50" s="503"/>
      <c r="AD50" s="488">
        <f t="shared" si="4"/>
        <v>368256.9058823529</v>
      </c>
      <c r="AF50" s="555">
        <f t="shared" si="25"/>
        <v>129.7686350001083</v>
      </c>
      <c r="AH50" s="555">
        <f t="shared" si="26"/>
        <v>25.993221383637593</v>
      </c>
      <c r="AJ50" s="555">
        <f t="shared" si="27"/>
        <v>2.6526607118120697</v>
      </c>
      <c r="AL50" s="558">
        <f t="shared" si="16"/>
        <v>12621.37509511082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28"/>
        <v>2.9933855028406429</v>
      </c>
      <c r="AS50" s="555"/>
      <c r="AT50" s="558">
        <f t="shared" si="6"/>
        <v>7300.1162917820266</v>
      </c>
      <c r="AV50" s="558">
        <f t="shared" si="7"/>
        <v>14989.219109899061</v>
      </c>
      <c r="AW50" s="560"/>
      <c r="AX50" s="561">
        <f t="shared" si="8"/>
        <v>22289.335401681088</v>
      </c>
      <c r="AZ50" s="430">
        <f>+IF(AZ49&gt;$I$13+$I$14,XX,AZ49+1)</f>
        <v>2031</v>
      </c>
      <c r="BA50" s="503"/>
      <c r="BB50" s="555">
        <f t="shared" si="17"/>
        <v>61.785326775037696</v>
      </c>
      <c r="BD50" s="555">
        <f t="shared" si="18"/>
        <v>9.3940385570034159</v>
      </c>
      <c r="BF50" s="558">
        <f t="shared" si="9"/>
        <v>5321.258803328793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368255.90588235296</v>
      </c>
      <c r="I51" s="726">
        <v>398.87692747494418</v>
      </c>
      <c r="K51" s="625">
        <v>31.603515722073812</v>
      </c>
      <c r="M51" s="553">
        <f t="shared" si="24"/>
        <v>0</v>
      </c>
      <c r="O51" s="625">
        <v>0.82</v>
      </c>
      <c r="Q51" s="625">
        <v>0</v>
      </c>
      <c r="S51" s="475">
        <f t="shared" si="20"/>
        <v>51428.96697414248</v>
      </c>
      <c r="U51" s="475">
        <f t="shared" si="21"/>
        <v>22856.265997630548</v>
      </c>
      <c r="W51" s="475">
        <f t="shared" si="22"/>
        <v>28572.700976511933</v>
      </c>
      <c r="Y51" s="554">
        <f t="shared" si="23"/>
        <v>77.58925388596505</v>
      </c>
      <c r="Z51" s="516"/>
      <c r="AB51" s="423">
        <f>+IF(AB50&gt;$I$13+$I$14,XX,AB50+1)</f>
        <v>2032</v>
      </c>
      <c r="AC51" s="503"/>
      <c r="AD51" s="488">
        <f t="shared" si="4"/>
        <v>368255.90588235296</v>
      </c>
      <c r="AF51" s="555">
        <f t="shared" si="25"/>
        <v>132.62354497011069</v>
      </c>
      <c r="AH51" s="555">
        <f t="shared" si="26"/>
        <v>26.56507225407762</v>
      </c>
      <c r="AJ51" s="555">
        <f t="shared" si="27"/>
        <v>2.7110192474719352</v>
      </c>
      <c r="AL51" s="558">
        <f t="shared" si="16"/>
        <v>12899.042636184011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28"/>
        <v>3.059239983903137</v>
      </c>
      <c r="AS51" s="555"/>
      <c r="AT51" s="558">
        <f t="shared" si="6"/>
        <v>7460.7161391819855</v>
      </c>
      <c r="AV51" s="558">
        <f t="shared" si="7"/>
        <v>15395.549858448561</v>
      </c>
      <c r="AW51" s="560"/>
      <c r="AX51" s="561">
        <f t="shared" si="8"/>
        <v>22856.265997630548</v>
      </c>
      <c r="AZ51" s="430">
        <f>+IF(AZ50&gt;$I$13+$I$14,XX,AZ50+1)</f>
        <v>2032</v>
      </c>
      <c r="BA51" s="503"/>
      <c r="BB51" s="555">
        <f t="shared" si="17"/>
        <v>63.144603964088525</v>
      </c>
      <c r="BD51" s="555">
        <f t="shared" si="18"/>
        <v>9.6007074052574914</v>
      </c>
      <c r="BF51" s="558">
        <f t="shared" si="9"/>
        <v>5438.3264970020255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368256.9058823529</v>
      </c>
      <c r="I52" s="726">
        <v>407.21767892013338</v>
      </c>
      <c r="K52" s="625">
        <v>32.210544999467736</v>
      </c>
      <c r="M52" s="553">
        <f t="shared" si="24"/>
        <v>0</v>
      </c>
      <c r="O52" s="625">
        <v>0.84000000000000008</v>
      </c>
      <c r="Q52" s="625">
        <v>0</v>
      </c>
      <c r="S52" s="475">
        <f t="shared" si="20"/>
        <v>52485.641652322665</v>
      </c>
      <c r="U52" s="475">
        <f t="shared" si="21"/>
        <v>23537.98404705081</v>
      </c>
      <c r="W52" s="475">
        <f t="shared" si="22"/>
        <v>28947.657605271856</v>
      </c>
      <c r="Y52" s="554">
        <f t="shared" si="23"/>
        <v>78.607236260546244</v>
      </c>
      <c r="Z52" s="516"/>
      <c r="AB52" s="423">
        <f>+IF(AB51&gt;$I$13+$I$14,XX,AB51+1)</f>
        <v>2033</v>
      </c>
      <c r="AC52" s="503"/>
      <c r="AD52" s="488">
        <f t="shared" si="4"/>
        <v>368256.9058823529</v>
      </c>
      <c r="AF52" s="555">
        <f t="shared" si="25"/>
        <v>135.54126295945312</v>
      </c>
      <c r="AH52" s="555">
        <f t="shared" si="26"/>
        <v>27.149503843667329</v>
      </c>
      <c r="AJ52" s="555">
        <f t="shared" si="27"/>
        <v>2.7706616709163177</v>
      </c>
      <c r="AL52" s="558">
        <f t="shared" si="16"/>
        <v>13182.824344841729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28"/>
        <v>3.126543263549006</v>
      </c>
      <c r="AS52" s="555"/>
      <c r="AT52" s="558">
        <f t="shared" si="6"/>
        <v>7624.8546649056589</v>
      </c>
      <c r="AV52" s="558">
        <f t="shared" si="7"/>
        <v>15913.129382145151</v>
      </c>
      <c r="AW52" s="560"/>
      <c r="AX52" s="561">
        <f t="shared" si="8"/>
        <v>23537.98404705081</v>
      </c>
      <c r="AZ52" s="430">
        <f>+IF(AZ51&gt;$I$13+$I$14,XX,AZ51+1)</f>
        <v>2033</v>
      </c>
      <c r="BA52" s="503"/>
      <c r="BB52" s="555">
        <f t="shared" si="17"/>
        <v>64.533785251298468</v>
      </c>
      <c r="BD52" s="555">
        <f t="shared" si="18"/>
        <v>9.8119229681731568</v>
      </c>
      <c r="BF52" s="558">
        <f t="shared" si="9"/>
        <v>5557.96967993607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368256.9058823529</v>
      </c>
      <c r="I53" s="726">
        <v>106.37462484796858</v>
      </c>
      <c r="K53" s="625">
        <v>32.919176989456034</v>
      </c>
      <c r="M53" s="553">
        <f t="shared" si="24"/>
        <v>0</v>
      </c>
      <c r="O53" s="625">
        <v>0.85999999999999988</v>
      </c>
      <c r="Q53" s="625">
        <v>0</v>
      </c>
      <c r="S53" s="475">
        <f t="shared" si="20"/>
        <v>22970.503061338342</v>
      </c>
      <c r="U53" s="475">
        <f t="shared" si="21"/>
        <v>24189.831650286735</v>
      </c>
      <c r="W53" s="475">
        <f t="shared" si="22"/>
        <v>-1219.3285889483923</v>
      </c>
      <c r="Y53" s="554">
        <f t="shared" si="23"/>
        <v>-3.311081393102052</v>
      </c>
      <c r="Z53" s="516"/>
      <c r="AB53" s="423">
        <f>+IF(AB52&gt;$I$13+$I$14,XX,AB52+1)</f>
        <v>2034</v>
      </c>
      <c r="AC53" s="503"/>
      <c r="AD53" s="488">
        <f t="shared" si="4"/>
        <v>368256.9058823529</v>
      </c>
      <c r="AF53" s="555">
        <f t="shared" si="25"/>
        <v>138.5231707445611</v>
      </c>
      <c r="AH53" s="555">
        <f t="shared" si="26"/>
        <v>27.746792928228011</v>
      </c>
      <c r="AJ53" s="555">
        <f t="shared" si="27"/>
        <v>2.8316162276764767</v>
      </c>
      <c r="AL53" s="558">
        <f t="shared" si="16"/>
        <v>13472.846480428247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28"/>
        <v>3.1953272153470844</v>
      </c>
      <c r="AS53" s="555"/>
      <c r="AT53" s="558">
        <f t="shared" si="6"/>
        <v>7792.6014675335819</v>
      </c>
      <c r="AV53" s="558">
        <f t="shared" si="7"/>
        <v>16397.230182753152</v>
      </c>
      <c r="AW53" s="560"/>
      <c r="AX53" s="561">
        <f t="shared" si="8"/>
        <v>24189.831650286735</v>
      </c>
      <c r="AZ53" s="430">
        <f>+IF(AZ52&gt;$I$13+$I$14,XX,AZ52+1)</f>
        <v>2034</v>
      </c>
      <c r="BA53" s="503"/>
      <c r="BB53" s="555">
        <f t="shared" si="17"/>
        <v>65.953528526827043</v>
      </c>
      <c r="BD53" s="555">
        <f t="shared" si="18"/>
        <v>10.027785273472967</v>
      </c>
      <c r="BF53" s="558">
        <f t="shared" si="9"/>
        <v>5680.2450128946648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368256.9058823529</v>
      </c>
      <c r="I54" s="726">
        <v>108.39574272007999</v>
      </c>
      <c r="K54" s="625">
        <v>33.643398883224059</v>
      </c>
      <c r="M54" s="553">
        <f t="shared" si="24"/>
        <v>0</v>
      </c>
      <c r="O54" s="625">
        <v>0.86999999999999988</v>
      </c>
      <c r="Q54" s="625">
        <v>0</v>
      </c>
      <c r="S54" s="475">
        <f t="shared" si="20"/>
        <v>23440.976013507465</v>
      </c>
      <c r="U54" s="475">
        <f t="shared" si="21"/>
        <v>24809.135211983423</v>
      </c>
      <c r="W54" s="475">
        <f t="shared" si="22"/>
        <v>-1368.159198475958</v>
      </c>
      <c r="Y54" s="554">
        <f t="shared" si="23"/>
        <v>-3.7152302553507139</v>
      </c>
      <c r="Z54" s="516"/>
      <c r="AB54" s="423">
        <f>+IF(AB53&gt;$I$13+$I$14,XX,AB53+1)</f>
        <v>2035</v>
      </c>
      <c r="AC54" s="503"/>
      <c r="AD54" s="488">
        <f t="shared" si="4"/>
        <v>368256.9058823529</v>
      </c>
      <c r="AF54" s="555">
        <f t="shared" si="25"/>
        <v>141.57068050094145</v>
      </c>
      <c r="AH54" s="555">
        <f t="shared" si="26"/>
        <v>28.357222372649026</v>
      </c>
      <c r="AJ54" s="555">
        <f t="shared" si="27"/>
        <v>2.893911784685359</v>
      </c>
      <c r="AL54" s="558">
        <f t="shared" si="16"/>
        <v>13769.249102997668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28"/>
        <v>3.2656244140847202</v>
      </c>
      <c r="AS54" s="555"/>
      <c r="AT54" s="558">
        <f t="shared" si="6"/>
        <v>7964.0386998193217</v>
      </c>
      <c r="AV54" s="558">
        <f t="shared" si="7"/>
        <v>16845.096512164102</v>
      </c>
      <c r="AW54" s="560"/>
      <c r="AX54" s="561">
        <f t="shared" si="8"/>
        <v>24809.135211983423</v>
      </c>
      <c r="AZ54" s="430">
        <f>+IF(AZ53&gt;$I$13+$I$14,XX,AZ53+1)</f>
        <v>2035</v>
      </c>
      <c r="BA54" s="503"/>
      <c r="BB54" s="555">
        <f t="shared" si="17"/>
        <v>67.404506154417234</v>
      </c>
      <c r="BD54" s="555">
        <f t="shared" si="18"/>
        <v>10.248396549489373</v>
      </c>
      <c r="BF54" s="558">
        <f t="shared" si="9"/>
        <v>5805.2104031783465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368255.90588235296</v>
      </c>
      <c r="I55" s="726">
        <v>110.45526183176149</v>
      </c>
      <c r="K55" s="625">
        <v>34.477755175528017</v>
      </c>
      <c r="M55" s="553">
        <f t="shared" si="24"/>
        <v>0</v>
      </c>
      <c r="O55" s="625">
        <v>0.89000000000000024</v>
      </c>
      <c r="Q55" s="625">
        <v>0</v>
      </c>
      <c r="S55" s="475">
        <f t="shared" si="20"/>
        <v>23959.455642533736</v>
      </c>
      <c r="U55" s="475">
        <f t="shared" si="21"/>
        <v>25614.815144075823</v>
      </c>
      <c r="W55" s="475">
        <f t="shared" si="22"/>
        <v>-1655.3595015420869</v>
      </c>
      <c r="Y55" s="554">
        <f t="shared" si="23"/>
        <v>-4.4951336152390891</v>
      </c>
      <c r="Z55" s="516"/>
      <c r="AB55" s="423">
        <f>+IF(AB54&gt;$I$13+$I$14,XX,AB54+1)</f>
        <v>2036</v>
      </c>
      <c r="AC55" s="503"/>
      <c r="AD55" s="488">
        <f t="shared" si="4"/>
        <v>368255.90588235296</v>
      </c>
      <c r="AF55" s="555">
        <f t="shared" si="25"/>
        <v>144.68523547196216</v>
      </c>
      <c r="AH55" s="555">
        <f t="shared" si="26"/>
        <v>28.981081264847305</v>
      </c>
      <c r="AJ55" s="555">
        <f t="shared" si="27"/>
        <v>2.957577843948437</v>
      </c>
      <c r="AL55" s="558">
        <f t="shared" si="16"/>
        <v>14072.169625685772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28"/>
        <v>3.3374681511945838</v>
      </c>
      <c r="AS55" s="555"/>
      <c r="AT55" s="558">
        <f t="shared" si="6"/>
        <v>8139.2445936375025</v>
      </c>
      <c r="AV55" s="558">
        <f t="shared" si="7"/>
        <v>17475.570550438319</v>
      </c>
      <c r="AW55" s="560"/>
      <c r="AX55" s="561">
        <f t="shared" si="8"/>
        <v>25614.815144075823</v>
      </c>
      <c r="AZ55" s="430">
        <f>+IF(AZ54&gt;$I$13+$I$14,XX,AZ54+1)</f>
        <v>2036</v>
      </c>
      <c r="BA55" s="503"/>
      <c r="BB55" s="555">
        <f t="shared" si="17"/>
        <v>68.88740528981441</v>
      </c>
      <c r="BD55" s="555">
        <f t="shared" si="18"/>
        <v>10.473861273578139</v>
      </c>
      <c r="BF55" s="558">
        <f t="shared" si="9"/>
        <v>5932.9250320482697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368255.90588235296</v>
      </c>
      <c r="I56" s="726">
        <v>112.55391180656498</v>
      </c>
      <c r="K56" s="625">
        <v>35.139991839145388</v>
      </c>
      <c r="M56" s="553">
        <f t="shared" si="24"/>
        <v>0</v>
      </c>
      <c r="O56" s="625">
        <v>0.91000000000000025</v>
      </c>
      <c r="Q56" s="625">
        <v>0</v>
      </c>
      <c r="S56" s="475">
        <f t="shared" si="20"/>
        <v>24418.459670625849</v>
      </c>
      <c r="U56" s="475">
        <f t="shared" si="21"/>
        <v>26271.247068480661</v>
      </c>
      <c r="W56" s="475">
        <f t="shared" si="22"/>
        <v>-1852.7873978548123</v>
      </c>
      <c r="Y56" s="554">
        <f t="shared" si="23"/>
        <v>-5.0312496507434803</v>
      </c>
      <c r="Z56" s="516"/>
      <c r="AB56" s="423">
        <f>+IF(AB55&gt;$I$13+$I$14,XX,AB55+1)</f>
        <v>2037</v>
      </c>
      <c r="AC56" s="503"/>
      <c r="AD56" s="488">
        <f t="shared" si="4"/>
        <v>368255.90588235296</v>
      </c>
      <c r="AF56" s="555">
        <f t="shared" si="25"/>
        <v>147.86831065234534</v>
      </c>
      <c r="AH56" s="555">
        <f t="shared" si="26"/>
        <v>29.618665052673947</v>
      </c>
      <c r="AJ56" s="555">
        <f t="shared" si="27"/>
        <v>3.0226445565153028</v>
      </c>
      <c r="AL56" s="558">
        <f t="shared" si="16"/>
        <v>14381.757357450861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28"/>
        <v>3.4108924505208646</v>
      </c>
      <c r="AS56" s="555"/>
      <c r="AT56" s="558">
        <f t="shared" si="6"/>
        <v>8318.3079746975291</v>
      </c>
      <c r="AV56" s="558">
        <f t="shared" si="7"/>
        <v>17952.939093783134</v>
      </c>
      <c r="AW56" s="560"/>
      <c r="AX56" s="561">
        <f t="shared" si="8"/>
        <v>26271.247068480661</v>
      </c>
      <c r="AZ56" s="430">
        <f>+IF(AZ55&gt;$I$13+$I$14,XX,AZ55+1)</f>
        <v>2037</v>
      </c>
      <c r="BA56" s="503"/>
      <c r="BB56" s="555">
        <f t="shared" si="17"/>
        <v>70.402928206190325</v>
      </c>
      <c r="BD56" s="555">
        <f t="shared" si="18"/>
        <v>10.704286221596858</v>
      </c>
      <c r="BF56" s="558">
        <f t="shared" si="9"/>
        <v>6063.4493827533315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368255.90588235296</v>
      </c>
      <c r="I57" s="726">
        <v>114.6924361308897</v>
      </c>
      <c r="K57" s="625">
        <v>35.948211651445732</v>
      </c>
      <c r="M57" s="553">
        <f t="shared" si="24"/>
        <v>0</v>
      </c>
      <c r="O57" s="625">
        <v>0.92999999999999994</v>
      </c>
      <c r="Q57" s="625">
        <v>0</v>
      </c>
      <c r="S57" s="475">
        <f t="shared" si="20"/>
        <v>24935.170415982375</v>
      </c>
      <c r="U57" s="475">
        <f t="shared" si="21"/>
        <v>27339.061832159197</v>
      </c>
      <c r="W57" s="475">
        <f t="shared" si="22"/>
        <v>-2403.8914161768225</v>
      </c>
      <c r="Y57" s="554">
        <f t="shared" si="23"/>
        <v>-6.5277742400818299</v>
      </c>
      <c r="Z57" s="516"/>
      <c r="AB57" s="423">
        <f>+IF(AB56&gt;$I$13+$I$14,XX,AB56+1)</f>
        <v>2038</v>
      </c>
      <c r="AC57" s="503"/>
      <c r="AD57" s="488">
        <f t="shared" si="4"/>
        <v>368255.90588235296</v>
      </c>
      <c r="AF57" s="555">
        <f t="shared" si="25"/>
        <v>151.12141348669695</v>
      </c>
      <c r="AH57" s="555">
        <f t="shared" si="26"/>
        <v>30.270275683832775</v>
      </c>
      <c r="AJ57" s="555">
        <f t="shared" si="27"/>
        <v>3.0891427367586397</v>
      </c>
      <c r="AL57" s="558">
        <f t="shared" si="16"/>
        <v>14698.156019314782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28"/>
        <v>3.4859320844323238</v>
      </c>
      <c r="AS57" s="555"/>
      <c r="AT57" s="558">
        <f t="shared" si="6"/>
        <v>8501.3107501408758</v>
      </c>
      <c r="AV57" s="558">
        <f t="shared" si="7"/>
        <v>18837.75108201832</v>
      </c>
      <c r="AW57" s="560"/>
      <c r="AX57" s="561">
        <f t="shared" si="8"/>
        <v>27339.061832159197</v>
      </c>
      <c r="AZ57" s="430">
        <f>+IF(AZ56&gt;$I$13+$I$14,XX,AZ56+1)</f>
        <v>2038</v>
      </c>
      <c r="BA57" s="503"/>
      <c r="BB57" s="555">
        <f t="shared" si="17"/>
        <v>71.951792626726515</v>
      </c>
      <c r="BD57" s="555">
        <f t="shared" si="18"/>
        <v>10.93978051847199</v>
      </c>
      <c r="BF57" s="558">
        <f t="shared" si="9"/>
        <v>6196.8452691739058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368255.90588235296</v>
      </c>
      <c r="I58" s="726">
        <v>116.87159241737659</v>
      </c>
      <c r="K58" s="625">
        <v>36.775020519428978</v>
      </c>
      <c r="M58" s="553">
        <f t="shared" si="24"/>
        <v>0</v>
      </c>
      <c r="O58" s="625">
        <v>0.95999999999999985</v>
      </c>
      <c r="Q58" s="625">
        <v>0</v>
      </c>
      <c r="S58" s="475">
        <f t="shared" si="20"/>
        <v>25466.431814191776</v>
      </c>
      <c r="U58" s="475">
        <f t="shared" si="21"/>
        <v>28121.180004761682</v>
      </c>
      <c r="W58" s="475">
        <f t="shared" si="22"/>
        <v>-2654.748190569906</v>
      </c>
      <c r="Y58" s="554">
        <f t="shared" si="23"/>
        <v>-7.2089765518058542</v>
      </c>
      <c r="Z58" s="516"/>
      <c r="AB58" s="423">
        <f>+IF(AB57&gt;$I$13+$I$14,XX,AB57+1)</f>
        <v>2039</v>
      </c>
      <c r="AC58" s="503"/>
      <c r="AD58" s="488">
        <f t="shared" si="4"/>
        <v>368255.90588235296</v>
      </c>
      <c r="AF58" s="555">
        <f t="shared" si="25"/>
        <v>154.44608458340429</v>
      </c>
      <c r="AH58" s="555">
        <f t="shared" si="26"/>
        <v>30.936221748877095</v>
      </c>
      <c r="AJ58" s="555">
        <f t="shared" si="27"/>
        <v>3.1571038769673296</v>
      </c>
      <c r="AL58" s="558">
        <f t="shared" si="16"/>
        <v>15021.515451739706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28"/>
        <v>3.562622590289835</v>
      </c>
      <c r="AS58" s="555"/>
      <c r="AT58" s="558">
        <f t="shared" si="6"/>
        <v>8688.3395866439751</v>
      </c>
      <c r="AV58" s="558">
        <f t="shared" si="7"/>
        <v>19432.840418117707</v>
      </c>
      <c r="AW58" s="560"/>
      <c r="AX58" s="561">
        <f t="shared" si="8"/>
        <v>28121.180004761682</v>
      </c>
      <c r="AZ58" s="430">
        <f>+IF(AZ57&gt;$I$13+$I$14,XX,AZ57+1)</f>
        <v>2039</v>
      </c>
      <c r="BA58" s="503"/>
      <c r="BB58" s="555">
        <f t="shared" si="17"/>
        <v>73.5347320645145</v>
      </c>
      <c r="BD58" s="555">
        <f t="shared" si="18"/>
        <v>11.180455689878373</v>
      </c>
      <c r="BF58" s="558">
        <f t="shared" si="9"/>
        <v>6333.1758650957318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368255.90588235296</v>
      </c>
      <c r="I59" s="726">
        <v>119.09215267330676</v>
      </c>
      <c r="K59" s="625">
        <v>37.723916802311123</v>
      </c>
      <c r="M59" s="553">
        <f t="shared" si="24"/>
        <v>0</v>
      </c>
      <c r="O59" s="625">
        <v>0.9800000000000002</v>
      </c>
      <c r="Q59" s="625">
        <v>0</v>
      </c>
      <c r="S59" s="475">
        <f t="shared" si="20"/>
        <v>26043.069057887675</v>
      </c>
      <c r="U59" s="475">
        <f t="shared" si="21"/>
        <v>29153.356291952943</v>
      </c>
      <c r="W59" s="475">
        <f t="shared" si="22"/>
        <v>-3110.2872340652684</v>
      </c>
      <c r="Y59" s="554">
        <f t="shared" si="23"/>
        <v>-8.445994169768765</v>
      </c>
      <c r="Z59" s="516"/>
      <c r="AB59" s="423">
        <f>+IF(AB58&gt;$I$13+$I$14,XX,AB58+1)</f>
        <v>2040</v>
      </c>
      <c r="AC59" s="503"/>
      <c r="AD59" s="488">
        <f t="shared" si="4"/>
        <v>368255.90588235296</v>
      </c>
      <c r="AF59" s="555">
        <f t="shared" si="25"/>
        <v>157.84389844423919</v>
      </c>
      <c r="AH59" s="555">
        <f t="shared" si="26"/>
        <v>31.616818627352391</v>
      </c>
      <c r="AJ59" s="555">
        <f t="shared" si="27"/>
        <v>3.2265601622606108</v>
      </c>
      <c r="AL59" s="558">
        <f t="shared" si="16"/>
        <v>15351.988791677981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28"/>
        <v>3.6410002872762113</v>
      </c>
      <c r="AS59" s="555"/>
      <c r="AT59" s="558">
        <f t="shared" si="6"/>
        <v>8879.4830575501437</v>
      </c>
      <c r="AV59" s="558">
        <f t="shared" si="7"/>
        <v>20273.873234402799</v>
      </c>
      <c r="AW59" s="560"/>
      <c r="AX59" s="561">
        <f t="shared" si="8"/>
        <v>29153.356291952943</v>
      </c>
      <c r="AZ59" s="430">
        <f>+IF(AZ58&gt;$I$13+$I$14,XX,AZ58+1)</f>
        <v>2040</v>
      </c>
      <c r="BA59" s="503"/>
      <c r="BB59" s="555">
        <f t="shared" si="17"/>
        <v>75.152496169933826</v>
      </c>
      <c r="BD59" s="555">
        <f t="shared" si="18"/>
        <v>11.426425715055698</v>
      </c>
      <c r="BF59" s="558">
        <f t="shared" si="9"/>
        <v>6472.505734127838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368255.90588235296</v>
      </c>
      <c r="I60" s="726">
        <v>121.35490357409957</v>
      </c>
      <c r="K60" s="625">
        <v>38.486125449177479</v>
      </c>
      <c r="M60" s="553">
        <f t="shared" si="24"/>
        <v>0</v>
      </c>
      <c r="O60" s="625">
        <v>1</v>
      </c>
      <c r="Q60" s="625">
        <v>0</v>
      </c>
      <c r="S60" s="475">
        <f t="shared" si="20"/>
        <v>26555.134350906941</v>
      </c>
      <c r="U60" s="475">
        <f t="shared" si="21"/>
        <v>29813.682125868698</v>
      </c>
      <c r="W60" s="475">
        <f t="shared" si="22"/>
        <v>-3258.5477749617567</v>
      </c>
      <c r="Y60" s="554">
        <f t="shared" si="23"/>
        <v>-8.8485961064335719</v>
      </c>
      <c r="Z60" s="516"/>
      <c r="AB60" s="423">
        <f>+IF(AB59&gt;$I$13+$I$14,XX,AB59+1)</f>
        <v>2041</v>
      </c>
      <c r="AC60" s="503"/>
      <c r="AD60" s="488">
        <f t="shared" si="4"/>
        <v>368255.90588235296</v>
      </c>
      <c r="AF60" s="555">
        <f t="shared" si="25"/>
        <v>161.31646421001244</v>
      </c>
      <c r="AH60" s="555">
        <f t="shared" si="26"/>
        <v>32.312388637154143</v>
      </c>
      <c r="AJ60" s="555">
        <f t="shared" si="27"/>
        <v>3.2975444858303442</v>
      </c>
      <c r="AL60" s="558">
        <f t="shared" si="16"/>
        <v>15689.732545094896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28"/>
        <v>3.7211022935962879</v>
      </c>
      <c r="AS60" s="555"/>
      <c r="AT60" s="558">
        <f t="shared" si="6"/>
        <v>9074.8316848162449</v>
      </c>
      <c r="AV60" s="558">
        <f t="shared" si="7"/>
        <v>20738.850441052455</v>
      </c>
      <c r="AW60" s="560"/>
      <c r="AX60" s="561">
        <f t="shared" si="8"/>
        <v>29813.682125868698</v>
      </c>
      <c r="AZ60" s="430">
        <f>+IF(AZ59&gt;$I$13+$I$14,XX,AZ59+1)</f>
        <v>2041</v>
      </c>
      <c r="BA60" s="503"/>
      <c r="BB60" s="555">
        <f t="shared" si="17"/>
        <v>76.805851085672373</v>
      </c>
      <c r="BD60" s="555">
        <f t="shared" si="18"/>
        <v>11.677807080786923</v>
      </c>
      <c r="BF60" s="558">
        <f t="shared" si="9"/>
        <v>6614.9008602786507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368255.90588235296</v>
      </c>
      <c r="I61" s="726">
        <v>123.66064674200746</v>
      </c>
      <c r="K61" s="625">
        <v>39.371306334508574</v>
      </c>
      <c r="M61" s="553">
        <f t="shared" si="24"/>
        <v>0</v>
      </c>
      <c r="O61" s="625">
        <v>1.0199999999999998</v>
      </c>
      <c r="Q61" s="625">
        <v>0</v>
      </c>
      <c r="S61" s="475">
        <f t="shared" si="20"/>
        <v>27116.741131444815</v>
      </c>
      <c r="U61" s="475">
        <f t="shared" si="21"/>
        <v>30488.910625786433</v>
      </c>
      <c r="W61" s="475">
        <f t="shared" si="22"/>
        <v>-3372.1694943416187</v>
      </c>
      <c r="Y61" s="554">
        <f t="shared" si="23"/>
        <v>-9.1571362209705569</v>
      </c>
      <c r="Z61" s="516"/>
      <c r="AB61" s="423">
        <f>+IF(AB60&gt;$I$13+$I$14,XX,AB60+1)</f>
        <v>2042</v>
      </c>
      <c r="AC61" s="503"/>
      <c r="AD61" s="488">
        <f t="shared" si="4"/>
        <v>368255.90588235296</v>
      </c>
      <c r="AF61" s="555">
        <f t="shared" si="25"/>
        <v>164.86542642263271</v>
      </c>
      <c r="AH61" s="555">
        <f t="shared" si="26"/>
        <v>33.023261187171535</v>
      </c>
      <c r="AJ61" s="555">
        <f t="shared" si="27"/>
        <v>3.3700904645186118</v>
      </c>
      <c r="AL61" s="558">
        <f t="shared" si="16"/>
        <v>16034.906661086981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28"/>
        <v>3.8029665440554061</v>
      </c>
      <c r="AS61" s="555"/>
      <c r="AT61" s="558">
        <f t="shared" si="6"/>
        <v>9274.4779818822008</v>
      </c>
      <c r="AV61" s="558">
        <f t="shared" si="7"/>
        <v>21214.432643904231</v>
      </c>
      <c r="AW61" s="560"/>
      <c r="AX61" s="561">
        <f t="shared" si="8"/>
        <v>30488.910625786433</v>
      </c>
      <c r="AZ61" s="430">
        <f>+IF(AZ60&gt;$I$13+$I$14,XX,AZ60+1)</f>
        <v>2042</v>
      </c>
      <c r="BA61" s="503"/>
      <c r="BB61" s="555">
        <f t="shared" si="17"/>
        <v>78.495579809557171</v>
      </c>
      <c r="BD61" s="555">
        <f t="shared" si="18"/>
        <v>11.934718836564237</v>
      </c>
      <c r="BF61" s="558">
        <f t="shared" si="9"/>
        <v>6760.4286792047806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368255.90588235296</v>
      </c>
      <c r="I62" s="726">
        <v>126.01019903010558</v>
      </c>
      <c r="K62" s="625">
        <v>40.276846380202258</v>
      </c>
      <c r="M62" s="553">
        <f t="shared" si="24"/>
        <v>0</v>
      </c>
      <c r="O62" s="625">
        <v>1.05</v>
      </c>
      <c r="Q62" s="625">
        <v>0</v>
      </c>
      <c r="S62" s="475">
        <f t="shared" si="20"/>
        <v>27693.864954982677</v>
      </c>
      <c r="U62" s="475">
        <f t="shared" si="21"/>
        <v>31159.666659553739</v>
      </c>
      <c r="W62" s="475">
        <f t="shared" si="22"/>
        <v>-3465.8017045710621</v>
      </c>
      <c r="Y62" s="554">
        <f t="shared" si="23"/>
        <v>-9.4113947643742204</v>
      </c>
      <c r="Z62" s="516"/>
      <c r="AB62" s="423">
        <f>+IF(AB61&gt;$I$13+$I$14,XX,AB61+1)</f>
        <v>2043</v>
      </c>
      <c r="AC62" s="503"/>
      <c r="AD62" s="488">
        <f t="shared" si="4"/>
        <v>368255.90588235296</v>
      </c>
      <c r="AF62" s="555">
        <f t="shared" si="25"/>
        <v>168.49246580393063</v>
      </c>
      <c r="AH62" s="555">
        <f t="shared" si="26"/>
        <v>33.749772933289307</v>
      </c>
      <c r="AJ62" s="555">
        <f t="shared" si="27"/>
        <v>3.4442324547380214</v>
      </c>
      <c r="AL62" s="558">
        <f t="shared" si="16"/>
        <v>16387.674607630899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28"/>
        <v>3.8866318080246249</v>
      </c>
      <c r="AS62" s="555"/>
      <c r="AT62" s="558">
        <f t="shared" si="6"/>
        <v>9478.5164974836116</v>
      </c>
      <c r="AV62" s="558">
        <f t="shared" si="7"/>
        <v>21681.150162070127</v>
      </c>
      <c r="AW62" s="560"/>
      <c r="AX62" s="561">
        <f t="shared" si="8"/>
        <v>31159.666659553739</v>
      </c>
      <c r="AZ62" s="430">
        <f>+IF(AZ61&gt;$I$13+$I$14,XX,AZ61+1)</f>
        <v>2043</v>
      </c>
      <c r="BA62" s="503"/>
      <c r="BB62" s="555">
        <f t="shared" si="17"/>
        <v>80.222482565367429</v>
      </c>
      <c r="BD62" s="555">
        <f t="shared" si="18"/>
        <v>12.197282650968651</v>
      </c>
      <c r="BF62" s="558">
        <f t="shared" si="9"/>
        <v>6909.1581101472866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368255.90588235296</v>
      </c>
      <c r="I63" s="726">
        <v>128.40439281167758</v>
      </c>
      <c r="K63" s="625">
        <v>41.316099364335813</v>
      </c>
      <c r="M63" s="553">
        <f t="shared" si="24"/>
        <v>0</v>
      </c>
      <c r="O63" s="625">
        <v>1.0700000000000003</v>
      </c>
      <c r="Q63" s="625">
        <v>0</v>
      </c>
      <c r="S63" s="475">
        <f t="shared" si="20"/>
        <v>28320.966306588991</v>
      </c>
      <c r="U63" s="475">
        <f t="shared" si="21"/>
        <v>31856.089117678694</v>
      </c>
      <c r="W63" s="475">
        <f t="shared" si="22"/>
        <v>-3535.1228110897027</v>
      </c>
      <c r="Y63" s="554">
        <f t="shared" si="23"/>
        <v>-9.5996364338527993</v>
      </c>
      <c r="Z63" s="516"/>
      <c r="AB63" s="423">
        <f>+IF(AB62&gt;$I$13+$I$14,XX,AB62+1)</f>
        <v>2044</v>
      </c>
      <c r="AC63" s="503"/>
      <c r="AD63" s="488">
        <f t="shared" si="4"/>
        <v>368255.90588235296</v>
      </c>
      <c r="AF63" s="555">
        <f t="shared" si="25"/>
        <v>172.36779251742101</v>
      </c>
      <c r="AH63" s="555">
        <f t="shared" si="26"/>
        <v>34.526017710754957</v>
      </c>
      <c r="AJ63" s="555">
        <f t="shared" si="27"/>
        <v>3.5234498011969957</v>
      </c>
      <c r="AL63" s="558">
        <f t="shared" si="16"/>
        <v>16764.591123606406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28"/>
        <v>3.9760243396091908</v>
      </c>
      <c r="AS63" s="555"/>
      <c r="AT63" s="558">
        <f t="shared" si="6"/>
        <v>9696.5223769257318</v>
      </c>
      <c r="AV63" s="558">
        <f t="shared" si="7"/>
        <v>22159.566740752962</v>
      </c>
      <c r="AW63" s="560"/>
      <c r="AX63" s="561">
        <f t="shared" si="8"/>
        <v>31856.089117678694</v>
      </c>
      <c r="AZ63" s="430">
        <f>+IF(AZ62&gt;$I$13+$I$14,XX,AZ62+1)</f>
        <v>2044</v>
      </c>
      <c r="BA63" s="503"/>
      <c r="BB63" s="555">
        <f t="shared" si="17"/>
        <v>82.067599664370874</v>
      </c>
      <c r="BD63" s="555">
        <f t="shared" si="18"/>
        <v>12.477820151940929</v>
      </c>
      <c r="BF63" s="558">
        <f t="shared" si="9"/>
        <v>7068.0687466806739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368255.90588235296</v>
      </c>
      <c r="I64" s="726">
        <v>130.8440762750995</v>
      </c>
      <c r="K64" s="625">
        <v>42.150887765426688</v>
      </c>
      <c r="M64" s="553">
        <f t="shared" si="24"/>
        <v>0</v>
      </c>
      <c r="O64" s="625">
        <v>1.1000000000000001</v>
      </c>
      <c r="Q64" s="625">
        <v>0</v>
      </c>
      <c r="S64" s="475">
        <f t="shared" si="20"/>
        <v>28880.958405508034</v>
      </c>
      <c r="U64" s="475">
        <f t="shared" si="21"/>
        <v>32568.083795089544</v>
      </c>
      <c r="W64" s="475">
        <f t="shared" si="22"/>
        <v>-3687.1253895815098</v>
      </c>
      <c r="Y64" s="554">
        <f t="shared" si="23"/>
        <v>-10.012399884659118</v>
      </c>
      <c r="Z64" s="516"/>
      <c r="AB64" s="423">
        <f>+IF(AB63&gt;$I$13+$I$14,XX,AB63+1)</f>
        <v>2045</v>
      </c>
      <c r="AC64" s="503"/>
      <c r="AD64" s="488">
        <f t="shared" si="4"/>
        <v>368255.90588235296</v>
      </c>
      <c r="AF64" s="555">
        <f t="shared" si="25"/>
        <v>176.33225174532168</v>
      </c>
      <c r="AH64" s="555">
        <f t="shared" si="26"/>
        <v>35.32011611810232</v>
      </c>
      <c r="AJ64" s="555">
        <f t="shared" si="27"/>
        <v>3.6044891466245264</v>
      </c>
      <c r="AL64" s="558">
        <f t="shared" si="16"/>
        <v>17150.176719449351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28"/>
        <v>4.0674728994202018</v>
      </c>
      <c r="AS64" s="555"/>
      <c r="AT64" s="558">
        <f t="shared" si="6"/>
        <v>9919.5423915950232</v>
      </c>
      <c r="AV64" s="558">
        <f t="shared" si="7"/>
        <v>22648.541403494521</v>
      </c>
      <c r="AW64" s="560"/>
      <c r="AX64" s="561">
        <f t="shared" si="8"/>
        <v>32568.083795089544</v>
      </c>
      <c r="AZ64" s="430">
        <f>+IF(AZ63&gt;$I$13+$I$14,XX,AZ63+1)</f>
        <v>2045</v>
      </c>
      <c r="BA64" s="503"/>
      <c r="BB64" s="555">
        <f t="shared" si="17"/>
        <v>83.9551544566514</v>
      </c>
      <c r="BD64" s="555">
        <f t="shared" si="18"/>
        <v>12.764810015435568</v>
      </c>
      <c r="BF64" s="558">
        <f t="shared" si="9"/>
        <v>7230.6343278543291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368255.90588235296</v>
      </c>
      <c r="I65" s="726">
        <v>133.33011372432634</v>
      </c>
      <c r="K65" s="625">
        <v>43.120358184031495</v>
      </c>
      <c r="M65" s="553">
        <f t="shared" si="24"/>
        <v>0</v>
      </c>
      <c r="O65" s="625">
        <v>1.1200000000000001</v>
      </c>
      <c r="Q65" s="625">
        <v>0</v>
      </c>
      <c r="S65" s="475">
        <f t="shared" si="20"/>
        <v>29491.454438328594</v>
      </c>
      <c r="U65" s="475">
        <f t="shared" si="21"/>
        <v>33295.999051890336</v>
      </c>
      <c r="W65" s="475">
        <f t="shared" si="22"/>
        <v>-3804.5446135617422</v>
      </c>
      <c r="Y65" s="554">
        <f t="shared" si="23"/>
        <v>-10.331252134153642</v>
      </c>
      <c r="Z65" s="516"/>
      <c r="AB65" s="423">
        <f>+IF(AB64&gt;$I$13+$I$14,XX,AB64+1)</f>
        <v>2046</v>
      </c>
      <c r="AC65" s="503"/>
      <c r="AD65" s="488">
        <f t="shared" si="4"/>
        <v>368255.90588235296</v>
      </c>
      <c r="AF65" s="555">
        <f t="shared" si="25"/>
        <v>180.38789353546406</v>
      </c>
      <c r="AH65" s="555">
        <f t="shared" si="26"/>
        <v>36.132478788818666</v>
      </c>
      <c r="AJ65" s="555">
        <f t="shared" si="27"/>
        <v>3.68739239699689</v>
      </c>
      <c r="AL65" s="558">
        <f t="shared" si="16"/>
        <v>17544.630783996683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28"/>
        <v>4.1610247761068662</v>
      </c>
      <c r="AS65" s="555"/>
      <c r="AT65" s="558">
        <f t="shared" si="6"/>
        <v>10147.691866601705</v>
      </c>
      <c r="AV65" s="558">
        <f t="shared" si="7"/>
        <v>23148.307185288631</v>
      </c>
      <c r="AW65" s="560"/>
      <c r="AX65" s="561">
        <f t="shared" si="8"/>
        <v>33295.999051890336</v>
      </c>
      <c r="AZ65" s="430">
        <f>+IF(AZ64&gt;$I$13+$I$14,XX,AZ64+1)</f>
        <v>2046</v>
      </c>
      <c r="BA65" s="503"/>
      <c r="BB65" s="555">
        <f t="shared" si="17"/>
        <v>85.886123009154375</v>
      </c>
      <c r="BD65" s="555">
        <f t="shared" si="18"/>
        <v>13.058400645790584</v>
      </c>
      <c r="BF65" s="558">
        <f t="shared" si="9"/>
        <v>7396.9389173949776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368255.90588235296</v>
      </c>
      <c r="I66" s="726">
        <v>135.86338588508852</v>
      </c>
      <c r="K66" s="625">
        <v>44.112126422264218</v>
      </c>
      <c r="M66" s="553">
        <f t="shared" si="24"/>
        <v>0</v>
      </c>
      <c r="O66" s="625">
        <v>1.1499999999999997</v>
      </c>
      <c r="Q66" s="625">
        <v>0</v>
      </c>
      <c r="S66" s="475">
        <f t="shared" si="20"/>
        <v>30118.520570416258</v>
      </c>
      <c r="U66" s="475">
        <f t="shared" si="21"/>
        <v>34040.191044846855</v>
      </c>
      <c r="W66" s="475">
        <f t="shared" si="22"/>
        <v>-3921.6704744305971</v>
      </c>
      <c r="Y66" s="554">
        <f t="shared" si="23"/>
        <v>-10.649307755252828</v>
      </c>
      <c r="Z66" s="516"/>
      <c r="AB66" s="423">
        <f>+IF(AB65&gt;$I$13+$I$14,XX,AB65+1)</f>
        <v>2047</v>
      </c>
      <c r="AC66" s="503"/>
      <c r="AD66" s="488">
        <f t="shared" si="4"/>
        <v>368255.90588235296</v>
      </c>
      <c r="AF66" s="555">
        <f t="shared" si="25"/>
        <v>184.53681508677971</v>
      </c>
      <c r="AH66" s="555">
        <f t="shared" si="26"/>
        <v>36.963525800961492</v>
      </c>
      <c r="AJ66" s="555">
        <f t="shared" si="27"/>
        <v>3.7722024221278181</v>
      </c>
      <c r="AL66" s="558">
        <f t="shared" si="16"/>
        <v>17948.157292028609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28"/>
        <v>4.256728345957324</v>
      </c>
      <c r="AS66" s="555"/>
      <c r="AT66" s="558">
        <f t="shared" si="6"/>
        <v>10381.088779533547</v>
      </c>
      <c r="AV66" s="558">
        <f t="shared" si="7"/>
        <v>23659.102265313304</v>
      </c>
      <c r="AW66" s="560"/>
      <c r="AX66" s="561">
        <f t="shared" si="8"/>
        <v>34040.191044846855</v>
      </c>
      <c r="AZ66" s="430">
        <f>+IF(AZ65&gt;$I$13+$I$14,XX,AZ65+1)</f>
        <v>2047</v>
      </c>
      <c r="BA66" s="503"/>
      <c r="BB66" s="555">
        <f t="shared" si="17"/>
        <v>87.861503838364911</v>
      </c>
      <c r="BD66" s="555">
        <f t="shared" si="18"/>
        <v>13.358743860643767</v>
      </c>
      <c r="BF66" s="558">
        <f t="shared" si="9"/>
        <v>7567.0685124950614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368255.90588235296</v>
      </c>
      <c r="I67" s="726">
        <v>138.44479021690523</v>
      </c>
      <c r="K67" s="625">
        <v>45.250340139099521</v>
      </c>
      <c r="M67" s="553">
        <f t="shared" si="24"/>
        <v>0</v>
      </c>
      <c r="O67" s="625">
        <v>1.17</v>
      </c>
      <c r="Q67" s="625">
        <v>0</v>
      </c>
      <c r="S67" s="475">
        <f t="shared" si="20"/>
        <v>30800.59864076466</v>
      </c>
      <c r="U67" s="475">
        <f t="shared" si="21"/>
        <v>34789.075247833476</v>
      </c>
      <c r="W67" s="475">
        <f t="shared" si="22"/>
        <v>-3988.4766070688165</v>
      </c>
      <c r="Y67" s="554">
        <f t="shared" si="23"/>
        <v>-10.830720005731608</v>
      </c>
      <c r="Z67" s="516"/>
      <c r="AB67" s="423">
        <f>+IF(AB66&gt;$I$13+$I$14,XX,AB66+1)</f>
        <v>2048</v>
      </c>
      <c r="AC67" s="503"/>
      <c r="AD67" s="488">
        <f t="shared" si="4"/>
        <v>368255.90588235296</v>
      </c>
      <c r="AF67" s="555">
        <f t="shared" si="25"/>
        <v>188.59662501868885</v>
      </c>
      <c r="AH67" s="555">
        <f t="shared" si="26"/>
        <v>37.776723368582644</v>
      </c>
      <c r="AJ67" s="555">
        <f t="shared" si="27"/>
        <v>3.85519087541463</v>
      </c>
      <c r="AL67" s="558">
        <f>((AF67+AH67)*$AF$11*1000+AJ67*AD67)/1000</f>
        <v>18343.016752453233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28"/>
        <v>4.3503763695683855</v>
      </c>
      <c r="AS67" s="555"/>
      <c r="AT67" s="558">
        <f t="shared" si="6"/>
        <v>10609.47273268328</v>
      </c>
      <c r="AV67" s="558">
        <f t="shared" si="7"/>
        <v>24179.6025151502</v>
      </c>
      <c r="AW67" s="560"/>
      <c r="AX67" s="561">
        <f t="shared" si="8"/>
        <v>34789.075247833476</v>
      </c>
      <c r="AZ67" s="430">
        <f>+IF(AZ66&gt;$I$13+$I$14,XX,AZ66+1)</f>
        <v>2048</v>
      </c>
      <c r="BA67" s="503"/>
      <c r="BB67" s="555">
        <f t="shared" si="17"/>
        <v>89.794456922808934</v>
      </c>
      <c r="BD67" s="555">
        <f t="shared" si="18"/>
        <v>13.652636225577929</v>
      </c>
      <c r="BF67" s="558">
        <f t="shared" si="9"/>
        <v>7733.5440197699527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306041.45183756563</v>
      </c>
      <c r="I68" s="726">
        <v>117.56270102585535</v>
      </c>
      <c r="K68" s="625">
        <v>38.470516293804778</v>
      </c>
      <c r="M68" s="553">
        <f t="shared" si="24"/>
        <v>0</v>
      </c>
      <c r="O68" s="625">
        <v>1.2000000000000002</v>
      </c>
      <c r="Q68" s="625">
        <v>0</v>
      </c>
      <c r="S68" s="475">
        <f t="shared" si="20"/>
        <v>23779.529803261496</v>
      </c>
      <c r="U68" s="475">
        <f t="shared" si="21"/>
        <v>26259.646536705466</v>
      </c>
      <c r="W68" s="475">
        <f t="shared" si="22"/>
        <v>-2480.1167334439706</v>
      </c>
      <c r="Y68" s="554">
        <f t="shared" si="23"/>
        <v>-8.1038588679820922</v>
      </c>
      <c r="Z68" s="516"/>
      <c r="AB68" s="423">
        <f>+IF(AB67&gt;$I$13+$I$14,XX,AB67+1)</f>
        <v>2049</v>
      </c>
      <c r="AC68" s="503"/>
      <c r="AD68" s="488">
        <f t="shared" si="4"/>
        <v>306041.45183756563</v>
      </c>
      <c r="AF68" s="555">
        <f t="shared" si="25"/>
        <v>192.7457507691</v>
      </c>
      <c r="AH68" s="555">
        <f t="shared" si="26"/>
        <v>38.607811282691465</v>
      </c>
      <c r="AJ68" s="555">
        <f t="shared" si="27"/>
        <v>3.9400050746737518</v>
      </c>
      <c r="AL68" s="558">
        <f>((AF68+AH68)*$AR$11*1000+AJ68*AD68)/1000</f>
        <v>13626.631971571374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28"/>
        <v>4.4460846496988902</v>
      </c>
      <c r="AS68" s="555"/>
      <c r="AT68" s="558">
        <f t="shared" si="6"/>
        <v>5722.949983366484</v>
      </c>
      <c r="AV68" s="558">
        <f t="shared" si="7"/>
        <v>20536.696553338981</v>
      </c>
      <c r="AW68" s="560"/>
      <c r="AX68" s="561">
        <f t="shared" si="8"/>
        <v>26259.646536705466</v>
      </c>
      <c r="AZ68" s="430">
        <f>+IF(AZ67&gt;$I$13+$I$14,XX,AZ67+1)</f>
        <v>2049</v>
      </c>
      <c r="BA68" s="503"/>
      <c r="BB68" s="555">
        <f t="shared" si="17"/>
        <v>91.769934975110729</v>
      </c>
      <c r="BD68" s="555">
        <f t="shared" si="18"/>
        <v>13.952994222540644</v>
      </c>
      <c r="BF68" s="558">
        <f t="shared" si="9"/>
        <v>7903.6819882048903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336774.81011834642</v>
      </c>
      <c r="I70" s="617">
        <f>+-PMT($I$18,41,NPV($I$18,I28:I68))</f>
        <v>238.48553006465005</v>
      </c>
      <c r="J70" s="553"/>
      <c r="K70" s="617">
        <f>+-PMT($I$18,41,NPV($I$18,K28:K68))</f>
        <v>18.501997895371243</v>
      </c>
      <c r="M70" s="553">
        <f>+-PMT($G$18,$G$14,NPV($G$18,M28:M51))</f>
        <v>0</v>
      </c>
      <c r="O70" s="617">
        <f>+-PMT($I$18,41,NPV($I$18,O28:O68))</f>
        <v>3.4222699312433287</v>
      </c>
      <c r="Q70" s="617">
        <f>+-PMT($I$18,41,NPV($I$18,Q28:Q68))</f>
        <v>-28.450025798203445</v>
      </c>
      <c r="S70" s="617">
        <f>+-PMT($I$18,41,NPV($I$18,S28:S68))</f>
        <v>21864.068872841104</v>
      </c>
      <c r="U70" s="617">
        <f>+-PMT($I$18,41,NPV($I$18,U28:U68))</f>
        <v>21008.0821569115</v>
      </c>
      <c r="W70" s="626">
        <f>+-PMT($I$18,41,NPV($I$18,W28:W68))</f>
        <v>855.9867159296133</v>
      </c>
      <c r="Y70" s="617">
        <f>+-PMT($I$18,41,NPV($I$18,Y28:Y68))</f>
        <v>0.42153243388039824</v>
      </c>
      <c r="Z70" s="516"/>
      <c r="AB70" s="526"/>
      <c r="AD70" s="617">
        <f>+-PMT($I$18,41,NPV($I$18,AD28:AD68))</f>
        <v>336774.81011834642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9140.7761505562339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4735.9222136664303</v>
      </c>
      <c r="AV70" s="618">
        <f>+-PMT($I$18,41,NPV($I$18,AV28:AV68))</f>
        <v>16272.159943245058</v>
      </c>
      <c r="AW70" s="560"/>
      <c r="AX70" s="618">
        <f>+-PMT($I$18,41,NPV($I$18,AX28:AX68))</f>
        <v>21008.0821569115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4404.8539368898028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1">
    <tabColor theme="0" tint="-0.249977111117893"/>
    <pageSetUpPr fitToPage="1"/>
  </sheetPr>
  <dimension ref="A1:BH73"/>
  <sheetViews>
    <sheetView topLeftCell="Q29" workbookViewId="0">
      <selection activeCell="AG45" sqref="AG45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5.1640625" style="143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202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22.9</v>
      </c>
      <c r="H11" s="275"/>
      <c r="AB11" s="129" t="s">
        <v>99</v>
      </c>
      <c r="AC11" s="130"/>
      <c r="AD11" s="130"/>
      <c r="AE11" s="130"/>
      <c r="AF11" s="312">
        <f>+G11*(G12/AJ16)</f>
        <v>16.721699883401055</v>
      </c>
      <c r="AG11" s="134"/>
      <c r="AH11" s="130" t="s">
        <v>100</v>
      </c>
      <c r="AI11" s="131"/>
      <c r="AJ11" s="174">
        <f>'(2.1)_Proxy Resources'!$N$96</f>
        <v>10.44</v>
      </c>
      <c r="AK11" s="255"/>
      <c r="AZ11" s="129" t="s">
        <v>99</v>
      </c>
      <c r="BA11" s="130"/>
      <c r="BB11" s="130"/>
      <c r="BC11" s="130"/>
      <c r="BD11" s="141">
        <f>(AF11*AF13-G11*G19)</f>
        <v>8.6952839393685473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0.35049851283984751</v>
      </c>
      <c r="H12" s="275"/>
      <c r="AB12" s="129" t="s">
        <v>32</v>
      </c>
      <c r="AC12" s="130"/>
      <c r="AD12" s="130"/>
      <c r="AE12" s="130"/>
      <c r="AF12" s="138">
        <f>+AD47/8760/AF11</f>
        <v>0.23778955064053911</v>
      </c>
      <c r="AG12" s="134"/>
      <c r="AH12" s="124" t="s">
        <v>101</v>
      </c>
      <c r="AI12" s="125"/>
      <c r="AJ12" s="124">
        <v>2004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2005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Resources'!$O$96</f>
        <v>3.0586666666666669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14</v>
      </c>
      <c r="H14" s="275"/>
      <c r="AB14" s="129" t="s">
        <v>104</v>
      </c>
      <c r="AC14" s="130"/>
      <c r="AD14" s="130"/>
      <c r="AE14" s="130"/>
      <c r="AF14" s="141">
        <f>'(2.1)_Proxy Resources'!$H$96</f>
        <v>7598.6666666666679</v>
      </c>
      <c r="AG14" s="134"/>
      <c r="AH14" s="124"/>
      <c r="AI14" s="125"/>
      <c r="AJ14" s="174"/>
      <c r="AK14" s="255"/>
      <c r="AZ14" s="129" t="s">
        <v>105</v>
      </c>
      <c r="BA14" s="130"/>
      <c r="BB14" s="130"/>
      <c r="BC14" s="130"/>
      <c r="BD14" s="175">
        <f>'(2.1)_Proxy Resources'!$J$97</f>
        <v>408</v>
      </c>
      <c r="BE14" s="139"/>
    </row>
    <row r="15" spans="1:57" ht="12">
      <c r="A15" s="143" t="s">
        <v>199</v>
      </c>
      <c r="B15" s="272"/>
      <c r="C15" s="273" t="s">
        <v>107</v>
      </c>
      <c r="D15" s="273"/>
      <c r="E15" s="273"/>
      <c r="F15" s="273"/>
      <c r="G15" s="314">
        <f>S28*1000/(G11*1000)</f>
        <v>45.891821857092474</v>
      </c>
      <c r="H15" s="275"/>
      <c r="AB15" s="129" t="s">
        <v>200</v>
      </c>
      <c r="AC15" s="130"/>
      <c r="AD15" s="130"/>
      <c r="AE15" s="130"/>
      <c r="AF15" s="175">
        <f>'(2.1)_Proxy Resources'!$J$96</f>
        <v>672.6</v>
      </c>
      <c r="AG15" s="134"/>
      <c r="AH15" s="124" t="s">
        <v>145</v>
      </c>
      <c r="AI15" s="125"/>
      <c r="AJ15" s="174">
        <f>'(2.1)_Proxy Resources'!$P$96</f>
        <v>2.3626666666666671</v>
      </c>
      <c r="AK15" s="255"/>
      <c r="AZ15" s="129" t="s">
        <v>108</v>
      </c>
      <c r="BA15" s="130"/>
      <c r="BB15" s="130"/>
      <c r="BC15" s="130"/>
      <c r="BD15" s="144">
        <f>'(2.1)_Proxy Resources'!$K$97</f>
        <v>7.6700000000000004E-2</v>
      </c>
      <c r="BE15" s="139"/>
    </row>
    <row r="16" spans="1:57" ht="12">
      <c r="A16" s="143" t="s">
        <v>199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Resources'!$K$94</f>
        <v>7.9299999999999995E-2</v>
      </c>
      <c r="AG16" s="134"/>
      <c r="AH16" s="124" t="s">
        <v>110</v>
      </c>
      <c r="AI16" s="131"/>
      <c r="AJ16" s="145">
        <f>'(2.1)_Proxy Resources'!$D$96</f>
        <v>0.48000000000000004</v>
      </c>
      <c r="AK16" s="255"/>
      <c r="AZ16" s="129" t="s">
        <v>100</v>
      </c>
      <c r="BA16" s="131"/>
      <c r="BB16" s="174">
        <f>'(2.1)_Proxy Resources'!$N$97</f>
        <v>10.97</v>
      </c>
      <c r="BC16" s="3"/>
      <c r="BD16" s="3"/>
      <c r="BE16" s="137"/>
    </row>
    <row r="17" spans="1:60" ht="12">
      <c r="A17" s="143" t="s">
        <v>199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2004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v>7.1999999999999995E-2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v>0.35049851283984751</v>
      </c>
      <c r="H19" s="282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2005</v>
      </c>
      <c r="D28" s="6"/>
      <c r="E28" s="292">
        <f>IF(AND(C28&gt;=2003,C28&lt;=2010),'(2.2)_Forward_Price_Curve'!$CI$46,IF(AND(C28&gt;=2011,C28&lt;=2020),'(2.2)_Forward_Price_Curve'!$CI$47,'(2.2)_Forward_Price_Curve'!$CI$48))</f>
        <v>2.0199999999999999E-2</v>
      </c>
      <c r="F28" s="6"/>
      <c r="G28" s="20">
        <v>33467</v>
      </c>
      <c r="H28" s="6"/>
      <c r="I28" s="316">
        <f>$G$15</f>
        <v>45.891821857092474</v>
      </c>
      <c r="J28" s="293"/>
      <c r="K28" s="293">
        <f>$G$16</f>
        <v>0</v>
      </c>
      <c r="L28" s="294"/>
      <c r="M28" s="293">
        <f>$G$17</f>
        <v>0</v>
      </c>
      <c r="N28" s="6"/>
      <c r="O28" s="295"/>
      <c r="P28" s="6"/>
      <c r="Q28" s="30"/>
      <c r="R28" s="6"/>
      <c r="S28" s="20">
        <v>1050.9227205274178</v>
      </c>
      <c r="T28" s="6"/>
      <c r="U28" s="20">
        <f t="shared" ref="U28:U42" si="0">AX28</f>
        <v>2298.9980406941422</v>
      </c>
      <c r="V28" s="6"/>
      <c r="W28" s="20">
        <f t="shared" ref="W28:W42" si="1">S28-U28</f>
        <v>-1248.0753201667244</v>
      </c>
      <c r="X28" s="6"/>
      <c r="Y28" s="296">
        <f>+W28*1000/G28</f>
        <v>-37.29271581458525</v>
      </c>
      <c r="Z28" s="255"/>
      <c r="AB28" s="154">
        <f>$C$28</f>
        <v>2005</v>
      </c>
      <c r="AC28" s="124"/>
      <c r="AD28" s="159">
        <f t="shared" ref="AD28:AD42" si="2">G28</f>
        <v>33467</v>
      </c>
      <c r="AE28" s="3"/>
      <c r="AF28" s="160">
        <f>$AF$15*$AF$16*(1+E28)</f>
        <v>54.414591035999997</v>
      </c>
      <c r="AG28" s="297"/>
      <c r="AH28" s="160">
        <f>$AJ$11*(1+E28)</f>
        <v>10.650888</v>
      </c>
      <c r="AI28" s="297"/>
      <c r="AJ28" s="160">
        <f>$AJ$13*(1+E28)</f>
        <v>3.1204517333333337</v>
      </c>
      <c r="AK28" s="298"/>
      <c r="AL28" s="161">
        <f>((AF28+AH28)*$AF$11*1000+AJ28*AD28)/1000</f>
        <v>1192.4375713691816</v>
      </c>
      <c r="AM28" s="3"/>
      <c r="AN28" s="162">
        <f>INDEX('(2.2)_Forward_Price_Curve'!$J:$J,MATCH($AB28,'(2.2)_Forward_Price_Curve'!$C:$C,0),1)</f>
        <v>5.5083917806249998</v>
      </c>
      <c r="AO28" s="310"/>
      <c r="AP28" s="162">
        <f>AN28*$AF$14/1000</f>
        <v>41.856433010375838</v>
      </c>
      <c r="AQ28" s="297"/>
      <c r="AR28" s="160">
        <f>$AJ$15*(1+E28)</f>
        <v>2.4103925333333338</v>
      </c>
      <c r="AS28" s="160"/>
      <c r="AT28" s="161">
        <f t="shared" ref="AT28:AT42" si="3">AL28-BF28</f>
        <v>817.52019022282707</v>
      </c>
      <c r="AU28" s="298"/>
      <c r="AV28" s="161">
        <f t="shared" ref="AV28:AV42" si="4">(AP28+AR28)*AD28/1000</f>
        <v>1481.4778504713149</v>
      </c>
      <c r="AW28" s="299"/>
      <c r="AX28" s="163">
        <f>AT28+AV28</f>
        <v>2298.9980406941422</v>
      </c>
      <c r="AZ28" s="154">
        <f>$C$28</f>
        <v>2005</v>
      </c>
      <c r="BA28" s="124"/>
      <c r="BB28" s="160">
        <f>$BD$14*$BD$15*(1+E28)</f>
        <v>31.925730720000001</v>
      </c>
      <c r="BC28" s="3"/>
      <c r="BD28" s="160">
        <f>$BB$16*(1+E28)</f>
        <v>11.191594</v>
      </c>
      <c r="BE28" s="297"/>
      <c r="BF28" s="161">
        <f>(BB28+BD28)*$BD$11</f>
        <v>374.91738114635444</v>
      </c>
      <c r="BG28" s="297"/>
      <c r="BH28" s="164"/>
    </row>
    <row r="29" spans="1:60" ht="12">
      <c r="B29" s="2"/>
      <c r="C29" s="6">
        <f>+IF(C28&gt;$G$13+$G$14,XX,C28+1)</f>
        <v>2006</v>
      </c>
      <c r="D29" s="6"/>
      <c r="E29" s="292">
        <f>IF(AND(C29&gt;=2003,C29&lt;=2010),'(2.2)_Forward_Price_Curve'!$CI$46,IF(AND(C29&gt;=2011,C29&lt;=2020),'(2.2)_Forward_Price_Curve'!$CI$47,'(2.2)_Forward_Price_Curve'!$CI$48))</f>
        <v>2.0199999999999999E-2</v>
      </c>
      <c r="F29" s="6"/>
      <c r="G29" s="20">
        <f>$G$28</f>
        <v>33467</v>
      </c>
      <c r="H29" s="6"/>
      <c r="I29" s="30">
        <f>I28*(1+$E29)</f>
        <v>46.81883665860574</v>
      </c>
      <c r="J29" s="6"/>
      <c r="K29" s="30">
        <f>K28*(1+$E29)</f>
        <v>0</v>
      </c>
      <c r="L29" s="6"/>
      <c r="M29" s="30">
        <f>M28*(1+$E29)</f>
        <v>0</v>
      </c>
      <c r="N29" s="6"/>
      <c r="O29" s="295"/>
      <c r="P29" s="6"/>
      <c r="Q29" s="30"/>
      <c r="R29" s="6"/>
      <c r="S29" s="20">
        <v>0</v>
      </c>
      <c r="T29" s="6"/>
      <c r="U29" s="20">
        <f t="shared" si="0"/>
        <v>2200.9033928061058</v>
      </c>
      <c r="V29" s="6"/>
      <c r="W29" s="20">
        <f t="shared" si="1"/>
        <v>-2200.9033928061058</v>
      </c>
      <c r="X29" s="6"/>
      <c r="Y29" s="296">
        <f t="shared" ref="Y29:Y42" si="5">+W29*1000/G29</f>
        <v>-65.763390587925585</v>
      </c>
      <c r="Z29" s="255"/>
      <c r="AB29" s="154">
        <f>+IF(AB28&gt;$G$13+$G$14,XX,AB28+1)</f>
        <v>2006</v>
      </c>
      <c r="AC29" s="124"/>
      <c r="AD29" s="159">
        <f t="shared" si="2"/>
        <v>33467</v>
      </c>
      <c r="AE29" s="3"/>
      <c r="AF29" s="162">
        <f>AF28*(1+$E29)</f>
        <v>55.513765774927194</v>
      </c>
      <c r="AG29" s="3"/>
      <c r="AH29" s="162">
        <f>AH28*(1+$E29)</f>
        <v>10.8660359376</v>
      </c>
      <c r="AI29" s="3"/>
      <c r="AJ29" s="162">
        <f>AJ28*(1+$E29)</f>
        <v>3.1834848583466671</v>
      </c>
      <c r="AK29" s="3"/>
      <c r="AL29" s="161">
        <f t="shared" ref="AL29:AL42" si="6">((AF29+AH29)*$AF$11*1000+AJ29*AD29)/1000</f>
        <v>1216.524810310839</v>
      </c>
      <c r="AM29" s="3"/>
      <c r="AN29" s="162">
        <f>INDEX('(2.2)_Forward_Price_Curve'!$J:$J,MATCH($AB29,'(2.2)_Forward_Price_Curve'!$C:$C,0),1)</f>
        <v>5.0513097146666661</v>
      </c>
      <c r="AO29" s="3"/>
      <c r="AP29" s="162">
        <f t="shared" ref="AP29:AP42" si="7">AN29*$AF$14/1000</f>
        <v>38.38321875184711</v>
      </c>
      <c r="AQ29" s="3"/>
      <c r="AR29" s="162">
        <f>AR28*(1+$E29)</f>
        <v>2.4590824625066672</v>
      </c>
      <c r="AS29" s="162"/>
      <c r="AT29" s="161">
        <f t="shared" si="3"/>
        <v>834.03409806532829</v>
      </c>
      <c r="AU29" s="3"/>
      <c r="AV29" s="161">
        <f t="shared" si="4"/>
        <v>1366.8692947407776</v>
      </c>
      <c r="AW29" s="299"/>
      <c r="AX29" s="163">
        <f t="shared" ref="AX29:AX42" si="8">AT29+AV29</f>
        <v>2200.9033928061058</v>
      </c>
      <c r="AZ29" s="154">
        <f>+IF(AZ28&gt;$G$13+$G$14,XX,AZ28+1)</f>
        <v>2006</v>
      </c>
      <c r="BA29" s="124"/>
      <c r="BB29" s="162">
        <f>BB28*(1+$E29)</f>
        <v>32.570630480543997</v>
      </c>
      <c r="BC29" s="3"/>
      <c r="BD29" s="162">
        <f>BD28*(1+$E29)</f>
        <v>11.417664198800001</v>
      </c>
      <c r="BE29" s="3"/>
      <c r="BF29" s="161">
        <f t="shared" ref="BF29:BF42" si="9">(BB29+BD29)*$BD$11</f>
        <v>382.49071224551074</v>
      </c>
      <c r="BG29" s="3"/>
      <c r="BH29" s="165"/>
    </row>
    <row r="30" spans="1:60" ht="12">
      <c r="B30" s="2"/>
      <c r="C30" s="6">
        <f>+IF(C29&gt;$G$13+$G$14,XX,C29+1)</f>
        <v>2007</v>
      </c>
      <c r="D30" s="6"/>
      <c r="E30" s="292">
        <f>IF(AND(C30&gt;=2003,C30&lt;=2010),'(2.2)_Forward_Price_Curve'!$CI$46,IF(AND(C30&gt;=2011,C30&lt;=2020),'(2.2)_Forward_Price_Curve'!$CI$47,'(2.2)_Forward_Price_Curve'!$CI$48))</f>
        <v>2.0199999999999999E-2</v>
      </c>
      <c r="F30" s="6"/>
      <c r="G30" s="20">
        <f t="shared" ref="G30:G42" si="10">$G$28</f>
        <v>33467</v>
      </c>
      <c r="H30" s="6"/>
      <c r="I30" s="30">
        <f t="shared" ref="I30:I42" si="11">I29*(1+$E30)</f>
        <v>47.764577159109578</v>
      </c>
      <c r="J30" s="6"/>
      <c r="K30" s="30">
        <f t="shared" ref="K30:K42" si="12">K29*(1+$E30)</f>
        <v>0</v>
      </c>
      <c r="L30" s="6"/>
      <c r="M30" s="30">
        <f t="shared" ref="M30:M42" si="13">M29*(1+$E30)</f>
        <v>0</v>
      </c>
      <c r="N30" s="6"/>
      <c r="O30" s="295"/>
      <c r="P30" s="6"/>
      <c r="Q30" s="30"/>
      <c r="R30" s="6"/>
      <c r="S30" s="20">
        <v>0</v>
      </c>
      <c r="T30" s="6"/>
      <c r="U30" s="20">
        <f t="shared" si="0"/>
        <v>2106.5639665532244</v>
      </c>
      <c r="V30" s="6"/>
      <c r="W30" s="20">
        <f t="shared" si="1"/>
        <v>-2106.5639665532244</v>
      </c>
      <c r="X30" s="6"/>
      <c r="Y30" s="296">
        <f t="shared" si="5"/>
        <v>-62.944511505459836</v>
      </c>
      <c r="Z30" s="255"/>
      <c r="AB30" s="154">
        <f>+IF(AB29&gt;$G$13+$G$14,XX,AB29+1)</f>
        <v>2007</v>
      </c>
      <c r="AC30" s="124"/>
      <c r="AD30" s="159">
        <f t="shared" si="2"/>
        <v>33467</v>
      </c>
      <c r="AE30" s="3"/>
      <c r="AF30" s="162">
        <f t="shared" ref="AF30:AF42" si="14">AF29*(1+$E30)</f>
        <v>56.635143843580721</v>
      </c>
      <c r="AG30" s="3"/>
      <c r="AH30" s="162">
        <f t="shared" ref="AH30:AH42" si="15">AH29*(1+$E30)</f>
        <v>11.08552986353952</v>
      </c>
      <c r="AI30" s="3"/>
      <c r="AJ30" s="162">
        <f t="shared" ref="AJ30:AJ42" si="16">AJ29*(1+$E30)</f>
        <v>3.2477912524852699</v>
      </c>
      <c r="AK30" s="3"/>
      <c r="AL30" s="161">
        <f t="shared" si="6"/>
        <v>1241.0986114791181</v>
      </c>
      <c r="AM30" s="3"/>
      <c r="AN30" s="162">
        <f>INDEX('(2.2)_Forward_Price_Curve'!$J:$J,MATCH($AB30,'(2.2)_Forward_Price_Curve'!$C:$C,0),1)</f>
        <v>4.6075531055833343</v>
      </c>
      <c r="AO30" s="3"/>
      <c r="AP30" s="162">
        <f t="shared" si="7"/>
        <v>35.011260198292568</v>
      </c>
      <c r="AQ30" s="3"/>
      <c r="AR30" s="162">
        <f t="shared" ref="AR30:AR42" si="17">AR29*(1+$E30)</f>
        <v>2.5087559282493017</v>
      </c>
      <c r="AS30" s="162"/>
      <c r="AT30" s="161">
        <f t="shared" si="3"/>
        <v>850.88158684624796</v>
      </c>
      <c r="AU30" s="3"/>
      <c r="AV30" s="161">
        <f t="shared" si="4"/>
        <v>1255.6823797069767</v>
      </c>
      <c r="AW30" s="299"/>
      <c r="AX30" s="163">
        <f t="shared" si="8"/>
        <v>2106.5639665532244</v>
      </c>
      <c r="AZ30" s="154">
        <f>+IF(AZ29&gt;$G$13+$G$14,XX,AZ29+1)</f>
        <v>2007</v>
      </c>
      <c r="BA30" s="124"/>
      <c r="BB30" s="162">
        <f t="shared" ref="BB30:BB42" si="18">BB29*(1+$E30)</f>
        <v>33.228557216250984</v>
      </c>
      <c r="BC30" s="3"/>
      <c r="BD30" s="162">
        <f t="shared" ref="BD30:BD42" si="19">BD29*(1+$E30)</f>
        <v>11.648301015615761</v>
      </c>
      <c r="BE30" s="3"/>
      <c r="BF30" s="161">
        <f t="shared" si="9"/>
        <v>390.21702463287011</v>
      </c>
      <c r="BG30" s="3"/>
      <c r="BH30" s="165"/>
    </row>
    <row r="31" spans="1:60" ht="12">
      <c r="B31" s="2"/>
      <c r="C31" s="6">
        <f>+IF(C30&gt;$G$13+$G$14,XX,C30+1)</f>
        <v>2008</v>
      </c>
      <c r="D31" s="6"/>
      <c r="E31" s="292">
        <f>IF(AND(C31&gt;=2003,C31&lt;=2010),'(2.2)_Forward_Price_Curve'!$CI$46,IF(AND(C31&gt;=2011,C31&lt;=2020),'(2.2)_Forward_Price_Curve'!$CI$47,'(2.2)_Forward_Price_Curve'!$CI$48))</f>
        <v>2.0199999999999999E-2</v>
      </c>
      <c r="F31" s="6"/>
      <c r="G31" s="20">
        <f t="shared" si="10"/>
        <v>33467</v>
      </c>
      <c r="H31" s="6"/>
      <c r="I31" s="30">
        <f t="shared" si="11"/>
        <v>48.729421617723588</v>
      </c>
      <c r="J31" s="6"/>
      <c r="K31" s="30">
        <f t="shared" si="12"/>
        <v>0</v>
      </c>
      <c r="L31" s="6"/>
      <c r="M31" s="30">
        <f t="shared" si="13"/>
        <v>0</v>
      </c>
      <c r="N31" s="6"/>
      <c r="O31" s="295"/>
      <c r="P31" s="6"/>
      <c r="Q31" s="30"/>
      <c r="R31" s="6"/>
      <c r="S31" s="20">
        <v>0</v>
      </c>
      <c r="T31" s="6"/>
      <c r="U31" s="20">
        <f t="shared" si="0"/>
        <v>2041.6691006138162</v>
      </c>
      <c r="V31" s="6"/>
      <c r="W31" s="20">
        <f t="shared" si="1"/>
        <v>-2041.6691006138162</v>
      </c>
      <c r="X31" s="6"/>
      <c r="Y31" s="296">
        <f t="shared" si="5"/>
        <v>-61.00544119920567</v>
      </c>
      <c r="Z31" s="255"/>
      <c r="AB31" s="154">
        <f>+IF(AB30&gt;$G$13+$G$14,XX,AB30+1)</f>
        <v>2008</v>
      </c>
      <c r="AC31" s="124"/>
      <c r="AD31" s="159">
        <f t="shared" si="2"/>
        <v>33467</v>
      </c>
      <c r="AE31" s="3"/>
      <c r="AF31" s="162">
        <f t="shared" si="14"/>
        <v>57.779173749221052</v>
      </c>
      <c r="AG31" s="3"/>
      <c r="AH31" s="162">
        <f t="shared" si="15"/>
        <v>11.309457566783019</v>
      </c>
      <c r="AI31" s="3"/>
      <c r="AJ31" s="162">
        <f t="shared" si="16"/>
        <v>3.3133966357854723</v>
      </c>
      <c r="AK31" s="3"/>
      <c r="AL31" s="161">
        <f t="shared" si="6"/>
        <v>1266.1688034309961</v>
      </c>
      <c r="AM31" s="3"/>
      <c r="AN31" s="162">
        <f>INDEX('(2.2)_Forward_Price_Curve'!$J:$J,MATCH($AB31,'(2.2)_Forward_Price_Curve'!$C:$C,0),1)</f>
        <v>4.278110837291667</v>
      </c>
      <c r="AO31" s="3"/>
      <c r="AP31" s="162">
        <f t="shared" si="7"/>
        <v>32.507938215633615</v>
      </c>
      <c r="AQ31" s="3"/>
      <c r="AR31" s="162">
        <f t="shared" si="17"/>
        <v>2.5594327979999374</v>
      </c>
      <c r="AS31" s="162"/>
      <c r="AT31" s="161">
        <f t="shared" si="3"/>
        <v>868.06939490054208</v>
      </c>
      <c r="AU31" s="3"/>
      <c r="AV31" s="161">
        <f t="shared" si="4"/>
        <v>1173.5997057132743</v>
      </c>
      <c r="AW31" s="299"/>
      <c r="AX31" s="163">
        <f t="shared" si="8"/>
        <v>2041.6691006138162</v>
      </c>
      <c r="AZ31" s="154">
        <f>+IF(AZ30&gt;$G$13+$G$14,XX,AZ30+1)</f>
        <v>2008</v>
      </c>
      <c r="BA31" s="124"/>
      <c r="BB31" s="162">
        <f t="shared" si="18"/>
        <v>33.899774072019255</v>
      </c>
      <c r="BC31" s="3"/>
      <c r="BD31" s="162">
        <f t="shared" si="19"/>
        <v>11.8835966961312</v>
      </c>
      <c r="BE31" s="3"/>
      <c r="BF31" s="161">
        <f t="shared" si="9"/>
        <v>398.09940853045407</v>
      </c>
      <c r="BG31" s="3"/>
      <c r="BH31" s="165"/>
    </row>
    <row r="32" spans="1:60" ht="12">
      <c r="B32" s="2"/>
      <c r="C32" s="6">
        <f>+IF(C31&gt;$G$13+$G$14,XX,C31+1)</f>
        <v>2009</v>
      </c>
      <c r="D32" s="6"/>
      <c r="E32" s="292">
        <f>IF(AND(C32&gt;=2003,C32&lt;=2010),'(2.2)_Forward_Price_Curve'!$CI$46,IF(AND(C32&gt;=2011,C32&lt;=2020),'(2.2)_Forward_Price_Curve'!$CI$47,'(2.2)_Forward_Price_Curve'!$CI$48))</f>
        <v>2.0199999999999999E-2</v>
      </c>
      <c r="F32" s="6"/>
      <c r="G32" s="20">
        <f t="shared" si="10"/>
        <v>33467</v>
      </c>
      <c r="H32" s="6"/>
      <c r="I32" s="30">
        <f t="shared" si="11"/>
        <v>49.713755934401604</v>
      </c>
      <c r="J32" s="6"/>
      <c r="K32" s="30">
        <f t="shared" si="12"/>
        <v>0</v>
      </c>
      <c r="L32" s="6"/>
      <c r="M32" s="30">
        <f t="shared" si="13"/>
        <v>0</v>
      </c>
      <c r="N32" s="6"/>
      <c r="O32" s="295"/>
      <c r="P32" s="6"/>
      <c r="Q32" s="30"/>
      <c r="R32" s="6"/>
      <c r="S32" s="20">
        <v>0</v>
      </c>
      <c r="T32" s="6"/>
      <c r="U32" s="20">
        <f t="shared" si="0"/>
        <v>2042.7610859525498</v>
      </c>
      <c r="V32" s="6"/>
      <c r="W32" s="20">
        <f t="shared" si="1"/>
        <v>-2042.7610859525498</v>
      </c>
      <c r="X32" s="6"/>
      <c r="Y32" s="296">
        <f t="shared" si="5"/>
        <v>-61.038069918204492</v>
      </c>
      <c r="Z32" s="255"/>
      <c r="AB32" s="154">
        <f>+IF(AB31&gt;$G$13+$G$14,XX,AB31+1)</f>
        <v>2009</v>
      </c>
      <c r="AC32" s="124"/>
      <c r="AD32" s="159">
        <f t="shared" si="2"/>
        <v>33467</v>
      </c>
      <c r="AE32" s="3"/>
      <c r="AF32" s="162">
        <f t="shared" si="14"/>
        <v>58.946313058955319</v>
      </c>
      <c r="AG32" s="3"/>
      <c r="AH32" s="162">
        <f t="shared" si="15"/>
        <v>11.537908609632035</v>
      </c>
      <c r="AI32" s="3"/>
      <c r="AJ32" s="162">
        <f t="shared" si="16"/>
        <v>3.3803272478283386</v>
      </c>
      <c r="AK32" s="3"/>
      <c r="AL32" s="161">
        <f t="shared" si="6"/>
        <v>1291.7454132603023</v>
      </c>
      <c r="AM32" s="3"/>
      <c r="AN32" s="162">
        <f>INDEX('(2.2)_Forward_Price_Curve'!$J:$J,MATCH($AB32,'(2.2)_Forward_Price_Curve'!$C:$C,0),1)</f>
        <v>4.2066481892916672</v>
      </c>
      <c r="AO32" s="3"/>
      <c r="AP32" s="162">
        <f t="shared" si="7"/>
        <v>31.964917374364287</v>
      </c>
      <c r="AQ32" s="3"/>
      <c r="AR32" s="162">
        <f t="shared" si="17"/>
        <v>2.6111333405195363</v>
      </c>
      <c r="AS32" s="162"/>
      <c r="AT32" s="161">
        <f t="shared" si="3"/>
        <v>885.60439667753303</v>
      </c>
      <c r="AU32" s="3"/>
      <c r="AV32" s="161">
        <f t="shared" si="4"/>
        <v>1157.1566892750168</v>
      </c>
      <c r="AW32" s="299"/>
      <c r="AX32" s="163">
        <f t="shared" si="8"/>
        <v>2042.7610859525498</v>
      </c>
      <c r="AZ32" s="154">
        <f>+IF(AZ31&gt;$G$13+$G$14,XX,AZ31+1)</f>
        <v>2009</v>
      </c>
      <c r="BA32" s="124"/>
      <c r="BB32" s="162">
        <f t="shared" si="18"/>
        <v>34.584549508274044</v>
      </c>
      <c r="BC32" s="3"/>
      <c r="BD32" s="162">
        <f t="shared" si="19"/>
        <v>12.123645349393049</v>
      </c>
      <c r="BE32" s="3"/>
      <c r="BF32" s="161">
        <f t="shared" si="9"/>
        <v>406.14101658276928</v>
      </c>
      <c r="BG32" s="3"/>
      <c r="BH32" s="165"/>
    </row>
    <row r="33" spans="2:60" ht="12">
      <c r="B33" s="2"/>
      <c r="C33" s="6">
        <f>+IF(C32&gt;$G$13+$G$14,XX,C32+1)</f>
        <v>2010</v>
      </c>
      <c r="D33" s="6"/>
      <c r="E33" s="292">
        <f>IF(AND(C33&gt;=2003,C33&lt;=2010),'(2.2)_Forward_Price_Curve'!$CI$46,IF(AND(C33&gt;=2011,C33&lt;=2020),'(2.2)_Forward_Price_Curve'!$CI$47,'(2.2)_Forward_Price_Curve'!$CI$48))</f>
        <v>2.0199999999999999E-2</v>
      </c>
      <c r="F33" s="6"/>
      <c r="G33" s="20">
        <f t="shared" si="10"/>
        <v>33467</v>
      </c>
      <c r="H33" s="6"/>
      <c r="I33" s="30">
        <f t="shared" si="11"/>
        <v>50.717973804276518</v>
      </c>
      <c r="J33" s="6"/>
      <c r="K33" s="30">
        <f t="shared" si="12"/>
        <v>0</v>
      </c>
      <c r="L33" s="6"/>
      <c r="M33" s="30">
        <f t="shared" si="13"/>
        <v>0</v>
      </c>
      <c r="N33" s="6"/>
      <c r="O33" s="295"/>
      <c r="P33" s="6"/>
      <c r="Q33" s="30"/>
      <c r="R33" s="6"/>
      <c r="S33" s="20">
        <v>0</v>
      </c>
      <c r="T33" s="6"/>
      <c r="U33" s="20">
        <f t="shared" si="0"/>
        <v>2095.2573861433398</v>
      </c>
      <c r="V33" s="6"/>
      <c r="W33" s="20">
        <f t="shared" si="1"/>
        <v>-2095.2573861433398</v>
      </c>
      <c r="X33" s="6"/>
      <c r="Y33" s="296">
        <f t="shared" si="5"/>
        <v>-62.606668842242797</v>
      </c>
      <c r="Z33" s="255"/>
      <c r="AB33" s="154">
        <f>+IF(AB32&gt;$G$13+$G$14,XX,AB32+1)</f>
        <v>2010</v>
      </c>
      <c r="AC33" s="124"/>
      <c r="AD33" s="159">
        <f t="shared" si="2"/>
        <v>33467</v>
      </c>
      <c r="AE33" s="3"/>
      <c r="AF33" s="162">
        <f t="shared" si="14"/>
        <v>60.137028582746218</v>
      </c>
      <c r="AG33" s="3"/>
      <c r="AH33" s="162">
        <f t="shared" si="15"/>
        <v>11.770974363546602</v>
      </c>
      <c r="AI33" s="3"/>
      <c r="AJ33" s="162">
        <f t="shared" si="16"/>
        <v>3.4486098582344709</v>
      </c>
      <c r="AK33" s="3"/>
      <c r="AL33" s="161">
        <f t="shared" si="6"/>
        <v>1317.8386706081606</v>
      </c>
      <c r="AM33" s="3"/>
      <c r="AN33" s="162">
        <f>INDEX('(2.2)_Forward_Price_Curve'!$J:$J,MATCH($AB33,'(2.2)_Forward_Price_Curve'!$C:$C,0),1)</f>
        <v>4.3357920622499995</v>
      </c>
      <c r="AO33" s="3"/>
      <c r="AP33" s="162">
        <f t="shared" si="7"/>
        <v>32.946238617017002</v>
      </c>
      <c r="AQ33" s="3"/>
      <c r="AR33" s="162">
        <f t="shared" si="17"/>
        <v>2.6638782339980307</v>
      </c>
      <c r="AS33" s="162"/>
      <c r="AT33" s="161">
        <f t="shared" si="3"/>
        <v>903.49360549041944</v>
      </c>
      <c r="AU33" s="3"/>
      <c r="AV33" s="161">
        <f t="shared" si="4"/>
        <v>1191.7637806529203</v>
      </c>
      <c r="AW33" s="299"/>
      <c r="AX33" s="163">
        <f t="shared" si="8"/>
        <v>2095.2573861433398</v>
      </c>
      <c r="AZ33" s="154">
        <f>+IF(AZ32&gt;$G$13+$G$14,XX,AZ32+1)</f>
        <v>2010</v>
      </c>
      <c r="BA33" s="124"/>
      <c r="BB33" s="162">
        <f t="shared" si="18"/>
        <v>35.283157408341182</v>
      </c>
      <c r="BC33" s="3"/>
      <c r="BD33" s="162">
        <f t="shared" si="19"/>
        <v>12.368542985450789</v>
      </c>
      <c r="BE33" s="3"/>
      <c r="BF33" s="161">
        <f t="shared" si="9"/>
        <v>414.34506511774117</v>
      </c>
      <c r="BG33" s="3"/>
      <c r="BH33" s="165"/>
    </row>
    <row r="34" spans="2:60" ht="12">
      <c r="B34" s="2"/>
      <c r="C34" s="6">
        <f>+IF(C33&gt;$G$13+$G$14,XX,C33+1)</f>
        <v>2011</v>
      </c>
      <c r="D34" s="6"/>
      <c r="E34" s="292">
        <f>IF(AND(C34&gt;=2003,C34&lt;=2010),'(2.2)_Forward_Price_Curve'!$CI$46,IF(AND(C34&gt;=2011,C34&lt;=2020),'(2.2)_Forward_Price_Curve'!$CI$47,'(2.2)_Forward_Price_Curve'!$CI$48))</f>
        <v>2.9399999999999999E-2</v>
      </c>
      <c r="F34" s="6"/>
      <c r="G34" s="20">
        <f t="shared" si="10"/>
        <v>33467</v>
      </c>
      <c r="H34" s="6"/>
      <c r="I34" s="30">
        <f t="shared" si="11"/>
        <v>52.209082234122249</v>
      </c>
      <c r="J34" s="6"/>
      <c r="K34" s="30">
        <f t="shared" si="12"/>
        <v>0</v>
      </c>
      <c r="L34" s="6"/>
      <c r="M34" s="30">
        <f t="shared" si="13"/>
        <v>0</v>
      </c>
      <c r="N34" s="6"/>
      <c r="O34" s="295"/>
      <c r="P34" s="6"/>
      <c r="Q34" s="30"/>
      <c r="R34" s="6"/>
      <c r="S34" s="20">
        <v>0</v>
      </c>
      <c r="T34" s="6"/>
      <c r="U34" s="20">
        <f t="shared" si="0"/>
        <v>2139.7099373881629</v>
      </c>
      <c r="V34" s="6"/>
      <c r="W34" s="20">
        <f t="shared" si="1"/>
        <v>-2139.7099373881629</v>
      </c>
      <c r="X34" s="6"/>
      <c r="Y34" s="296">
        <f t="shared" si="5"/>
        <v>-63.934919096069649</v>
      </c>
      <c r="Z34" s="255"/>
      <c r="AB34" s="154">
        <f>+IF(AB33&gt;$G$13+$G$14,XX,AB33+1)</f>
        <v>2011</v>
      </c>
      <c r="AC34" s="124"/>
      <c r="AD34" s="159">
        <f t="shared" si="2"/>
        <v>33467</v>
      </c>
      <c r="AE34" s="3"/>
      <c r="AF34" s="162">
        <f t="shared" si="14"/>
        <v>61.905057223078963</v>
      </c>
      <c r="AG34" s="3"/>
      <c r="AH34" s="162">
        <f t="shared" si="15"/>
        <v>12.117041009834873</v>
      </c>
      <c r="AI34" s="3"/>
      <c r="AJ34" s="162">
        <f t="shared" si="16"/>
        <v>3.5499989880665646</v>
      </c>
      <c r="AK34" s="3"/>
      <c r="AL34" s="161">
        <f t="shared" si="6"/>
        <v>1356.5831275240405</v>
      </c>
      <c r="AM34" s="3"/>
      <c r="AN34" s="162">
        <f>INDEX('(2.2)_Forward_Price_Curve'!$J:$J,MATCH($AB34,'(2.2)_Forward_Price_Curve'!$C:$C,0),1)</f>
        <v>4.395833333333333</v>
      </c>
      <c r="AO34" s="3"/>
      <c r="AP34" s="162">
        <f t="shared" si="7"/>
        <v>33.402472222222229</v>
      </c>
      <c r="AQ34" s="3"/>
      <c r="AR34" s="162">
        <f t="shared" si="17"/>
        <v>2.7421962540775731</v>
      </c>
      <c r="AS34" s="162"/>
      <c r="AT34" s="161">
        <f t="shared" si="3"/>
        <v>930.0563174918376</v>
      </c>
      <c r="AU34" s="3"/>
      <c r="AV34" s="161">
        <f t="shared" si="4"/>
        <v>1209.6536198963254</v>
      </c>
      <c r="AW34" s="299"/>
      <c r="AX34" s="163">
        <f t="shared" si="8"/>
        <v>2139.7099373881629</v>
      </c>
      <c r="AZ34" s="154">
        <f>+IF(AZ33&gt;$G$13+$G$14,XX,AZ33+1)</f>
        <v>2011</v>
      </c>
      <c r="BA34" s="124"/>
      <c r="BB34" s="162">
        <f t="shared" si="18"/>
        <v>36.320482236146418</v>
      </c>
      <c r="BC34" s="3"/>
      <c r="BD34" s="162">
        <f t="shared" si="19"/>
        <v>12.732178149223044</v>
      </c>
      <c r="BE34" s="3"/>
      <c r="BF34" s="161">
        <f t="shared" si="9"/>
        <v>426.52681003220289</v>
      </c>
      <c r="BG34" s="3"/>
      <c r="BH34" s="165"/>
    </row>
    <row r="35" spans="2:60" ht="12">
      <c r="B35" s="2"/>
      <c r="C35" s="6">
        <f>+IF(C34&gt;$G$13+$G$14,XX,C34+1)</f>
        <v>2012</v>
      </c>
      <c r="D35" s="6"/>
      <c r="E35" s="292">
        <f>IF(AND(C35&gt;=2003,C35&lt;=2010),'(2.2)_Forward_Price_Curve'!$CI$46,IF(AND(C35&gt;=2011,C35&lt;=2020),'(2.2)_Forward_Price_Curve'!$CI$47,'(2.2)_Forward_Price_Curve'!$CI$48))</f>
        <v>2.9399999999999999E-2</v>
      </c>
      <c r="F35" s="6"/>
      <c r="G35" s="20">
        <f t="shared" si="10"/>
        <v>33467</v>
      </c>
      <c r="H35" s="6"/>
      <c r="I35" s="30">
        <f t="shared" si="11"/>
        <v>53.744029251805451</v>
      </c>
      <c r="J35" s="6"/>
      <c r="K35" s="30">
        <f t="shared" si="12"/>
        <v>0</v>
      </c>
      <c r="L35" s="6"/>
      <c r="M35" s="30">
        <f t="shared" si="13"/>
        <v>0</v>
      </c>
      <c r="N35" s="6"/>
      <c r="O35" s="295"/>
      <c r="P35" s="6"/>
      <c r="Q35" s="30"/>
      <c r="R35" s="6"/>
      <c r="S35" s="20">
        <v>0</v>
      </c>
      <c r="T35" s="6"/>
      <c r="U35" s="20">
        <f t="shared" si="0"/>
        <v>2179.5000638653696</v>
      </c>
      <c r="V35" s="6"/>
      <c r="W35" s="20">
        <f t="shared" si="1"/>
        <v>-2179.5000638653696</v>
      </c>
      <c r="X35" s="6"/>
      <c r="Y35" s="296">
        <f t="shared" si="5"/>
        <v>-65.123855256382996</v>
      </c>
      <c r="Z35" s="255"/>
      <c r="AB35" s="154">
        <f>+IF(AB34&gt;$G$13+$G$14,XX,AB34+1)</f>
        <v>2012</v>
      </c>
      <c r="AC35" s="124"/>
      <c r="AD35" s="159">
        <f t="shared" si="2"/>
        <v>33467</v>
      </c>
      <c r="AE35" s="3"/>
      <c r="AF35" s="162">
        <f t="shared" si="14"/>
        <v>63.725065905437489</v>
      </c>
      <c r="AG35" s="3"/>
      <c r="AH35" s="162">
        <f t="shared" si="15"/>
        <v>12.473282015524019</v>
      </c>
      <c r="AI35" s="3"/>
      <c r="AJ35" s="162">
        <f t="shared" si="16"/>
        <v>3.6543689583157217</v>
      </c>
      <c r="AK35" s="3"/>
      <c r="AL35" s="161">
        <f t="shared" si="6"/>
        <v>1396.4666714732475</v>
      </c>
      <c r="AM35" s="3"/>
      <c r="AN35" s="162">
        <f>INDEX('(2.2)_Forward_Price_Curve'!$J:$J,MATCH($AB35,'(2.2)_Forward_Price_Curve'!$C:$C,0),1)</f>
        <v>4.4341666666666661</v>
      </c>
      <c r="AO35" s="3"/>
      <c r="AP35" s="162">
        <f t="shared" si="7"/>
        <v>33.693754444444444</v>
      </c>
      <c r="AQ35" s="3"/>
      <c r="AR35" s="162">
        <f t="shared" si="17"/>
        <v>2.8228168239474538</v>
      </c>
      <c r="AS35" s="162"/>
      <c r="AT35" s="161">
        <f t="shared" si="3"/>
        <v>957.39997322609793</v>
      </c>
      <c r="AU35" s="3"/>
      <c r="AV35" s="161">
        <f t="shared" si="4"/>
        <v>1222.1000906392717</v>
      </c>
      <c r="AW35" s="299"/>
      <c r="AX35" s="163">
        <f t="shared" si="8"/>
        <v>2179.5000638653696</v>
      </c>
      <c r="AZ35" s="154">
        <f>+IF(AZ34&gt;$G$13+$G$14,XX,AZ34+1)</f>
        <v>2012</v>
      </c>
      <c r="BA35" s="124"/>
      <c r="BB35" s="162">
        <f t="shared" si="18"/>
        <v>37.388304413889124</v>
      </c>
      <c r="BC35" s="3"/>
      <c r="BD35" s="162">
        <f t="shared" si="19"/>
        <v>13.106504186810202</v>
      </c>
      <c r="BE35" s="3"/>
      <c r="BF35" s="161">
        <f t="shared" si="9"/>
        <v>439.06669824714965</v>
      </c>
      <c r="BG35" s="3"/>
      <c r="BH35" s="165"/>
    </row>
    <row r="36" spans="2:60" ht="12">
      <c r="B36" s="2"/>
      <c r="C36" s="6">
        <f>+IF(C35&gt;$G$13+$G$14,XX,C35+1)</f>
        <v>2013</v>
      </c>
      <c r="D36" s="6"/>
      <c r="E36" s="292">
        <f>IF(AND(C36&gt;=2003,C36&lt;=2010),'(2.2)_Forward_Price_Curve'!$CI$46,IF(AND(C36&gt;=2011,C36&lt;=2020),'(2.2)_Forward_Price_Curve'!$CI$47,'(2.2)_Forward_Price_Curve'!$CI$48))</f>
        <v>2.9399999999999999E-2</v>
      </c>
      <c r="F36" s="6"/>
      <c r="G36" s="20">
        <f t="shared" si="10"/>
        <v>33467</v>
      </c>
      <c r="H36" s="6"/>
      <c r="I36" s="30">
        <f t="shared" si="11"/>
        <v>55.324103711808533</v>
      </c>
      <c r="J36" s="6"/>
      <c r="K36" s="30">
        <f t="shared" si="12"/>
        <v>0</v>
      </c>
      <c r="L36" s="6"/>
      <c r="M36" s="30">
        <f t="shared" si="13"/>
        <v>0</v>
      </c>
      <c r="N36" s="6"/>
      <c r="O36" s="295"/>
      <c r="P36" s="6"/>
      <c r="Q36" s="30"/>
      <c r="R36" s="6"/>
      <c r="S36" s="20">
        <v>0</v>
      </c>
      <c r="T36" s="6"/>
      <c r="U36" s="20">
        <f t="shared" si="0"/>
        <v>2243.1667910029073</v>
      </c>
      <c r="V36" s="6"/>
      <c r="W36" s="20">
        <f t="shared" si="1"/>
        <v>-2243.1667910029073</v>
      </c>
      <c r="X36" s="6"/>
      <c r="Y36" s="296">
        <f t="shared" si="5"/>
        <v>-67.02622855358733</v>
      </c>
      <c r="Z36" s="255"/>
      <c r="AB36" s="154">
        <f>+IF(AB35&gt;$G$13+$G$14,XX,AB35+1)</f>
        <v>2013</v>
      </c>
      <c r="AC36" s="124"/>
      <c r="AD36" s="159">
        <f t="shared" si="2"/>
        <v>33467</v>
      </c>
      <c r="AE36" s="3"/>
      <c r="AF36" s="162">
        <f t="shared" si="14"/>
        <v>65.598582843057358</v>
      </c>
      <c r="AG36" s="3"/>
      <c r="AH36" s="162">
        <f t="shared" si="15"/>
        <v>12.839996506780427</v>
      </c>
      <c r="AI36" s="3"/>
      <c r="AJ36" s="162">
        <f t="shared" si="16"/>
        <v>3.7618074056902042</v>
      </c>
      <c r="AK36" s="3"/>
      <c r="AL36" s="161">
        <f t="shared" si="6"/>
        <v>1437.5227916145609</v>
      </c>
      <c r="AM36" s="3"/>
      <c r="AN36" s="162">
        <f>INDEX('(2.2)_Forward_Price_Curve'!$J:$J,MATCH($AB36,'(2.2)_Forward_Price_Curve'!$C:$C,0),1)</f>
        <v>4.5629166666666672</v>
      </c>
      <c r="AO36" s="3"/>
      <c r="AP36" s="162">
        <f t="shared" si="7"/>
        <v>34.672082777777788</v>
      </c>
      <c r="AQ36" s="3"/>
      <c r="AR36" s="162">
        <f t="shared" si="17"/>
        <v>2.9058076385715093</v>
      </c>
      <c r="AS36" s="162"/>
      <c r="AT36" s="161">
        <f t="shared" si="3"/>
        <v>985.54753243894504</v>
      </c>
      <c r="AU36" s="3"/>
      <c r="AV36" s="161">
        <f t="shared" si="4"/>
        <v>1257.6192585639621</v>
      </c>
      <c r="AW36" s="299"/>
      <c r="AX36" s="163">
        <f t="shared" si="8"/>
        <v>2243.1667910029073</v>
      </c>
      <c r="AZ36" s="154">
        <f>+IF(AZ35&gt;$G$13+$G$14,XX,AZ35+1)</f>
        <v>2013</v>
      </c>
      <c r="BA36" s="124"/>
      <c r="BB36" s="162">
        <f t="shared" si="18"/>
        <v>38.487520563657469</v>
      </c>
      <c r="BC36" s="3"/>
      <c r="BD36" s="162">
        <f t="shared" si="19"/>
        <v>13.491835409902423</v>
      </c>
      <c r="BE36" s="3"/>
      <c r="BF36" s="161">
        <f t="shared" si="9"/>
        <v>451.97525917561586</v>
      </c>
      <c r="BG36" s="3"/>
      <c r="BH36" s="165"/>
    </row>
    <row r="37" spans="2:60" ht="12">
      <c r="B37" s="2"/>
      <c r="C37" s="6">
        <f>+IF(C36&gt;$G$13+$G$14,XX,C36+1)</f>
        <v>2014</v>
      </c>
      <c r="D37" s="6"/>
      <c r="E37" s="292">
        <f>IF(AND(C37&gt;=2003,C37&lt;=2010),'(2.2)_Forward_Price_Curve'!$CI$46,IF(AND(C37&gt;=2011,C37&lt;=2020),'(2.2)_Forward_Price_Curve'!$CI$47,'(2.2)_Forward_Price_Curve'!$CI$48))</f>
        <v>2.9399999999999999E-2</v>
      </c>
      <c r="F37" s="6"/>
      <c r="G37" s="20">
        <f t="shared" si="10"/>
        <v>33467</v>
      </c>
      <c r="H37" s="6"/>
      <c r="I37" s="30">
        <f t="shared" si="11"/>
        <v>56.950632360935707</v>
      </c>
      <c r="J37" s="6"/>
      <c r="K37" s="30">
        <f t="shared" si="12"/>
        <v>0</v>
      </c>
      <c r="L37" s="6"/>
      <c r="M37" s="30">
        <f t="shared" si="13"/>
        <v>0</v>
      </c>
      <c r="N37" s="6"/>
      <c r="O37" s="295"/>
      <c r="P37" s="6"/>
      <c r="Q37" s="30"/>
      <c r="R37" s="6"/>
      <c r="S37" s="20">
        <v>0</v>
      </c>
      <c r="T37" s="6"/>
      <c r="U37" s="20">
        <f t="shared" si="0"/>
        <v>2322.7890676758257</v>
      </c>
      <c r="V37" s="6"/>
      <c r="W37" s="20">
        <f t="shared" si="1"/>
        <v>-2322.7890676758257</v>
      </c>
      <c r="X37" s="6"/>
      <c r="Y37" s="296">
        <f t="shared" si="5"/>
        <v>-69.405356550507236</v>
      </c>
      <c r="Z37" s="255"/>
      <c r="AB37" s="154">
        <f>+IF(AB36&gt;$G$13+$G$14,XX,AB36+1)</f>
        <v>2014</v>
      </c>
      <c r="AC37" s="124"/>
      <c r="AD37" s="159">
        <f t="shared" si="2"/>
        <v>33467</v>
      </c>
      <c r="AE37" s="3"/>
      <c r="AF37" s="162">
        <f t="shared" si="14"/>
        <v>67.527181178643247</v>
      </c>
      <c r="AG37" s="3"/>
      <c r="AH37" s="162">
        <f t="shared" si="15"/>
        <v>13.217492404079772</v>
      </c>
      <c r="AI37" s="3"/>
      <c r="AJ37" s="162">
        <f t="shared" si="16"/>
        <v>3.8724045434174967</v>
      </c>
      <c r="AK37" s="3"/>
      <c r="AL37" s="161">
        <f t="shared" si="6"/>
        <v>1479.7859616880291</v>
      </c>
      <c r="AM37" s="3"/>
      <c r="AN37" s="162">
        <f>INDEX('(2.2)_Forward_Price_Curve'!$J:$J,MATCH($AB37,'(2.2)_Forward_Price_Curve'!$C:$C,0),1)</f>
        <v>4.7508333333333326</v>
      </c>
      <c r="AO37" s="3"/>
      <c r="AP37" s="162">
        <f t="shared" si="7"/>
        <v>36.099998888888891</v>
      </c>
      <c r="AQ37" s="3"/>
      <c r="AR37" s="162">
        <f t="shared" si="17"/>
        <v>2.9912383831455118</v>
      </c>
      <c r="AS37" s="162"/>
      <c r="AT37" s="161">
        <f t="shared" si="3"/>
        <v>1014.5226298926501</v>
      </c>
      <c r="AU37" s="3"/>
      <c r="AV37" s="161">
        <f t="shared" si="4"/>
        <v>1308.2664377831754</v>
      </c>
      <c r="AW37" s="299"/>
      <c r="AX37" s="163">
        <f t="shared" si="8"/>
        <v>2322.7890676758257</v>
      </c>
      <c r="AZ37" s="154">
        <f>+IF(AZ36&gt;$G$13+$G$14,XX,AZ36+1)</f>
        <v>2014</v>
      </c>
      <c r="BA37" s="124"/>
      <c r="BB37" s="162">
        <f t="shared" si="18"/>
        <v>39.619053668229</v>
      </c>
      <c r="BC37" s="3"/>
      <c r="BD37" s="162">
        <f t="shared" si="19"/>
        <v>13.888495370953555</v>
      </c>
      <c r="BE37" s="3"/>
      <c r="BF37" s="161">
        <f t="shared" si="9"/>
        <v>465.26333179537903</v>
      </c>
      <c r="BG37" s="3"/>
      <c r="BH37" s="165"/>
    </row>
    <row r="38" spans="2:60" ht="12">
      <c r="B38" s="2"/>
      <c r="C38" s="6">
        <f>+IF(C37&gt;$G$13+$G$14,XX,C37+1)</f>
        <v>2015</v>
      </c>
      <c r="D38" s="6"/>
      <c r="E38" s="292">
        <f>IF(AND(C38&gt;=2003,C38&lt;=2010),'(2.2)_Forward_Price_Curve'!$CI$46,IF(AND(C38&gt;=2011,C38&lt;=2020),'(2.2)_Forward_Price_Curve'!$CI$47,'(2.2)_Forward_Price_Curve'!$CI$48))</f>
        <v>2.9399999999999999E-2</v>
      </c>
      <c r="F38" s="6"/>
      <c r="G38" s="20">
        <f t="shared" si="10"/>
        <v>33467</v>
      </c>
      <c r="H38" s="6"/>
      <c r="I38" s="30">
        <f t="shared" si="11"/>
        <v>58.624980952347222</v>
      </c>
      <c r="J38" s="6"/>
      <c r="K38" s="30">
        <f t="shared" si="12"/>
        <v>0</v>
      </c>
      <c r="L38" s="6"/>
      <c r="M38" s="30">
        <f t="shared" si="13"/>
        <v>0</v>
      </c>
      <c r="N38" s="6"/>
      <c r="O38" s="295"/>
      <c r="P38" s="6"/>
      <c r="Q38" s="30"/>
      <c r="R38" s="6"/>
      <c r="S38" s="20">
        <v>0</v>
      </c>
      <c r="T38" s="6"/>
      <c r="U38" s="20">
        <f t="shared" si="0"/>
        <v>2381.0956195526392</v>
      </c>
      <c r="V38" s="6"/>
      <c r="W38" s="20">
        <f t="shared" si="1"/>
        <v>-2381.0956195526392</v>
      </c>
      <c r="X38" s="6"/>
      <c r="Y38" s="296">
        <f t="shared" si="5"/>
        <v>-71.147566843536595</v>
      </c>
      <c r="Z38" s="255"/>
      <c r="AB38" s="154">
        <f>+IF(AB37&gt;$G$13+$G$14,XX,AB37+1)</f>
        <v>2015</v>
      </c>
      <c r="AC38" s="124"/>
      <c r="AD38" s="159">
        <f t="shared" si="2"/>
        <v>33467</v>
      </c>
      <c r="AE38" s="3"/>
      <c r="AF38" s="162">
        <f t="shared" si="14"/>
        <v>69.512480305295369</v>
      </c>
      <c r="AG38" s="3"/>
      <c r="AH38" s="162">
        <f t="shared" si="15"/>
        <v>13.606086680759718</v>
      </c>
      <c r="AI38" s="3"/>
      <c r="AJ38" s="162">
        <f t="shared" si="16"/>
        <v>3.9862532369939716</v>
      </c>
      <c r="AK38" s="3"/>
      <c r="AL38" s="161">
        <f t="shared" si="6"/>
        <v>1523.2916689616573</v>
      </c>
      <c r="AM38" s="3"/>
      <c r="AN38" s="162">
        <f>INDEX('(2.2)_Forward_Price_Curve'!$J:$J,MATCH($AB38,'(2.2)_Forward_Price_Curve'!$C:$C,0),1)</f>
        <v>4.8512499999999994</v>
      </c>
      <c r="AO38" s="3"/>
      <c r="AP38" s="162">
        <f t="shared" si="7"/>
        <v>36.863031666666672</v>
      </c>
      <c r="AQ38" s="3"/>
      <c r="AR38" s="162">
        <f t="shared" si="17"/>
        <v>3.07918079160999</v>
      </c>
      <c r="AS38" s="162"/>
      <c r="AT38" s="161">
        <f t="shared" si="3"/>
        <v>1044.349595211494</v>
      </c>
      <c r="AU38" s="3"/>
      <c r="AV38" s="161">
        <f t="shared" si="4"/>
        <v>1336.7460243411451</v>
      </c>
      <c r="AW38" s="299"/>
      <c r="AX38" s="163">
        <f t="shared" si="8"/>
        <v>2381.0956195526392</v>
      </c>
      <c r="AZ38" s="154">
        <f>+IF(AZ37&gt;$G$13+$G$14,XX,AZ37+1)</f>
        <v>2015</v>
      </c>
      <c r="BA38" s="124"/>
      <c r="BB38" s="162">
        <f t="shared" si="18"/>
        <v>40.783853846074933</v>
      </c>
      <c r="BC38" s="3"/>
      <c r="BD38" s="162">
        <f t="shared" si="19"/>
        <v>14.296817134859591</v>
      </c>
      <c r="BE38" s="3"/>
      <c r="BF38" s="161">
        <f t="shared" si="9"/>
        <v>478.94207375016322</v>
      </c>
      <c r="BG38" s="3"/>
      <c r="BH38" s="165"/>
    </row>
    <row r="39" spans="2:60" ht="12">
      <c r="B39" s="2"/>
      <c r="C39" s="6">
        <f>+IF(C38&gt;$G$13+$G$14,XX,C38+1)</f>
        <v>2016</v>
      </c>
      <c r="D39" s="6"/>
      <c r="E39" s="292">
        <f>IF(AND(C39&gt;=2003,C39&lt;=2010),'(2.2)_Forward_Price_Curve'!$CI$46,IF(AND(C39&gt;=2011,C39&lt;=2020),'(2.2)_Forward_Price_Curve'!$CI$47,'(2.2)_Forward_Price_Curve'!$CI$48))</f>
        <v>2.9399999999999999E-2</v>
      </c>
      <c r="F39" s="6"/>
      <c r="G39" s="20">
        <f t="shared" si="10"/>
        <v>33467</v>
      </c>
      <c r="H39" s="6"/>
      <c r="I39" s="30">
        <f t="shared" si="11"/>
        <v>60.348555392346235</v>
      </c>
      <c r="J39" s="6"/>
      <c r="K39" s="30">
        <f t="shared" si="12"/>
        <v>0</v>
      </c>
      <c r="L39" s="6"/>
      <c r="M39" s="30">
        <f t="shared" si="13"/>
        <v>0</v>
      </c>
      <c r="N39" s="6"/>
      <c r="O39" s="295"/>
      <c r="P39" s="6"/>
      <c r="Q39" s="30"/>
      <c r="R39" s="6"/>
      <c r="S39" s="20">
        <v>0</v>
      </c>
      <c r="T39" s="6"/>
      <c r="U39" s="20">
        <f t="shared" si="0"/>
        <v>2453.5046831950881</v>
      </c>
      <c r="V39" s="6"/>
      <c r="W39" s="20">
        <f t="shared" si="1"/>
        <v>-2453.5046831950881</v>
      </c>
      <c r="X39" s="6"/>
      <c r="Y39" s="296">
        <f t="shared" si="5"/>
        <v>-73.311162733292136</v>
      </c>
      <c r="Z39" s="255"/>
      <c r="AB39" s="154">
        <f>+IF(AB38&gt;$G$13+$G$14,XX,AB38+1)</f>
        <v>2016</v>
      </c>
      <c r="AC39" s="124"/>
      <c r="AD39" s="159">
        <f t="shared" si="2"/>
        <v>33467</v>
      </c>
      <c r="AE39" s="3"/>
      <c r="AF39" s="162">
        <f t="shared" si="14"/>
        <v>71.556147226271065</v>
      </c>
      <c r="AG39" s="3"/>
      <c r="AH39" s="162">
        <f t="shared" si="15"/>
        <v>14.006105629174055</v>
      </c>
      <c r="AI39" s="3"/>
      <c r="AJ39" s="162">
        <f t="shared" si="16"/>
        <v>4.1034490821615943</v>
      </c>
      <c r="AK39" s="3"/>
      <c r="AL39" s="161">
        <f t="shared" si="6"/>
        <v>1568.0764440291305</v>
      </c>
      <c r="AM39" s="3"/>
      <c r="AN39" s="162">
        <f>INDEX('(2.2)_Forward_Price_Curve'!$J:$J,MATCH($AB39,'(2.2)_Forward_Price_Curve'!$C:$C,0),1)</f>
        <v>5.003333333333333</v>
      </c>
      <c r="AO39" s="3"/>
      <c r="AP39" s="162">
        <f t="shared" si="7"/>
        <v>38.018662222222225</v>
      </c>
      <c r="AQ39" s="3"/>
      <c r="AR39" s="162">
        <f t="shared" si="17"/>
        <v>3.1697087068833238</v>
      </c>
      <c r="AS39" s="162"/>
      <c r="AT39" s="161">
        <f t="shared" si="3"/>
        <v>1075.0534733107124</v>
      </c>
      <c r="AU39" s="3"/>
      <c r="AV39" s="161">
        <f t="shared" si="4"/>
        <v>1378.4512098843757</v>
      </c>
      <c r="AW39" s="299"/>
      <c r="AX39" s="163">
        <f t="shared" si="8"/>
        <v>2453.5046831950881</v>
      </c>
      <c r="AZ39" s="154">
        <f>+IF(AZ38&gt;$G$13+$G$14,XX,AZ38+1)</f>
        <v>2016</v>
      </c>
      <c r="BA39" s="124"/>
      <c r="BB39" s="162">
        <f t="shared" si="18"/>
        <v>41.982899149149539</v>
      </c>
      <c r="BC39" s="3"/>
      <c r="BD39" s="162">
        <f t="shared" si="19"/>
        <v>14.717143558624464</v>
      </c>
      <c r="BE39" s="3"/>
      <c r="BF39" s="161">
        <f t="shared" si="9"/>
        <v>493.02297071841798</v>
      </c>
      <c r="BG39" s="3"/>
      <c r="BH39" s="165"/>
    </row>
    <row r="40" spans="2:60" ht="12">
      <c r="B40" s="2"/>
      <c r="C40" s="6">
        <f>+IF(C39&gt;$G$13+$G$14,XX,C39+1)</f>
        <v>2017</v>
      </c>
      <c r="D40" s="6"/>
      <c r="E40" s="292">
        <f>IF(AND(C40&gt;=2003,C40&lt;=2010),'(2.2)_Forward_Price_Curve'!$CI$46,IF(AND(C40&gt;=2011,C40&lt;=2020),'(2.2)_Forward_Price_Curve'!$CI$47,'(2.2)_Forward_Price_Curve'!$CI$48))</f>
        <v>2.9399999999999999E-2</v>
      </c>
      <c r="F40" s="6"/>
      <c r="G40" s="20">
        <f t="shared" si="10"/>
        <v>33467</v>
      </c>
      <c r="H40" s="6"/>
      <c r="I40" s="30">
        <f t="shared" si="11"/>
        <v>62.12280292088122</v>
      </c>
      <c r="J40" s="6"/>
      <c r="K40" s="30">
        <f t="shared" si="12"/>
        <v>0</v>
      </c>
      <c r="L40" s="6"/>
      <c r="M40" s="30">
        <f t="shared" si="13"/>
        <v>0</v>
      </c>
      <c r="N40" s="6"/>
      <c r="O40" s="295"/>
      <c r="P40" s="6"/>
      <c r="Q40" s="30"/>
      <c r="R40" s="6"/>
      <c r="S40" s="20">
        <v>0</v>
      </c>
      <c r="T40" s="6"/>
      <c r="U40" s="20">
        <f t="shared" si="0"/>
        <v>2528.6008778161117</v>
      </c>
      <c r="V40" s="6"/>
      <c r="W40" s="20">
        <f t="shared" si="1"/>
        <v>-2528.6008778161117</v>
      </c>
      <c r="X40" s="6"/>
      <c r="Y40" s="296">
        <f t="shared" si="5"/>
        <v>-75.555050581650931</v>
      </c>
      <c r="Z40" s="255"/>
      <c r="AB40" s="154">
        <f>+IF(AB39&gt;$G$13+$G$14,XX,AB39+1)</f>
        <v>2017</v>
      </c>
      <c r="AC40" s="124"/>
      <c r="AD40" s="159">
        <f t="shared" si="2"/>
        <v>33467</v>
      </c>
      <c r="AE40" s="3"/>
      <c r="AF40" s="162">
        <f t="shared" si="14"/>
        <v>73.659897954723448</v>
      </c>
      <c r="AG40" s="3"/>
      <c r="AH40" s="162">
        <f t="shared" si="15"/>
        <v>14.417885134671774</v>
      </c>
      <c r="AI40" s="3"/>
      <c r="AJ40" s="162">
        <f t="shared" si="16"/>
        <v>4.2240904851771459</v>
      </c>
      <c r="AK40" s="3"/>
      <c r="AL40" s="161">
        <f t="shared" si="6"/>
        <v>1614.1778914835872</v>
      </c>
      <c r="AM40" s="3"/>
      <c r="AN40" s="162">
        <f>INDEX('(2.2)_Forward_Price_Curve'!$J:$J,MATCH($AB40,'(2.2)_Forward_Price_Curve'!$C:$C,0),1)</f>
        <v>5.1620833333333334</v>
      </c>
      <c r="AO40" s="3"/>
      <c r="AP40" s="162">
        <f t="shared" si="7"/>
        <v>39.224950555555559</v>
      </c>
      <c r="AQ40" s="3"/>
      <c r="AR40" s="162">
        <f t="shared" si="17"/>
        <v>3.2628981428656938</v>
      </c>
      <c r="AS40" s="162"/>
      <c r="AT40" s="161">
        <f t="shared" si="3"/>
        <v>1106.6600454260476</v>
      </c>
      <c r="AU40" s="3"/>
      <c r="AV40" s="161">
        <f t="shared" si="4"/>
        <v>1421.9408323900641</v>
      </c>
      <c r="AW40" s="299"/>
      <c r="AX40" s="163">
        <f t="shared" si="8"/>
        <v>2528.6008778161117</v>
      </c>
      <c r="AZ40" s="154">
        <f>+IF(AZ39&gt;$G$13+$G$14,XX,AZ39+1)</f>
        <v>2017</v>
      </c>
      <c r="BA40" s="124"/>
      <c r="BB40" s="162">
        <f t="shared" si="18"/>
        <v>43.217196384134539</v>
      </c>
      <c r="BC40" s="3"/>
      <c r="BD40" s="162">
        <f t="shared" si="19"/>
        <v>15.149827579248024</v>
      </c>
      <c r="BE40" s="3"/>
      <c r="BF40" s="161">
        <f t="shared" si="9"/>
        <v>507.51784605753954</v>
      </c>
      <c r="BG40" s="3"/>
      <c r="BH40" s="165"/>
    </row>
    <row r="41" spans="2:60" ht="12">
      <c r="B41" s="2"/>
      <c r="C41" s="6">
        <f>+IF(C40&gt;$G$13+$G$14,XX,C40+1)</f>
        <v>2018</v>
      </c>
      <c r="D41" s="6"/>
      <c r="E41" s="292">
        <f>IF(AND(C41&gt;=2003,C41&lt;=2010),'(2.2)_Forward_Price_Curve'!$CI$46,IF(AND(C41&gt;=2011,C41&lt;=2020),'(2.2)_Forward_Price_Curve'!$CI$47,'(2.2)_Forward_Price_Curve'!$CI$48))</f>
        <v>2.9399999999999999E-2</v>
      </c>
      <c r="F41" s="6"/>
      <c r="G41" s="20">
        <f t="shared" si="10"/>
        <v>33467</v>
      </c>
      <c r="H41" s="6"/>
      <c r="I41" s="30">
        <f t="shared" si="11"/>
        <v>63.949213326755135</v>
      </c>
      <c r="J41" s="6"/>
      <c r="K41" s="30">
        <f t="shared" si="12"/>
        <v>0</v>
      </c>
      <c r="L41" s="6"/>
      <c r="M41" s="30">
        <f t="shared" si="13"/>
        <v>0</v>
      </c>
      <c r="N41" s="6"/>
      <c r="O41" s="295"/>
      <c r="P41" s="6"/>
      <c r="Q41" s="30"/>
      <c r="R41" s="6"/>
      <c r="S41" s="20">
        <v>0</v>
      </c>
      <c r="T41" s="6"/>
      <c r="U41" s="20">
        <f t="shared" si="0"/>
        <v>2607.8968047371009</v>
      </c>
      <c r="V41" s="6"/>
      <c r="W41" s="20">
        <f t="shared" si="1"/>
        <v>-2607.8968047371009</v>
      </c>
      <c r="X41" s="6"/>
      <c r="Y41" s="296">
        <f t="shared" si="5"/>
        <v>-77.924427189084795</v>
      </c>
      <c r="Z41" s="255"/>
      <c r="AB41" s="154">
        <f>+IF(AB40&gt;$G$13+$G$14,XX,AB40+1)</f>
        <v>2018</v>
      </c>
      <c r="AC41" s="124"/>
      <c r="AD41" s="159">
        <f t="shared" si="2"/>
        <v>33467</v>
      </c>
      <c r="AE41" s="3"/>
      <c r="AF41" s="162">
        <f t="shared" si="14"/>
        <v>75.825498954592319</v>
      </c>
      <c r="AG41" s="3"/>
      <c r="AH41" s="162">
        <f t="shared" si="15"/>
        <v>14.841770957631125</v>
      </c>
      <c r="AI41" s="3"/>
      <c r="AJ41" s="162">
        <f t="shared" si="16"/>
        <v>4.3482787454413545</v>
      </c>
      <c r="AK41" s="3"/>
      <c r="AL41" s="161">
        <f t="shared" si="6"/>
        <v>1661.6347214932046</v>
      </c>
      <c r="AM41" s="3"/>
      <c r="AN41" s="162">
        <f>INDEX('(2.2)_Forward_Price_Curve'!$J:$J,MATCH($AB41,'(2.2)_Forward_Price_Curve'!$C:$C,0),1)</f>
        <v>5.333333333333333</v>
      </c>
      <c r="AO41" s="3"/>
      <c r="AP41" s="162">
        <f t="shared" si="7"/>
        <v>40.526222222222223</v>
      </c>
      <c r="AQ41" s="3"/>
      <c r="AR41" s="162">
        <f t="shared" si="17"/>
        <v>3.3588273482659456</v>
      </c>
      <c r="AS41" s="162"/>
      <c r="AT41" s="161">
        <f t="shared" si="3"/>
        <v>1139.1958507615732</v>
      </c>
      <c r="AU41" s="3"/>
      <c r="AV41" s="161">
        <f t="shared" si="4"/>
        <v>1468.7009539755275</v>
      </c>
      <c r="AW41" s="299"/>
      <c r="AX41" s="163">
        <f t="shared" si="8"/>
        <v>2607.8968047371009</v>
      </c>
      <c r="AZ41" s="154">
        <f>+IF(AZ40&gt;$G$13+$G$14,XX,AZ40+1)</f>
        <v>2018</v>
      </c>
      <c r="BA41" s="124"/>
      <c r="BB41" s="162">
        <f t="shared" si="18"/>
        <v>44.487781957828098</v>
      </c>
      <c r="BC41" s="3"/>
      <c r="BD41" s="162">
        <f t="shared" si="19"/>
        <v>15.595232510077917</v>
      </c>
      <c r="BE41" s="3"/>
      <c r="BF41" s="161">
        <f t="shared" si="9"/>
        <v>522.43887073163125</v>
      </c>
      <c r="BG41" s="3"/>
      <c r="BH41" s="165"/>
    </row>
    <row r="42" spans="2:60" ht="12">
      <c r="B42" s="2"/>
      <c r="C42" s="6">
        <f>+IF(C41&gt;$G$13+$G$14,XX,C41+1)</f>
        <v>2019</v>
      </c>
      <c r="D42" s="6"/>
      <c r="E42" s="292">
        <f>IF(AND(C42&gt;=2003,C42&lt;=2010),'(2.2)_Forward_Price_Curve'!$CI$46,IF(AND(C42&gt;=2011,C42&lt;=2020),'(2.2)_Forward_Price_Curve'!$CI$47,'(2.2)_Forward_Price_Curve'!$CI$48))</f>
        <v>2.9399999999999999E-2</v>
      </c>
      <c r="F42" s="6"/>
      <c r="G42" s="20">
        <f t="shared" si="10"/>
        <v>33467</v>
      </c>
      <c r="H42" s="6"/>
      <c r="I42" s="30">
        <f t="shared" si="11"/>
        <v>65.829320198561746</v>
      </c>
      <c r="J42" s="6"/>
      <c r="K42" s="30">
        <f t="shared" si="12"/>
        <v>0</v>
      </c>
      <c r="L42" s="6"/>
      <c r="M42" s="30">
        <f t="shared" si="13"/>
        <v>0</v>
      </c>
      <c r="N42" s="6"/>
      <c r="O42" s="295"/>
      <c r="P42" s="6"/>
      <c r="Q42" s="30"/>
      <c r="R42" s="6"/>
      <c r="S42" s="20">
        <v>0</v>
      </c>
      <c r="T42" s="6"/>
      <c r="U42" s="20">
        <f t="shared" si="0"/>
        <v>2690.8926779527274</v>
      </c>
      <c r="V42" s="6"/>
      <c r="W42" s="20">
        <f t="shared" si="1"/>
        <v>-2690.8926779527274</v>
      </c>
      <c r="X42" s="6"/>
      <c r="Y42" s="296">
        <f t="shared" si="5"/>
        <v>-80.404358859555003</v>
      </c>
      <c r="Z42" s="255"/>
      <c r="AB42" s="154">
        <f>+IF(AB41&gt;$G$13+$G$14,XX,AB41+1)</f>
        <v>2019</v>
      </c>
      <c r="AC42" s="124"/>
      <c r="AD42" s="159">
        <f t="shared" si="2"/>
        <v>33467</v>
      </c>
      <c r="AE42" s="3"/>
      <c r="AF42" s="162">
        <f t="shared" si="14"/>
        <v>78.054768623857342</v>
      </c>
      <c r="AG42" s="3"/>
      <c r="AH42" s="162">
        <f t="shared" si="15"/>
        <v>15.278119023785482</v>
      </c>
      <c r="AI42" s="3"/>
      <c r="AJ42" s="162">
        <f t="shared" si="16"/>
        <v>4.4761181405573307</v>
      </c>
      <c r="AK42" s="3"/>
      <c r="AL42" s="161">
        <f t="shared" si="6"/>
        <v>1710.486782305105</v>
      </c>
      <c r="AM42" s="3"/>
      <c r="AN42" s="162">
        <f>INDEX('(2.2)_Forward_Price_Curve'!$J:$J,MATCH($AB42,'(2.2)_Forward_Price_Curve'!$C:$C,0),1)</f>
        <v>5.5149999999999997</v>
      </c>
      <c r="AO42" s="3"/>
      <c r="AP42" s="162">
        <f t="shared" si="7"/>
        <v>41.906646666666667</v>
      </c>
      <c r="AQ42" s="3"/>
      <c r="AR42" s="162">
        <f t="shared" si="17"/>
        <v>3.4575768723049647</v>
      </c>
      <c r="AS42" s="162"/>
      <c r="AT42" s="161">
        <f t="shared" si="3"/>
        <v>1172.6882087739637</v>
      </c>
      <c r="AU42" s="3"/>
      <c r="AV42" s="161">
        <f t="shared" si="4"/>
        <v>1518.2044691787635</v>
      </c>
      <c r="AW42" s="299"/>
      <c r="AX42" s="163">
        <f t="shared" si="8"/>
        <v>2690.8926779527274</v>
      </c>
      <c r="AZ42" s="154">
        <f>+IF(AZ41&gt;$G$13+$G$14,XX,AZ41+1)</f>
        <v>2019</v>
      </c>
      <c r="BA42" s="124"/>
      <c r="BB42" s="162">
        <f t="shared" si="18"/>
        <v>45.795722747388247</v>
      </c>
      <c r="BC42" s="3"/>
      <c r="BD42" s="162">
        <f t="shared" si="19"/>
        <v>16.053732345874209</v>
      </c>
      <c r="BE42" s="3"/>
      <c r="BF42" s="161">
        <f t="shared" si="9"/>
        <v>537.79857353114119</v>
      </c>
      <c r="BG42" s="3"/>
      <c r="BH42" s="165"/>
    </row>
    <row r="43" spans="2:60" ht="12">
      <c r="B43" s="2"/>
      <c r="C43" s="6"/>
      <c r="D43" s="6"/>
      <c r="E43" s="292"/>
      <c r="F43" s="6"/>
      <c r="G43" s="20"/>
      <c r="H43" s="6"/>
      <c r="I43" s="30"/>
      <c r="J43" s="6"/>
      <c r="K43" s="30"/>
      <c r="L43" s="6"/>
      <c r="M43" s="30"/>
      <c r="N43" s="6"/>
      <c r="O43" s="295"/>
      <c r="P43" s="6"/>
      <c r="Q43" s="30"/>
      <c r="R43" s="6"/>
      <c r="S43" s="20"/>
      <c r="T43" s="6"/>
      <c r="U43" s="20"/>
      <c r="V43" s="6"/>
      <c r="W43" s="20"/>
      <c r="X43" s="6"/>
      <c r="Y43" s="296"/>
      <c r="Z43" s="255"/>
      <c r="AB43" s="154"/>
      <c r="AC43" s="124"/>
      <c r="AD43" s="159"/>
      <c r="AE43" s="3"/>
      <c r="AF43" s="162"/>
      <c r="AG43" s="3"/>
      <c r="AH43" s="162"/>
      <c r="AI43" s="3"/>
      <c r="AJ43" s="162"/>
      <c r="AK43" s="3"/>
      <c r="AL43" s="161"/>
      <c r="AM43" s="3"/>
      <c r="AN43" s="162"/>
      <c r="AO43" s="3"/>
      <c r="AP43" s="162"/>
      <c r="AQ43" s="3"/>
      <c r="AR43" s="162"/>
      <c r="AS43" s="162"/>
      <c r="AT43" s="161"/>
      <c r="AU43" s="3"/>
      <c r="AV43" s="161"/>
      <c r="AW43" s="299"/>
      <c r="AX43" s="163"/>
      <c r="AZ43" s="154"/>
      <c r="BA43" s="124"/>
      <c r="BB43" s="162"/>
      <c r="BC43" s="3"/>
      <c r="BD43" s="162"/>
      <c r="BE43" s="3"/>
      <c r="BF43" s="161"/>
      <c r="BG43" s="3"/>
      <c r="BH43" s="165"/>
    </row>
    <row r="44" spans="2:60" ht="12">
      <c r="B44" s="2"/>
      <c r="C44" s="6"/>
      <c r="D44" s="6"/>
      <c r="E44" s="292"/>
      <c r="F44" s="6"/>
      <c r="G44" s="20"/>
      <c r="H44" s="6"/>
      <c r="I44" s="30"/>
      <c r="J44" s="6"/>
      <c r="K44" s="30"/>
      <c r="L44" s="6"/>
      <c r="M44" s="30"/>
      <c r="N44" s="6"/>
      <c r="O44" s="295"/>
      <c r="P44" s="6"/>
      <c r="Q44" s="30"/>
      <c r="R44" s="6"/>
      <c r="S44" s="20"/>
      <c r="T44" s="6"/>
      <c r="U44" s="20"/>
      <c r="V44" s="6"/>
      <c r="W44" s="20"/>
      <c r="X44" s="6"/>
      <c r="Y44" s="296"/>
      <c r="Z44" s="255"/>
      <c r="AB44" s="154"/>
      <c r="AC44" s="124"/>
      <c r="AD44" s="159"/>
      <c r="AE44" s="3"/>
      <c r="AF44" s="162"/>
      <c r="AG44" s="3"/>
      <c r="AH44" s="162"/>
      <c r="AI44" s="3"/>
      <c r="AJ44" s="162"/>
      <c r="AK44" s="3"/>
      <c r="AL44" s="161"/>
      <c r="AM44" s="3"/>
      <c r="AN44" s="162"/>
      <c r="AO44" s="3"/>
      <c r="AP44" s="162"/>
      <c r="AQ44" s="3"/>
      <c r="AR44" s="162"/>
      <c r="AS44" s="162"/>
      <c r="AT44" s="161"/>
      <c r="AU44" s="3"/>
      <c r="AV44" s="161"/>
      <c r="AW44" s="299"/>
      <c r="AX44" s="163"/>
      <c r="AZ44" s="154"/>
      <c r="BA44" s="124"/>
      <c r="BB44" s="162"/>
      <c r="BC44" s="3"/>
      <c r="BD44" s="162"/>
      <c r="BE44" s="3"/>
      <c r="BF44" s="161"/>
      <c r="BG44" s="3"/>
      <c r="BH44" s="165"/>
    </row>
    <row r="45" spans="2:60">
      <c r="B45" s="2"/>
      <c r="C45" s="6"/>
      <c r="D45" s="3"/>
      <c r="E45" s="178"/>
      <c r="F45" s="3"/>
      <c r="G45" s="290"/>
      <c r="H45" s="3"/>
      <c r="I45" s="290"/>
      <c r="J45" s="3"/>
      <c r="K45" s="290"/>
      <c r="L45" s="3"/>
      <c r="M45" s="290"/>
      <c r="N45" s="3"/>
      <c r="O45" s="290"/>
      <c r="P45" s="3"/>
      <c r="Q45" s="290"/>
      <c r="R45" s="3"/>
      <c r="S45" s="290"/>
      <c r="T45" s="3"/>
      <c r="U45" s="290"/>
      <c r="V45" s="3"/>
      <c r="W45" s="290"/>
      <c r="X45" s="3"/>
      <c r="Y45" s="300"/>
      <c r="Z45" s="255"/>
      <c r="AB45" s="2"/>
      <c r="AC45" s="3"/>
      <c r="AD45" s="3"/>
      <c r="AE45" s="3"/>
      <c r="AF45" s="301"/>
      <c r="AG45" s="3"/>
      <c r="AH45" s="301"/>
      <c r="AI45" s="3"/>
      <c r="AJ45" s="301"/>
      <c r="AK45" s="3"/>
      <c r="AL45" s="299"/>
      <c r="AM45" s="3"/>
      <c r="AN45" s="301"/>
      <c r="AO45" s="3"/>
      <c r="AP45" s="301"/>
      <c r="AQ45" s="3"/>
      <c r="AR45" s="301"/>
      <c r="AS45" s="301"/>
      <c r="AT45" s="301"/>
      <c r="AU45" s="3"/>
      <c r="AV45" s="299"/>
      <c r="AW45" s="299"/>
      <c r="AX45" s="302"/>
      <c r="AZ45" s="2"/>
      <c r="BA45" s="3"/>
      <c r="BB45" s="301"/>
      <c r="BC45" s="3"/>
      <c r="BD45" s="3"/>
      <c r="BE45" s="3"/>
      <c r="BF45" s="299"/>
      <c r="BG45" s="3"/>
      <c r="BH45" s="255"/>
    </row>
    <row r="46" spans="2:60">
      <c r="B46" s="2"/>
      <c r="C46" s="6"/>
      <c r="D46" s="3"/>
      <c r="E46" s="178"/>
      <c r="F46" s="3"/>
      <c r="G46" s="290"/>
      <c r="H46" s="3"/>
      <c r="I46" s="290"/>
      <c r="J46" s="3"/>
      <c r="K46" s="290"/>
      <c r="L46" s="3"/>
      <c r="M46" s="290"/>
      <c r="N46" s="3"/>
      <c r="O46" s="290"/>
      <c r="P46" s="3"/>
      <c r="Q46" s="290"/>
      <c r="R46" s="3"/>
      <c r="S46" s="290"/>
      <c r="T46" s="3"/>
      <c r="U46" s="290"/>
      <c r="V46" s="3"/>
      <c r="W46" s="290"/>
      <c r="X46" s="3"/>
      <c r="Y46" s="300"/>
      <c r="Z46" s="255"/>
      <c r="AB46" s="2"/>
      <c r="AC46" s="3"/>
      <c r="AD46" s="3"/>
      <c r="AE46" s="3"/>
      <c r="AF46" s="301"/>
      <c r="AG46" s="3"/>
      <c r="AH46" s="301"/>
      <c r="AI46" s="3"/>
      <c r="AJ46" s="301"/>
      <c r="AK46" s="3"/>
      <c r="AL46" s="299"/>
      <c r="AM46" s="3"/>
      <c r="AN46" s="301"/>
      <c r="AO46" s="3"/>
      <c r="AP46" s="301"/>
      <c r="AQ46" s="3"/>
      <c r="AR46" s="301"/>
      <c r="AS46" s="301"/>
      <c r="AT46" s="301"/>
      <c r="AU46" s="3"/>
      <c r="AV46" s="299"/>
      <c r="AW46" s="299"/>
      <c r="AX46" s="302"/>
      <c r="AZ46" s="2"/>
      <c r="BA46" s="3"/>
      <c r="BB46" s="301"/>
      <c r="BC46" s="3"/>
      <c r="BD46" s="3"/>
      <c r="BE46" s="3"/>
      <c r="BF46" s="299"/>
      <c r="BG46" s="3"/>
      <c r="BH46" s="255"/>
    </row>
    <row r="47" spans="2:60" ht="12">
      <c r="B47" s="2"/>
      <c r="C47" s="303" t="str">
        <f>G14&amp;"-year Nominal Levelized at "&amp;TEXT($G$18,"#.00%")</f>
        <v>14-year Nominal Levelized at 7.20%</v>
      </c>
      <c r="E47" s="178"/>
      <c r="F47" s="3"/>
      <c r="G47" s="317">
        <f>+-PMT($G$18,$G$14,NPV($G$18,G28:G42))</f>
        <v>34831.910590686253</v>
      </c>
      <c r="H47" s="6"/>
      <c r="I47" s="30">
        <f>+-PMT($G$18,$G$14,NPV($G$18,I28:I42))</f>
        <v>54.929909651973666</v>
      </c>
      <c r="J47" s="30"/>
      <c r="K47" s="30">
        <f>+-PMT($G$18,$G$14,NPV($G$18,K28:K42))</f>
        <v>0</v>
      </c>
      <c r="L47" s="6"/>
      <c r="M47" s="30">
        <f>+-PMT($G$18,$G$14,NPV($G$18,M28:M43))</f>
        <v>0</v>
      </c>
      <c r="N47" s="6"/>
      <c r="O47" s="30">
        <f>+-PMT($G$18,$G$14,NPV($G$18,O28:O42))</f>
        <v>0</v>
      </c>
      <c r="P47" s="6"/>
      <c r="Q47" s="30">
        <f>+-PMT($G$18,$G$14,NPV($G$18,Q28:Q42))</f>
        <v>0</v>
      </c>
      <c r="R47" s="6"/>
      <c r="S47" s="20">
        <f>+-PMT($G$18,$G$14,NPV($G$18,S28:S42))</f>
        <v>113.44495737553754</v>
      </c>
      <c r="T47" s="6"/>
      <c r="U47" s="20">
        <f>+-PMT($G$18,$G$14,NPV($G$18,U28:U42))</f>
        <v>2336.8699264847774</v>
      </c>
      <c r="V47" s="3"/>
      <c r="W47" s="20">
        <f>+-PMT($G$18,$G$14,NPV($G$18,W28:W42))</f>
        <v>-2223.42496910924</v>
      </c>
      <c r="X47" s="3"/>
      <c r="Y47" s="296">
        <f>+-PMT($G$18,$G$14,NPV($G$18,Y28:Y42))</f>
        <v>-66.436339352473794</v>
      </c>
      <c r="Z47" s="255"/>
      <c r="AB47" s="2"/>
      <c r="AC47" s="3"/>
      <c r="AD47" s="159">
        <f>+-PMT($G$18,$G$14,NPV($G$18,AD28:AD42))</f>
        <v>34831.910590686253</v>
      </c>
      <c r="AE47" s="3"/>
      <c r="AF47" s="162">
        <f>+-PMT($G$18,$G$14,NPV($G$18,AF28:AF42))</f>
        <v>65.131181295532613</v>
      </c>
      <c r="AG47" s="3"/>
      <c r="AH47" s="162">
        <f>+-PMT($G$18,$G$14,NPV($G$18,AH28:AH42))</f>
        <v>12.748509252370681</v>
      </c>
      <c r="AI47" s="3"/>
      <c r="AJ47" s="162">
        <f>+-PMT($G$18,$G$14,NPV($G$18,AJ28:AJ42))</f>
        <v>3.7350038601453819</v>
      </c>
      <c r="AK47" s="3"/>
      <c r="AL47" s="161">
        <f>+-PMT($G$18,$G$14,NPV($G$18,AL28:AL42))</f>
        <v>1427.2801865416702</v>
      </c>
      <c r="AM47" s="3"/>
      <c r="AN47" s="162">
        <f>+-PMT($G$18,$G$14,NPV($G$18,AN28:AN43))</f>
        <v>4.9617228999631546</v>
      </c>
      <c r="AO47" s="3">
        <f>+-PMT($G$18,$G$14,NPV($G$18,AO28:AO42))</f>
        <v>0</v>
      </c>
      <c r="AP47" s="162">
        <f>+-PMT($G$18,$G$14,NPV($G$18,AP28:AP42))</f>
        <v>37.702478409186689</v>
      </c>
      <c r="AQ47" s="3"/>
      <c r="AR47" s="162">
        <f>+-PMT($G$18,$G$14,NPV($G$18,AR28:AR42))</f>
        <v>2.8851032433206703</v>
      </c>
      <c r="AS47" s="162"/>
      <c r="AT47" s="161">
        <f>+-PMT($G$18,$G$14,NPV($G$18,AT28:AT42))</f>
        <v>978.52533132031351</v>
      </c>
      <c r="AU47" s="3"/>
      <c r="AV47" s="161">
        <f>+-PMT($G$18,$G$14,NPV($G$18,AV28:AV42))</f>
        <v>1358.344595164464</v>
      </c>
      <c r="AW47" s="299"/>
      <c r="AX47" s="163">
        <f>+-PMT($G$18,$G$14,NPV($G$18,AX28:AX42))</f>
        <v>2336.8699264847774</v>
      </c>
      <c r="AZ47" s="2"/>
      <c r="BA47" s="3"/>
      <c r="BB47" s="162">
        <f>+-PMT($G$18,$G$14,NPV($G$18,BB28:BB42))</f>
        <v>38.213290147508346</v>
      </c>
      <c r="BC47" s="3"/>
      <c r="BD47" s="162">
        <f>+-PMT($G$18,$G$14,NPV($G$18,BD28:BD42))</f>
        <v>13.395703687596399</v>
      </c>
      <c r="BE47" s="3"/>
      <c r="BF47" s="161">
        <f>+-PMT($G$18,$G$14,NPV($G$18,BF28:BF42))</f>
        <v>448.75485522135665</v>
      </c>
      <c r="BG47" s="3"/>
      <c r="BH47" s="165"/>
    </row>
    <row r="48" spans="2:60">
      <c r="B48" s="2"/>
      <c r="C48" s="3"/>
      <c r="D48" s="3"/>
      <c r="E48" s="178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04"/>
      <c r="X48" s="3"/>
      <c r="Y48" s="305"/>
      <c r="Z48" s="255"/>
      <c r="AB48" s="2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299"/>
      <c r="AU48" s="3"/>
      <c r="AV48" s="3"/>
      <c r="AW48" s="3"/>
      <c r="AX48" s="255"/>
      <c r="AZ48" s="2"/>
      <c r="BA48" s="3"/>
      <c r="BB48" s="3"/>
      <c r="BC48" s="3"/>
      <c r="BD48" s="3"/>
      <c r="BE48" s="3"/>
      <c r="BF48" s="3"/>
      <c r="BG48" s="3"/>
      <c r="BH48" s="255"/>
    </row>
    <row r="49" spans="2:60">
      <c r="B49" s="258"/>
      <c r="C49" s="306"/>
      <c r="D49" s="306"/>
      <c r="E49" s="307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259"/>
      <c r="AB49" s="258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259"/>
      <c r="AZ49" s="258"/>
      <c r="BA49" s="306"/>
      <c r="BB49" s="306"/>
      <c r="BC49" s="306"/>
      <c r="BD49" s="306"/>
      <c r="BE49" s="306"/>
      <c r="BF49" s="306"/>
      <c r="BG49" s="306"/>
      <c r="BH49" s="259"/>
    </row>
    <row r="50" spans="2:60">
      <c r="E50" s="308"/>
    </row>
    <row r="51" spans="2:60">
      <c r="E51" s="308"/>
      <c r="G51" s="309"/>
      <c r="I51" s="309"/>
      <c r="K51" s="309"/>
      <c r="O51" s="309"/>
      <c r="Q51" s="309"/>
      <c r="S51" s="309"/>
      <c r="U51" s="309"/>
      <c r="W51" s="309"/>
    </row>
    <row r="52" spans="2:60">
      <c r="E52" s="308"/>
    </row>
    <row r="53" spans="2:60">
      <c r="E53" s="308"/>
    </row>
    <row r="54" spans="2:60">
      <c r="E54" s="308"/>
    </row>
    <row r="55" spans="2:60">
      <c r="E55" s="308"/>
    </row>
    <row r="56" spans="2:60">
      <c r="E56" s="308"/>
    </row>
    <row r="57" spans="2:60">
      <c r="E57" s="308"/>
    </row>
    <row r="58" spans="2:60">
      <c r="E58" s="308"/>
    </row>
    <row r="59" spans="2:60">
      <c r="E59" s="308"/>
    </row>
    <row r="60" spans="2:60">
      <c r="E60" s="308"/>
    </row>
    <row r="61" spans="2:60">
      <c r="E61" s="308"/>
    </row>
    <row r="62" spans="2:60">
      <c r="E62" s="308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</sheetData>
  <pageMargins left="0.25" right="0.25" top="0.25" bottom="0.75" header="0.3" footer="0.3"/>
  <pageSetup paperSize="5" scale="46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993A5-BAF8-4A75-BFF6-7CF8BC23D09E}">
  <sheetPr codeName="Sheet9">
    <tabColor theme="0" tint="-0.249977111117893"/>
    <pageSetUpPr fitToPage="1"/>
  </sheetPr>
  <dimension ref="A1:BH84"/>
  <sheetViews>
    <sheetView topLeftCell="K43" workbookViewId="0">
      <selection activeCell="U35" sqref="U35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308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324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'[5]Latigo Wind'!$X$12</f>
        <v>39</v>
      </c>
      <c r="H11" s="275"/>
      <c r="AB11" s="129" t="s">
        <v>99</v>
      </c>
      <c r="AC11" s="130"/>
      <c r="AD11" s="130"/>
      <c r="AE11" s="130"/>
      <c r="AF11" s="312">
        <f>+G11*(G12/AJ16)</f>
        <v>25.785390128340719</v>
      </c>
      <c r="AG11" s="134"/>
      <c r="AH11" s="130" t="s">
        <v>100</v>
      </c>
      <c r="AI11" s="131"/>
      <c r="AJ11" s="174">
        <f>'(2.1)_Proxy Resources'!L43</f>
        <v>7.7079648513634842</v>
      </c>
      <c r="AK11" s="255"/>
      <c r="AZ11" s="129" t="s">
        <v>99</v>
      </c>
      <c r="BA11" s="130"/>
      <c r="BB11" s="130"/>
      <c r="BC11" s="130"/>
      <c r="BD11" s="141">
        <f>(AF11*AF13-G11*G19)</f>
        <v>20.130390128340721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'[5]Latigo Wind'!$X$13</f>
        <v>0.47134886628492628</v>
      </c>
      <c r="H12" s="275"/>
      <c r="AB12" s="129" t="s">
        <v>32</v>
      </c>
      <c r="AC12" s="130"/>
      <c r="AD12" s="130"/>
      <c r="AE12" s="130"/>
      <c r="AF12" s="138">
        <f>+AD58/8760/AF11</f>
        <v>0.7129071560162269</v>
      </c>
      <c r="AG12" s="134"/>
      <c r="AH12" s="124" t="s">
        <v>101</v>
      </c>
      <c r="AI12" s="125"/>
      <c r="AJ12" s="124">
        <v>2014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2015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Resources'!O43</f>
        <v>2.6104764135772984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Resources'!H43</f>
        <v>6530.8239156386799</v>
      </c>
      <c r="AG14" s="134"/>
      <c r="AH14" s="124" t="s">
        <v>326</v>
      </c>
      <c r="AI14" s="125"/>
      <c r="AJ14" s="174">
        <f>'(2.1)_Proxy Resources'!P43</f>
        <v>12.577035449261281</v>
      </c>
      <c r="AK14" s="255"/>
      <c r="AZ14" s="129" t="s">
        <v>192</v>
      </c>
      <c r="BA14" s="130"/>
      <c r="BB14" s="130"/>
      <c r="BC14" s="130"/>
      <c r="BD14" s="175">
        <f>'(2.1)_Proxy Resources'!J44</f>
        <v>820.02180312689813</v>
      </c>
      <c r="BE14" s="139"/>
    </row>
    <row r="15" spans="1:57" ht="12">
      <c r="A15" s="143" t="s">
        <v>325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192</v>
      </c>
      <c r="AC15" s="130"/>
      <c r="AD15" s="130"/>
      <c r="AE15" s="130"/>
      <c r="AF15" s="175">
        <f>'(2.1)_Proxy Resources'!J43</f>
        <v>914.64278393587574</v>
      </c>
      <c r="AG15" s="134"/>
      <c r="AH15" s="124" t="s">
        <v>145</v>
      </c>
      <c r="AI15" s="125"/>
      <c r="AJ15" s="174">
        <f>'(2.1)_Proxy Resources'!Q43</f>
        <v>3.1258372991005694</v>
      </c>
      <c r="AK15" s="255"/>
      <c r="AZ15" s="129" t="s">
        <v>108</v>
      </c>
      <c r="BA15" s="130"/>
      <c r="BB15" s="130"/>
      <c r="BC15" s="130"/>
      <c r="BD15" s="144">
        <f>'(2.1)_Proxy Resources'!K44</f>
        <v>7.7667383499954168E-2</v>
      </c>
      <c r="BE15" s="139"/>
    </row>
    <row r="16" spans="1:57" ht="12">
      <c r="A16" s="143" t="s">
        <v>325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Resources'!K41</f>
        <v>7.682307239305719E-2</v>
      </c>
      <c r="AG16" s="134"/>
      <c r="AH16" s="124" t="s">
        <v>110</v>
      </c>
      <c r="AI16" s="131"/>
      <c r="AJ16" s="145">
        <f>'(2.1)_Proxy Resources'!D43</f>
        <v>0.7129078014184399</v>
      </c>
      <c r="AK16" s="255"/>
      <c r="AZ16" s="129" t="s">
        <v>100</v>
      </c>
      <c r="BA16" s="131"/>
      <c r="BB16" s="174">
        <f>'(2.1)_Proxy Resources'!N44</f>
        <v>10.728501482152289</v>
      </c>
      <c r="BC16" s="3"/>
      <c r="BD16" s="3"/>
      <c r="BE16" s="137"/>
    </row>
    <row r="17" spans="1:60" ht="12">
      <c r="A17" s="143" t="s">
        <v>325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2014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'(2.2)_Forward_Price_Curve'!W7</f>
        <v>6.6600000000000006E-2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'(2.2)_Forward_Price_Curve'!F80</f>
        <v>0.14499999999999999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2015</v>
      </c>
      <c r="D28" s="6"/>
      <c r="E28" s="292">
        <f>+INDEX('(2.2)_Forward_Price_Curve'!$R:$R,MATCH($C28,'(2.2)_Forward_Price_Curve'!C:C,0))</f>
        <v>0.02</v>
      </c>
      <c r="F28" s="6"/>
      <c r="G28" s="20">
        <v>160888.30000000019</v>
      </c>
      <c r="H28" s="6"/>
      <c r="I28" s="293">
        <f>$G$15*(1+E28)</f>
        <v>0</v>
      </c>
      <c r="J28" s="293"/>
      <c r="K28" s="293">
        <v>60.327279878937979</v>
      </c>
      <c r="L28" s="294"/>
      <c r="M28" s="293">
        <f>$G$17</f>
        <v>0</v>
      </c>
      <c r="N28" s="6"/>
      <c r="O28" s="295">
        <f>'(2.2)_Forward_Price_Curve'!V27</f>
        <v>3.1150800000000003</v>
      </c>
      <c r="P28" s="6"/>
      <c r="Q28" s="30"/>
      <c r="R28" s="6"/>
      <c r="S28" s="20">
        <f>(I28*$G$11*1000+(K28+M28+O28+Q28)*G28)/1000</f>
        <v>10207.133428910549</v>
      </c>
      <c r="T28" s="6"/>
      <c r="U28" s="20">
        <f t="shared" ref="U28:U47" si="0">AX28</f>
        <v>13254.47565216873</v>
      </c>
      <c r="V28" s="6"/>
      <c r="W28" s="20">
        <f t="shared" ref="W28:W47" si="1">S28-U28</f>
        <v>-3047.3422232581815</v>
      </c>
      <c r="X28" s="6"/>
      <c r="Y28" s="296">
        <f>+W28*1000/G28</f>
        <v>-18.940732317130443</v>
      </c>
      <c r="Z28" s="255"/>
      <c r="AB28" s="154">
        <f>$C$28</f>
        <v>2015</v>
      </c>
      <c r="AC28" s="124"/>
      <c r="AD28" s="159">
        <f t="shared" ref="AD28:AD47" si="2">G28</f>
        <v>160888.30000000019</v>
      </c>
      <c r="AE28" s="3"/>
      <c r="AF28" s="160">
        <f>$AF$15*$AF$16*(1+E28)</f>
        <v>71.670982180175017</v>
      </c>
      <c r="AG28" s="297"/>
      <c r="AH28" s="160">
        <f>$AJ$11*(1+E28)</f>
        <v>7.8621241483907536</v>
      </c>
      <c r="AI28" s="297"/>
      <c r="AJ28" s="160">
        <f>$AJ$13*(1+E28)</f>
        <v>2.6626859418488444</v>
      </c>
      <c r="AK28" s="298"/>
      <c r="AL28" s="161">
        <f>((AF28+AH28)*$AF$11*1000+AJ28*AD28)/1000</f>
        <v>2479.187189418833</v>
      </c>
      <c r="AM28" s="3"/>
      <c r="AN28" s="162">
        <f>INDEX('(2.2)_Forward_Price_Curve'!$L:$L,MATCH($AB28,'(2.2)_Forward_Price_Curve'!$C:$C,0),1)</f>
        <v>9.3330180370833329</v>
      </c>
      <c r="AO28" s="310"/>
      <c r="AP28" s="162">
        <f>AN28*$AF$14/1000+$AJ$14/(1+E29)</f>
        <v>73.282724312711466</v>
      </c>
      <c r="AQ28" s="297"/>
      <c r="AR28" s="160">
        <f>$AJ$15*(1+E28)</f>
        <v>3.1883540450825807</v>
      </c>
      <c r="AS28" s="160"/>
      <c r="AT28" s="161">
        <f>AL28-BF28</f>
        <v>951.17385601644037</v>
      </c>
      <c r="AU28" s="298"/>
      <c r="AV28" s="161">
        <f t="shared" ref="AV28:AV47" si="3">(AP28+AR28)*AD28/1000</f>
        <v>12303.301796152289</v>
      </c>
      <c r="AW28" s="299"/>
      <c r="AX28" s="163">
        <f>AT28+AV28</f>
        <v>13254.47565216873</v>
      </c>
      <c r="AZ28" s="154">
        <f>$C$28</f>
        <v>2015</v>
      </c>
      <c r="BA28" s="124"/>
      <c r="BB28" s="160">
        <f>$BD$14*$BD$15*(1+E28)</f>
        <v>64.962726819016325</v>
      </c>
      <c r="BC28" s="3"/>
      <c r="BD28" s="160">
        <f>$BB$16*(1+E28)</f>
        <v>10.943071511795335</v>
      </c>
      <c r="BE28" s="297"/>
      <c r="BF28" s="161">
        <f>(BB28+BD28)*$BD$11</f>
        <v>1528.0133334023926</v>
      </c>
      <c r="BG28" s="297"/>
      <c r="BH28" s="164"/>
    </row>
    <row r="29" spans="1:60" ht="12">
      <c r="B29" s="2"/>
      <c r="C29" s="6">
        <f>+IF(C28&gt;$G$13+$G$14,XX,C28+1)</f>
        <v>2016</v>
      </c>
      <c r="D29" s="6"/>
      <c r="E29" s="292">
        <f>+INDEX('(2.2)_Forward_Price_Curve'!$R:$R,MATCH($C29,'(2.2)_Forward_Price_Curve'!C:C,0))</f>
        <v>0.02</v>
      </c>
      <c r="F29" s="6"/>
      <c r="G29" s="20">
        <v>161444.29642857163</v>
      </c>
      <c r="H29" s="6"/>
      <c r="I29" s="30">
        <f>I28*(1+$E29)</f>
        <v>0</v>
      </c>
      <c r="J29" s="6"/>
      <c r="K29" s="30">
        <v>60.327279878937979</v>
      </c>
      <c r="L29" s="6"/>
      <c r="M29" s="30">
        <f>M28*(1+$E29)</f>
        <v>0</v>
      </c>
      <c r="N29" s="6"/>
      <c r="O29" s="295">
        <f>'(2.2)_Forward_Price_Curve'!V28</f>
        <v>3.1711514400000005</v>
      </c>
      <c r="P29" s="6"/>
      <c r="Q29" s="30"/>
      <c r="R29" s="6"/>
      <c r="S29" s="20">
        <f t="shared" ref="S29:S47" si="4">(I29*$G$11*1000+(K29+M29+O29+Q29)*G29)/1000</f>
        <v>10251.459568603919</v>
      </c>
      <c r="T29" s="6"/>
      <c r="U29" s="20">
        <f t="shared" si="0"/>
        <v>12968.187852528488</v>
      </c>
      <c r="V29" s="6"/>
      <c r="W29" s="20">
        <f t="shared" si="1"/>
        <v>-2716.728283924569</v>
      </c>
      <c r="X29" s="6"/>
      <c r="Y29" s="296">
        <f t="shared" ref="Y29:Y47" si="5">+W29*1000/G29</f>
        <v>-16.827651047595481</v>
      </c>
      <c r="Z29" s="255"/>
      <c r="AB29" s="154">
        <f>+IF(AB28&gt;$G$13+$G$14,XX,AB28+1)</f>
        <v>2016</v>
      </c>
      <c r="AC29" s="124"/>
      <c r="AD29" s="159">
        <f t="shared" si="2"/>
        <v>161444.29642857163</v>
      </c>
      <c r="AE29" s="3"/>
      <c r="AF29" s="162">
        <f>AF28*(1+$E29)</f>
        <v>73.104401823778517</v>
      </c>
      <c r="AG29" s="3"/>
      <c r="AH29" s="162">
        <f>AH28*(1+$E29)</f>
        <v>8.0193666313585688</v>
      </c>
      <c r="AI29" s="3"/>
      <c r="AJ29" s="162">
        <f>AJ28*(1+$E29)</f>
        <v>2.7159396606858213</v>
      </c>
      <c r="AK29" s="3"/>
      <c r="AL29" s="161">
        <f t="shared" ref="AL29:AL47" si="6">((AF29+AH29)*$AF$11*1000+AJ29*AD29)/1000</f>
        <v>2530.2809859587655</v>
      </c>
      <c r="AM29" s="3"/>
      <c r="AN29" s="162">
        <f>INDEX('(2.2)_Forward_Price_Curve'!$L:$L,MATCH($AB29,'(2.2)_Forward_Price_Curve'!$C:$C,0),1)</f>
        <v>8.9541666666666657</v>
      </c>
      <c r="AO29" s="3"/>
      <c r="AP29" s="162">
        <f>AN29*$AF$14/1000+$AJ$14</f>
        <v>71.05512126054262</v>
      </c>
      <c r="AQ29" s="3"/>
      <c r="AR29" s="162">
        <f>AR28*(1+$E29)</f>
        <v>3.2521211259842322</v>
      </c>
      <c r="AS29" s="162"/>
      <c r="AT29" s="161">
        <f t="shared" ref="AT29:AT47" si="7">AL29-BF29</f>
        <v>971.70738588832501</v>
      </c>
      <c r="AU29" s="3"/>
      <c r="AV29" s="161">
        <f t="shared" si="3"/>
        <v>11996.480466640163</v>
      </c>
      <c r="AW29" s="299"/>
      <c r="AX29" s="163">
        <f t="shared" ref="AX29:AX47" si="8">AT29+AV29</f>
        <v>12968.187852528488</v>
      </c>
      <c r="AZ29" s="154">
        <f>+IF(AZ28&gt;$G$13+$G$14,XX,AZ28+1)</f>
        <v>2016</v>
      </c>
      <c r="BA29" s="124"/>
      <c r="BB29" s="162">
        <f>BB28*(1+$E29)</f>
        <v>66.261981355396657</v>
      </c>
      <c r="BC29" s="3"/>
      <c r="BD29" s="162">
        <f>BD28*(1+$E29)</f>
        <v>11.161932942031243</v>
      </c>
      <c r="BE29" s="3"/>
      <c r="BF29" s="161">
        <f t="shared" ref="BF29:BF47" si="9">(BB29+BD29)*$BD$11</f>
        <v>1558.5736000704405</v>
      </c>
      <c r="BG29" s="3"/>
      <c r="BH29" s="165"/>
    </row>
    <row r="30" spans="1:60" ht="12">
      <c r="B30" s="2"/>
      <c r="C30" s="6">
        <f>+IF(C29&gt;$G$13+$G$14,XX,C29+1)</f>
        <v>2017</v>
      </c>
      <c r="D30" s="6"/>
      <c r="E30" s="292">
        <f>+INDEX('(2.2)_Forward_Price_Curve'!$R:$R,MATCH($C30,'(2.2)_Forward_Price_Curve'!C:C,0))</f>
        <v>1.9E-2</v>
      </c>
      <c r="F30" s="6"/>
      <c r="G30" s="20">
        <v>160888.30000000019</v>
      </c>
      <c r="H30" s="6"/>
      <c r="I30" s="30">
        <f t="shared" ref="I30:I47" si="10">I29*(1+$E30)</f>
        <v>0</v>
      </c>
      <c r="J30" s="6"/>
      <c r="K30" s="30">
        <v>60.327279878937979</v>
      </c>
      <c r="L30" s="6"/>
      <c r="M30" s="30">
        <f t="shared" ref="M30:M46" si="11">M29*(1+$E30)</f>
        <v>0</v>
      </c>
      <c r="N30" s="6"/>
      <c r="O30" s="295">
        <f>'(2.2)_Forward_Price_Curve'!V29</f>
        <v>3.2282321659200006</v>
      </c>
      <c r="P30" s="6"/>
      <c r="Q30" s="30"/>
      <c r="R30" s="6"/>
      <c r="S30" s="20">
        <f t="shared" si="4"/>
        <v>10225.338288526737</v>
      </c>
      <c r="T30" s="6"/>
      <c r="U30" s="20">
        <f t="shared" si="0"/>
        <v>13715.001634652737</v>
      </c>
      <c r="V30" s="6"/>
      <c r="W30" s="20">
        <f t="shared" si="1"/>
        <v>-3489.6633461260008</v>
      </c>
      <c r="X30" s="6"/>
      <c r="Y30" s="296">
        <f t="shared" si="5"/>
        <v>-21.689975878457268</v>
      </c>
      <c r="Z30" s="255"/>
      <c r="AB30" s="154">
        <f>+IF(AB29&gt;$G$13+$G$14,XX,AB29+1)</f>
        <v>2017</v>
      </c>
      <c r="AC30" s="124"/>
      <c r="AD30" s="159">
        <f t="shared" si="2"/>
        <v>160888.30000000019</v>
      </c>
      <c r="AE30" s="3"/>
      <c r="AF30" s="162">
        <f t="shared" ref="AF30:AF47" si="12">AF29*(1+$E30)</f>
        <v>74.493385458430296</v>
      </c>
      <c r="AG30" s="3"/>
      <c r="AH30" s="162">
        <f t="shared" ref="AH30:AH47" si="13">AH29*(1+$E30)</f>
        <v>8.17173459735438</v>
      </c>
      <c r="AI30" s="3"/>
      <c r="AJ30" s="162">
        <f t="shared" ref="AJ30:AJ47" si="14">AJ29*(1+$E30)</f>
        <v>2.7675425142388517</v>
      </c>
      <c r="AK30" s="3"/>
      <c r="AL30" s="161">
        <f t="shared" si="6"/>
        <v>2576.817580938146</v>
      </c>
      <c r="AM30" s="3"/>
      <c r="AN30" s="162">
        <f>INDEX('(2.2)_Forward_Price_Curve'!$L:$L,MATCH($AB30,'(2.2)_Forward_Price_Curve'!$C:$C,0),1)</f>
        <v>9.6420833333333338</v>
      </c>
      <c r="AO30" s="3"/>
      <c r="AP30" s="162">
        <f>AN30*$AF$14/1000+$AJ$14*(1+E30)</f>
        <v>75.786747552711702</v>
      </c>
      <c r="AQ30" s="3"/>
      <c r="AR30" s="162">
        <f t="shared" ref="AR30:AR47" si="15">AR29*(1+$E30)</f>
        <v>3.3139114273779322</v>
      </c>
      <c r="AS30" s="162"/>
      <c r="AT30" s="161">
        <f t="shared" si="7"/>
        <v>988.63108246636716</v>
      </c>
      <c r="AU30" s="3"/>
      <c r="AV30" s="161">
        <f t="shared" si="3"/>
        <v>12726.37055218637</v>
      </c>
      <c r="AW30" s="299"/>
      <c r="AX30" s="163">
        <f t="shared" si="8"/>
        <v>13715.001634652737</v>
      </c>
      <c r="AZ30" s="154">
        <f>+IF(AZ29&gt;$G$13+$G$14,XX,AZ29+1)</f>
        <v>2017</v>
      </c>
      <c r="BA30" s="124"/>
      <c r="BB30" s="162">
        <f t="shared" ref="BB30:BB47" si="16">BB29*(1+$E30)</f>
        <v>67.52095900114918</v>
      </c>
      <c r="BC30" s="3"/>
      <c r="BD30" s="162">
        <f t="shared" ref="BD30:BD47" si="17">BD29*(1+$E30)</f>
        <v>11.374009667929835</v>
      </c>
      <c r="BE30" s="3"/>
      <c r="BF30" s="161">
        <f t="shared" si="9"/>
        <v>1588.1864984717788</v>
      </c>
      <c r="BG30" s="3"/>
      <c r="BH30" s="165"/>
    </row>
    <row r="31" spans="1:60" ht="12">
      <c r="B31" s="2"/>
      <c r="C31" s="6">
        <f>+IF(C30&gt;$G$13+$G$14,XX,C30+1)</f>
        <v>2018</v>
      </c>
      <c r="D31" s="6"/>
      <c r="E31" s="292">
        <f>+INDEX('(2.2)_Forward_Price_Curve'!$R:$R,MATCH($C31,'(2.2)_Forward_Price_Curve'!C:C,0))</f>
        <v>1.9E-2</v>
      </c>
      <c r="F31" s="6"/>
      <c r="G31" s="20">
        <v>160888.30000000019</v>
      </c>
      <c r="H31" s="6"/>
      <c r="I31" s="30">
        <f t="shared" si="10"/>
        <v>0</v>
      </c>
      <c r="J31" s="6"/>
      <c r="K31" s="30">
        <v>60.327279878937979</v>
      </c>
      <c r="L31" s="6"/>
      <c r="M31" s="30">
        <f t="shared" si="11"/>
        <v>0</v>
      </c>
      <c r="N31" s="6"/>
      <c r="O31" s="295">
        <f>'(2.2)_Forward_Price_Curve'!V30</f>
        <v>3.2863403449065607</v>
      </c>
      <c r="P31" s="6"/>
      <c r="Q31" s="30"/>
      <c r="R31" s="6"/>
      <c r="S31" s="20">
        <f t="shared" si="4"/>
        <v>10234.68721465998</v>
      </c>
      <c r="T31" s="6"/>
      <c r="U31" s="20">
        <f t="shared" si="0"/>
        <v>15492.510943245676</v>
      </c>
      <c r="V31" s="6"/>
      <c r="W31" s="20">
        <f t="shared" si="1"/>
        <v>-5257.8237285856958</v>
      </c>
      <c r="X31" s="6"/>
      <c r="Y31" s="296">
        <f t="shared" si="5"/>
        <v>-32.679963232787529</v>
      </c>
      <c r="Z31" s="255"/>
      <c r="AB31" s="154">
        <f>+IF(AB30&gt;$G$13+$G$14,XX,AB30+1)</f>
        <v>2018</v>
      </c>
      <c r="AC31" s="124"/>
      <c r="AD31" s="159">
        <f t="shared" si="2"/>
        <v>160888.30000000019</v>
      </c>
      <c r="AE31" s="3"/>
      <c r="AF31" s="162">
        <f t="shared" si="12"/>
        <v>75.908759782140464</v>
      </c>
      <c r="AG31" s="3"/>
      <c r="AH31" s="162">
        <f t="shared" si="13"/>
        <v>8.3269975547041124</v>
      </c>
      <c r="AI31" s="3"/>
      <c r="AJ31" s="162">
        <f t="shared" si="14"/>
        <v>2.8201258220093894</v>
      </c>
      <c r="AK31" s="3"/>
      <c r="AL31" s="161">
        <f t="shared" si="6"/>
        <v>2625.7771149759697</v>
      </c>
      <c r="AM31" s="3"/>
      <c r="AN31" s="162">
        <f>INDEX('(2.2)_Forward_Price_Curve'!$L:$L,MATCH($AB31,'(2.2)_Forward_Price_Curve'!$C:$C,0),1)</f>
        <v>11.30625</v>
      </c>
      <c r="AO31" s="3"/>
      <c r="AP31" s="162">
        <f>AN31*$AF$14/1000+$AJ$14*(1+E31)</f>
        <v>86.655127018987059</v>
      </c>
      <c r="AQ31" s="3"/>
      <c r="AR31" s="162">
        <f t="shared" si="15"/>
        <v>3.3768757444981126</v>
      </c>
      <c r="AS31" s="162"/>
      <c r="AT31" s="161">
        <f t="shared" si="7"/>
        <v>1007.4150730332274</v>
      </c>
      <c r="AU31" s="3"/>
      <c r="AV31" s="161">
        <f t="shared" si="3"/>
        <v>14485.095870212448</v>
      </c>
      <c r="AW31" s="299"/>
      <c r="AX31" s="163">
        <f t="shared" si="8"/>
        <v>15492.510943245676</v>
      </c>
      <c r="AZ31" s="154">
        <f>+IF(AZ30&gt;$G$13+$G$14,XX,AZ30+1)</f>
        <v>2018</v>
      </c>
      <c r="BA31" s="124"/>
      <c r="BB31" s="162">
        <f t="shared" si="16"/>
        <v>68.803857222171004</v>
      </c>
      <c r="BC31" s="3"/>
      <c r="BD31" s="162">
        <f t="shared" si="17"/>
        <v>11.590115851620501</v>
      </c>
      <c r="BE31" s="3"/>
      <c r="BF31" s="161">
        <f t="shared" si="9"/>
        <v>1618.3620419427423</v>
      </c>
      <c r="BG31" s="3"/>
      <c r="BH31" s="165"/>
    </row>
    <row r="32" spans="1:60" ht="12">
      <c r="B32" s="2"/>
      <c r="C32" s="6">
        <f>+IF(C31&gt;$G$13+$G$14,XX,C31+1)</f>
        <v>2019</v>
      </c>
      <c r="D32" s="6"/>
      <c r="E32" s="292">
        <f>+INDEX('(2.2)_Forward_Price_Curve'!$R:$R,MATCH($C32,'(2.2)_Forward_Price_Curve'!C:C,0))</f>
        <v>1.9E-2</v>
      </c>
      <c r="F32" s="6"/>
      <c r="G32" s="20">
        <v>160888.30000000019</v>
      </c>
      <c r="H32" s="6"/>
      <c r="I32" s="30">
        <f t="shared" si="10"/>
        <v>0</v>
      </c>
      <c r="J32" s="6"/>
      <c r="K32" s="30">
        <v>60.327279878937979</v>
      </c>
      <c r="L32" s="6"/>
      <c r="M32" s="30">
        <f t="shared" si="11"/>
        <v>0</v>
      </c>
      <c r="N32" s="6"/>
      <c r="O32" s="295">
        <f>'(2.2)_Forward_Price_Curve'!V31</f>
        <v>3.3454944711148786</v>
      </c>
      <c r="P32" s="6"/>
      <c r="Q32" s="30"/>
      <c r="R32" s="6"/>
      <c r="S32" s="20">
        <f t="shared" si="4"/>
        <v>10244.204421463623</v>
      </c>
      <c r="T32" s="6"/>
      <c r="U32" s="20">
        <f t="shared" si="0"/>
        <v>15990.426391793791</v>
      </c>
      <c r="V32" s="6"/>
      <c r="W32" s="20">
        <f t="shared" si="1"/>
        <v>-5746.2219703301689</v>
      </c>
      <c r="X32" s="6"/>
      <c r="Y32" s="296">
        <f t="shared" si="5"/>
        <v>-35.715598774616687</v>
      </c>
      <c r="Z32" s="255"/>
      <c r="AB32" s="154">
        <f>+IF(AB31&gt;$G$13+$G$14,XX,AB31+1)</f>
        <v>2019</v>
      </c>
      <c r="AC32" s="124"/>
      <c r="AD32" s="159">
        <f t="shared" si="2"/>
        <v>160888.30000000019</v>
      </c>
      <c r="AE32" s="3"/>
      <c r="AF32" s="162">
        <f t="shared" si="12"/>
        <v>77.351026218001124</v>
      </c>
      <c r="AG32" s="3"/>
      <c r="AH32" s="162">
        <f t="shared" si="13"/>
        <v>8.4852105082434903</v>
      </c>
      <c r="AI32" s="3"/>
      <c r="AJ32" s="162">
        <f t="shared" si="14"/>
        <v>2.8737082126275677</v>
      </c>
      <c r="AK32" s="3"/>
      <c r="AL32" s="161">
        <f t="shared" si="6"/>
        <v>2675.6668801605133</v>
      </c>
      <c r="AM32" s="3"/>
      <c r="AN32" s="162">
        <f>INDEX('(2.2)_Forward_Price_Curve'!$L:$L,MATCH($AB32,'(2.2)_Forward_Price_Curve'!$C:$C,0),1)</f>
        <v>11.752083333333331</v>
      </c>
      <c r="AO32" s="3"/>
      <c r="AP32" s="162">
        <f t="shared" ref="AP32:AP47" si="18">AN32*$AF$14/1000+$AJ$14*(1+E32)</f>
        <v>89.566786014709294</v>
      </c>
      <c r="AQ32" s="3"/>
      <c r="AR32" s="162">
        <f t="shared" si="15"/>
        <v>3.4410363836435764</v>
      </c>
      <c r="AS32" s="162"/>
      <c r="AT32" s="161">
        <f t="shared" si="7"/>
        <v>1026.5559594208594</v>
      </c>
      <c r="AU32" s="3"/>
      <c r="AV32" s="161">
        <f t="shared" si="3"/>
        <v>14963.870432372933</v>
      </c>
      <c r="AW32" s="299"/>
      <c r="AX32" s="163">
        <f t="shared" si="8"/>
        <v>15990.426391793791</v>
      </c>
      <c r="AZ32" s="154">
        <f>+IF(AZ31&gt;$G$13+$G$14,XX,AZ31+1)</f>
        <v>2019</v>
      </c>
      <c r="BA32" s="124"/>
      <c r="BB32" s="162">
        <f t="shared" si="16"/>
        <v>70.11113050939224</v>
      </c>
      <c r="BC32" s="3"/>
      <c r="BD32" s="162">
        <f t="shared" si="17"/>
        <v>11.810328052801289</v>
      </c>
      <c r="BE32" s="3"/>
      <c r="BF32" s="161">
        <f t="shared" si="9"/>
        <v>1649.1109207396539</v>
      </c>
      <c r="BG32" s="3"/>
      <c r="BH32" s="165"/>
    </row>
    <row r="33" spans="2:60" ht="12">
      <c r="B33" s="2"/>
      <c r="C33" s="6">
        <f>+IF(C32&gt;$G$13+$G$14,XX,C32+1)</f>
        <v>2020</v>
      </c>
      <c r="D33" s="6"/>
      <c r="E33" s="292">
        <f>+INDEX('(2.2)_Forward_Price_Curve'!$R:$R,MATCH($C33,'(2.2)_Forward_Price_Curve'!C:C,0))</f>
        <v>1.9E-2</v>
      </c>
      <c r="F33" s="6"/>
      <c r="G33" s="20">
        <v>161444.29642857163</v>
      </c>
      <c r="H33" s="6"/>
      <c r="I33" s="30">
        <f t="shared" si="10"/>
        <v>0</v>
      </c>
      <c r="J33" s="6"/>
      <c r="K33" s="30">
        <v>60.327279878937979</v>
      </c>
      <c r="L33" s="6"/>
      <c r="M33" s="30">
        <f t="shared" si="11"/>
        <v>0</v>
      </c>
      <c r="N33" s="6"/>
      <c r="O33" s="295">
        <f>'(2.2)_Forward_Price_Curve'!V32</f>
        <v>3.4057133715949464</v>
      </c>
      <c r="P33" s="6"/>
      <c r="Q33" s="30"/>
      <c r="R33" s="6"/>
      <c r="S33" s="20">
        <f t="shared" si="4"/>
        <v>10289.328254619193</v>
      </c>
      <c r="T33" s="6"/>
      <c r="U33" s="20">
        <f t="shared" si="0"/>
        <v>15780.361557110287</v>
      </c>
      <c r="V33" s="6"/>
      <c r="W33" s="20">
        <f t="shared" si="1"/>
        <v>-5491.0333024910942</v>
      </c>
      <c r="X33" s="6"/>
      <c r="Y33" s="296">
        <f t="shared" si="5"/>
        <v>-34.01193739241517</v>
      </c>
      <c r="Z33" s="255"/>
      <c r="AB33" s="154">
        <f>+IF(AB32&gt;$G$13+$G$14,XX,AB32+1)</f>
        <v>2020</v>
      </c>
      <c r="AC33" s="124"/>
      <c r="AD33" s="159">
        <f t="shared" si="2"/>
        <v>161444.29642857163</v>
      </c>
      <c r="AE33" s="3"/>
      <c r="AF33" s="162">
        <f t="shared" si="12"/>
        <v>78.820695716143135</v>
      </c>
      <c r="AG33" s="3"/>
      <c r="AH33" s="162">
        <f t="shared" si="13"/>
        <v>8.6464295079001161</v>
      </c>
      <c r="AI33" s="3"/>
      <c r="AJ33" s="162">
        <f t="shared" si="14"/>
        <v>2.9283086686674911</v>
      </c>
      <c r="AK33" s="3"/>
      <c r="AL33" s="161">
        <f t="shared" si="6"/>
        <v>2728.132680045097</v>
      </c>
      <c r="AM33" s="3"/>
      <c r="AN33" s="162">
        <f>INDEX('(2.2)_Forward_Price_Curve'!$L:$L,MATCH($AB33,'(2.2)_Forward_Price_Curve'!$C:$C,0),1)</f>
        <v>11.473750000000003</v>
      </c>
      <c r="AO33" s="3"/>
      <c r="AP33" s="162">
        <f>AN33*$AF$14/1000+$AJ$14*(1+E33)</f>
        <v>87.749040024856555</v>
      </c>
      <c r="AQ33" s="3"/>
      <c r="AR33" s="162">
        <f t="shared" si="15"/>
        <v>3.5064160749328042</v>
      </c>
      <c r="AS33" s="162"/>
      <c r="AT33" s="161">
        <f t="shared" si="7"/>
        <v>1047.6886518113897</v>
      </c>
      <c r="AU33" s="3"/>
      <c r="AV33" s="161">
        <f t="shared" si="3"/>
        <v>14732.672905298898</v>
      </c>
      <c r="AW33" s="299"/>
      <c r="AX33" s="163">
        <f t="shared" si="8"/>
        <v>15780.361557110287</v>
      </c>
      <c r="AZ33" s="154">
        <f>+IF(AZ32&gt;$G$13+$G$14,XX,AZ32+1)</f>
        <v>2020</v>
      </c>
      <c r="BA33" s="124"/>
      <c r="BB33" s="162">
        <f t="shared" si="16"/>
        <v>71.443241989070685</v>
      </c>
      <c r="BC33" s="3"/>
      <c r="BD33" s="162">
        <f t="shared" si="17"/>
        <v>12.034724285804511</v>
      </c>
      <c r="BE33" s="3"/>
      <c r="BF33" s="161">
        <f t="shared" si="9"/>
        <v>1680.4440282337073</v>
      </c>
      <c r="BG33" s="3"/>
      <c r="BH33" s="165"/>
    </row>
    <row r="34" spans="2:60" ht="12">
      <c r="B34" s="2"/>
      <c r="C34" s="6">
        <f>+IF(C33&gt;$G$13+$G$14,XX,C33+1)</f>
        <v>2021</v>
      </c>
      <c r="D34" s="6"/>
      <c r="E34" s="292">
        <f>+INDEX('(2.2)_Forward_Price_Curve'!$R:$R,MATCH($C34,'(2.2)_Forward_Price_Curve'!C:C,0))</f>
        <v>1.7999999999999999E-2</v>
      </c>
      <c r="F34" s="6"/>
      <c r="G34" s="20">
        <v>160888.30000000019</v>
      </c>
      <c r="H34" s="6"/>
      <c r="I34" s="30">
        <f t="shared" si="10"/>
        <v>0</v>
      </c>
      <c r="J34" s="6"/>
      <c r="K34" s="30">
        <v>60.327279878937979</v>
      </c>
      <c r="L34" s="6"/>
      <c r="M34" s="30">
        <f t="shared" si="11"/>
        <v>0</v>
      </c>
      <c r="N34" s="6"/>
      <c r="O34" s="295">
        <f>'(2.2)_Forward_Price_Curve'!V33</f>
        <v>3.4670162122836556</v>
      </c>
      <c r="P34" s="6"/>
      <c r="Q34" s="30"/>
      <c r="R34" s="6"/>
      <c r="S34" s="20">
        <f t="shared" si="4"/>
        <v>10263.755847813307</v>
      </c>
      <c r="T34" s="6"/>
      <c r="U34" s="20">
        <f t="shared" si="0"/>
        <v>15984.365928305873</v>
      </c>
      <c r="V34" s="6"/>
      <c r="W34" s="20">
        <f t="shared" si="1"/>
        <v>-5720.6100804925663</v>
      </c>
      <c r="X34" s="6"/>
      <c r="Y34" s="296">
        <f t="shared" si="5"/>
        <v>-35.556408268920485</v>
      </c>
      <c r="Z34" s="255"/>
      <c r="AB34" s="154">
        <f>+IF(AB33&gt;$G$13+$G$14,XX,AB33+1)</f>
        <v>2021</v>
      </c>
      <c r="AC34" s="124"/>
      <c r="AD34" s="159">
        <f t="shared" si="2"/>
        <v>160888.30000000019</v>
      </c>
      <c r="AE34" s="3"/>
      <c r="AF34" s="162">
        <f t="shared" si="12"/>
        <v>80.239468239033712</v>
      </c>
      <c r="AG34" s="3"/>
      <c r="AH34" s="162">
        <f t="shared" si="13"/>
        <v>8.8020652390423191</v>
      </c>
      <c r="AI34" s="3"/>
      <c r="AJ34" s="162">
        <f t="shared" si="14"/>
        <v>2.9810182247035057</v>
      </c>
      <c r="AK34" s="3"/>
      <c r="AL34" s="161">
        <f t="shared" si="6"/>
        <v>2775.5816327994671</v>
      </c>
      <c r="AM34" s="3"/>
      <c r="AN34" s="162">
        <f>INDEX('(2.2)_Forward_Price_Curve'!$L:$L,MATCH($AB34,'(2.2)_Forward_Price_Curve'!$C:$C,0),1)</f>
        <v>11.692083333333334</v>
      </c>
      <c r="AO34" s="3"/>
      <c r="AP34" s="162">
        <f t="shared" si="18"/>
        <v>89.162359544321731</v>
      </c>
      <c r="AQ34" s="3"/>
      <c r="AR34" s="162">
        <f t="shared" si="15"/>
        <v>3.5695315642815948</v>
      </c>
      <c r="AS34" s="162"/>
      <c r="AT34" s="161">
        <f t="shared" si="7"/>
        <v>1064.8896120575528</v>
      </c>
      <c r="AU34" s="3"/>
      <c r="AV34" s="161">
        <f t="shared" si="3"/>
        <v>14919.476316248321</v>
      </c>
      <c r="AW34" s="299"/>
      <c r="AX34" s="163">
        <f t="shared" si="8"/>
        <v>15984.365928305873</v>
      </c>
      <c r="AZ34" s="154">
        <f>+IF(AZ33&gt;$G$13+$G$14,XX,AZ33+1)</f>
        <v>2021</v>
      </c>
      <c r="BA34" s="124"/>
      <c r="BB34" s="162">
        <f t="shared" si="16"/>
        <v>72.729220344873966</v>
      </c>
      <c r="BC34" s="3"/>
      <c r="BD34" s="162">
        <f t="shared" si="17"/>
        <v>12.251349322948993</v>
      </c>
      <c r="BE34" s="3"/>
      <c r="BF34" s="161">
        <f t="shared" si="9"/>
        <v>1710.6920207419143</v>
      </c>
      <c r="BG34" s="3"/>
      <c r="BH34" s="165"/>
    </row>
    <row r="35" spans="2:60" ht="12">
      <c r="B35" s="2"/>
      <c r="C35" s="6">
        <f>+IF(C34&gt;$G$13+$G$14,XX,C34+1)</f>
        <v>2022</v>
      </c>
      <c r="D35" s="6"/>
      <c r="E35" s="292">
        <f>+INDEX('(2.2)_Forward_Price_Curve'!$R:$R,MATCH($C35,'(2.2)_Forward_Price_Curve'!C:C,0))</f>
        <v>1.7999999999999999E-2</v>
      </c>
      <c r="F35" s="6"/>
      <c r="G35" s="20">
        <v>160888.30000000019</v>
      </c>
      <c r="H35" s="6"/>
      <c r="I35" s="30">
        <f t="shared" si="10"/>
        <v>0</v>
      </c>
      <c r="J35" s="6"/>
      <c r="K35" s="30">
        <v>60.327279878937979</v>
      </c>
      <c r="L35" s="6"/>
      <c r="M35" s="30">
        <f t="shared" si="11"/>
        <v>0</v>
      </c>
      <c r="N35" s="6"/>
      <c r="O35" s="295">
        <f>'(2.2)_Forward_Price_Curve'!V34</f>
        <v>3.532889520317045</v>
      </c>
      <c r="P35" s="6"/>
      <c r="Q35" s="30"/>
      <c r="R35" s="6"/>
      <c r="S35" s="20">
        <f t="shared" si="4"/>
        <v>10274.354092358173</v>
      </c>
      <c r="T35" s="6"/>
      <c r="U35" s="20">
        <f t="shared" si="0"/>
        <v>16245.908172485546</v>
      </c>
      <c r="V35" s="6"/>
      <c r="W35" s="20">
        <f t="shared" si="1"/>
        <v>-5971.5540801273728</v>
      </c>
      <c r="X35" s="6"/>
      <c r="Y35" s="296">
        <f t="shared" si="5"/>
        <v>-37.116148782275438</v>
      </c>
      <c r="Z35" s="255"/>
      <c r="AB35" s="154">
        <f>+IF(AB34&gt;$G$13+$G$14,XX,AB34+1)</f>
        <v>2022</v>
      </c>
      <c r="AC35" s="124"/>
      <c r="AD35" s="159">
        <f t="shared" si="2"/>
        <v>160888.30000000019</v>
      </c>
      <c r="AE35" s="3"/>
      <c r="AF35" s="162">
        <f t="shared" si="12"/>
        <v>81.683778667336327</v>
      </c>
      <c r="AG35" s="3"/>
      <c r="AH35" s="162">
        <f t="shared" si="13"/>
        <v>8.9605024133450808</v>
      </c>
      <c r="AI35" s="3"/>
      <c r="AJ35" s="162">
        <f t="shared" si="14"/>
        <v>3.0346765527481687</v>
      </c>
      <c r="AK35" s="3"/>
      <c r="AL35" s="161">
        <f t="shared" si="6"/>
        <v>2825.5421021898574</v>
      </c>
      <c r="AM35" s="3"/>
      <c r="AN35" s="162">
        <f>INDEX('(2.2)_Forward_Price_Curve'!$L:$L,MATCH($AB35,'(2.2)_Forward_Price_Curve'!$C:$C,0),1)</f>
        <v>11.912916666666668</v>
      </c>
      <c r="AO35" s="3"/>
      <c r="AP35" s="162">
        <f t="shared" si="18"/>
        <v>90.604583159025282</v>
      </c>
      <c r="AQ35" s="3"/>
      <c r="AR35" s="162">
        <f t="shared" si="15"/>
        <v>3.6337831324386634</v>
      </c>
      <c r="AS35" s="162"/>
      <c r="AT35" s="161">
        <f t="shared" si="7"/>
        <v>1084.0576250745887</v>
      </c>
      <c r="AU35" s="3"/>
      <c r="AV35" s="161">
        <f t="shared" si="3"/>
        <v>15161.850547410957</v>
      </c>
      <c r="AW35" s="299"/>
      <c r="AX35" s="163">
        <f t="shared" si="8"/>
        <v>16245.908172485546</v>
      </c>
      <c r="AZ35" s="154">
        <f>+IF(AZ34&gt;$G$13+$G$14,XX,AZ34+1)</f>
        <v>2022</v>
      </c>
      <c r="BA35" s="124"/>
      <c r="BB35" s="162">
        <f t="shared" si="16"/>
        <v>74.038346311081696</v>
      </c>
      <c r="BC35" s="3"/>
      <c r="BD35" s="162">
        <f t="shared" si="17"/>
        <v>12.471873610762076</v>
      </c>
      <c r="BE35" s="3"/>
      <c r="BF35" s="161">
        <f t="shared" si="9"/>
        <v>1741.4844771152686</v>
      </c>
      <c r="BG35" s="3"/>
      <c r="BH35" s="165"/>
    </row>
    <row r="36" spans="2:60" ht="12">
      <c r="B36" s="2"/>
      <c r="C36" s="6">
        <f>+IF(C35&gt;$G$13+$G$14,XX,C35+1)</f>
        <v>2023</v>
      </c>
      <c r="D36" s="6"/>
      <c r="E36" s="292">
        <f>+INDEX('(2.2)_Forward_Price_Curve'!$R:$R,MATCH($C36,'(2.2)_Forward_Price_Curve'!C:C,0))</f>
        <v>1.9E-2</v>
      </c>
      <c r="F36" s="6"/>
      <c r="G36" s="20">
        <v>160888.30000000019</v>
      </c>
      <c r="H36" s="6"/>
      <c r="I36" s="30">
        <f t="shared" si="10"/>
        <v>0</v>
      </c>
      <c r="J36" s="6"/>
      <c r="K36" s="30">
        <v>60.327279878937979</v>
      </c>
      <c r="L36" s="6"/>
      <c r="M36" s="30">
        <f t="shared" si="11"/>
        <v>0</v>
      </c>
      <c r="N36" s="6"/>
      <c r="O36" s="295">
        <f>'(2.2)_Forward_Price_Curve'!V35</f>
        <v>3.6000144212030687</v>
      </c>
      <c r="P36" s="6"/>
      <c r="Q36" s="30"/>
      <c r="R36" s="6"/>
      <c r="S36" s="20">
        <f t="shared" si="4"/>
        <v>10285.153703549397</v>
      </c>
      <c r="T36" s="6"/>
      <c r="U36" s="20">
        <f t="shared" si="0"/>
        <v>16517.365172697308</v>
      </c>
      <c r="V36" s="6"/>
      <c r="W36" s="20">
        <f t="shared" si="1"/>
        <v>-6232.211469147911</v>
      </c>
      <c r="X36" s="6"/>
      <c r="Y36" s="296">
        <f t="shared" si="5"/>
        <v>-38.736262793179513</v>
      </c>
      <c r="Z36" s="255"/>
      <c r="AB36" s="154">
        <f>+IF(AB35&gt;$G$13+$G$14,XX,AB35+1)</f>
        <v>2023</v>
      </c>
      <c r="AC36" s="124"/>
      <c r="AD36" s="159">
        <f t="shared" si="2"/>
        <v>160888.30000000019</v>
      </c>
      <c r="AE36" s="3"/>
      <c r="AF36" s="162">
        <f t="shared" si="12"/>
        <v>83.235770462015708</v>
      </c>
      <c r="AG36" s="3"/>
      <c r="AH36" s="162">
        <f t="shared" si="13"/>
        <v>9.130751959198637</v>
      </c>
      <c r="AI36" s="3"/>
      <c r="AJ36" s="162">
        <f t="shared" si="14"/>
        <v>3.0923354072503835</v>
      </c>
      <c r="AK36" s="3"/>
      <c r="AL36" s="161">
        <f t="shared" si="6"/>
        <v>2879.2274021314643</v>
      </c>
      <c r="AM36" s="3"/>
      <c r="AN36" s="162">
        <f>INDEX('(2.2)_Forward_Price_Curve'!$L:$L,MATCH($AB36,'(2.2)_Forward_Price_Curve'!$C:$C,0),1)</f>
        <v>12.139166666666668</v>
      </c>
      <c r="AO36" s="3"/>
      <c r="AP36" s="162">
        <f t="shared" si="18"/>
        <v>92.094759105387794</v>
      </c>
      <c r="AQ36" s="3"/>
      <c r="AR36" s="162">
        <f t="shared" si="15"/>
        <v>3.7028250119549977</v>
      </c>
      <c r="AS36" s="162"/>
      <c r="AT36" s="161">
        <f t="shared" si="7"/>
        <v>1104.6547199510055</v>
      </c>
      <c r="AU36" s="3"/>
      <c r="AV36" s="161">
        <f t="shared" si="3"/>
        <v>15412.710452746302</v>
      </c>
      <c r="AW36" s="299"/>
      <c r="AX36" s="163">
        <f t="shared" si="8"/>
        <v>16517.365172697308</v>
      </c>
      <c r="AZ36" s="154">
        <f>+IF(AZ35&gt;$G$13+$G$14,XX,AZ35+1)</f>
        <v>2023</v>
      </c>
      <c r="BA36" s="124"/>
      <c r="BB36" s="162">
        <f t="shared" si="16"/>
        <v>75.445074890992245</v>
      </c>
      <c r="BC36" s="3"/>
      <c r="BD36" s="162">
        <f t="shared" si="17"/>
        <v>12.708839209366554</v>
      </c>
      <c r="BE36" s="3"/>
      <c r="BF36" s="161">
        <f t="shared" si="9"/>
        <v>1774.5726821804587</v>
      </c>
      <c r="BG36" s="3"/>
      <c r="BH36" s="165"/>
    </row>
    <row r="37" spans="2:60" ht="12">
      <c r="B37" s="2"/>
      <c r="C37" s="6">
        <f>+IF(C36&gt;$G$13+$G$14,XX,C36+1)</f>
        <v>2024</v>
      </c>
      <c r="D37" s="6"/>
      <c r="E37" s="292">
        <f>+INDEX('(2.2)_Forward_Price_Curve'!$R:$R,MATCH($C37,'(2.2)_Forward_Price_Curve'!C:C,0))</f>
        <v>1.9E-2</v>
      </c>
      <c r="F37" s="6"/>
      <c r="G37" s="20">
        <v>161444.29642857163</v>
      </c>
      <c r="H37" s="6"/>
      <c r="I37" s="30">
        <f t="shared" si="10"/>
        <v>0</v>
      </c>
      <c r="J37" s="6"/>
      <c r="K37" s="30">
        <v>60.327279878937979</v>
      </c>
      <c r="L37" s="6"/>
      <c r="M37" s="30">
        <f t="shared" si="11"/>
        <v>0</v>
      </c>
      <c r="N37" s="6"/>
      <c r="O37" s="295">
        <f>'(2.2)_Forward_Price_Curve'!V36</f>
        <v>3.6684146952059264</v>
      </c>
      <c r="P37" s="6"/>
      <c r="Q37" s="30"/>
      <c r="R37" s="6"/>
      <c r="S37" s="20">
        <f t="shared" si="4"/>
        <v>10331.739884980421</v>
      </c>
      <c r="T37" s="6"/>
      <c r="U37" s="20">
        <f t="shared" si="0"/>
        <v>16849.427296103659</v>
      </c>
      <c r="V37" s="6"/>
      <c r="W37" s="20">
        <f t="shared" si="1"/>
        <v>-6517.6874111232373</v>
      </c>
      <c r="X37" s="6"/>
      <c r="Y37" s="296">
        <f t="shared" si="5"/>
        <v>-40.371122147426753</v>
      </c>
      <c r="Z37" s="255"/>
      <c r="AB37" s="154">
        <f>+IF(AB36&gt;$G$13+$G$14,XX,AB36+1)</f>
        <v>2024</v>
      </c>
      <c r="AC37" s="124"/>
      <c r="AD37" s="159">
        <f t="shared" si="2"/>
        <v>161444.29642857163</v>
      </c>
      <c r="AE37" s="3"/>
      <c r="AF37" s="162">
        <f t="shared" si="12"/>
        <v>84.817250100793999</v>
      </c>
      <c r="AG37" s="3"/>
      <c r="AH37" s="162">
        <f t="shared" si="13"/>
        <v>9.304236246423411</v>
      </c>
      <c r="AI37" s="3"/>
      <c r="AJ37" s="162">
        <f t="shared" si="14"/>
        <v>3.1510897799881405</v>
      </c>
      <c r="AK37" s="3"/>
      <c r="AL37" s="161">
        <f t="shared" si="6"/>
        <v>2935.6847174357436</v>
      </c>
      <c r="AM37" s="3"/>
      <c r="AN37" s="162">
        <f>INDEX('(2.2)_Forward_Price_Curve'!$L:$L,MATCH($AB37,'(2.2)_Forward_Price_Curve'!$C:$C,0),1)</f>
        <v>12.371250000000002</v>
      </c>
      <c r="AO37" s="3"/>
      <c r="AP37" s="162">
        <f t="shared" si="18"/>
        <v>93.610454489142285</v>
      </c>
      <c r="AQ37" s="3"/>
      <c r="AR37" s="162">
        <f t="shared" si="15"/>
        <v>3.7731786871821424</v>
      </c>
      <c r="AS37" s="162"/>
      <c r="AT37" s="161">
        <f t="shared" si="7"/>
        <v>1127.3951542938564</v>
      </c>
      <c r="AU37" s="3"/>
      <c r="AV37" s="161">
        <f t="shared" si="3"/>
        <v>15722.032141809803</v>
      </c>
      <c r="AW37" s="299"/>
      <c r="AX37" s="163">
        <f t="shared" si="8"/>
        <v>16849.427296103659</v>
      </c>
      <c r="AZ37" s="154">
        <f>+IF(AZ36&gt;$G$13+$G$14,XX,AZ36+1)</f>
        <v>2024</v>
      </c>
      <c r="BA37" s="124"/>
      <c r="BB37" s="162">
        <f t="shared" si="16"/>
        <v>76.878531313921087</v>
      </c>
      <c r="BC37" s="3"/>
      <c r="BD37" s="162">
        <f t="shared" si="17"/>
        <v>12.950307154344516</v>
      </c>
      <c r="BE37" s="3"/>
      <c r="BF37" s="161">
        <f t="shared" si="9"/>
        <v>1808.2895631418871</v>
      </c>
      <c r="BG37" s="3"/>
      <c r="BH37" s="165"/>
    </row>
    <row r="38" spans="2:60" ht="12">
      <c r="B38" s="2"/>
      <c r="C38" s="6">
        <f>+IF(C37&gt;$G$13+$G$14,XX,C37+1)</f>
        <v>2025</v>
      </c>
      <c r="D38" s="6"/>
      <c r="E38" s="292">
        <f>+INDEX('(2.2)_Forward_Price_Curve'!$R:$R,MATCH($C38,'(2.2)_Forward_Price_Curve'!C:C,0))</f>
        <v>1.9E-2</v>
      </c>
      <c r="F38" s="6"/>
      <c r="G38" s="20">
        <v>160888.30000000019</v>
      </c>
      <c r="H38" s="6"/>
      <c r="I38" s="30">
        <f t="shared" si="10"/>
        <v>0</v>
      </c>
      <c r="J38" s="6"/>
      <c r="K38" s="30">
        <v>60.327279878937979</v>
      </c>
      <c r="L38" s="6"/>
      <c r="M38" s="30">
        <f t="shared" si="11"/>
        <v>0</v>
      </c>
      <c r="N38" s="6"/>
      <c r="O38" s="295">
        <f>'(2.2)_Forward_Price_Curve'!V37</f>
        <v>3.7381145744148387</v>
      </c>
      <c r="P38" s="6"/>
      <c r="Q38" s="30"/>
      <c r="R38" s="6"/>
      <c r="S38" s="20">
        <f t="shared" si="4"/>
        <v>10307.372402429377</v>
      </c>
      <c r="T38" s="6"/>
      <c r="U38" s="20">
        <f t="shared" si="0"/>
        <v>17059.364231566458</v>
      </c>
      <c r="V38" s="6"/>
      <c r="W38" s="20">
        <f t="shared" si="1"/>
        <v>-6751.9918291370814</v>
      </c>
      <c r="X38" s="6"/>
      <c r="Y38" s="296">
        <f t="shared" si="5"/>
        <v>-41.966953651303875</v>
      </c>
      <c r="Z38" s="255"/>
      <c r="AB38" s="154">
        <f>+IF(AB37&gt;$G$13+$G$14,XX,AB37+1)</f>
        <v>2025</v>
      </c>
      <c r="AC38" s="124"/>
      <c r="AD38" s="159">
        <f t="shared" si="2"/>
        <v>160888.30000000019</v>
      </c>
      <c r="AE38" s="3"/>
      <c r="AF38" s="162">
        <f t="shared" si="12"/>
        <v>86.428777852709075</v>
      </c>
      <c r="AG38" s="3"/>
      <c r="AH38" s="162">
        <f t="shared" si="13"/>
        <v>9.4810167351054542</v>
      </c>
      <c r="AI38" s="3"/>
      <c r="AJ38" s="162">
        <f t="shared" si="14"/>
        <v>3.2109604858079148</v>
      </c>
      <c r="AK38" s="3"/>
      <c r="AL38" s="161">
        <f t="shared" si="6"/>
        <v>2989.6774445046294</v>
      </c>
      <c r="AM38" s="3"/>
      <c r="AN38" s="162">
        <f>INDEX('(2.2)_Forward_Price_Curve'!$L:$L,MATCH($AB38,'(2.2)_Forward_Price_Curve'!$C:$C,0),1)</f>
        <v>12.592916666666667</v>
      </c>
      <c r="AO38" s="3"/>
      <c r="AP38" s="162">
        <f t="shared" si="18"/>
        <v>95.058120457108828</v>
      </c>
      <c r="AQ38" s="3"/>
      <c r="AR38" s="162">
        <f t="shared" si="15"/>
        <v>3.8448690822386027</v>
      </c>
      <c r="AS38" s="162"/>
      <c r="AT38" s="161">
        <f t="shared" si="7"/>
        <v>1147.0303796630462</v>
      </c>
      <c r="AU38" s="3"/>
      <c r="AV38" s="161">
        <f t="shared" si="3"/>
        <v>15912.333851903411</v>
      </c>
      <c r="AW38" s="299"/>
      <c r="AX38" s="163">
        <f t="shared" si="8"/>
        <v>17059.364231566458</v>
      </c>
      <c r="AZ38" s="154">
        <f>+IF(AZ37&gt;$G$13+$G$14,XX,AZ37+1)</f>
        <v>2025</v>
      </c>
      <c r="BA38" s="124"/>
      <c r="BB38" s="162">
        <f t="shared" si="16"/>
        <v>78.339223408885587</v>
      </c>
      <c r="BC38" s="3"/>
      <c r="BD38" s="162">
        <f t="shared" si="17"/>
        <v>13.196362990277061</v>
      </c>
      <c r="BE38" s="3"/>
      <c r="BF38" s="161">
        <f t="shared" si="9"/>
        <v>1842.6470648415832</v>
      </c>
      <c r="BG38" s="3"/>
      <c r="BH38" s="165"/>
    </row>
    <row r="39" spans="2:60" ht="12">
      <c r="B39" s="2"/>
      <c r="C39" s="6">
        <f>+IF(C38&gt;$G$13+$G$14,XX,C38+1)</f>
        <v>2026</v>
      </c>
      <c r="D39" s="6"/>
      <c r="E39" s="292">
        <f>+INDEX('(2.2)_Forward_Price_Curve'!$R:$R,MATCH($C39,'(2.2)_Forward_Price_Curve'!C:C,0))</f>
        <v>1.9E-2</v>
      </c>
      <c r="F39" s="6"/>
      <c r="G39" s="20">
        <v>160888.30000000019</v>
      </c>
      <c r="H39" s="6"/>
      <c r="I39" s="30">
        <f t="shared" si="10"/>
        <v>0</v>
      </c>
      <c r="J39" s="6"/>
      <c r="K39" s="30">
        <v>60.327279878937979</v>
      </c>
      <c r="L39" s="6"/>
      <c r="M39" s="30">
        <f t="shared" si="11"/>
        <v>0</v>
      </c>
      <c r="N39" s="6"/>
      <c r="O39" s="295">
        <f>'(2.2)_Forward_Price_Curve'!V38</f>
        <v>3.8091387513287205</v>
      </c>
      <c r="P39" s="6"/>
      <c r="Q39" s="30"/>
      <c r="R39" s="6"/>
      <c r="S39" s="20">
        <f t="shared" si="4"/>
        <v>10318.799361511952</v>
      </c>
      <c r="T39" s="6"/>
      <c r="U39" s="20">
        <f t="shared" si="0"/>
        <v>17330.639480195656</v>
      </c>
      <c r="V39" s="6"/>
      <c r="W39" s="20">
        <f t="shared" si="1"/>
        <v>-7011.8401186837036</v>
      </c>
      <c r="X39" s="6"/>
      <c r="Y39" s="296">
        <f t="shared" si="5"/>
        <v>-43.582038710606646</v>
      </c>
      <c r="Z39" s="255"/>
      <c r="AB39" s="154">
        <f>+IF(AB38&gt;$G$13+$G$14,XX,AB38+1)</f>
        <v>2026</v>
      </c>
      <c r="AC39" s="124"/>
      <c r="AD39" s="159">
        <f t="shared" si="2"/>
        <v>160888.30000000019</v>
      </c>
      <c r="AE39" s="3"/>
      <c r="AF39" s="162">
        <f t="shared" si="12"/>
        <v>88.070924631910543</v>
      </c>
      <c r="AG39" s="3"/>
      <c r="AH39" s="162">
        <f t="shared" si="13"/>
        <v>9.6611560530724567</v>
      </c>
      <c r="AI39" s="3"/>
      <c r="AJ39" s="162">
        <f t="shared" si="14"/>
        <v>3.2719687350382647</v>
      </c>
      <c r="AK39" s="3"/>
      <c r="AL39" s="161">
        <f t="shared" si="6"/>
        <v>3046.4813159502169</v>
      </c>
      <c r="AM39" s="3"/>
      <c r="AN39" s="162">
        <f>INDEX('(2.2)_Forward_Price_Curve'!$L:$L,MATCH($AB39,'(2.2)_Forward_Price_Curve'!$C:$C,0),1)</f>
        <v>12.819166666666668</v>
      </c>
      <c r="AO39" s="3"/>
      <c r="AP39" s="162">
        <f t="shared" si="18"/>
        <v>96.535719368022086</v>
      </c>
      <c r="AQ39" s="3"/>
      <c r="AR39" s="162">
        <f t="shared" si="15"/>
        <v>3.9179215948011357</v>
      </c>
      <c r="AS39" s="162"/>
      <c r="AT39" s="161">
        <f t="shared" si="7"/>
        <v>1168.8239568766442</v>
      </c>
      <c r="AU39" s="3"/>
      <c r="AV39" s="161">
        <f t="shared" si="3"/>
        <v>16161.81552331901</v>
      </c>
      <c r="AW39" s="299"/>
      <c r="AX39" s="163">
        <f t="shared" si="8"/>
        <v>17330.639480195656</v>
      </c>
      <c r="AZ39" s="154">
        <f>+IF(AZ38&gt;$G$13+$G$14,XX,AZ38+1)</f>
        <v>2026</v>
      </c>
      <c r="BA39" s="124"/>
      <c r="BB39" s="162">
        <f t="shared" si="16"/>
        <v>79.827668653654399</v>
      </c>
      <c r="BC39" s="3"/>
      <c r="BD39" s="162">
        <f t="shared" si="17"/>
        <v>13.447093887092324</v>
      </c>
      <c r="BE39" s="3"/>
      <c r="BF39" s="161">
        <f t="shared" si="9"/>
        <v>1877.6573590735727</v>
      </c>
      <c r="BG39" s="3"/>
      <c r="BH39" s="165"/>
    </row>
    <row r="40" spans="2:60" ht="12">
      <c r="B40" s="2"/>
      <c r="C40" s="6">
        <f>+IF(C39&gt;$G$13+$G$14,XX,C39+1)</f>
        <v>2027</v>
      </c>
      <c r="D40" s="6"/>
      <c r="E40" s="292">
        <f>+INDEX('(2.2)_Forward_Price_Curve'!$R:$R,MATCH($C40,'(2.2)_Forward_Price_Curve'!C:C,0))</f>
        <v>1.9E-2</v>
      </c>
      <c r="F40" s="6"/>
      <c r="G40" s="20">
        <v>160888.30000000019</v>
      </c>
      <c r="H40" s="6"/>
      <c r="I40" s="30">
        <f t="shared" si="10"/>
        <v>0</v>
      </c>
      <c r="J40" s="6"/>
      <c r="K40" s="30">
        <v>60.327279878937979</v>
      </c>
      <c r="L40" s="6"/>
      <c r="M40" s="30">
        <f t="shared" si="11"/>
        <v>0</v>
      </c>
      <c r="N40" s="6"/>
      <c r="O40" s="295">
        <f>'(2.2)_Forward_Price_Curve'!V39</f>
        <v>3.8815123876039657</v>
      </c>
      <c r="P40" s="6"/>
      <c r="Q40" s="30"/>
      <c r="R40" s="6"/>
      <c r="S40" s="20">
        <f t="shared" si="4"/>
        <v>10330.443432817094</v>
      </c>
      <c r="T40" s="6"/>
      <c r="U40" s="20">
        <f t="shared" si="0"/>
        <v>17621.815560607243</v>
      </c>
      <c r="V40" s="6"/>
      <c r="W40" s="20">
        <f t="shared" si="1"/>
        <v>-7291.3721277901495</v>
      </c>
      <c r="X40" s="6"/>
      <c r="Y40" s="296">
        <f t="shared" si="5"/>
        <v>-45.319467778515531</v>
      </c>
      <c r="Z40" s="255"/>
      <c r="AB40" s="154">
        <f>+IF(AB39&gt;$G$13+$G$14,XX,AB39+1)</f>
        <v>2027</v>
      </c>
      <c r="AC40" s="124"/>
      <c r="AD40" s="159">
        <f t="shared" si="2"/>
        <v>160888.30000000019</v>
      </c>
      <c r="AE40" s="3"/>
      <c r="AF40" s="162">
        <f t="shared" si="12"/>
        <v>89.744272199916836</v>
      </c>
      <c r="AG40" s="3"/>
      <c r="AH40" s="162">
        <f t="shared" si="13"/>
        <v>9.8447180180808331</v>
      </c>
      <c r="AI40" s="3"/>
      <c r="AJ40" s="162">
        <f t="shared" si="14"/>
        <v>3.3341361410039916</v>
      </c>
      <c r="AK40" s="3"/>
      <c r="AL40" s="161">
        <f t="shared" si="6"/>
        <v>3104.3644609532707</v>
      </c>
      <c r="AM40" s="3"/>
      <c r="AN40" s="162">
        <f>INDEX('(2.2)_Forward_Price_Curve'!$L:$L,MATCH($AB40,'(2.2)_Forward_Price_Curve'!$C:$C,0),1)</f>
        <v>13.063749999999999</v>
      </c>
      <c r="AO40" s="3"/>
      <c r="AP40" s="162">
        <f t="shared" si="18"/>
        <v>98.133050050722034</v>
      </c>
      <c r="AQ40" s="3"/>
      <c r="AR40" s="162">
        <f t="shared" si="15"/>
        <v>3.992362105102357</v>
      </c>
      <c r="AS40" s="162"/>
      <c r="AT40" s="161">
        <f t="shared" si="7"/>
        <v>1191.0316120573002</v>
      </c>
      <c r="AU40" s="3"/>
      <c r="AV40" s="161">
        <f t="shared" si="3"/>
        <v>16430.783948549943</v>
      </c>
      <c r="AW40" s="299"/>
      <c r="AX40" s="163">
        <f t="shared" si="8"/>
        <v>17621.815560607243</v>
      </c>
      <c r="AZ40" s="154">
        <f>+IF(AZ39&gt;$G$13+$G$14,XX,AZ39+1)</f>
        <v>2027</v>
      </c>
      <c r="BA40" s="124"/>
      <c r="BB40" s="162">
        <f t="shared" si="16"/>
        <v>81.344394358073828</v>
      </c>
      <c r="BC40" s="3"/>
      <c r="BD40" s="162">
        <f t="shared" si="17"/>
        <v>13.702588670947076</v>
      </c>
      <c r="BE40" s="3"/>
      <c r="BF40" s="161">
        <f t="shared" si="9"/>
        <v>1913.3328488959705</v>
      </c>
      <c r="BG40" s="3"/>
      <c r="BH40" s="165"/>
    </row>
    <row r="41" spans="2:60" ht="12">
      <c r="B41" s="2"/>
      <c r="C41" s="6">
        <f>+IF(C40&gt;$G$13+$G$14,XX,C40+1)</f>
        <v>2028</v>
      </c>
      <c r="D41" s="6"/>
      <c r="E41" s="292">
        <f>+INDEX('(2.2)_Forward_Price_Curve'!$R:$R,MATCH($C41,'(2.2)_Forward_Price_Curve'!C:C,0))</f>
        <v>1.9E-2</v>
      </c>
      <c r="F41" s="6"/>
      <c r="G41" s="20">
        <v>161444.29642857163</v>
      </c>
      <c r="H41" s="6"/>
      <c r="I41" s="30">
        <f t="shared" si="10"/>
        <v>0</v>
      </c>
      <c r="J41" s="6"/>
      <c r="K41" s="30">
        <v>60.327279878937979</v>
      </c>
      <c r="L41" s="6"/>
      <c r="M41" s="30">
        <f t="shared" si="11"/>
        <v>0</v>
      </c>
      <c r="N41" s="6"/>
      <c r="O41" s="295">
        <f>'(2.2)_Forward_Price_Curve'!V40</f>
        <v>3.9552611229684405</v>
      </c>
      <c r="P41" s="6"/>
      <c r="Q41" s="30"/>
      <c r="R41" s="6"/>
      <c r="S41" s="20">
        <f t="shared" si="4"/>
        <v>10378.04960469359</v>
      </c>
      <c r="T41" s="6"/>
      <c r="U41" s="20">
        <f t="shared" si="0"/>
        <v>17976.756328573985</v>
      </c>
      <c r="V41" s="6"/>
      <c r="W41" s="20">
        <f t="shared" si="1"/>
        <v>-7598.7067238803957</v>
      </c>
      <c r="X41" s="6"/>
      <c r="Y41" s="296">
        <f t="shared" si="5"/>
        <v>-47.067049700590182</v>
      </c>
      <c r="Z41" s="255"/>
      <c r="AB41" s="154">
        <f>+IF(AB40&gt;$G$13+$G$14,XX,AB40+1)</f>
        <v>2028</v>
      </c>
      <c r="AC41" s="124"/>
      <c r="AD41" s="159">
        <f t="shared" si="2"/>
        <v>161444.29642857163</v>
      </c>
      <c r="AE41" s="3"/>
      <c r="AF41" s="162">
        <f t="shared" si="12"/>
        <v>91.449413371715252</v>
      </c>
      <c r="AG41" s="3"/>
      <c r="AH41" s="162">
        <f t="shared" si="13"/>
        <v>10.031767660424368</v>
      </c>
      <c r="AI41" s="3"/>
      <c r="AJ41" s="162">
        <f t="shared" si="14"/>
        <v>3.3974847276830671</v>
      </c>
      <c r="AK41" s="3"/>
      <c r="AL41" s="161">
        <f t="shared" si="6"/>
        <v>3165.2363750861005</v>
      </c>
      <c r="AM41" s="3"/>
      <c r="AN41" s="162">
        <f>INDEX('(2.2)_Forward_Price_Curve'!$L:$L,MATCH($AB41,'(2.2)_Forward_Price_Curve'!$C:$C,0),1)</f>
        <v>13.311666666666667</v>
      </c>
      <c r="AO41" s="3"/>
      <c r="AP41" s="162">
        <f t="shared" si="18"/>
        <v>99.75215014647415</v>
      </c>
      <c r="AQ41" s="3"/>
      <c r="AR41" s="162">
        <f t="shared" si="15"/>
        <v>4.0682169850993013</v>
      </c>
      <c r="AS41" s="162"/>
      <c r="AT41" s="161">
        <f t="shared" si="7"/>
        <v>1215.5502020611068</v>
      </c>
      <c r="AU41" s="3"/>
      <c r="AV41" s="161">
        <f t="shared" si="3"/>
        <v>16761.20612651288</v>
      </c>
      <c r="AW41" s="299"/>
      <c r="AX41" s="163">
        <f t="shared" si="8"/>
        <v>17976.756328573985</v>
      </c>
      <c r="AZ41" s="154">
        <f>+IF(AZ40&gt;$G$13+$G$14,XX,AZ40+1)</f>
        <v>2028</v>
      </c>
      <c r="BA41" s="124"/>
      <c r="BB41" s="162">
        <f t="shared" si="16"/>
        <v>82.889937850877217</v>
      </c>
      <c r="BC41" s="3"/>
      <c r="BD41" s="162">
        <f t="shared" si="17"/>
        <v>13.962937855695069</v>
      </c>
      <c r="BE41" s="3"/>
      <c r="BF41" s="161">
        <f t="shared" si="9"/>
        <v>1949.6861730249936</v>
      </c>
      <c r="BG41" s="3"/>
      <c r="BH41" s="165"/>
    </row>
    <row r="42" spans="2:60" ht="12">
      <c r="B42" s="2"/>
      <c r="C42" s="6">
        <f>+IF(C41&gt;$G$13+$G$14,XX,C41+1)</f>
        <v>2029</v>
      </c>
      <c r="D42" s="6"/>
      <c r="E42" s="292">
        <f>+INDEX('(2.2)_Forward_Price_Curve'!$R:$R,MATCH($C42,'(2.2)_Forward_Price_Curve'!C:C,0))</f>
        <v>1.7999999999999999E-2</v>
      </c>
      <c r="F42" s="6"/>
      <c r="G42" s="20">
        <v>160888.30000000019</v>
      </c>
      <c r="H42" s="6"/>
      <c r="I42" s="30">
        <f t="shared" si="10"/>
        <v>0</v>
      </c>
      <c r="J42" s="6"/>
      <c r="K42" s="30">
        <v>60.327279878937979</v>
      </c>
      <c r="L42" s="6"/>
      <c r="M42" s="30">
        <f t="shared" si="11"/>
        <v>0</v>
      </c>
      <c r="N42" s="6"/>
      <c r="O42" s="295">
        <f>'(2.2)_Forward_Price_Curve'!V41</f>
        <v>4.0304110843048404</v>
      </c>
      <c r="P42" s="6"/>
      <c r="Q42" s="30"/>
      <c r="R42" s="6"/>
      <c r="S42" s="20">
        <f t="shared" si="4"/>
        <v>10354.399491001512</v>
      </c>
      <c r="T42" s="6"/>
      <c r="U42" s="20">
        <f t="shared" si="0"/>
        <v>18215.808847271826</v>
      </c>
      <c r="V42" s="6"/>
      <c r="W42" s="20">
        <f t="shared" si="1"/>
        <v>-7861.4093562703147</v>
      </c>
      <c r="X42" s="6"/>
      <c r="Y42" s="296">
        <f t="shared" si="5"/>
        <v>-48.862529818950826</v>
      </c>
      <c r="Z42" s="255"/>
      <c r="AB42" s="154">
        <f>+IF(AB41&gt;$G$13+$G$14,XX,AB41+1)</f>
        <v>2029</v>
      </c>
      <c r="AC42" s="124"/>
      <c r="AD42" s="159">
        <f t="shared" si="2"/>
        <v>160888.30000000019</v>
      </c>
      <c r="AE42" s="3"/>
      <c r="AF42" s="162">
        <f t="shared" si="12"/>
        <v>93.095502812406124</v>
      </c>
      <c r="AG42" s="3"/>
      <c r="AH42" s="162">
        <f t="shared" si="13"/>
        <v>10.212339478312007</v>
      </c>
      <c r="AI42" s="3"/>
      <c r="AJ42" s="162">
        <f t="shared" si="14"/>
        <v>3.4586394527813624</v>
      </c>
      <c r="AK42" s="3"/>
      <c r="AL42" s="161">
        <f t="shared" si="6"/>
        <v>3220.2876386541875</v>
      </c>
      <c r="AM42" s="3"/>
      <c r="AN42" s="162">
        <f>INDEX('(2.2)_Forward_Price_Curve'!$L:$L,MATCH($AB42,'(2.2)_Forward_Price_Curve'!$C:$C,0),1)</f>
        <v>13.565833333333336</v>
      </c>
      <c r="AO42" s="3"/>
      <c r="AP42" s="162">
        <f t="shared" si="18"/>
        <v>101.39949085624971</v>
      </c>
      <c r="AQ42" s="3"/>
      <c r="AR42" s="162">
        <f t="shared" si="15"/>
        <v>4.1414448908310888</v>
      </c>
      <c r="AS42" s="162"/>
      <c r="AT42" s="161">
        <f t="shared" si="7"/>
        <v>1235.507114514744</v>
      </c>
      <c r="AU42" s="3"/>
      <c r="AV42" s="161">
        <f t="shared" si="3"/>
        <v>16980.301732757081</v>
      </c>
      <c r="AW42" s="299"/>
      <c r="AX42" s="163">
        <f t="shared" si="8"/>
        <v>18215.808847271826</v>
      </c>
      <c r="AZ42" s="154">
        <f>+IF(AZ41&gt;$G$13+$G$14,XX,AZ41+1)</f>
        <v>2029</v>
      </c>
      <c r="BA42" s="124"/>
      <c r="BB42" s="162">
        <f t="shared" si="16"/>
        <v>84.381956732193004</v>
      </c>
      <c r="BC42" s="3"/>
      <c r="BD42" s="162">
        <f t="shared" si="17"/>
        <v>14.21427073709758</v>
      </c>
      <c r="BE42" s="3"/>
      <c r="BF42" s="161">
        <f t="shared" si="9"/>
        <v>1984.7805241394435</v>
      </c>
      <c r="BG42" s="3"/>
      <c r="BH42" s="165"/>
    </row>
    <row r="43" spans="2:60" ht="12">
      <c r="B43" s="2"/>
      <c r="C43" s="6">
        <f>+IF(C42&gt;$G$13+$G$14,XX,C42+1)</f>
        <v>2030</v>
      </c>
      <c r="D43" s="6"/>
      <c r="E43" s="292">
        <f>+INDEX('(2.2)_Forward_Price_Curve'!$R:$R,MATCH($C43,'(2.2)_Forward_Price_Curve'!C:C,0))</f>
        <v>1.7999999999999999E-2</v>
      </c>
      <c r="F43" s="6"/>
      <c r="G43" s="20">
        <v>160888.30000000019</v>
      </c>
      <c r="H43" s="6"/>
      <c r="I43" s="30">
        <f t="shared" si="10"/>
        <v>0</v>
      </c>
      <c r="J43" s="6"/>
      <c r="K43" s="30">
        <v>60.327279878937979</v>
      </c>
      <c r="L43" s="6"/>
      <c r="M43" s="30">
        <f t="shared" si="11"/>
        <v>0</v>
      </c>
      <c r="N43" s="6"/>
      <c r="O43" s="295">
        <f>'(2.2)_Forward_Price_Curve'!V42</f>
        <v>4.1110193059909372</v>
      </c>
      <c r="P43" s="6"/>
      <c r="Q43" s="30"/>
      <c r="R43" s="6"/>
      <c r="S43" s="20">
        <f t="shared" si="4"/>
        <v>10367.368410754612</v>
      </c>
      <c r="T43" s="6"/>
      <c r="U43" s="20">
        <f t="shared" si="0"/>
        <v>18519.2919274179</v>
      </c>
      <c r="V43" s="6"/>
      <c r="W43" s="20">
        <f t="shared" si="1"/>
        <v>-8151.923516663288</v>
      </c>
      <c r="X43" s="6"/>
      <c r="Y43" s="296">
        <f t="shared" si="5"/>
        <v>-50.668218364314114</v>
      </c>
      <c r="Z43" s="255"/>
      <c r="AB43" s="154">
        <f>+IF(AB42&gt;$G$13+$G$14,XX,AB42+1)</f>
        <v>2030</v>
      </c>
      <c r="AC43" s="124"/>
      <c r="AD43" s="159">
        <f t="shared" si="2"/>
        <v>160888.30000000019</v>
      </c>
      <c r="AE43" s="3"/>
      <c r="AF43" s="162">
        <f t="shared" si="12"/>
        <v>94.771221863029439</v>
      </c>
      <c r="AG43" s="3"/>
      <c r="AH43" s="162">
        <f t="shared" si="13"/>
        <v>10.396161588921624</v>
      </c>
      <c r="AI43" s="3"/>
      <c r="AJ43" s="162">
        <f t="shared" si="14"/>
        <v>3.5208949629314268</v>
      </c>
      <c r="AK43" s="3"/>
      <c r="AL43" s="161">
        <f t="shared" si="6"/>
        <v>3278.2528161499631</v>
      </c>
      <c r="AM43" s="3"/>
      <c r="AN43" s="162">
        <f>INDEX('(2.2)_Forward_Price_Curve'!$L:$L,MATCH($AB43,'(2.2)_Forward_Price_Curve'!$C:$C,0),1)</f>
        <v>13.822083333333332</v>
      </c>
      <c r="AO43" s="3"/>
      <c r="AP43" s="162">
        <f t="shared" si="18"/>
        <v>103.07301448463211</v>
      </c>
      <c r="AQ43" s="3"/>
      <c r="AR43" s="162">
        <f t="shared" si="15"/>
        <v>4.2159908988660488</v>
      </c>
      <c r="AS43" s="162"/>
      <c r="AT43" s="161">
        <f>AL43-BF43</f>
        <v>1257.7462425760098</v>
      </c>
      <c r="AU43" s="3"/>
      <c r="AV43" s="161">
        <f t="shared" si="3"/>
        <v>17261.545684841891</v>
      </c>
      <c r="AW43" s="299"/>
      <c r="AX43" s="163">
        <f t="shared" si="8"/>
        <v>18519.2919274179</v>
      </c>
      <c r="AZ43" s="154">
        <f>+IF(AZ42&gt;$G$13+$G$14,XX,AZ42+1)</f>
        <v>2030</v>
      </c>
      <c r="BA43" s="124"/>
      <c r="BB43" s="162">
        <f t="shared" si="16"/>
        <v>85.900831953372474</v>
      </c>
      <c r="BC43" s="3"/>
      <c r="BD43" s="162">
        <f t="shared" si="17"/>
        <v>14.470127610365337</v>
      </c>
      <c r="BE43" s="3"/>
      <c r="BF43" s="161">
        <f t="shared" si="9"/>
        <v>2020.5065735739533</v>
      </c>
      <c r="BG43" s="3"/>
      <c r="BH43" s="165"/>
    </row>
    <row r="44" spans="2:60" ht="12">
      <c r="B44" s="2"/>
      <c r="C44" s="6">
        <f>+IF(C43&gt;$G$13+$G$14,XX,C43+1)</f>
        <v>2031</v>
      </c>
      <c r="D44" s="6"/>
      <c r="E44" s="292">
        <f>+INDEX('(2.2)_Forward_Price_Curve'!$R:$R,MATCH($C44,'(2.2)_Forward_Price_Curve'!C:C,0))</f>
        <v>1.7999999999999999E-2</v>
      </c>
      <c r="F44" s="6"/>
      <c r="G44" s="20">
        <v>160888.30000000019</v>
      </c>
      <c r="H44" s="6"/>
      <c r="I44" s="30">
        <f t="shared" si="10"/>
        <v>0</v>
      </c>
      <c r="J44" s="6"/>
      <c r="K44" s="30">
        <v>60.327279878937979</v>
      </c>
      <c r="L44" s="6"/>
      <c r="M44" s="30">
        <f t="shared" si="11"/>
        <v>0</v>
      </c>
      <c r="N44" s="6"/>
      <c r="O44" s="295">
        <f>'(2.2)_Forward_Price_Curve'!V43</f>
        <v>4.1932396921107564</v>
      </c>
      <c r="P44" s="6"/>
      <c r="Q44" s="30"/>
      <c r="R44" s="6"/>
      <c r="S44" s="20">
        <f t="shared" si="4"/>
        <v>10380.596708902773</v>
      </c>
      <c r="T44" s="6"/>
      <c r="U44" s="20">
        <f t="shared" si="0"/>
        <v>18830.39608403407</v>
      </c>
      <c r="V44" s="6"/>
      <c r="W44" s="20">
        <f t="shared" si="1"/>
        <v>-8449.799375131297</v>
      </c>
      <c r="X44" s="6"/>
      <c r="Y44" s="296">
        <f t="shared" si="5"/>
        <v>-52.519663487843978</v>
      </c>
      <c r="Z44" s="255"/>
      <c r="AB44" s="154">
        <f>+IF(AB43&gt;$G$13+$G$14,XX,AB43+1)</f>
        <v>2031</v>
      </c>
      <c r="AC44" s="124"/>
      <c r="AD44" s="159">
        <f t="shared" si="2"/>
        <v>160888.30000000019</v>
      </c>
      <c r="AE44" s="3"/>
      <c r="AF44" s="162">
        <f t="shared" si="12"/>
        <v>96.477103856563971</v>
      </c>
      <c r="AG44" s="3"/>
      <c r="AH44" s="162">
        <f t="shared" si="13"/>
        <v>10.583292497522214</v>
      </c>
      <c r="AI44" s="3"/>
      <c r="AJ44" s="162">
        <f t="shared" si="14"/>
        <v>3.5842710722641926</v>
      </c>
      <c r="AK44" s="3"/>
      <c r="AL44" s="161">
        <f t="shared" si="6"/>
        <v>3337.2613668406625</v>
      </c>
      <c r="AM44" s="3"/>
      <c r="AN44" s="162">
        <f>INDEX('(2.2)_Forward_Price_Curve'!$L:$L,MATCH($AB44,'(2.2)_Forward_Price_Curve'!$C:$C,0),1)</f>
        <v>14.084999999999999</v>
      </c>
      <c r="AO44" s="3"/>
      <c r="AP44" s="162">
        <f t="shared" si="18"/>
        <v>104.79007693911878</v>
      </c>
      <c r="AQ44" s="3"/>
      <c r="AR44" s="162">
        <f t="shared" si="15"/>
        <v>4.2918787350456382</v>
      </c>
      <c r="AS44" s="162"/>
      <c r="AT44" s="161">
        <f t="shared" si="7"/>
        <v>1280.385674942378</v>
      </c>
      <c r="AU44" s="3"/>
      <c r="AV44" s="161">
        <f t="shared" si="3"/>
        <v>17550.01040909169</v>
      </c>
      <c r="AW44" s="299"/>
      <c r="AX44" s="163">
        <f t="shared" si="8"/>
        <v>18830.39608403407</v>
      </c>
      <c r="AZ44" s="154">
        <f>+IF(AZ43&gt;$G$13+$G$14,XX,AZ43+1)</f>
        <v>2031</v>
      </c>
      <c r="BA44" s="124"/>
      <c r="BB44" s="162">
        <f t="shared" si="16"/>
        <v>87.447046928533183</v>
      </c>
      <c r="BC44" s="3"/>
      <c r="BD44" s="162">
        <f t="shared" si="17"/>
        <v>14.730589907351913</v>
      </c>
      <c r="BE44" s="3"/>
      <c r="BF44" s="161">
        <f t="shared" si="9"/>
        <v>2056.8756918982845</v>
      </c>
      <c r="BG44" s="3"/>
      <c r="BH44" s="165"/>
    </row>
    <row r="45" spans="2:60" ht="12">
      <c r="B45" s="2"/>
      <c r="C45" s="6">
        <f>+IF(C44&gt;$G$13+$G$14,XX,C44+1)</f>
        <v>2032</v>
      </c>
      <c r="D45" s="6"/>
      <c r="E45" s="292">
        <f>+INDEX('(2.2)_Forward_Price_Curve'!$R:$R,MATCH($C45,'(2.2)_Forward_Price_Curve'!C:C,0))</f>
        <v>1.7999999999999999E-2</v>
      </c>
      <c r="F45" s="6"/>
      <c r="G45" s="20">
        <v>161444.29642857163</v>
      </c>
      <c r="H45" s="6"/>
      <c r="I45" s="30">
        <f t="shared" si="10"/>
        <v>0</v>
      </c>
      <c r="J45" s="6"/>
      <c r="K45" s="30">
        <v>60.327279878937979</v>
      </c>
      <c r="L45" s="6"/>
      <c r="M45" s="30">
        <f t="shared" si="11"/>
        <v>0</v>
      </c>
      <c r="N45" s="6"/>
      <c r="O45" s="295">
        <f>'(2.2)_Forward_Price_Curve'!V44</f>
        <v>4.2812977256450822</v>
      </c>
      <c r="P45" s="6"/>
      <c r="Q45" s="30"/>
      <c r="R45" s="6"/>
      <c r="S45" s="20">
        <f t="shared" si="4"/>
        <v>10430.686354622683</v>
      </c>
      <c r="T45" s="6"/>
      <c r="U45" s="20">
        <f t="shared" si="0"/>
        <v>19209.756911107503</v>
      </c>
      <c r="V45" s="6"/>
      <c r="W45" s="20">
        <f t="shared" si="1"/>
        <v>-8779.0705564848195</v>
      </c>
      <c r="X45" s="6"/>
      <c r="Y45" s="296">
        <f t="shared" si="5"/>
        <v>-54.378325841749238</v>
      </c>
      <c r="Z45" s="255"/>
      <c r="AB45" s="154">
        <f>+IF(AB44&gt;$G$13+$G$14,XX,AB44+1)</f>
        <v>2032</v>
      </c>
      <c r="AC45" s="124"/>
      <c r="AD45" s="159">
        <f t="shared" si="2"/>
        <v>161444.29642857163</v>
      </c>
      <c r="AE45" s="3"/>
      <c r="AF45" s="162">
        <f t="shared" si="12"/>
        <v>98.21369172598213</v>
      </c>
      <c r="AG45" s="3"/>
      <c r="AH45" s="162">
        <f t="shared" si="13"/>
        <v>10.773791762477614</v>
      </c>
      <c r="AI45" s="3"/>
      <c r="AJ45" s="162">
        <f t="shared" si="14"/>
        <v>3.6487879515649482</v>
      </c>
      <c r="AK45" s="3"/>
      <c r="AL45" s="161">
        <f t="shared" si="6"/>
        <v>3399.3607845134793</v>
      </c>
      <c r="AM45" s="3"/>
      <c r="AN45" s="162">
        <f>INDEX('(2.2)_Forward_Price_Curve'!$L:$L,MATCH($AB45,'(2.2)_Forward_Price_Curve'!$C:$C,0),1)</f>
        <v>14.351666666666667</v>
      </c>
      <c r="AO45" s="3"/>
      <c r="AP45" s="162">
        <f t="shared" si="18"/>
        <v>106.53162998328909</v>
      </c>
      <c r="AQ45" s="3"/>
      <c r="AR45" s="162">
        <f t="shared" si="15"/>
        <v>4.3691325522764597</v>
      </c>
      <c r="AS45" s="162"/>
      <c r="AT45" s="161">
        <f t="shared" si="7"/>
        <v>1305.4613301610257</v>
      </c>
      <c r="AU45" s="3"/>
      <c r="AV45" s="161">
        <f t="shared" si="3"/>
        <v>17904.295580946477</v>
      </c>
      <c r="AW45" s="299"/>
      <c r="AX45" s="163">
        <f t="shared" si="8"/>
        <v>19209.756911107503</v>
      </c>
      <c r="AZ45" s="154">
        <f>+IF(AZ44&gt;$G$13+$G$14,XX,AZ44+1)</f>
        <v>2032</v>
      </c>
      <c r="BA45" s="124"/>
      <c r="BB45" s="162">
        <f t="shared" si="16"/>
        <v>89.021093773246776</v>
      </c>
      <c r="BC45" s="3"/>
      <c r="BD45" s="162">
        <f t="shared" si="17"/>
        <v>14.995740525684248</v>
      </c>
      <c r="BE45" s="3"/>
      <c r="BF45" s="161">
        <f t="shared" si="9"/>
        <v>2093.8994543524536</v>
      </c>
      <c r="BG45" s="3"/>
      <c r="BH45" s="165"/>
    </row>
    <row r="46" spans="2:60" ht="12">
      <c r="B46" s="2"/>
      <c r="C46" s="6">
        <f>+IF(C45&gt;$G$13+$G$14,XX,C45+1)</f>
        <v>2033</v>
      </c>
      <c r="D46" s="6"/>
      <c r="E46" s="292">
        <f>+INDEX('(2.2)_Forward_Price_Curve'!$R:$R,MATCH($C46,'(2.2)_Forward_Price_Curve'!C:C,0))</f>
        <v>1.9E-2</v>
      </c>
      <c r="F46" s="6"/>
      <c r="G46" s="20">
        <v>160888.30000000019</v>
      </c>
      <c r="H46" s="6"/>
      <c r="I46" s="30">
        <f t="shared" si="10"/>
        <v>0</v>
      </c>
      <c r="J46" s="6"/>
      <c r="K46" s="30">
        <v>60.327279878937979</v>
      </c>
      <c r="L46" s="6"/>
      <c r="M46" s="30">
        <f t="shared" si="11"/>
        <v>0</v>
      </c>
      <c r="N46" s="6"/>
      <c r="O46" s="295">
        <f>'(2.2)_Forward_Price_Curve'!V45</f>
        <v>4.3712049778836288</v>
      </c>
      <c r="P46" s="6"/>
      <c r="Q46" s="30"/>
      <c r="R46" s="6"/>
      <c r="S46" s="20">
        <f t="shared" si="4"/>
        <v>10409.229241189783</v>
      </c>
      <c r="T46" s="6"/>
      <c r="U46" s="20">
        <f t="shared" si="0"/>
        <v>19458.527401542786</v>
      </c>
      <c r="V46" s="6"/>
      <c r="W46" s="20">
        <f t="shared" si="1"/>
        <v>-9049.2981603530025</v>
      </c>
      <c r="X46" s="6"/>
      <c r="Y46" s="296">
        <f t="shared" si="5"/>
        <v>-56.245843609218269</v>
      </c>
      <c r="Z46" s="255"/>
      <c r="AB46" s="154">
        <f>+IF(AB45&gt;$G$13+$G$14,XX,AB45+1)</f>
        <v>2033</v>
      </c>
      <c r="AC46" s="124"/>
      <c r="AD46" s="159">
        <f t="shared" si="2"/>
        <v>160888.30000000019</v>
      </c>
      <c r="AE46" s="3"/>
      <c r="AF46" s="162">
        <f t="shared" si="12"/>
        <v>100.07975186877579</v>
      </c>
      <c r="AG46" s="3"/>
      <c r="AH46" s="162">
        <f t="shared" si="13"/>
        <v>10.978493805964689</v>
      </c>
      <c r="AI46" s="3"/>
      <c r="AJ46" s="162">
        <f t="shared" si="14"/>
        <v>3.7181149226446819</v>
      </c>
      <c r="AK46" s="3"/>
      <c r="AL46" s="161">
        <f t="shared" si="6"/>
        <v>3461.8813808012264</v>
      </c>
      <c r="AM46" s="3"/>
      <c r="AN46" s="162">
        <f>INDEX('(2.2)_Forward_Price_Curve'!$L:$L,MATCH($AB46,'(2.2)_Forward_Price_Curve'!$C:$C,0),1)</f>
        <v>14.610833333333332</v>
      </c>
      <c r="AO46" s="3"/>
      <c r="AP46" s="162">
        <f t="shared" si="18"/>
        <v>108.23677888354138</v>
      </c>
      <c r="AQ46" s="3"/>
      <c r="AR46" s="162">
        <f t="shared" si="15"/>
        <v>4.4521460707697118</v>
      </c>
      <c r="AS46" s="162"/>
      <c r="AT46" s="161">
        <f t="shared" si="7"/>
        <v>1328.1978368160762</v>
      </c>
      <c r="AU46" s="3"/>
      <c r="AV46" s="161">
        <f t="shared" si="3"/>
        <v>18130.329564726711</v>
      </c>
      <c r="AW46" s="299"/>
      <c r="AX46" s="163">
        <f t="shared" si="8"/>
        <v>19458.527401542786</v>
      </c>
      <c r="AZ46" s="154">
        <f>+IF(AZ45&gt;$G$13+$G$14,XX,AZ45+1)</f>
        <v>2033</v>
      </c>
      <c r="BA46" s="124"/>
      <c r="BB46" s="162">
        <f t="shared" si="16"/>
        <v>90.712494554938459</v>
      </c>
      <c r="BC46" s="3"/>
      <c r="BD46" s="162">
        <f t="shared" si="17"/>
        <v>15.280659595672248</v>
      </c>
      <c r="BE46" s="3"/>
      <c r="BF46" s="161">
        <f t="shared" si="9"/>
        <v>2133.6835439851502</v>
      </c>
      <c r="BG46" s="3"/>
      <c r="BH46" s="165"/>
    </row>
    <row r="47" spans="2:60" ht="12">
      <c r="B47" s="2"/>
      <c r="C47" s="6">
        <f>+IF(C46&gt;$G$13+$G$14,XX,C46+1)</f>
        <v>2034</v>
      </c>
      <c r="D47" s="6"/>
      <c r="E47" s="292">
        <f>+INDEX('(2.2)_Forward_Price_Curve'!$R:$R,MATCH($C47,'(2.2)_Forward_Price_Curve'!C:C,0))</f>
        <v>1.7999999999999999E-2</v>
      </c>
      <c r="F47" s="6"/>
      <c r="G47" s="20">
        <v>160888.30000000019</v>
      </c>
      <c r="H47" s="6"/>
      <c r="I47" s="30">
        <f t="shared" si="10"/>
        <v>0</v>
      </c>
      <c r="J47" s="6"/>
      <c r="K47" s="30">
        <v>60.327279878937979</v>
      </c>
      <c r="L47" s="6"/>
      <c r="M47" s="30"/>
      <c r="N47" s="6"/>
      <c r="O47" s="295">
        <f>'(2.2)_Forward_Price_Curve'!V46</f>
        <v>4.463000282419185</v>
      </c>
      <c r="P47" s="6"/>
      <c r="Q47" s="30"/>
      <c r="R47" s="6"/>
      <c r="S47" s="20">
        <f t="shared" si="4"/>
        <v>10423.998031684492</v>
      </c>
      <c r="T47" s="6"/>
      <c r="U47" s="20">
        <f t="shared" si="0"/>
        <v>19770.873508324134</v>
      </c>
      <c r="V47" s="6"/>
      <c r="W47" s="20">
        <f t="shared" si="1"/>
        <v>-9346.8754766396414</v>
      </c>
      <c r="X47" s="6"/>
      <c r="Y47" s="296">
        <f t="shared" si="5"/>
        <v>-58.095433146099687</v>
      </c>
      <c r="Z47" s="255"/>
      <c r="AB47" s="154">
        <f>+IF(AB46&gt;$G$13+$G$14,XX,AB46+1)</f>
        <v>2034</v>
      </c>
      <c r="AC47" s="124"/>
      <c r="AD47" s="159">
        <f t="shared" si="2"/>
        <v>160888.30000000019</v>
      </c>
      <c r="AE47" s="3"/>
      <c r="AF47" s="162">
        <f t="shared" si="12"/>
        <v>101.88118740241376</v>
      </c>
      <c r="AG47" s="3"/>
      <c r="AH47" s="162">
        <f t="shared" si="13"/>
        <v>11.176106694472054</v>
      </c>
      <c r="AI47" s="3"/>
      <c r="AJ47" s="162">
        <f t="shared" si="14"/>
        <v>3.7850409912522864</v>
      </c>
      <c r="AK47" s="3"/>
      <c r="AL47" s="161">
        <f t="shared" si="6"/>
        <v>3524.1952456556492</v>
      </c>
      <c r="AM47" s="3"/>
      <c r="AN47" s="162">
        <f>INDEX('(2.2)_Forward_Price_Curve'!$L:$L,MATCH($AB47,'(2.2)_Forward_Price_Curve'!$C:$C,0),1)</f>
        <v>14.875000000000002</v>
      </c>
      <c r="AO47" s="3"/>
      <c r="AP47" s="162">
        <f t="shared" si="18"/>
        <v>109.94942783247336</v>
      </c>
      <c r="AQ47" s="3"/>
      <c r="AR47" s="162">
        <f t="shared" si="15"/>
        <v>4.5322847000435669</v>
      </c>
      <c r="AS47" s="162"/>
      <c r="AT47" s="161">
        <f t="shared" si="7"/>
        <v>1352.1053978787663</v>
      </c>
      <c r="AU47" s="3"/>
      <c r="AV47" s="161">
        <f t="shared" si="3"/>
        <v>18418.768110445366</v>
      </c>
      <c r="AW47" s="299"/>
      <c r="AX47" s="163">
        <f t="shared" si="8"/>
        <v>19770.873508324134</v>
      </c>
      <c r="AZ47" s="154">
        <f>+IF(AZ46&gt;$G$13+$G$14,XX,AZ46+1)</f>
        <v>2034</v>
      </c>
      <c r="BA47" s="124"/>
      <c r="BB47" s="162">
        <f t="shared" si="16"/>
        <v>92.345319456927356</v>
      </c>
      <c r="BC47" s="3"/>
      <c r="BD47" s="162">
        <f t="shared" si="17"/>
        <v>15.555711468394348</v>
      </c>
      <c r="BE47" s="3"/>
      <c r="BF47" s="161">
        <f t="shared" si="9"/>
        <v>2172.0898477768828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6.66%</v>
      </c>
      <c r="E58" s="178"/>
      <c r="F58" s="3"/>
      <c r="G58" s="20">
        <f>+-PMT($G$18,$G$14,NPV($G$18,G28:G56))</f>
        <v>161031.48089411904</v>
      </c>
      <c r="H58" s="6"/>
      <c r="I58" s="30">
        <f>+-PMT($G$18,$G$14,NPV($G$18,I28:I56))</f>
        <v>0</v>
      </c>
      <c r="J58" s="30"/>
      <c r="K58" s="30">
        <f>+-PMT($G$18,$G$14,NPV($G$18,K28:K56))</f>
        <v>60.327279878937993</v>
      </c>
      <c r="L58" s="6"/>
      <c r="M58" s="30">
        <f>+-PMT($G$18,$G$14,NPV($G$18,M28:M56))</f>
        <v>0</v>
      </c>
      <c r="N58" s="6"/>
      <c r="O58" s="30">
        <f>+-PMT($G$18,$G$14,NPV($G$18,O28:O56))</f>
        <v>3.5877214328050853</v>
      </c>
      <c r="P58" s="6"/>
      <c r="Q58" s="30">
        <f>+-PMT($G$18,$G$14,NPV($G$18,Q28:Q56))</f>
        <v>0</v>
      </c>
      <c r="R58" s="6"/>
      <c r="S58" s="20">
        <f>+-PMT($G$18,$G$14,NPV($G$18,S28:S56))</f>
        <v>10292.323167750461</v>
      </c>
      <c r="T58" s="6"/>
      <c r="U58" s="20">
        <f>+-PMT($G$18,$G$14,NPV($G$18,U28:U56))</f>
        <v>16145.776679071489</v>
      </c>
      <c r="V58" s="3"/>
      <c r="W58" s="20">
        <f>+-PMT($G$18,$G$14,NPV($G$18,W28:W56))</f>
        <v>-5853.4535113210322</v>
      </c>
      <c r="X58" s="3"/>
      <c r="Y58" s="296">
        <f>+-PMT($G$18,$G$14,NPV($G$18,Y28:Y56))</f>
        <v>-36.351856688816731</v>
      </c>
      <c r="Z58" s="255"/>
      <c r="AB58" s="2"/>
      <c r="AC58" s="3"/>
      <c r="AD58" s="159">
        <f>+-PMT($G$18,$G$14,NPV($G$18,AD28:AD56))</f>
        <v>161031.48089411904</v>
      </c>
      <c r="AE58" s="3"/>
      <c r="AF58" s="162">
        <f>+-PMT($G$18,$G$14,NPV($G$18,AF28:AF56))</f>
        <v>82.787826728430943</v>
      </c>
      <c r="AG58" s="3"/>
      <c r="AH58" s="162">
        <f>+-PMT($G$18,$G$14,NPV($G$18,AH28:AH56))</f>
        <v>9.0816136728544716</v>
      </c>
      <c r="AI58" s="3"/>
      <c r="AJ58" s="162">
        <f>+-PMT($G$18,$G$14,NPV($G$18,AJ28:AJ56))</f>
        <v>3.0756936165859683</v>
      </c>
      <c r="AK58" s="3"/>
      <c r="AL58" s="161">
        <f>+-PMT($G$18,$G$14,NPV($G$18,AL28:AL56))</f>
        <v>2864.1694494880758</v>
      </c>
      <c r="AM58" s="3"/>
      <c r="AN58" s="162">
        <f>+-PMT($G$18,$G$14,NPV($G$18,AN28:AN56))</f>
        <v>11.791274282340385</v>
      </c>
      <c r="AO58" s="3"/>
      <c r="AP58" s="162">
        <f>+-PMT($G$18,$G$14,NPV($G$18,AP28:AP56))</f>
        <v>89.758240282177098</v>
      </c>
      <c r="AQ58" s="3"/>
      <c r="AR58" s="162">
        <f>+-PMT($G$18,$G$14,NPV($G$18,AR28:AR56))</f>
        <v>3.6828977949489019</v>
      </c>
      <c r="AS58" s="162"/>
      <c r="AT58" s="161">
        <f>+-PMT($G$18,$G$14,NPV($G$18,AT28:AT56))</f>
        <v>1099.1468526658862</v>
      </c>
      <c r="AU58" s="3"/>
      <c r="AV58" s="161">
        <f>+-PMT($G$18,$G$14,NPV($G$18,AV28:AV56))</f>
        <v>15046.629826405609</v>
      </c>
      <c r="AW58" s="299"/>
      <c r="AX58" s="163">
        <f>+-PMT($G$18,$G$14,NPV($G$18,AX28:AX56))</f>
        <v>16145.776679071489</v>
      </c>
      <c r="AZ58" s="2"/>
      <c r="BA58" s="3"/>
      <c r="BB58" s="162">
        <f>+-PMT($G$18,$G$14,NPV($G$18,BB28:BB56))</f>
        <v>75.039057762302633</v>
      </c>
      <c r="BC58" s="3"/>
      <c r="BD58" s="162">
        <f>+-PMT($G$18,$G$14,NPV($G$18,BD28:BD56))</f>
        <v>12.640444997919083</v>
      </c>
      <c r="BE58" s="3"/>
      <c r="BF58" s="161">
        <f>+-PMT($G$18,$G$14,NPV($G$18,BF28:BF56))</f>
        <v>1765.0225968221901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V78"/>
  <sheetViews>
    <sheetView tabSelected="1" zoomScale="115" zoomScaleNormal="115" workbookViewId="0">
      <selection activeCell="X7" sqref="X7"/>
    </sheetView>
  </sheetViews>
  <sheetFormatPr defaultRowHeight="11.25"/>
  <cols>
    <col min="1" max="1" width="2.83203125" style="37" customWidth="1"/>
    <col min="2" max="2" width="2" style="37" customWidth="1"/>
    <col min="3" max="3" width="37.33203125" style="37" customWidth="1"/>
    <col min="4" max="4" width="5.1640625" style="37" customWidth="1"/>
    <col min="5" max="5" width="15.83203125" style="37" customWidth="1"/>
    <col min="6" max="6" width="2" style="37" customWidth="1"/>
    <col min="7" max="7" width="7.83203125" style="37" customWidth="1"/>
    <col min="8" max="8" width="10.1640625" style="37" customWidth="1"/>
    <col min="9" max="9" width="2" style="37" customWidth="1"/>
    <col min="10" max="10" width="18.1640625" style="37" customWidth="1"/>
    <col min="11" max="11" width="2" style="37" customWidth="1"/>
    <col min="12" max="12" width="3.5" style="37" customWidth="1"/>
    <col min="13" max="13" width="2" style="37" customWidth="1"/>
    <col min="14" max="14" width="37.33203125" style="37" customWidth="1"/>
    <col min="15" max="15" width="5.83203125" style="37" customWidth="1"/>
    <col min="16" max="16" width="15.83203125" style="37" customWidth="1"/>
    <col min="17" max="17" width="2" style="37" customWidth="1"/>
    <col min="18" max="18" width="7.83203125" style="37" customWidth="1"/>
    <col min="19" max="19" width="10.1640625" style="37" customWidth="1"/>
    <col min="20" max="20" width="2" style="37" customWidth="1"/>
    <col min="21" max="21" width="17.5" style="37" customWidth="1"/>
    <col min="22" max="22" width="2" style="37" customWidth="1"/>
    <col min="23" max="16384" width="9.33203125" style="37"/>
  </cols>
  <sheetData>
    <row r="1" spans="1:22" s="5" customFormat="1">
      <c r="A1" s="5" t="str">
        <f>+'Workpaper Index'!C3</f>
        <v>PACIFICORP</v>
      </c>
    </row>
    <row r="2" spans="1:22" s="5" customFormat="1">
      <c r="A2" s="5" t="str">
        <f>+'Workpaper Index'!C4</f>
        <v xml:space="preserve">WASHINGTON JUNE, 1 2022 RENEWABLES REPORT </v>
      </c>
    </row>
    <row r="3" spans="1:22" s="5" customFormat="1">
      <c r="A3" s="5" t="str">
        <f>+'Workpaper Index'!C5</f>
        <v>EVALUATION OF RENEWABLE RESOURCE COST</v>
      </c>
    </row>
    <row r="4" spans="1:22" s="5" customFormat="1"/>
    <row r="5" spans="1:22" s="5" customFormat="1">
      <c r="A5" s="5" t="str">
        <f>+'Workpaper Index'!C10&amp;" - "&amp;'Workpaper Index'!D10</f>
        <v>1.1 - TOTAL RESOURCE COST TO WASHINGTON REVENUE REQUIREMENT</v>
      </c>
    </row>
    <row r="6" spans="1:22" s="5" customFormat="1"/>
    <row r="8" spans="1:22" s="6" customFormat="1">
      <c r="B8" s="7" t="s">
        <v>250</v>
      </c>
      <c r="C8" s="8"/>
      <c r="D8" s="8"/>
      <c r="E8" s="8"/>
      <c r="F8" s="8"/>
      <c r="G8" s="8"/>
      <c r="H8" s="8"/>
      <c r="I8" s="8"/>
      <c r="J8" s="8"/>
      <c r="K8" s="9"/>
      <c r="M8" s="7" t="s">
        <v>390</v>
      </c>
      <c r="N8" s="8"/>
      <c r="O8" s="8"/>
      <c r="P8" s="8"/>
      <c r="Q8" s="8"/>
      <c r="R8" s="8"/>
      <c r="S8" s="8"/>
      <c r="T8" s="8"/>
      <c r="U8" s="8"/>
      <c r="V8" s="9"/>
    </row>
    <row r="9" spans="1:22" s="6" customFormat="1">
      <c r="B9" s="10"/>
      <c r="C9" s="11"/>
      <c r="D9" s="11"/>
      <c r="E9" s="11"/>
      <c r="F9" s="11"/>
      <c r="G9" s="11"/>
      <c r="H9" s="11"/>
      <c r="I9" s="11"/>
      <c r="J9" s="11"/>
      <c r="K9" s="12"/>
      <c r="M9" s="10"/>
      <c r="N9" s="11"/>
      <c r="O9" s="11"/>
      <c r="P9" s="11"/>
      <c r="Q9" s="11"/>
      <c r="R9" s="11"/>
      <c r="S9" s="11"/>
      <c r="T9" s="11"/>
      <c r="U9" s="11"/>
      <c r="V9" s="12"/>
    </row>
    <row r="10" spans="1:22" s="6" customFormat="1" ht="22.5">
      <c r="B10" s="10"/>
      <c r="C10" s="11"/>
      <c r="D10" s="4"/>
      <c r="E10" s="13" t="s">
        <v>251</v>
      </c>
      <c r="F10" s="14"/>
      <c r="G10" s="15" t="s">
        <v>9</v>
      </c>
      <c r="H10" s="15"/>
      <c r="I10" s="14"/>
      <c r="J10" s="13" t="s">
        <v>10</v>
      </c>
      <c r="K10" s="12"/>
      <c r="M10" s="10"/>
      <c r="N10" s="11"/>
      <c r="O10" s="4"/>
      <c r="P10" s="13" t="s">
        <v>391</v>
      </c>
      <c r="Q10" s="14"/>
      <c r="R10" s="15" t="s">
        <v>9</v>
      </c>
      <c r="S10" s="15"/>
      <c r="T10" s="14"/>
      <c r="U10" s="13" t="s">
        <v>10</v>
      </c>
      <c r="V10" s="12"/>
    </row>
    <row r="11" spans="1:22" s="6" customFormat="1" ht="4.5" customHeight="1">
      <c r="B11" s="10"/>
      <c r="C11" s="11"/>
      <c r="D11" s="16"/>
      <c r="E11" s="17"/>
      <c r="F11" s="17"/>
      <c r="G11" s="17"/>
      <c r="I11" s="17"/>
      <c r="J11" s="17"/>
      <c r="K11" s="12"/>
      <c r="M11" s="10"/>
      <c r="N11" s="11"/>
      <c r="O11" s="16"/>
      <c r="P11" s="17"/>
      <c r="Q11" s="17"/>
      <c r="R11" s="17"/>
      <c r="T11" s="17"/>
      <c r="U11" s="17"/>
      <c r="V11" s="12"/>
    </row>
    <row r="12" spans="1:22" s="6" customFormat="1">
      <c r="B12" s="10"/>
      <c r="C12" s="1" t="s">
        <v>11</v>
      </c>
      <c r="D12" s="11"/>
      <c r="E12" s="11"/>
      <c r="F12" s="11"/>
      <c r="G12" s="11"/>
      <c r="H12" s="321"/>
      <c r="I12" s="11"/>
      <c r="J12" s="11"/>
      <c r="K12" s="12"/>
      <c r="M12" s="10"/>
      <c r="N12" s="1" t="s">
        <v>11</v>
      </c>
      <c r="O12" s="11"/>
      <c r="P12" s="11"/>
      <c r="Q12" s="11"/>
      <c r="R12" s="11"/>
      <c r="S12" s="321"/>
      <c r="T12" s="11"/>
      <c r="U12" s="11"/>
      <c r="V12" s="12"/>
    </row>
    <row r="13" spans="1:22" s="6" customFormat="1">
      <c r="B13" s="10"/>
      <c r="C13" s="19" t="s">
        <v>222</v>
      </c>
      <c r="D13" s="11"/>
      <c r="E13" s="475">
        <v>4182</v>
      </c>
      <c r="F13" s="11"/>
      <c r="G13" s="16"/>
      <c r="H13" s="322">
        <f>SUMIF('(1.2)_Lvl_Resource_'!A:A,N13,'(1.2)_Lvl_Resource_'!M:IM)</f>
        <v>-35.513823799757304</v>
      </c>
      <c r="I13" s="11"/>
      <c r="J13" s="167">
        <f>+E13*H13</f>
        <v>-148518.81113058503</v>
      </c>
      <c r="K13" s="12"/>
      <c r="M13" s="10"/>
      <c r="N13" s="19" t="s">
        <v>222</v>
      </c>
      <c r="O13" s="11"/>
      <c r="P13" s="475">
        <v>7987</v>
      </c>
      <c r="Q13" s="11"/>
      <c r="R13" s="16"/>
      <c r="S13" s="322">
        <f>SUMIF('(1.2)_Lvl_Resource_'!A:A,N13,'(1.2)_Lvl_Resource_'!M:IM)</f>
        <v>-35.513823799757304</v>
      </c>
      <c r="T13" s="11"/>
      <c r="U13" s="167">
        <f>+P13*S13</f>
        <v>-283648.91068866156</v>
      </c>
      <c r="V13" s="12"/>
    </row>
    <row r="14" spans="1:22" s="6" customFormat="1">
      <c r="B14" s="10"/>
      <c r="C14" s="19" t="s">
        <v>388</v>
      </c>
      <c r="D14" s="11"/>
      <c r="E14" s="476">
        <v>41127</v>
      </c>
      <c r="F14" s="11"/>
      <c r="G14" s="16"/>
      <c r="H14" s="322">
        <f>SUMIF('(1.2)_Lvl_Resource_'!A:A,N14,'(1.2)_Lvl_Resource_'!M:IM)</f>
        <v>-32.078001741936873</v>
      </c>
      <c r="I14" s="11"/>
      <c r="J14" s="167">
        <f t="shared" ref="J14:J37" si="0">+E14*H14</f>
        <v>-1319271.9776406379</v>
      </c>
      <c r="K14" s="12"/>
      <c r="M14" s="10"/>
      <c r="N14" s="19" t="s">
        <v>388</v>
      </c>
      <c r="O14" s="11"/>
      <c r="P14" s="476">
        <v>5359</v>
      </c>
      <c r="Q14" s="11"/>
      <c r="R14" s="16"/>
      <c r="S14" s="322">
        <f>SUMIF('(1.2)_Lvl_Resource_'!A:A,N14,'(1.2)_Lvl_Resource_'!M:IM)</f>
        <v>-32.078001741936873</v>
      </c>
      <c r="T14" s="11"/>
      <c r="U14" s="167">
        <f t="shared" ref="U14:U39" si="1">+P14*S14</f>
        <v>-171906.01133503972</v>
      </c>
      <c r="V14" s="12"/>
    </row>
    <row r="15" spans="1:22" s="6" customFormat="1">
      <c r="B15" s="10"/>
      <c r="C15" s="19" t="s">
        <v>389</v>
      </c>
      <c r="D15" s="11"/>
      <c r="E15" s="477">
        <v>33747</v>
      </c>
      <c r="F15" s="11"/>
      <c r="G15" s="16"/>
      <c r="H15" s="322">
        <f>SUMIF('(1.2)_Lvl_Resource_'!A:A,N15,'(1.2)_Lvl_Resource_'!M:IM)</f>
        <v>33.484495796648424</v>
      </c>
      <c r="I15" s="11"/>
      <c r="J15" s="167">
        <f t="shared" si="0"/>
        <v>1130001.2796494944</v>
      </c>
      <c r="K15" s="12"/>
      <c r="M15" s="10"/>
      <c r="N15" s="19" t="s">
        <v>389</v>
      </c>
      <c r="O15" s="11"/>
      <c r="P15" s="477">
        <v>5063</v>
      </c>
      <c r="Q15" s="11"/>
      <c r="R15" s="16"/>
      <c r="S15" s="774">
        <f>SUMIF('(1.2)_Lvl_Resource_'!A:A,N15,'(1.2)_Lvl_Resource_'!M:IM)</f>
        <v>33.484495796648424</v>
      </c>
      <c r="T15" s="11"/>
      <c r="U15" s="167">
        <f t="shared" si="1"/>
        <v>169532.00221843098</v>
      </c>
      <c r="V15" s="12"/>
    </row>
    <row r="16" spans="1:22" s="6" customFormat="1">
      <c r="B16" s="10"/>
      <c r="C16" s="19" t="s">
        <v>387</v>
      </c>
      <c r="D16" s="11"/>
      <c r="E16" s="476">
        <v>42353</v>
      </c>
      <c r="F16" s="11"/>
      <c r="G16" s="16"/>
      <c r="H16" s="322">
        <f>SUMIF('(1.2)_Lvl_Resource_'!A:A,N16,'(1.2)_Lvl_Resource_'!M:IM)</f>
        <v>-31.823985208310333</v>
      </c>
      <c r="I16" s="11"/>
      <c r="J16" s="167">
        <f t="shared" si="0"/>
        <v>-1347841.2455275676</v>
      </c>
      <c r="K16" s="12"/>
      <c r="M16" s="10"/>
      <c r="N16" s="19" t="s">
        <v>387</v>
      </c>
      <c r="O16" s="11"/>
      <c r="P16" s="476">
        <v>5667</v>
      </c>
      <c r="Q16" s="11"/>
      <c r="R16" s="16"/>
      <c r="S16" s="322">
        <f>SUMIF('(1.2)_Lvl_Resource_'!A:A,N16,'(1.2)_Lvl_Resource_'!M:IM)</f>
        <v>-31.823985208310333</v>
      </c>
      <c r="T16" s="11"/>
      <c r="U16" s="167">
        <f t="shared" si="1"/>
        <v>-180346.52417549465</v>
      </c>
      <c r="V16" s="12"/>
    </row>
    <row r="17" spans="2:22" s="6" customFormat="1">
      <c r="B17" s="10"/>
      <c r="C17" s="19" t="s">
        <v>203</v>
      </c>
      <c r="D17" s="16"/>
      <c r="E17" s="476">
        <v>34895</v>
      </c>
      <c r="F17" s="11"/>
      <c r="G17" s="16"/>
      <c r="H17" s="322">
        <f>SUMIF('(1.2)_Lvl_Resource_'!A:A,N17,'(1.2)_Lvl_Resource_'!M:IM)</f>
        <v>-23.515096713077824</v>
      </c>
      <c r="I17" s="11"/>
      <c r="J17" s="167">
        <f t="shared" si="0"/>
        <v>-820559.2998028507</v>
      </c>
      <c r="K17" s="12"/>
      <c r="M17" s="10"/>
      <c r="N17" s="19" t="s">
        <v>203</v>
      </c>
      <c r="O17" s="16"/>
      <c r="P17" s="476">
        <v>7997</v>
      </c>
      <c r="Q17" s="11"/>
      <c r="R17" s="16"/>
      <c r="S17" s="322">
        <f>SUMIF('(1.2)_Lvl_Resource_'!A:A,N17,'(1.2)_Lvl_Resource_'!M:IM)</f>
        <v>-23.515096713077824</v>
      </c>
      <c r="T17" s="11"/>
      <c r="U17" s="167">
        <f t="shared" si="1"/>
        <v>-188050.22841448337</v>
      </c>
      <c r="V17" s="12"/>
    </row>
    <row r="18" spans="2:22" s="6" customFormat="1">
      <c r="B18" s="10"/>
      <c r="C18" s="19" t="s">
        <v>252</v>
      </c>
      <c r="D18" s="21"/>
      <c r="E18" s="476">
        <v>29108</v>
      </c>
      <c r="F18" s="11"/>
      <c r="G18" s="16"/>
      <c r="H18" s="322">
        <f>SUMIF('(1.2)_Lvl_Resource_'!A:A,N18,'(1.2)_Lvl_Resource_'!M:IM)</f>
        <v>-40.565681070494129</v>
      </c>
      <c r="I18" s="11"/>
      <c r="J18" s="167">
        <f t="shared" si="0"/>
        <v>-1180785.8445999431</v>
      </c>
      <c r="K18" s="12"/>
      <c r="M18" s="10"/>
      <c r="N18" s="19" t="s">
        <v>252</v>
      </c>
      <c r="O18" s="21"/>
      <c r="P18" s="476">
        <v>65251</v>
      </c>
      <c r="Q18" s="11"/>
      <c r="R18" s="16"/>
      <c r="S18" s="322">
        <f>SUMIF('(1.2)_Lvl_Resource_'!A:A,N18,'(1.2)_Lvl_Resource_'!M:IM)</f>
        <v>-40.565681070494129</v>
      </c>
      <c r="T18" s="11"/>
      <c r="U18" s="167">
        <f t="shared" si="1"/>
        <v>-2646951.2555308123</v>
      </c>
      <c r="V18" s="12"/>
    </row>
    <row r="19" spans="2:22" s="6" customFormat="1">
      <c r="B19" s="10"/>
      <c r="C19" s="19" t="s">
        <v>253</v>
      </c>
      <c r="D19" s="21"/>
      <c r="E19" s="476">
        <v>13252</v>
      </c>
      <c r="F19" s="11"/>
      <c r="G19" s="16"/>
      <c r="H19" s="322">
        <f>SUMIF('(1.2)_Lvl_Resource_'!A:A,N19,'(1.2)_Lvl_Resource_'!M:IM)</f>
        <v>0</v>
      </c>
      <c r="I19" s="11"/>
      <c r="J19" s="167">
        <f t="shared" si="0"/>
        <v>0</v>
      </c>
      <c r="K19" s="12"/>
      <c r="M19" s="10"/>
      <c r="N19" s="19" t="s">
        <v>253</v>
      </c>
      <c r="O19" s="21"/>
      <c r="P19" s="476">
        <v>15873</v>
      </c>
      <c r="Q19" s="11"/>
      <c r="R19" s="16"/>
      <c r="S19" s="322">
        <f>SUMIF('(1.2)_Lvl_Resource_'!A:A,N19,'(1.2)_Lvl_Resource_'!M:IM)</f>
        <v>0</v>
      </c>
      <c r="T19" s="11"/>
      <c r="U19" s="167">
        <f t="shared" si="1"/>
        <v>0</v>
      </c>
      <c r="V19" s="12"/>
    </row>
    <row r="20" spans="2:22" s="6" customFormat="1">
      <c r="B20" s="10"/>
      <c r="C20" s="19" t="s">
        <v>204</v>
      </c>
      <c r="D20" s="21"/>
      <c r="E20" s="476">
        <v>7215</v>
      </c>
      <c r="F20" s="11"/>
      <c r="G20" s="16"/>
      <c r="H20" s="322">
        <f>SUMIF('(1.2)_Lvl_Resource_'!A:A,N20,'(1.2)_Lvl_Resource_'!M:IM)</f>
        <v>-4.5792577629076945</v>
      </c>
      <c r="I20" s="11"/>
      <c r="J20" s="167">
        <f t="shared" si="0"/>
        <v>-33039.344759379019</v>
      </c>
      <c r="K20" s="12"/>
      <c r="M20" s="10"/>
      <c r="N20" s="19" t="s">
        <v>204</v>
      </c>
      <c r="O20" s="21"/>
      <c r="P20" s="476">
        <v>8149</v>
      </c>
      <c r="Q20" s="11"/>
      <c r="R20" s="16"/>
      <c r="S20" s="322">
        <f>SUMIF('(1.2)_Lvl_Resource_'!A:A,N20,'(1.2)_Lvl_Resource_'!M:IM)</f>
        <v>-4.5792577629076945</v>
      </c>
      <c r="T20" s="11"/>
      <c r="U20" s="167">
        <f t="shared" si="1"/>
        <v>-37316.371509934805</v>
      </c>
      <c r="V20" s="12"/>
    </row>
    <row r="21" spans="2:22" s="6" customFormat="1">
      <c r="B21" s="10"/>
      <c r="C21" s="19" t="s">
        <v>254</v>
      </c>
      <c r="D21" s="21"/>
      <c r="E21" s="478">
        <v>10213</v>
      </c>
      <c r="F21" s="11"/>
      <c r="G21" s="16"/>
      <c r="H21" s="322">
        <f>SUMIF('(1.2)_Lvl_Resource_'!A:A,N21,'(1.2)_Lvl_Resource_'!M:IM)</f>
        <v>-3.8522891249440252</v>
      </c>
      <c r="I21" s="11"/>
      <c r="J21" s="167">
        <f t="shared" si="0"/>
        <v>-39343.428833053331</v>
      </c>
      <c r="K21" s="12"/>
      <c r="M21" s="10"/>
      <c r="N21" s="19" t="s">
        <v>254</v>
      </c>
      <c r="O21" s="21"/>
      <c r="P21" s="478">
        <v>10532</v>
      </c>
      <c r="Q21" s="11"/>
      <c r="R21" s="16"/>
      <c r="S21" s="322">
        <f>SUMIF('(1.2)_Lvl_Resource_'!A:A,N21,'(1.2)_Lvl_Resource_'!M:IM)</f>
        <v>-3.8522891249440252</v>
      </c>
      <c r="T21" s="11"/>
      <c r="U21" s="167">
        <f t="shared" si="1"/>
        <v>-40572.30906391047</v>
      </c>
      <c r="V21" s="12"/>
    </row>
    <row r="22" spans="2:22" s="6" customFormat="1">
      <c r="B22" s="10"/>
      <c r="C22" s="19" t="s">
        <v>12</v>
      </c>
      <c r="D22" s="21"/>
      <c r="E22" s="478">
        <v>13762</v>
      </c>
      <c r="F22" s="11"/>
      <c r="G22" s="16"/>
      <c r="H22" s="322">
        <f>SUMIF('(1.2)_Lvl_Resource_'!A:A,N22,'(1.2)_Lvl_Resource_'!M:IM)</f>
        <v>17.08953726360841</v>
      </c>
      <c r="I22" s="11"/>
      <c r="J22" s="167">
        <f t="shared" si="0"/>
        <v>235186.21182177894</v>
      </c>
      <c r="K22" s="12"/>
      <c r="M22" s="10"/>
      <c r="N22" s="19" t="s">
        <v>12</v>
      </c>
      <c r="O22" s="21"/>
      <c r="P22" s="478">
        <v>20583</v>
      </c>
      <c r="Q22" s="11"/>
      <c r="R22" s="16"/>
      <c r="S22" s="322">
        <f>SUMIF('(1.2)_Lvl_Resource_'!A:A,N22,'(1.2)_Lvl_Resource_'!M:IM)</f>
        <v>17.08953726360841</v>
      </c>
      <c r="T22" s="11"/>
      <c r="U22" s="167">
        <f t="shared" si="1"/>
        <v>351753.94549685187</v>
      </c>
      <c r="V22" s="12"/>
    </row>
    <row r="23" spans="2:22" s="6" customFormat="1">
      <c r="B23" s="10"/>
      <c r="C23" s="19" t="s">
        <v>255</v>
      </c>
      <c r="D23" s="21"/>
      <c r="E23" s="478">
        <v>16782</v>
      </c>
      <c r="F23" s="11"/>
      <c r="G23" s="16"/>
      <c r="H23" s="322">
        <f>SUMIF('(1.2)_Lvl_Resource_'!A:A,N23,'(1.2)_Lvl_Resource_'!M:IM)</f>
        <v>0.42153243388039824</v>
      </c>
      <c r="I23" s="11"/>
      <c r="J23" s="167">
        <f t="shared" si="0"/>
        <v>7074.1573053808434</v>
      </c>
      <c r="K23" s="12"/>
      <c r="M23" s="10"/>
      <c r="N23" s="19" t="s">
        <v>255</v>
      </c>
      <c r="O23" s="21"/>
      <c r="P23" s="478">
        <v>27973</v>
      </c>
      <c r="Q23" s="11"/>
      <c r="R23" s="16"/>
      <c r="S23" s="322">
        <f>SUMIF('(1.2)_Lvl_Resource_'!A:A,N23,'(1.2)_Lvl_Resource_'!M:IM)</f>
        <v>0.42153243388039824</v>
      </c>
      <c r="T23" s="11"/>
      <c r="U23" s="167">
        <f t="shared" si="1"/>
        <v>11791.52677293638</v>
      </c>
      <c r="V23" s="12"/>
    </row>
    <row r="24" spans="2:22" s="6" customFormat="1">
      <c r="B24" s="10"/>
      <c r="C24" s="19" t="s">
        <v>256</v>
      </c>
      <c r="D24" s="21"/>
      <c r="E24" s="478">
        <v>12918</v>
      </c>
      <c r="F24" s="11"/>
      <c r="G24" s="16"/>
      <c r="H24" s="322">
        <f>SUMIF('(1.2)_Lvl_Resource_'!A:A,N24,'(1.2)_Lvl_Resource_'!M:IM)</f>
        <v>-36.351856688816731</v>
      </c>
      <c r="I24" s="11"/>
      <c r="J24" s="167">
        <f t="shared" si="0"/>
        <v>-469593.28470613452</v>
      </c>
      <c r="K24" s="12"/>
      <c r="M24" s="10"/>
      <c r="N24" s="19" t="s">
        <v>256</v>
      </c>
      <c r="O24" s="21"/>
      <c r="P24" s="478">
        <v>13408</v>
      </c>
      <c r="Q24" s="11"/>
      <c r="R24" s="16"/>
      <c r="S24" s="322">
        <f>SUMIF('(1.2)_Lvl_Resource_'!A:A,N24,'(1.2)_Lvl_Resource_'!M:IM)</f>
        <v>-36.351856688816731</v>
      </c>
      <c r="T24" s="11"/>
      <c r="U24" s="167">
        <f t="shared" si="1"/>
        <v>-487405.69448365475</v>
      </c>
      <c r="V24" s="12"/>
    </row>
    <row r="25" spans="2:22" s="6" customFormat="1">
      <c r="B25" s="10"/>
      <c r="C25" s="19" t="s">
        <v>13</v>
      </c>
      <c r="D25" s="21"/>
      <c r="E25" s="478">
        <v>13553</v>
      </c>
      <c r="F25" s="11"/>
      <c r="G25" s="16"/>
      <c r="H25" s="322">
        <f>SUMIF('(1.2)_Lvl_Resource_'!A:A,N25,'(1.2)_Lvl_Resource_'!M:IM)</f>
        <v>18.282770860147256</v>
      </c>
      <c r="I25" s="11"/>
      <c r="J25" s="167">
        <f t="shared" si="0"/>
        <v>247786.39346757575</v>
      </c>
      <c r="K25" s="12"/>
      <c r="M25" s="10"/>
      <c r="N25" s="19" t="s">
        <v>13</v>
      </c>
      <c r="O25" s="21"/>
      <c r="P25" s="478">
        <v>23530</v>
      </c>
      <c r="Q25" s="11"/>
      <c r="R25" s="16"/>
      <c r="S25" s="322">
        <f>SUMIF('(1.2)_Lvl_Resource_'!A:A,N25,'(1.2)_Lvl_Resource_'!M:IM)</f>
        <v>18.282770860147256</v>
      </c>
      <c r="T25" s="11"/>
      <c r="U25" s="167">
        <f t="shared" si="1"/>
        <v>430193.59833926492</v>
      </c>
      <c r="V25" s="12"/>
    </row>
    <row r="26" spans="2:22" s="6" customFormat="1">
      <c r="B26" s="10"/>
      <c r="C26" s="19" t="s">
        <v>15</v>
      </c>
      <c r="D26" s="21"/>
      <c r="E26" s="478">
        <v>13891</v>
      </c>
      <c r="F26" s="11"/>
      <c r="G26" s="16"/>
      <c r="H26" s="322">
        <f>SUMIF('(1.2)_Lvl_Resource_'!A:A,N26,'(1.2)_Lvl_Resource_'!M:IM)</f>
        <v>14.603774424903307</v>
      </c>
      <c r="I26" s="11"/>
      <c r="J26" s="167">
        <f t="shared" si="0"/>
        <v>202861.03053633185</v>
      </c>
      <c r="K26" s="12"/>
      <c r="M26" s="10"/>
      <c r="N26" s="19" t="s">
        <v>15</v>
      </c>
      <c r="O26" s="21"/>
      <c r="P26" s="478">
        <v>9654</v>
      </c>
      <c r="Q26" s="11"/>
      <c r="R26" s="16"/>
      <c r="S26" s="322">
        <f>SUMIF('(1.2)_Lvl_Resource_'!A:A,N26,'(1.2)_Lvl_Resource_'!M:IM)</f>
        <v>14.603774424903307</v>
      </c>
      <c r="T26" s="11"/>
      <c r="U26" s="167">
        <f t="shared" si="1"/>
        <v>140984.83829801652</v>
      </c>
      <c r="V26" s="12"/>
    </row>
    <row r="27" spans="2:22" s="6" customFormat="1">
      <c r="B27" s="10"/>
      <c r="C27" s="19" t="s">
        <v>16</v>
      </c>
      <c r="D27" s="21"/>
      <c r="E27" s="478">
        <v>8429</v>
      </c>
      <c r="F27" s="11"/>
      <c r="G27" s="16"/>
      <c r="H27" s="322">
        <f>SUMIF('(1.2)_Lvl_Resource_'!A:A,N27,'(1.2)_Lvl_Resource_'!M:IM)</f>
        <v>20.499368155733791</v>
      </c>
      <c r="I27" s="11"/>
      <c r="J27" s="167">
        <f t="shared" si="0"/>
        <v>172789.17418468013</v>
      </c>
      <c r="K27" s="12"/>
      <c r="M27" s="10"/>
      <c r="N27" s="19" t="s">
        <v>16</v>
      </c>
      <c r="O27" s="21"/>
      <c r="P27" s="478">
        <v>13694</v>
      </c>
      <c r="Q27" s="11"/>
      <c r="R27" s="16"/>
      <c r="S27" s="322">
        <f>SUMIF('(1.2)_Lvl_Resource_'!A:A,N27,'(1.2)_Lvl_Resource_'!M:IM)</f>
        <v>20.499368155733791</v>
      </c>
      <c r="T27" s="11"/>
      <c r="U27" s="167">
        <f t="shared" si="1"/>
        <v>280718.34752461856</v>
      </c>
      <c r="V27" s="12"/>
    </row>
    <row r="28" spans="2:22" s="6" customFormat="1">
      <c r="B28" s="10"/>
      <c r="C28" s="19" t="s">
        <v>258</v>
      </c>
      <c r="D28" s="21"/>
      <c r="E28" s="478">
        <v>2679</v>
      </c>
      <c r="F28" s="11"/>
      <c r="G28" s="16"/>
      <c r="H28" s="322">
        <f>SUMIF('(1.2)_Lvl_Resource_'!A:A,N28,'(1.2)_Lvl_Resource_'!M:IM)</f>
        <v>-13.295947923628464</v>
      </c>
      <c r="I28" s="11"/>
      <c r="J28" s="167">
        <f t="shared" si="0"/>
        <v>-35619.844487400653</v>
      </c>
      <c r="K28" s="12"/>
      <c r="M28" s="10"/>
      <c r="N28" s="19" t="s">
        <v>258</v>
      </c>
      <c r="O28" s="21"/>
      <c r="P28" s="478">
        <v>23485</v>
      </c>
      <c r="Q28" s="11"/>
      <c r="R28" s="16"/>
      <c r="S28" s="322">
        <f>SUMIF('(1.2)_Lvl_Resource_'!A:A,N28,'(1.2)_Lvl_Resource_'!M:IM)</f>
        <v>-13.295947923628464</v>
      </c>
      <c r="T28" s="11"/>
      <c r="U28" s="167">
        <f t="shared" si="1"/>
        <v>-312255.33698641451</v>
      </c>
      <c r="V28" s="12"/>
    </row>
    <row r="29" spans="2:22" s="6" customFormat="1">
      <c r="B29" s="10"/>
      <c r="C29" s="19" t="s">
        <v>259</v>
      </c>
      <c r="D29" s="21"/>
      <c r="E29" s="478">
        <v>6395</v>
      </c>
      <c r="F29" s="11"/>
      <c r="G29" s="16"/>
      <c r="H29" s="322">
        <f>SUMIF('(1.2)_Lvl_Resource_'!A:A,N29,'(1.2)_Lvl_Resource_'!M:IM)</f>
        <v>-4.4568797057952274</v>
      </c>
      <c r="I29" s="11"/>
      <c r="J29" s="167">
        <f t="shared" si="0"/>
        <v>-28501.74571856048</v>
      </c>
      <c r="K29" s="12"/>
      <c r="M29" s="10"/>
      <c r="N29" s="19" t="s">
        <v>259</v>
      </c>
      <c r="O29" s="21"/>
      <c r="P29" s="478">
        <v>27695</v>
      </c>
      <c r="Q29" s="11"/>
      <c r="R29" s="16"/>
      <c r="S29" s="322">
        <f>SUMIF('(1.2)_Lvl_Resource_'!A:A,N29,'(1.2)_Lvl_Resource_'!M:IM)</f>
        <v>-4.4568797057952274</v>
      </c>
      <c r="T29" s="11"/>
      <c r="U29" s="167">
        <f t="shared" si="1"/>
        <v>-123433.28345199882</v>
      </c>
      <c r="V29" s="12"/>
    </row>
    <row r="30" spans="2:22" s="6" customFormat="1">
      <c r="B30" s="10"/>
      <c r="C30" s="19" t="s">
        <v>257</v>
      </c>
      <c r="D30" s="21"/>
      <c r="E30" s="478">
        <v>8223</v>
      </c>
      <c r="F30" s="11"/>
      <c r="G30" s="16"/>
      <c r="H30" s="322">
        <f>SUMIF('(1.2)_Lvl_Resource_'!A:A,N30,'(1.2)_Lvl_Resource_'!M:IM)</f>
        <v>-8.5890776126560624</v>
      </c>
      <c r="I30" s="11"/>
      <c r="J30" s="167">
        <f t="shared" si="0"/>
        <v>-70627.985208870799</v>
      </c>
      <c r="K30" s="12"/>
      <c r="M30" s="10"/>
      <c r="N30" s="19" t="s">
        <v>257</v>
      </c>
      <c r="O30" s="21"/>
      <c r="P30" s="478">
        <v>9321</v>
      </c>
      <c r="Q30" s="11"/>
      <c r="R30" s="16"/>
      <c r="S30" s="322">
        <f>SUMIF('(1.2)_Lvl_Resource_'!A:A,N30,'(1.2)_Lvl_Resource_'!M:IM)</f>
        <v>-8.5890776126560624</v>
      </c>
      <c r="T30" s="11"/>
      <c r="U30" s="167">
        <f t="shared" si="1"/>
        <v>-80058.792427567154</v>
      </c>
      <c r="V30" s="12"/>
    </row>
    <row r="31" spans="2:22" s="6" customFormat="1">
      <c r="B31" s="10"/>
      <c r="C31" s="19" t="s">
        <v>260</v>
      </c>
      <c r="D31" s="21"/>
      <c r="E31" s="478">
        <v>4507</v>
      </c>
      <c r="F31" s="11"/>
      <c r="G31" s="16"/>
      <c r="H31" s="322">
        <f>SUMIF('(1.2)_Lvl_Resource_'!A:A,N31,'(1.2)_Lvl_Resource_'!M:IM)</f>
        <v>-38.889997337800139</v>
      </c>
      <c r="I31" s="11"/>
      <c r="J31" s="167">
        <f t="shared" si="0"/>
        <v>-175277.21800146523</v>
      </c>
      <c r="K31" s="12"/>
      <c r="M31" s="10"/>
      <c r="N31" s="19" t="s">
        <v>260</v>
      </c>
      <c r="O31" s="21"/>
      <c r="P31" s="478">
        <v>38916</v>
      </c>
      <c r="Q31" s="11"/>
      <c r="R31" s="16"/>
      <c r="S31" s="322">
        <f>SUMIF('(1.2)_Lvl_Resource_'!A:A,N31,'(1.2)_Lvl_Resource_'!M:IM)</f>
        <v>-38.889997337800139</v>
      </c>
      <c r="T31" s="11"/>
      <c r="U31" s="167">
        <f t="shared" si="1"/>
        <v>-1513443.1363978302</v>
      </c>
      <c r="V31" s="12"/>
    </row>
    <row r="32" spans="2:22" s="6" customFormat="1">
      <c r="B32" s="10"/>
      <c r="C32" s="19" t="s">
        <v>261</v>
      </c>
      <c r="D32" s="21"/>
      <c r="E32" s="478">
        <v>8693</v>
      </c>
      <c r="F32" s="11"/>
      <c r="G32" s="16"/>
      <c r="H32" s="322">
        <f>SUMIF('(1.2)_Lvl_Resource_'!A:A,N32,'(1.2)_Lvl_Resource_'!M:IM)</f>
        <v>11.721954657913106</v>
      </c>
      <c r="I32" s="11"/>
      <c r="J32" s="167">
        <f t="shared" si="0"/>
        <v>101898.95184123862</v>
      </c>
      <c r="K32" s="12"/>
      <c r="M32" s="10"/>
      <c r="N32" s="19" t="s">
        <v>261</v>
      </c>
      <c r="O32" s="21"/>
      <c r="P32" s="478">
        <v>0</v>
      </c>
      <c r="Q32" s="11"/>
      <c r="R32" s="16"/>
      <c r="S32" s="322">
        <f>SUMIF('(1.2)_Lvl_Resource_'!A:A,N32,'(1.2)_Lvl_Resource_'!M:IM)</f>
        <v>11.721954657913106</v>
      </c>
      <c r="T32" s="11"/>
      <c r="U32" s="167">
        <f t="shared" si="1"/>
        <v>0</v>
      </c>
      <c r="V32" s="12"/>
    </row>
    <row r="33" spans="1:22" s="6" customFormat="1">
      <c r="B33" s="10"/>
      <c r="C33" s="19" t="s">
        <v>289</v>
      </c>
      <c r="D33" s="21"/>
      <c r="E33" s="478">
        <v>20735</v>
      </c>
      <c r="F33" s="11"/>
      <c r="G33" s="16"/>
      <c r="H33" s="322">
        <f>SUMIF('(1.2)_Lvl_Resource_'!A:A,N33,'(1.2)_Lvl_Resource_'!M:IM)</f>
        <v>-8.8136173210603506</v>
      </c>
      <c r="I33" s="11"/>
      <c r="J33" s="167">
        <f t="shared" si="0"/>
        <v>-182750.35515218636</v>
      </c>
      <c r="K33" s="12"/>
      <c r="M33" s="10"/>
      <c r="N33" s="19" t="s">
        <v>289</v>
      </c>
      <c r="O33" s="21"/>
      <c r="P33" s="478">
        <v>27410</v>
      </c>
      <c r="Q33" s="11"/>
      <c r="R33" s="16"/>
      <c r="S33" s="322">
        <f>SUMIF('(1.2)_Lvl_Resource_'!A:A,N33,'(1.2)_Lvl_Resource_'!M:IM)</f>
        <v>-8.8136173210603506</v>
      </c>
      <c r="T33" s="11"/>
      <c r="U33" s="167">
        <f t="shared" si="1"/>
        <v>-241581.25077026422</v>
      </c>
      <c r="V33" s="12"/>
    </row>
    <row r="34" spans="1:22" s="6" customFormat="1">
      <c r="B34" s="10"/>
      <c r="C34" s="19" t="s">
        <v>212</v>
      </c>
      <c r="D34" s="21"/>
      <c r="E34" s="478">
        <v>31795</v>
      </c>
      <c r="F34" s="11"/>
      <c r="G34" s="16"/>
      <c r="H34" s="322">
        <f>SUMIF('(1.2)_Lvl_Resource_'!A:A,N34,'(1.2)_Lvl_Resource_'!M:IM)</f>
        <v>-17.131349246162966</v>
      </c>
      <c r="I34" s="11"/>
      <c r="J34" s="167">
        <f t="shared" si="0"/>
        <v>-544691.24928175146</v>
      </c>
      <c r="K34" s="12"/>
      <c r="M34" s="10"/>
      <c r="N34" s="19" t="s">
        <v>212</v>
      </c>
      <c r="O34" s="21"/>
      <c r="P34" s="478">
        <v>8468</v>
      </c>
      <c r="Q34" s="11"/>
      <c r="R34" s="16"/>
      <c r="S34" s="322">
        <f>SUMIF('(1.2)_Lvl_Resource_'!A:A,N34,'(1.2)_Lvl_Resource_'!M:IM)</f>
        <v>-17.131349246162966</v>
      </c>
      <c r="T34" s="11"/>
      <c r="U34" s="167">
        <f t="shared" si="1"/>
        <v>-145068.26541650799</v>
      </c>
      <c r="V34" s="12"/>
    </row>
    <row r="35" spans="1:22" s="6" customFormat="1">
      <c r="B35" s="10"/>
      <c r="C35" s="19" t="s">
        <v>340</v>
      </c>
      <c r="D35" s="21"/>
      <c r="E35" s="478">
        <v>6599</v>
      </c>
      <c r="F35" s="11"/>
      <c r="G35" s="16"/>
      <c r="H35" s="322">
        <f>SUMIF('(1.2)_Lvl_Resource_'!A:A,N35,'(1.2)_Lvl_Resource_'!M:IM)</f>
        <v>-18.131904427486738</v>
      </c>
      <c r="I35" s="11"/>
      <c r="J35" s="167">
        <f t="shared" si="0"/>
        <v>-119652.43731698499</v>
      </c>
      <c r="K35" s="12"/>
      <c r="M35" s="10"/>
      <c r="N35" s="19" t="s">
        <v>340</v>
      </c>
      <c r="O35" s="21"/>
      <c r="P35" s="478">
        <v>7033</v>
      </c>
      <c r="Q35" s="11"/>
      <c r="R35" s="16"/>
      <c r="S35" s="322">
        <f>SUMIF('(1.2)_Lvl_Resource_'!A:A,N35,'(1.2)_Lvl_Resource_'!M:IM)</f>
        <v>-18.131904427486738</v>
      </c>
      <c r="T35" s="11"/>
      <c r="U35" s="167">
        <f t="shared" si="1"/>
        <v>-127521.68383851423</v>
      </c>
      <c r="V35" s="12"/>
    </row>
    <row r="36" spans="1:22" s="6" customFormat="1">
      <c r="B36" s="10"/>
      <c r="C36" s="19" t="s">
        <v>17</v>
      </c>
      <c r="D36" s="21"/>
      <c r="E36" s="478">
        <v>31470</v>
      </c>
      <c r="F36" s="11"/>
      <c r="G36" s="16"/>
      <c r="H36" s="322">
        <f>SUMIF('(1.2)_Lvl_Resource_'!A:A,N36,'(1.2)_Lvl_Resource_'!M:IM)</f>
        <v>-30.545912363617266</v>
      </c>
      <c r="I36" s="11"/>
      <c r="J36" s="167">
        <f t="shared" si="0"/>
        <v>-961279.8620830354</v>
      </c>
      <c r="K36" s="12"/>
      <c r="M36" s="10"/>
      <c r="N36" s="19" t="s">
        <v>17</v>
      </c>
      <c r="O36" s="21"/>
      <c r="P36" s="779">
        <v>6886</v>
      </c>
      <c r="Q36" s="11"/>
      <c r="R36" s="16"/>
      <c r="S36" s="322">
        <f>SUMIF('(1.2)_Lvl_Resource_'!A:A,N36,'(1.2)_Lvl_Resource_'!M:IM)</f>
        <v>-30.545912363617266</v>
      </c>
      <c r="T36" s="11"/>
      <c r="U36" s="167">
        <f t="shared" si="1"/>
        <v>-210339.15253586849</v>
      </c>
      <c r="V36" s="12"/>
    </row>
    <row r="37" spans="1:22" s="6" customFormat="1">
      <c r="B37" s="10"/>
      <c r="C37" s="19" t="s">
        <v>290</v>
      </c>
      <c r="D37" s="21"/>
      <c r="E37" s="478">
        <v>61330</v>
      </c>
      <c r="F37" s="11"/>
      <c r="G37" s="16"/>
      <c r="H37" s="322">
        <f>SUMIF('(1.2)_Lvl_Resource_'!A:A,N37,'(1.2)_Lvl_Resource_'!M:IM)</f>
        <v>-32.835481170434676</v>
      </c>
      <c r="I37" s="11"/>
      <c r="J37" s="167">
        <f t="shared" si="0"/>
        <v>-2013800.0601827586</v>
      </c>
      <c r="K37" s="12"/>
      <c r="M37" s="10"/>
      <c r="N37" s="19" t="s">
        <v>290</v>
      </c>
      <c r="O37" s="21"/>
      <c r="P37" s="478">
        <v>6940</v>
      </c>
      <c r="Q37" s="11"/>
      <c r="R37" s="16"/>
      <c r="S37" s="322">
        <f>SUMIF('(1.2)_Lvl_Resource_'!A:A,N37,'(1.2)_Lvl_Resource_'!M:IM)</f>
        <v>-32.835481170434676</v>
      </c>
      <c r="T37" s="11"/>
      <c r="U37" s="167">
        <f>+P37*S37</f>
        <v>-227878.23932281666</v>
      </c>
      <c r="V37" s="12"/>
    </row>
    <row r="38" spans="1:22" s="6" customFormat="1">
      <c r="B38" s="10"/>
      <c r="C38" s="19" t="s">
        <v>291</v>
      </c>
      <c r="D38" s="21"/>
      <c r="E38" s="478">
        <v>25290</v>
      </c>
      <c r="F38" s="11"/>
      <c r="G38" s="16"/>
      <c r="H38" s="322">
        <f>SUMIF('(1.2)_Lvl_Resource_'!A:A,N38,'(1.2)_Lvl_Resource_'!M:IM)</f>
        <v>-38.332150081912332</v>
      </c>
      <c r="I38" s="11"/>
      <c r="J38" s="167">
        <f>+E38*H38</f>
        <v>-969420.07557156286</v>
      </c>
      <c r="K38" s="12"/>
      <c r="M38" s="10"/>
      <c r="N38" s="19" t="s">
        <v>291</v>
      </c>
      <c r="O38" s="21"/>
      <c r="P38" s="478">
        <v>9154</v>
      </c>
      <c r="Q38" s="11"/>
      <c r="R38" s="16"/>
      <c r="S38" s="322">
        <f>SUMIF('(1.2)_Lvl_Resource_'!A:A,N38,'(1.2)_Lvl_Resource_'!M:IM)</f>
        <v>-38.332150081912332</v>
      </c>
      <c r="T38" s="11"/>
      <c r="U38" s="167">
        <f t="shared" si="1"/>
        <v>-350892.50184982549</v>
      </c>
      <c r="V38" s="12"/>
    </row>
    <row r="39" spans="1:22" s="6" customFormat="1">
      <c r="B39" s="10"/>
      <c r="C39" s="19" t="s">
        <v>262</v>
      </c>
      <c r="D39" s="21"/>
      <c r="E39" s="478">
        <v>13540</v>
      </c>
      <c r="F39" s="11"/>
      <c r="G39" s="16"/>
      <c r="H39" s="322">
        <f>SUMIF('(1.2)_Lvl_Resource_'!A:A,N39,'(1.2)_Lvl_Resource_'!M:IM)</f>
        <v>10.668004190047878</v>
      </c>
      <c r="I39" s="11"/>
      <c r="J39" s="167">
        <f>+E39*H39</f>
        <v>144444.77673324826</v>
      </c>
      <c r="K39" s="12"/>
      <c r="M39" s="10"/>
      <c r="N39" s="19" t="s">
        <v>262</v>
      </c>
      <c r="O39" s="21"/>
      <c r="P39" s="478">
        <v>14345</v>
      </c>
      <c r="Q39" s="11"/>
      <c r="R39" s="16"/>
      <c r="S39" s="322">
        <f>SUMIF('(1.2)_Lvl_Resource_'!A:A,N39,'(1.2)_Lvl_Resource_'!M:IM)</f>
        <v>10.668004190047878</v>
      </c>
      <c r="T39" s="11"/>
      <c r="U39" s="167">
        <f t="shared" si="1"/>
        <v>153032.5201062368</v>
      </c>
      <c r="V39" s="12"/>
    </row>
    <row r="40" spans="1:22" s="6" customFormat="1">
      <c r="B40" s="10"/>
      <c r="C40" s="388" t="s">
        <v>18</v>
      </c>
      <c r="D40" s="1"/>
      <c r="E40" s="324">
        <f>+SUM(E13:E39)</f>
        <v>516683</v>
      </c>
      <c r="F40" s="28"/>
      <c r="G40" s="28"/>
      <c r="H40" s="325"/>
      <c r="I40" s="27"/>
      <c r="J40" s="485">
        <f>+SUM(J13:J38)</f>
        <v>-8362976.8711982481</v>
      </c>
      <c r="K40" s="12"/>
      <c r="M40" s="10"/>
      <c r="N40" s="388" t="s">
        <v>18</v>
      </c>
      <c r="O40" s="1"/>
      <c r="P40" s="324">
        <f>+SUM(P13:P39)</f>
        <v>420373</v>
      </c>
      <c r="Q40" s="28"/>
      <c r="R40" s="28"/>
      <c r="S40" s="325"/>
      <c r="T40" s="27"/>
      <c r="U40" s="485">
        <f>+SUM(U13:U38)</f>
        <v>-5983694.6895494806</v>
      </c>
      <c r="V40" s="12"/>
    </row>
    <row r="41" spans="1:22" s="6" customFormat="1">
      <c r="B41" s="10"/>
      <c r="C41" s="11"/>
      <c r="D41" s="326"/>
      <c r="E41" s="17"/>
      <c r="F41" s="23"/>
      <c r="G41" s="23"/>
      <c r="H41" s="327"/>
      <c r="I41" s="168"/>
      <c r="J41" s="328"/>
      <c r="K41" s="12"/>
      <c r="M41" s="10"/>
      <c r="N41" s="11"/>
      <c r="O41" s="326"/>
      <c r="P41" s="17"/>
      <c r="Q41" s="23"/>
      <c r="R41" s="23"/>
      <c r="S41" s="327"/>
      <c r="T41" s="168"/>
      <c r="U41" s="328"/>
      <c r="V41" s="12"/>
    </row>
    <row r="42" spans="1:22" s="6" customFormat="1">
      <c r="B42" s="10"/>
      <c r="C42" s="383" t="s">
        <v>349</v>
      </c>
      <c r="D42" s="381"/>
      <c r="E42" s="333"/>
      <c r="F42" s="29"/>
      <c r="G42" s="382"/>
      <c r="H42" s="482"/>
      <c r="I42" s="170"/>
      <c r="J42" s="27"/>
      <c r="K42" s="12"/>
      <c r="M42" s="10"/>
      <c r="N42" s="383" t="s">
        <v>349</v>
      </c>
      <c r="O42" s="381"/>
      <c r="P42" s="333"/>
      <c r="Q42" s="29"/>
      <c r="R42" s="382"/>
      <c r="S42" s="482"/>
      <c r="T42" s="170"/>
      <c r="U42" s="27"/>
      <c r="V42" s="12"/>
    </row>
    <row r="43" spans="1:22" s="6" customFormat="1">
      <c r="B43" s="10"/>
      <c r="C43" s="19" t="s">
        <v>273</v>
      </c>
      <c r="D43" s="21"/>
      <c r="E43" s="479">
        <v>11656</v>
      </c>
      <c r="F43" s="29"/>
      <c r="G43" s="382"/>
      <c r="H43" s="322">
        <f>SUMIF('(1.2)_Lvl_Resource_'!A:A,C43,'(1.2)_Lvl_Resource_'!M:IM)</f>
        <v>0</v>
      </c>
      <c r="I43" s="170"/>
      <c r="J43" s="332">
        <f t="shared" ref="J43:J44" si="2">E43*H43</f>
        <v>0</v>
      </c>
      <c r="K43" s="12"/>
      <c r="L43" s="230"/>
      <c r="M43" s="10"/>
      <c r="N43" s="19" t="s">
        <v>273</v>
      </c>
      <c r="O43" s="21"/>
      <c r="P43" s="479">
        <v>16068</v>
      </c>
      <c r="Q43" s="29"/>
      <c r="R43" s="382"/>
      <c r="S43" s="322">
        <f>SUMIF('(1.2)_Lvl_Resource_'!A:A,N43,'(1.2)_Lvl_Resource_'!M:IM)</f>
        <v>0</v>
      </c>
      <c r="T43" s="170"/>
      <c r="U43" s="332">
        <f t="shared" ref="U43:U44" si="3">P43*S43</f>
        <v>0</v>
      </c>
      <c r="V43" s="12"/>
    </row>
    <row r="44" spans="1:22" s="6" customFormat="1">
      <c r="B44" s="10"/>
      <c r="C44" s="19" t="s">
        <v>274</v>
      </c>
      <c r="D44" s="323"/>
      <c r="E44" s="479">
        <v>5286</v>
      </c>
      <c r="F44" s="323"/>
      <c r="G44" s="323"/>
      <c r="H44" s="322">
        <f>SUMIF('(1.2)_Lvl_Resource_'!A:A,C44,'(1.2)_Lvl_Resource_'!M:IM)</f>
        <v>-63.542288348681581</v>
      </c>
      <c r="I44" s="484"/>
      <c r="J44" s="332">
        <f t="shared" si="2"/>
        <v>-335884.53621113085</v>
      </c>
      <c r="K44" s="12"/>
      <c r="M44" s="10"/>
      <c r="N44" s="19" t="s">
        <v>274</v>
      </c>
      <c r="O44" s="323"/>
      <c r="P44" s="479">
        <v>4262</v>
      </c>
      <c r="Q44" s="323"/>
      <c r="R44" s="323"/>
      <c r="S44" s="322">
        <f>SUMIF('(1.2)_Lvl_Resource_'!A:A,N44,'(1.2)_Lvl_Resource_'!M:IM)</f>
        <v>-63.542288348681581</v>
      </c>
      <c r="T44" s="484"/>
      <c r="U44" s="332">
        <f t="shared" si="3"/>
        <v>-270817.23294208088</v>
      </c>
      <c r="V44" s="12"/>
    </row>
    <row r="45" spans="1:22" s="6" customFormat="1">
      <c r="B45" s="10"/>
      <c r="C45" s="388" t="s">
        <v>350</v>
      </c>
      <c r="D45" s="1"/>
      <c r="E45" s="324">
        <f>+SUM(E43:E44)</f>
        <v>16942</v>
      </c>
      <c r="F45" s="28"/>
      <c r="G45" s="28"/>
      <c r="H45" s="325"/>
      <c r="I45" s="27"/>
      <c r="J45" s="485">
        <f>SUM(J43:J44)</f>
        <v>-335884.53621113085</v>
      </c>
      <c r="K45" s="12"/>
      <c r="M45" s="10"/>
      <c r="N45" s="388" t="s">
        <v>350</v>
      </c>
      <c r="O45" s="1"/>
      <c r="P45" s="324">
        <f>+SUM(P43:P44)</f>
        <v>20330</v>
      </c>
      <c r="Q45" s="28"/>
      <c r="R45" s="28"/>
      <c r="S45" s="325"/>
      <c r="T45" s="27"/>
      <c r="U45" s="485">
        <f>SUM(U43:U44)</f>
        <v>-270817.23294208088</v>
      </c>
      <c r="V45" s="12"/>
    </row>
    <row r="46" spans="1:22" s="6" customFormat="1">
      <c r="B46" s="10"/>
      <c r="C46" s="11"/>
      <c r="D46" s="326"/>
      <c r="E46" s="17"/>
      <c r="F46" s="23"/>
      <c r="G46" s="23"/>
      <c r="H46" s="327"/>
      <c r="I46" s="168"/>
      <c r="J46" s="328"/>
      <c r="K46" s="12"/>
      <c r="M46" s="10"/>
      <c r="N46" s="11"/>
      <c r="O46" s="326"/>
      <c r="P46" s="17"/>
      <c r="Q46" s="23"/>
      <c r="R46" s="23"/>
      <c r="S46" s="327"/>
      <c r="T46" s="168"/>
      <c r="U46" s="328"/>
      <c r="V46" s="12"/>
    </row>
    <row r="47" spans="1:22" s="6" customFormat="1">
      <c r="B47" s="10"/>
      <c r="C47" s="383" t="s">
        <v>213</v>
      </c>
      <c r="D47" s="381"/>
      <c r="E47" s="333"/>
      <c r="F47" s="29"/>
      <c r="G47" s="382"/>
      <c r="H47" s="482"/>
      <c r="I47" s="170"/>
      <c r="J47" s="27"/>
      <c r="K47" s="12"/>
      <c r="M47" s="10"/>
      <c r="N47" s="383" t="s">
        <v>213</v>
      </c>
      <c r="O47" s="381"/>
      <c r="P47" s="333"/>
      <c r="Q47" s="29"/>
      <c r="R47" s="382"/>
      <c r="S47" s="482"/>
      <c r="T47" s="170"/>
      <c r="U47" s="27"/>
      <c r="V47" s="12"/>
    </row>
    <row r="48" spans="1:22" s="6" customFormat="1">
      <c r="A48" s="329"/>
      <c r="B48" s="10"/>
      <c r="C48" s="19" t="s">
        <v>218</v>
      </c>
      <c r="D48" s="21" t="s">
        <v>216</v>
      </c>
      <c r="E48" s="479">
        <v>4892</v>
      </c>
      <c r="F48" s="29"/>
      <c r="G48" s="382"/>
      <c r="H48" s="322">
        <f>SUMIF('(1.2)_Lvl_Resource_'!A:A,C48,'(1.2)_Lvl_Resource_'!M:IM)</f>
        <v>1.4</v>
      </c>
      <c r="I48" s="170"/>
      <c r="J48" s="332">
        <f t="shared" ref="J48:J51" si="4">E48*H48</f>
        <v>6848.7999999999993</v>
      </c>
      <c r="K48" s="12"/>
      <c r="M48" s="10"/>
      <c r="N48" s="19" t="s">
        <v>218</v>
      </c>
      <c r="O48" s="21" t="s">
        <v>216</v>
      </c>
      <c r="P48" s="479">
        <v>5224</v>
      </c>
      <c r="Q48" s="29"/>
      <c r="R48" s="382"/>
      <c r="S48" s="322">
        <f>SUMIF('(1.2)_Lvl_Resource_'!A:A,N48,'(1.2)_Lvl_Resource_'!M:IM)</f>
        <v>1.4</v>
      </c>
      <c r="T48" s="170"/>
      <c r="U48" s="332">
        <f t="shared" ref="U48:U51" si="5">P48*S48</f>
        <v>7313.5999999999995</v>
      </c>
      <c r="V48" s="12"/>
    </row>
    <row r="49" spans="1:22">
      <c r="A49" s="337"/>
      <c r="B49" s="10"/>
      <c r="C49" s="19" t="s">
        <v>219</v>
      </c>
      <c r="D49" s="21" t="s">
        <v>14</v>
      </c>
      <c r="E49" s="479">
        <v>5342</v>
      </c>
      <c r="F49" s="29"/>
      <c r="G49" s="382"/>
      <c r="H49" s="322">
        <f>SUMIF('(1.2)_Lvl_Resource_'!A:A,C49,'(1.2)_Lvl_Resource_'!M:IM)</f>
        <v>1.4</v>
      </c>
      <c r="I49" s="170"/>
      <c r="J49" s="332">
        <f t="shared" si="4"/>
        <v>7478.7999999999993</v>
      </c>
      <c r="K49" s="12"/>
      <c r="M49" s="10"/>
      <c r="N49" s="19" t="s">
        <v>219</v>
      </c>
      <c r="O49" s="21" t="s">
        <v>14</v>
      </c>
      <c r="P49" s="479">
        <v>5018</v>
      </c>
      <c r="Q49" s="29"/>
      <c r="R49" s="382"/>
      <c r="S49" s="322">
        <f>SUMIF('(1.2)_Lvl_Resource_'!A:A,N49,'(1.2)_Lvl_Resource_'!M:IM)</f>
        <v>1.4</v>
      </c>
      <c r="T49" s="170"/>
      <c r="U49" s="332">
        <f t="shared" si="5"/>
        <v>7025.2</v>
      </c>
      <c r="V49" s="12"/>
    </row>
    <row r="50" spans="1:22">
      <c r="B50" s="10"/>
      <c r="C50" s="19" t="s">
        <v>220</v>
      </c>
      <c r="D50" s="21" t="s">
        <v>14</v>
      </c>
      <c r="E50" s="479">
        <v>4569</v>
      </c>
      <c r="F50" s="29"/>
      <c r="G50" s="382"/>
      <c r="H50" s="322">
        <f>SUMIF('(1.2)_Lvl_Resource_'!A:A,C50,'(1.2)_Lvl_Resource_'!M:IM)</f>
        <v>1.4</v>
      </c>
      <c r="I50" s="170"/>
      <c r="J50" s="332">
        <f t="shared" si="4"/>
        <v>6396.5999999999995</v>
      </c>
      <c r="K50" s="12"/>
      <c r="M50" s="10"/>
      <c r="N50" s="19" t="s">
        <v>220</v>
      </c>
      <c r="O50" s="21" t="s">
        <v>14</v>
      </c>
      <c r="P50" s="479">
        <v>4795</v>
      </c>
      <c r="Q50" s="29"/>
      <c r="R50" s="382"/>
      <c r="S50" s="322">
        <f>SUMIF('(1.2)_Lvl_Resource_'!A:A,N50,'(1.2)_Lvl_Resource_'!M:IM)</f>
        <v>1.4</v>
      </c>
      <c r="T50" s="170"/>
      <c r="U50" s="332">
        <f t="shared" si="5"/>
        <v>6713</v>
      </c>
      <c r="V50" s="12"/>
    </row>
    <row r="51" spans="1:22">
      <c r="B51" s="10"/>
      <c r="C51" s="19" t="s">
        <v>221</v>
      </c>
      <c r="D51" s="21" t="s">
        <v>14</v>
      </c>
      <c r="E51" s="479">
        <v>4980</v>
      </c>
      <c r="F51" s="29"/>
      <c r="G51" s="382"/>
      <c r="H51" s="322">
        <f>SUMIF('(1.2)_Lvl_Resource_'!A:A,C51,'(1.2)_Lvl_Resource_'!M:IM)</f>
        <v>1.4</v>
      </c>
      <c r="I51" s="170"/>
      <c r="J51" s="332">
        <f t="shared" si="4"/>
        <v>6972</v>
      </c>
      <c r="K51" s="12"/>
      <c r="M51" s="10"/>
      <c r="N51" s="19" t="s">
        <v>221</v>
      </c>
      <c r="O51" s="21" t="s">
        <v>14</v>
      </c>
      <c r="P51" s="479">
        <v>5032</v>
      </c>
      <c r="Q51" s="29"/>
      <c r="R51" s="382"/>
      <c r="S51" s="322">
        <f>SUMIF('(1.2)_Lvl_Resource_'!A:A,N51,'(1.2)_Lvl_Resource_'!M:IM)</f>
        <v>1.4</v>
      </c>
      <c r="T51" s="170"/>
      <c r="U51" s="332">
        <f t="shared" si="5"/>
        <v>7044.7999999999993</v>
      </c>
      <c r="V51" s="12"/>
    </row>
    <row r="52" spans="1:22">
      <c r="B52" s="10"/>
      <c r="C52" s="19" t="s">
        <v>214</v>
      </c>
      <c r="D52" s="21" t="s">
        <v>14</v>
      </c>
      <c r="E52" s="479">
        <v>9310</v>
      </c>
      <c r="F52" s="24"/>
      <c r="G52" s="22"/>
      <c r="H52" s="322">
        <f>SUMIF('(1.2)_Lvl_Resource_'!A:A,C52,'(1.2)_Lvl_Resource_'!M:IM)</f>
        <v>1.5</v>
      </c>
      <c r="I52" s="168"/>
      <c r="J52" s="332">
        <f>E52*H52</f>
        <v>13965</v>
      </c>
      <c r="K52" s="12"/>
      <c r="M52" s="10"/>
      <c r="N52" s="19" t="s">
        <v>214</v>
      </c>
      <c r="O52" s="21" t="s">
        <v>14</v>
      </c>
      <c r="P52" s="479">
        <v>42155</v>
      </c>
      <c r="Q52" s="24"/>
      <c r="R52" s="22"/>
      <c r="S52" s="322">
        <f>SUMIF('(1.2)_Lvl_Resource_'!A:A,N52,'(1.2)_Lvl_Resource_'!M:IM)</f>
        <v>1.5</v>
      </c>
      <c r="T52" s="168"/>
      <c r="U52" s="332">
        <f>P52*S52</f>
        <v>63232.5</v>
      </c>
      <c r="V52" s="12"/>
    </row>
    <row r="53" spans="1:22">
      <c r="B53" s="10"/>
      <c r="C53" s="19" t="s">
        <v>215</v>
      </c>
      <c r="D53" s="21" t="s">
        <v>14</v>
      </c>
      <c r="E53" s="479">
        <v>19715</v>
      </c>
      <c r="F53" s="24"/>
      <c r="G53" s="22"/>
      <c r="H53" s="322">
        <f>SUMIF('(1.2)_Lvl_Resource_'!A:A,C53,'(1.2)_Lvl_Resource_'!M:IM)</f>
        <v>1.9</v>
      </c>
      <c r="I53" s="168"/>
      <c r="J53" s="167">
        <f t="shared" ref="J53:J58" si="6">+E53*H53</f>
        <v>37458.5</v>
      </c>
      <c r="K53" s="12"/>
      <c r="M53" s="10"/>
      <c r="N53" s="19" t="s">
        <v>215</v>
      </c>
      <c r="O53" s="21" t="s">
        <v>14</v>
      </c>
      <c r="P53" s="479">
        <v>77030</v>
      </c>
      <c r="Q53" s="24"/>
      <c r="R53" s="22"/>
      <c r="S53" s="322">
        <f>SUMIF('(1.2)_Lvl_Resource_'!A:A,N53,'(1.2)_Lvl_Resource_'!M:IM)</f>
        <v>1.9</v>
      </c>
      <c r="T53" s="168"/>
      <c r="U53" s="167">
        <f t="shared" ref="U53:U58" si="7">+P53*S53</f>
        <v>146357</v>
      </c>
      <c r="V53" s="12"/>
    </row>
    <row r="54" spans="1:22">
      <c r="B54" s="10"/>
      <c r="C54" s="19" t="s">
        <v>265</v>
      </c>
      <c r="D54" s="21"/>
      <c r="E54" s="479">
        <v>9479</v>
      </c>
      <c r="F54" s="24"/>
      <c r="G54" s="22"/>
      <c r="H54" s="322">
        <f>SUMIF('(1.2)_Lvl_Resource_'!A:A,C54,'(1.2)_Lvl_Resource_'!M:IM)</f>
        <v>-61.068508183530625</v>
      </c>
      <c r="I54" s="168"/>
      <c r="J54" s="167">
        <f t="shared" si="6"/>
        <v>-578868.38907168678</v>
      </c>
      <c r="K54" s="12"/>
      <c r="M54" s="10"/>
      <c r="N54" s="19" t="s">
        <v>265</v>
      </c>
      <c r="O54" s="21"/>
      <c r="P54" s="479">
        <v>9993</v>
      </c>
      <c r="Q54" s="24"/>
      <c r="R54" s="22"/>
      <c r="S54" s="322">
        <f>SUMIF('(1.2)_Lvl_Resource_'!A:A,N54,'(1.2)_Lvl_Resource_'!M:IM)</f>
        <v>-61.068508183530625</v>
      </c>
      <c r="T54" s="168"/>
      <c r="U54" s="167">
        <f t="shared" si="7"/>
        <v>-610257.60227802151</v>
      </c>
      <c r="V54" s="12"/>
    </row>
    <row r="55" spans="1:22">
      <c r="B55" s="10"/>
      <c r="C55" s="19" t="s">
        <v>266</v>
      </c>
      <c r="D55" s="21"/>
      <c r="E55" s="479">
        <v>2762</v>
      </c>
      <c r="F55" s="24"/>
      <c r="G55" s="22"/>
      <c r="H55" s="322">
        <f>SUMIF('(1.2)_Lvl_Resource_'!A:A,C55,'(1.2)_Lvl_Resource_'!M:IM)</f>
        <v>-22.011095141487989</v>
      </c>
      <c r="I55" s="168"/>
      <c r="J55" s="167">
        <f t="shared" si="6"/>
        <v>-60794.644780789822</v>
      </c>
      <c r="K55" s="12"/>
      <c r="M55" s="10"/>
      <c r="N55" s="19" t="s">
        <v>266</v>
      </c>
      <c r="O55" s="21"/>
      <c r="P55" s="479">
        <v>4417</v>
      </c>
      <c r="Q55" s="24"/>
      <c r="R55" s="22"/>
      <c r="S55" s="322">
        <f>SUMIF('(1.2)_Lvl_Resource_'!A:A,N55,'(1.2)_Lvl_Resource_'!M:IM)</f>
        <v>-22.011095141487989</v>
      </c>
      <c r="T55" s="168"/>
      <c r="U55" s="167">
        <f t="shared" si="7"/>
        <v>-97223.007239952451</v>
      </c>
      <c r="V55" s="12"/>
    </row>
    <row r="56" spans="1:22">
      <c r="B56" s="10"/>
      <c r="C56" s="19" t="s">
        <v>267</v>
      </c>
      <c r="D56" s="21"/>
      <c r="E56" s="479">
        <v>2734</v>
      </c>
      <c r="F56" s="24"/>
      <c r="G56" s="22"/>
      <c r="H56" s="322">
        <f>SUMIF('(1.2)_Lvl_Resource_'!A:A,C56,'(1.2)_Lvl_Resource_'!M:IM)</f>
        <v>-23.877816875748543</v>
      </c>
      <c r="I56" s="168"/>
      <c r="J56" s="167">
        <f t="shared" si="6"/>
        <v>-65281.951338296516</v>
      </c>
      <c r="K56" s="12"/>
      <c r="M56" s="10"/>
      <c r="N56" s="19" t="s">
        <v>267</v>
      </c>
      <c r="O56" s="21"/>
      <c r="P56" s="479">
        <v>4417</v>
      </c>
      <c r="Q56" s="24"/>
      <c r="R56" s="22"/>
      <c r="S56" s="322">
        <f>SUMIF('(1.2)_Lvl_Resource_'!A:A,N56,'(1.2)_Lvl_Resource_'!M:IM)</f>
        <v>-23.877816875748543</v>
      </c>
      <c r="T56" s="168"/>
      <c r="U56" s="167">
        <f t="shared" si="7"/>
        <v>-105468.31714018132</v>
      </c>
      <c r="V56" s="12"/>
    </row>
    <row r="57" spans="1:22">
      <c r="B57" s="10"/>
      <c r="C57" s="19" t="s">
        <v>268</v>
      </c>
      <c r="D57" s="21"/>
      <c r="E57" s="479">
        <v>2701</v>
      </c>
      <c r="F57" s="24"/>
      <c r="G57" s="22"/>
      <c r="H57" s="322">
        <f>SUMIF('(1.2)_Lvl_Resource_'!A:A,C57,'(1.2)_Lvl_Resource_'!M:IM)</f>
        <v>-23.525723259751</v>
      </c>
      <c r="I57" s="168"/>
      <c r="J57" s="167">
        <f t="shared" si="6"/>
        <v>-63542.978524587452</v>
      </c>
      <c r="K57" s="12"/>
      <c r="M57" s="10"/>
      <c r="N57" s="19" t="s">
        <v>268</v>
      </c>
      <c r="O57" s="21"/>
      <c r="P57" s="479">
        <v>4117</v>
      </c>
      <c r="Q57" s="24"/>
      <c r="R57" s="22"/>
      <c r="S57" s="322">
        <f>SUMIF('(1.2)_Lvl_Resource_'!A:A,N57,'(1.2)_Lvl_Resource_'!M:IM)</f>
        <v>-23.525723259751</v>
      </c>
      <c r="T57" s="168"/>
      <c r="U57" s="167">
        <f t="shared" si="7"/>
        <v>-96855.402660394873</v>
      </c>
      <c r="V57" s="12"/>
    </row>
    <row r="58" spans="1:22">
      <c r="B58" s="10"/>
      <c r="C58" s="19" t="s">
        <v>269</v>
      </c>
      <c r="D58" s="21"/>
      <c r="E58" s="479">
        <v>14413</v>
      </c>
      <c r="F58" s="24"/>
      <c r="G58" s="22"/>
      <c r="H58" s="322">
        <f>SUMIF('(1.2)_Lvl_Resource_'!A:A,C58,'(1.2)_Lvl_Resource_'!M:IM)</f>
        <v>-45.766488860629515</v>
      </c>
      <c r="I58" s="168"/>
      <c r="J58" s="167">
        <f t="shared" si="6"/>
        <v>-659632.40394825325</v>
      </c>
      <c r="K58" s="12"/>
      <c r="M58" s="10"/>
      <c r="N58" s="19" t="s">
        <v>269</v>
      </c>
      <c r="O58" s="21"/>
      <c r="P58" s="479">
        <v>15481</v>
      </c>
      <c r="Q58" s="24"/>
      <c r="R58" s="22"/>
      <c r="S58" s="322">
        <f>SUMIF('(1.2)_Lvl_Resource_'!A:A,N58,'(1.2)_Lvl_Resource_'!M:IM)</f>
        <v>-45.766488860629515</v>
      </c>
      <c r="T58" s="168"/>
      <c r="U58" s="167">
        <f t="shared" si="7"/>
        <v>-708511.01405140548</v>
      </c>
      <c r="V58" s="12"/>
    </row>
    <row r="59" spans="1:22">
      <c r="B59" s="10"/>
      <c r="C59" s="389" t="s">
        <v>217</v>
      </c>
      <c r="D59" s="18"/>
      <c r="E59" s="387">
        <f>SUM(E48:E58)</f>
        <v>80897</v>
      </c>
      <c r="F59" s="330"/>
      <c r="G59" s="330"/>
      <c r="H59" s="486"/>
      <c r="I59" s="487"/>
      <c r="J59" s="483">
        <f>SUM(J48:J58)</f>
        <v>-1349000.6676636138</v>
      </c>
      <c r="K59" s="12"/>
      <c r="M59" s="10"/>
      <c r="N59" s="389" t="s">
        <v>217</v>
      </c>
      <c r="O59" s="18"/>
      <c r="P59" s="387">
        <f>SUM(P48:P58)</f>
        <v>177679</v>
      </c>
      <c r="Q59" s="330"/>
      <c r="R59" s="330"/>
      <c r="S59" s="486"/>
      <c r="T59" s="487"/>
      <c r="U59" s="483">
        <f>SUM(U48:U58)</f>
        <v>-1380629.2433699556</v>
      </c>
      <c r="V59" s="12"/>
    </row>
    <row r="60" spans="1:22">
      <c r="B60" s="10"/>
      <c r="C60" s="11"/>
      <c r="D60" s="11"/>
      <c r="E60" s="11"/>
      <c r="F60" s="11"/>
      <c r="G60" s="11"/>
      <c r="H60" s="11"/>
      <c r="I60" s="11"/>
      <c r="J60" s="11"/>
      <c r="K60" s="12"/>
      <c r="M60" s="10"/>
      <c r="N60" s="11"/>
      <c r="O60" s="11"/>
      <c r="P60" s="11"/>
      <c r="Q60" s="11"/>
      <c r="R60" s="11"/>
      <c r="S60" s="11"/>
      <c r="T60" s="11"/>
      <c r="U60" s="11"/>
      <c r="V60" s="12"/>
    </row>
    <row r="61" spans="1:22">
      <c r="B61" s="10"/>
      <c r="C61" s="1" t="s">
        <v>205</v>
      </c>
      <c r="D61" s="11"/>
      <c r="E61" s="11"/>
      <c r="F61" s="23"/>
      <c r="G61" s="23"/>
      <c r="H61" s="331"/>
      <c r="I61" s="168"/>
      <c r="J61" s="328"/>
      <c r="K61" s="12"/>
      <c r="L61" s="234"/>
      <c r="M61" s="10"/>
      <c r="N61" s="1" t="s">
        <v>205</v>
      </c>
      <c r="O61" s="11"/>
      <c r="P61" s="11"/>
      <c r="Q61" s="23"/>
      <c r="R61" s="23"/>
      <c r="S61" s="331"/>
      <c r="T61" s="168"/>
      <c r="U61" s="328"/>
      <c r="V61" s="12"/>
    </row>
    <row r="62" spans="1:22">
      <c r="B62" s="10"/>
      <c r="C62" s="19" t="s">
        <v>201</v>
      </c>
      <c r="D62" s="32"/>
      <c r="E62" s="480">
        <v>165</v>
      </c>
      <c r="F62" s="23"/>
      <c r="G62" s="23"/>
      <c r="H62" s="322">
        <f>SUMIF('(1.2)_Lvl_Resource_'!A:A,C62,'(1.2)_Lvl_Resource_'!M:IM)</f>
        <v>-66.436339352473794</v>
      </c>
      <c r="I62" s="168"/>
      <c r="J62" s="332">
        <f>+E62*H62</f>
        <v>-10961.995993158176</v>
      </c>
      <c r="K62" s="12"/>
      <c r="L62" s="234"/>
      <c r="M62" s="10"/>
      <c r="N62" s="19" t="s">
        <v>201</v>
      </c>
      <c r="O62" s="32"/>
      <c r="P62" s="480">
        <v>189</v>
      </c>
      <c r="Q62" s="23"/>
      <c r="R62" s="23"/>
      <c r="S62" s="322">
        <f>SUMIF('(1.2)_Lvl_Resource_'!A:A,N62,'(1.2)_Lvl_Resource_'!M:IM)</f>
        <v>-66.436339352473794</v>
      </c>
      <c r="T62" s="168"/>
      <c r="U62" s="332">
        <f>+P62*S62</f>
        <v>-12556.468137617547</v>
      </c>
      <c r="V62" s="12"/>
    </row>
    <row r="63" spans="1:22">
      <c r="B63" s="10"/>
      <c r="C63" s="19" t="s">
        <v>20</v>
      </c>
      <c r="D63" s="31"/>
      <c r="E63" s="481">
        <v>679</v>
      </c>
      <c r="F63" s="23"/>
      <c r="G63" s="23"/>
      <c r="H63" s="322">
        <f>SUMIF('(1.2)_Lvl_Resource_'!A:A,C63,'(1.2)_Lvl_Resource_'!M:IM)</f>
        <v>-45.230021351870242</v>
      </c>
      <c r="I63" s="168"/>
      <c r="J63" s="332">
        <f>+E63*H63</f>
        <v>-30711.184497919894</v>
      </c>
      <c r="K63" s="12"/>
      <c r="L63" s="234"/>
      <c r="M63" s="10"/>
      <c r="N63" s="19" t="s">
        <v>20</v>
      </c>
      <c r="O63" s="31"/>
      <c r="P63" s="481">
        <v>754</v>
      </c>
      <c r="Q63" s="23"/>
      <c r="R63" s="23"/>
      <c r="S63" s="322">
        <f>SUMIF('(1.2)_Lvl_Resource_'!A:A,N63,'(1.2)_Lvl_Resource_'!M:IM)</f>
        <v>-45.230021351870242</v>
      </c>
      <c r="T63" s="168"/>
      <c r="U63" s="332">
        <f>+P63*S63</f>
        <v>-34103.436099310165</v>
      </c>
      <c r="V63" s="12"/>
    </row>
    <row r="64" spans="1:22">
      <c r="B64" s="10"/>
      <c r="C64" s="19" t="s">
        <v>21</v>
      </c>
      <c r="D64" s="11"/>
      <c r="E64" s="481">
        <v>63</v>
      </c>
      <c r="F64" s="23"/>
      <c r="G64" s="23"/>
      <c r="H64" s="322">
        <f>SUMIF('(1.2)_Lvl_Resource_'!A:A,C64,'(1.2)_Lvl_Resource_'!M:IM)</f>
        <v>-65.650662425651461</v>
      </c>
      <c r="I64" s="168"/>
      <c r="J64" s="332">
        <f>+E64*H64</f>
        <v>-4135.9917328160418</v>
      </c>
      <c r="K64" s="12"/>
      <c r="L64" s="234"/>
      <c r="M64" s="10"/>
      <c r="N64" s="19" t="s">
        <v>21</v>
      </c>
      <c r="O64" s="11"/>
      <c r="P64" s="481">
        <v>115</v>
      </c>
      <c r="Q64" s="23"/>
      <c r="R64" s="23"/>
      <c r="S64" s="322">
        <f>SUMIF('(1.2)_Lvl_Resource_'!A:A,N64,'(1.2)_Lvl_Resource_'!M:IM)</f>
        <v>-65.650662425651461</v>
      </c>
      <c r="T64" s="168"/>
      <c r="U64" s="332">
        <f>+P64*S64</f>
        <v>-7549.8261789499184</v>
      </c>
      <c r="V64" s="12"/>
    </row>
    <row r="65" spans="2:22">
      <c r="B65" s="10"/>
      <c r="C65" s="19" t="s">
        <v>19</v>
      </c>
      <c r="D65" s="11"/>
      <c r="E65" s="481">
        <v>206</v>
      </c>
      <c r="F65" s="23"/>
      <c r="G65" s="23"/>
      <c r="H65" s="322">
        <f>SUMIF('(1.2)_Lvl_Resource_'!A:A,C65,'(1.2)_Lvl_Resource_'!M:IM)</f>
        <v>-40.273516972999651</v>
      </c>
      <c r="I65" s="168"/>
      <c r="J65" s="332">
        <f t="shared" ref="J65:J66" si="8">+E65*H65</f>
        <v>-8296.3444964379287</v>
      </c>
      <c r="K65" s="12"/>
      <c r="L65" s="234"/>
      <c r="M65" s="10"/>
      <c r="N65" s="19" t="s">
        <v>19</v>
      </c>
      <c r="O65" s="11"/>
      <c r="P65" s="481">
        <v>286</v>
      </c>
      <c r="Q65" s="23"/>
      <c r="R65" s="23"/>
      <c r="S65" s="322">
        <f>SUMIF('(1.2)_Lvl_Resource_'!A:A,N65,'(1.2)_Lvl_Resource_'!M:IM)</f>
        <v>-40.273516972999651</v>
      </c>
      <c r="T65" s="168"/>
      <c r="U65" s="332">
        <f t="shared" ref="U65:U66" si="9">+P65*S65</f>
        <v>-11518.2258542779</v>
      </c>
      <c r="V65" s="12"/>
    </row>
    <row r="66" spans="2:22">
      <c r="B66" s="10"/>
      <c r="C66" s="19" t="s">
        <v>270</v>
      </c>
      <c r="D66" s="6"/>
      <c r="E66" s="481">
        <v>96</v>
      </c>
      <c r="F66" s="30"/>
      <c r="G66" s="23"/>
      <c r="H66" s="322">
        <f>SUMIF('(1.2)_Lvl_Resource_'!A:A,C66,'(1.2)_Lvl_Resource_'!M:IM)</f>
        <v>-19.338350113536656</v>
      </c>
      <c r="I66" s="168"/>
      <c r="J66" s="775">
        <f t="shared" si="8"/>
        <v>-1856.481610899519</v>
      </c>
      <c r="K66" s="12"/>
      <c r="L66" s="234"/>
      <c r="M66" s="10"/>
      <c r="N66" s="19" t="s">
        <v>270</v>
      </c>
      <c r="O66" s="6"/>
      <c r="P66" s="481">
        <v>82</v>
      </c>
      <c r="Q66" s="30"/>
      <c r="R66" s="23"/>
      <c r="S66" s="322">
        <f>SUMIF('(1.2)_Lvl_Resource_'!A:A,N66,'(1.2)_Lvl_Resource_'!M:IM)</f>
        <v>-19.338350113536656</v>
      </c>
      <c r="T66" s="168"/>
      <c r="U66" s="775">
        <f t="shared" si="9"/>
        <v>-1585.7447093100059</v>
      </c>
      <c r="V66" s="12"/>
    </row>
    <row r="67" spans="2:22">
      <c r="B67" s="10"/>
      <c r="C67" s="19"/>
      <c r="D67" s="11"/>
      <c r="E67" s="33"/>
      <c r="F67" s="23"/>
      <c r="G67" s="23"/>
      <c r="H67" s="331"/>
      <c r="I67" s="168"/>
      <c r="J67" s="334"/>
      <c r="K67" s="12"/>
      <c r="M67" s="10"/>
      <c r="N67" s="19"/>
      <c r="O67" s="11"/>
      <c r="P67" s="33"/>
      <c r="Q67" s="23"/>
      <c r="R67" s="23"/>
      <c r="S67" s="331"/>
      <c r="T67" s="168"/>
      <c r="U67" s="334"/>
      <c r="V67" s="12"/>
    </row>
    <row r="68" spans="2:22">
      <c r="B68" s="10"/>
      <c r="C68" s="388" t="s">
        <v>22</v>
      </c>
      <c r="D68" s="11"/>
      <c r="E68" s="335">
        <f>+SUM(E62:E66)</f>
        <v>1209</v>
      </c>
      <c r="F68" s="23"/>
      <c r="G68" s="23"/>
      <c r="H68" s="168"/>
      <c r="I68" s="168"/>
      <c r="J68" s="171">
        <f>+SUM(J62:J67)</f>
        <v>-55961.998331231567</v>
      </c>
      <c r="K68" s="12"/>
      <c r="M68" s="10"/>
      <c r="N68" s="388" t="s">
        <v>22</v>
      </c>
      <c r="O68" s="11"/>
      <c r="P68" s="335">
        <f>+SUM(P62:P66)</f>
        <v>1426</v>
      </c>
      <c r="Q68" s="23"/>
      <c r="R68" s="23"/>
      <c r="S68" s="168"/>
      <c r="T68" s="168"/>
      <c r="U68" s="171">
        <f>+SUM(U62:U67)</f>
        <v>-67313.700979465531</v>
      </c>
      <c r="V68" s="12"/>
    </row>
    <row r="69" spans="2:22">
      <c r="B69" s="10"/>
      <c r="C69" s="11"/>
      <c r="D69" s="11"/>
      <c r="E69" s="33"/>
      <c r="F69" s="23"/>
      <c r="G69" s="23"/>
      <c r="H69" s="168"/>
      <c r="I69" s="168"/>
      <c r="J69" s="169"/>
      <c r="K69" s="12"/>
      <c r="M69" s="10"/>
      <c r="N69" s="11"/>
      <c r="O69" s="11"/>
      <c r="P69" s="33"/>
      <c r="Q69" s="23"/>
      <c r="R69" s="23"/>
      <c r="S69" s="168"/>
      <c r="T69" s="168"/>
      <c r="U69" s="169"/>
      <c r="V69" s="12"/>
    </row>
    <row r="70" spans="2:22">
      <c r="B70" s="10"/>
      <c r="C70" s="388" t="s">
        <v>23</v>
      </c>
      <c r="D70" s="11"/>
      <c r="E70" s="335">
        <f>E40+E59+E45+E68</f>
        <v>615731</v>
      </c>
      <c r="F70" s="23"/>
      <c r="G70" s="23"/>
      <c r="H70" s="168"/>
      <c r="I70" s="168"/>
      <c r="J70" s="171">
        <f>J40+J45+J59+J68</f>
        <v>-10103824.073404225</v>
      </c>
      <c r="K70" s="12"/>
      <c r="M70" s="10"/>
      <c r="N70" s="388" t="s">
        <v>23</v>
      </c>
      <c r="O70" s="11"/>
      <c r="P70" s="335">
        <f>P40+P59+P45+P68</f>
        <v>619808</v>
      </c>
      <c r="Q70" s="23"/>
      <c r="R70" s="23"/>
      <c r="S70" s="168"/>
      <c r="T70" s="168"/>
      <c r="U70" s="171">
        <f>U40+U45+U59+U68</f>
        <v>-7702454.8668409828</v>
      </c>
      <c r="V70" s="12"/>
    </row>
    <row r="71" spans="2:22">
      <c r="B71" s="10"/>
      <c r="C71" s="11"/>
      <c r="D71" s="11"/>
      <c r="E71" s="26"/>
      <c r="F71" s="23"/>
      <c r="G71" s="23"/>
      <c r="H71" s="168"/>
      <c r="I71" s="168"/>
      <c r="J71" s="172"/>
      <c r="K71" s="12"/>
      <c r="M71" s="10"/>
      <c r="N71" s="11"/>
      <c r="O71" s="11"/>
      <c r="P71" s="26"/>
      <c r="Q71" s="23"/>
      <c r="R71" s="23"/>
      <c r="S71" s="168"/>
      <c r="T71" s="168"/>
      <c r="U71" s="172"/>
      <c r="V71" s="12"/>
    </row>
    <row r="72" spans="2:22">
      <c r="B72" s="10"/>
      <c r="C72" s="1" t="s">
        <v>24</v>
      </c>
      <c r="D72" s="1"/>
      <c r="E72" s="173"/>
      <c r="F72" s="28"/>
      <c r="G72" s="28"/>
      <c r="H72" s="170"/>
      <c r="I72" s="170"/>
      <c r="J72" s="171">
        <v>366359248</v>
      </c>
      <c r="K72" s="12"/>
      <c r="M72" s="10"/>
      <c r="N72" s="1" t="s">
        <v>24</v>
      </c>
      <c r="O72" s="1"/>
      <c r="P72" s="173"/>
      <c r="Q72" s="28"/>
      <c r="R72" s="28"/>
      <c r="S72" s="170"/>
      <c r="T72" s="170"/>
      <c r="U72" s="171">
        <v>393158062</v>
      </c>
      <c r="V72" s="12"/>
    </row>
    <row r="73" spans="2:22">
      <c r="B73" s="10"/>
      <c r="C73" s="1"/>
      <c r="D73" s="1"/>
      <c r="E73" s="28"/>
      <c r="F73" s="28"/>
      <c r="G73" s="28"/>
      <c r="H73" s="170"/>
      <c r="I73" s="170"/>
      <c r="J73" s="171"/>
      <c r="K73" s="12"/>
      <c r="M73" s="10"/>
      <c r="N73" s="1"/>
      <c r="O73" s="1"/>
      <c r="P73" s="28"/>
      <c r="Q73" s="28"/>
      <c r="R73" s="28"/>
      <c r="S73" s="170"/>
      <c r="T73" s="170"/>
      <c r="U73" s="171"/>
      <c r="V73" s="12"/>
    </row>
    <row r="74" spans="2:22">
      <c r="B74" s="10"/>
      <c r="C74" s="1" t="s">
        <v>4</v>
      </c>
      <c r="D74" s="1"/>
      <c r="E74" s="28"/>
      <c r="F74" s="28"/>
      <c r="G74" s="28"/>
      <c r="H74" s="170"/>
      <c r="I74" s="170"/>
      <c r="J74" s="336">
        <f>+J70/J72</f>
        <v>-2.7579006476736258E-2</v>
      </c>
      <c r="K74" s="12"/>
      <c r="M74" s="10"/>
      <c r="N74" s="1" t="s">
        <v>4</v>
      </c>
      <c r="O74" s="1"/>
      <c r="P74" s="28"/>
      <c r="Q74" s="28"/>
      <c r="R74" s="28"/>
      <c r="S74" s="170"/>
      <c r="T74" s="170"/>
      <c r="U74" s="336">
        <f>+U70/U72</f>
        <v>-1.9591242330523499E-2</v>
      </c>
      <c r="V74" s="12"/>
    </row>
    <row r="75" spans="2:22">
      <c r="B75" s="10"/>
      <c r="C75" s="1"/>
      <c r="D75" s="1"/>
      <c r="E75" s="28"/>
      <c r="F75" s="28"/>
      <c r="G75" s="28"/>
      <c r="H75" s="170"/>
      <c r="I75" s="170"/>
      <c r="J75" s="336"/>
      <c r="K75" s="12"/>
      <c r="M75" s="10"/>
      <c r="N75" s="1"/>
      <c r="O75" s="1"/>
      <c r="P75" s="28"/>
      <c r="Q75" s="28"/>
      <c r="R75" s="28"/>
      <c r="S75" s="170"/>
      <c r="T75" s="170"/>
      <c r="U75" s="336"/>
      <c r="V75" s="12"/>
    </row>
    <row r="76" spans="2:22">
      <c r="B76" s="10"/>
      <c r="C76" s="166" t="s">
        <v>206</v>
      </c>
      <c r="D76" s="11"/>
      <c r="E76" s="23"/>
      <c r="F76" s="23"/>
      <c r="G76" s="23"/>
      <c r="H76" s="168"/>
      <c r="I76" s="168"/>
      <c r="J76" s="172"/>
      <c r="K76" s="12"/>
      <c r="M76" s="10"/>
      <c r="N76" s="166" t="s">
        <v>206</v>
      </c>
      <c r="O76" s="11"/>
      <c r="P76" s="23"/>
      <c r="Q76" s="23"/>
      <c r="R76" s="23"/>
      <c r="S76" s="168"/>
      <c r="T76" s="168"/>
      <c r="U76" s="172"/>
      <c r="V76" s="12"/>
    </row>
    <row r="77" spans="2:22">
      <c r="B77" s="10"/>
      <c r="C77" s="166"/>
      <c r="E77" s="390"/>
      <c r="F77" s="390"/>
      <c r="G77" s="390"/>
      <c r="H77" s="390"/>
      <c r="I77" s="390"/>
      <c r="J77" s="390"/>
      <c r="K77" s="12"/>
      <c r="M77" s="10"/>
      <c r="N77" s="166"/>
      <c r="P77" s="390"/>
      <c r="Q77" s="390"/>
      <c r="R77" s="390"/>
      <c r="S77" s="390"/>
      <c r="T77" s="390"/>
      <c r="U77" s="390"/>
      <c r="V77" s="12"/>
    </row>
    <row r="78" spans="2:22">
      <c r="B78" s="34"/>
      <c r="C78" s="386"/>
      <c r="D78" s="35"/>
      <c r="E78" s="25"/>
      <c r="F78" s="25"/>
      <c r="G78" s="25"/>
      <c r="H78" s="384"/>
      <c r="I78" s="384"/>
      <c r="J78" s="169"/>
      <c r="K78" s="36"/>
      <c r="M78" s="34"/>
      <c r="N78" s="386"/>
      <c r="O78" s="35"/>
      <c r="P78" s="25"/>
      <c r="Q78" s="25"/>
      <c r="R78" s="25"/>
      <c r="S78" s="384"/>
      <c r="T78" s="384"/>
      <c r="U78" s="169"/>
      <c r="V78" s="36"/>
    </row>
  </sheetData>
  <sortState xmlns:xlrd2="http://schemas.microsoft.com/office/spreadsheetml/2017/richdata2" ref="W13:W22">
    <sortCondition ref="W13"/>
  </sortState>
  <pageMargins left="0.25" right="0.25" top="0.25" bottom="0.75" header="0.3" footer="0.3"/>
  <pageSetup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549E6-3D79-4155-A685-947C30E450E7}">
  <sheetPr codeName="Sheet24">
    <tabColor theme="4" tint="0.59999389629810485"/>
    <pageSetUpPr fitToPage="1"/>
  </sheetPr>
  <dimension ref="A1:BL99"/>
  <sheetViews>
    <sheetView topLeftCell="A62" zoomScale="85" zoomScaleNormal="85" workbookViewId="0">
      <selection activeCell="O68" sqref="O68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0" bestFit="1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3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13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100.5</v>
      </c>
      <c r="H11" s="510"/>
      <c r="I11" s="584">
        <v>100.5</v>
      </c>
      <c r="AB11" s="511" t="s">
        <v>99</v>
      </c>
      <c r="AC11" s="512"/>
      <c r="AD11" s="512"/>
      <c r="AE11" s="512"/>
      <c r="AF11" s="585">
        <f>+G11*(G12/AJ16)</f>
        <v>71.617618009583211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38.727200100981563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518">
        <f>(AF11*AF13-G11*G19)</f>
        <v>66.927618009583213</v>
      </c>
      <c r="BE11" s="519"/>
      <c r="BG11" s="586" t="s">
        <v>99</v>
      </c>
      <c r="BH11" s="587"/>
      <c r="BI11" s="587"/>
      <c r="BJ11" s="587"/>
      <c r="BK11" s="591">
        <f>(AR11*AR13-I11*I19)</f>
        <v>26.868200100981561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0.34697866466618793</v>
      </c>
      <c r="H12" s="510"/>
      <c r="I12" s="593">
        <v>0.27084213635021243</v>
      </c>
      <c r="AB12" s="511" t="s">
        <v>32</v>
      </c>
      <c r="AC12" s="512"/>
      <c r="AD12" s="512"/>
      <c r="AE12" s="512"/>
      <c r="AF12" s="520">
        <f>AD73/8760/AF11</f>
        <v>0.4472227402899614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AD73/8760/AR11</f>
        <v>0.82704216405444975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520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2006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522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31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139</v>
      </c>
      <c r="B15" s="508"/>
      <c r="C15" s="491" t="s">
        <v>107</v>
      </c>
      <c r="D15" s="491"/>
      <c r="E15" s="491"/>
      <c r="F15" s="491"/>
      <c r="G15" s="523">
        <v>187.53573564552991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/>
      <c r="AW15" s="516"/>
      <c r="AZ15" s="511" t="s">
        <v>108</v>
      </c>
      <c r="BA15" s="512"/>
      <c r="BB15" s="512"/>
      <c r="BC15" s="512"/>
      <c r="BD15" s="524">
        <v>8.3299999999999999E-2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139</v>
      </c>
      <c r="B16" s="508"/>
      <c r="C16" s="491" t="s">
        <v>109</v>
      </c>
      <c r="D16" s="491"/>
      <c r="E16" s="491"/>
      <c r="F16" s="491"/>
      <c r="G16" s="523">
        <v>12.630108405506199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139</v>
      </c>
      <c r="B17" s="508"/>
      <c r="C17" s="491" t="s">
        <v>111</v>
      </c>
      <c r="D17" s="491"/>
      <c r="E17" s="491"/>
      <c r="F17" s="491"/>
      <c r="G17" s="523">
        <v>3.0220510108288803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503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7.125514275E-2</v>
      </c>
      <c r="H18" s="510"/>
      <c r="I18" s="604"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v>0.11799999999999999</v>
      </c>
      <c r="S19" s="554"/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534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609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f>+G13</f>
        <v>2006</v>
      </c>
      <c r="E28" s="549">
        <v>3.1E-2</v>
      </c>
      <c r="G28" s="475">
        <f>G29</f>
        <v>305473.07679881854</v>
      </c>
      <c r="I28" s="550">
        <f>$G$15</f>
        <v>187.53573564552991</v>
      </c>
      <c r="J28" s="550"/>
      <c r="K28" s="550">
        <f>$G$16</f>
        <v>12.630108405506199</v>
      </c>
      <c r="L28" s="551"/>
      <c r="M28" s="550">
        <f>$G$17</f>
        <v>3.0220510108288803</v>
      </c>
      <c r="O28" s="552">
        <v>4.9466537342386037</v>
      </c>
      <c r="Q28" s="553">
        <v>-30.620467365028201</v>
      </c>
      <c r="S28" s="475">
        <f>(I28*$G$11*1000+(K28+M28+O28+Q28)*G28)/1000</f>
        <v>15785.995884872487</v>
      </c>
      <c r="U28" s="475">
        <f t="shared" ref="U28:U71" si="0">AX28</f>
        <v>19141.802578211958</v>
      </c>
      <c r="W28" s="475">
        <f t="shared" ref="W28:W71" si="1">S28-U28</f>
        <v>-3355.8066933394712</v>
      </c>
      <c r="Y28" s="554">
        <f>+W28*1000/G28</f>
        <v>-10.985605437004098</v>
      </c>
      <c r="Z28" s="516"/>
      <c r="AB28" s="544">
        <f>$C$28</f>
        <v>2006</v>
      </c>
      <c r="AC28" s="503"/>
      <c r="AD28" s="488">
        <f t="shared" ref="AD28:AD71" si="2">G28</f>
        <v>305473.07679881854</v>
      </c>
      <c r="AF28" s="559">
        <f>$AF$15*$AF$16</f>
        <v>56.124791362126246</v>
      </c>
      <c r="AG28" s="557"/>
      <c r="AH28" s="559">
        <f>$AJ$11</f>
        <v>7.9126910299003335</v>
      </c>
      <c r="AI28" s="557"/>
      <c r="AJ28" s="559">
        <f>$AJ$13</f>
        <v>2.2243013100436677</v>
      </c>
      <c r="AK28" s="557"/>
      <c r="AL28" s="558">
        <f>((AF28+AH28)*$AF$11*1000+AJ28*AD28)/1000</f>
        <v>5265.6761171542521</v>
      </c>
      <c r="AN28" s="555">
        <v>7.2485597127461476</v>
      </c>
      <c r="AO28" s="556"/>
      <c r="AP28" s="555">
        <f>AN28*$AF$14/1000</f>
        <v>52.668189489255148</v>
      </c>
      <c r="AQ28" s="557"/>
      <c r="AR28" s="559">
        <f>$AJ$15</f>
        <v>2.302423580786026</v>
      </c>
      <c r="AS28" s="559"/>
      <c r="AT28" s="558">
        <f t="shared" ref="AT28:AT71" si="3">AL28-BF28</f>
        <v>2349.7602701891287</v>
      </c>
      <c r="AU28" s="557"/>
      <c r="AV28" s="558">
        <f t="shared" ref="AV28:AV71" si="4">(AP28+AR28)*AD28/1000</f>
        <v>16792.042308022828</v>
      </c>
      <c r="AW28" s="560"/>
      <c r="AX28" s="561">
        <f>AT28+AV28</f>
        <v>19141.802578211958</v>
      </c>
      <c r="AZ28" s="544">
        <f>$C$28</f>
        <v>2006</v>
      </c>
      <c r="BA28" s="503"/>
      <c r="BB28" s="559">
        <f>$BD$14*$BD$15</f>
        <v>37.818199999999997</v>
      </c>
      <c r="BD28" s="559">
        <f>$BB$16</f>
        <v>5.75</v>
      </c>
      <c r="BE28" s="557"/>
      <c r="BF28" s="558">
        <f>(BB28+BD28)*$BD$11</f>
        <v>2915.9158469651234</v>
      </c>
      <c r="BG28" s="557"/>
      <c r="BH28" s="562"/>
    </row>
    <row r="29" spans="1:64" ht="12">
      <c r="B29" s="526"/>
      <c r="C29">
        <f>+IF(C28&gt;$G$13+$G$14,XX,C28+1)</f>
        <v>2007</v>
      </c>
      <c r="E29" s="549">
        <v>1.9E-2</v>
      </c>
      <c r="G29" s="475">
        <v>305473.07679881854</v>
      </c>
      <c r="I29" s="553">
        <f>I28*(1+$E29)</f>
        <v>191.09891462279495</v>
      </c>
      <c r="K29" s="553">
        <f>K28*(1+$E29)</f>
        <v>12.870080465210815</v>
      </c>
      <c r="M29" s="553">
        <f>M28*(1+$E29)</f>
        <v>3.0794699800346286</v>
      </c>
      <c r="O29" s="552">
        <v>5.0999999999999996</v>
      </c>
      <c r="Q29" s="553">
        <v>-31.232876712328764</v>
      </c>
      <c r="S29" s="475">
        <f t="shared" ref="S29:S39" si="5">(I29*$G$11*1000+(K29+M29+O29+Q29)*G29)/1000</f>
        <v>16094.708912738723</v>
      </c>
      <c r="U29" s="475">
        <f t="shared" si="0"/>
        <v>20932.347502540681</v>
      </c>
      <c r="W29" s="475">
        <f t="shared" si="1"/>
        <v>-4837.638589801958</v>
      </c>
      <c r="Y29" s="554">
        <f t="shared" ref="Y29:Y71" si="6">+W29*1000/G29</f>
        <v>-15.836546514991163</v>
      </c>
      <c r="Z29" s="516"/>
      <c r="AB29" s="544">
        <f>+IF(AB28&gt;$G$13+$G$14,XX,AB28+1)</f>
        <v>2007</v>
      </c>
      <c r="AC29" s="503"/>
      <c r="AD29" s="488">
        <f t="shared" si="2"/>
        <v>305473.07679881854</v>
      </c>
      <c r="AF29" s="555">
        <f>AF28*(1+$E29)</f>
        <v>57.191162398006639</v>
      </c>
      <c r="AH29" s="555">
        <f>AH28*(1+$E29)</f>
        <v>8.0630321594684382</v>
      </c>
      <c r="AJ29" s="555">
        <f>AJ28*(1+$E29)</f>
        <v>2.2665630349344972</v>
      </c>
      <c r="AL29" s="558">
        <f t="shared" ref="AL29:AL40" si="7">((AF29+AH29)*$AF$11*1000+AJ29*AD29)/1000</f>
        <v>5365.7239633801828</v>
      </c>
      <c r="AN29" s="555">
        <v>8.0291312655031408</v>
      </c>
      <c r="AP29" s="555">
        <f t="shared" ref="AP29:AP40" si="8">AN29*$AF$14/1000</f>
        <v>58.339839041680825</v>
      </c>
      <c r="AR29" s="555">
        <f>AR28*(1+$E29)</f>
        <v>2.3461696288209604</v>
      </c>
      <c r="AS29" s="555"/>
      <c r="AT29" s="558">
        <f t="shared" si="3"/>
        <v>2394.4057153227227</v>
      </c>
      <c r="AV29" s="558">
        <f t="shared" si="4"/>
        <v>18537.941787217958</v>
      </c>
      <c r="AW29" s="560"/>
      <c r="AX29" s="561">
        <f t="shared" ref="AX29:AX71" si="9">AT29+AV29</f>
        <v>20932.347502540681</v>
      </c>
      <c r="AZ29" s="544">
        <f>+IF(AZ28&gt;$G$13+$G$14,XX,AZ28+1)</f>
        <v>2007</v>
      </c>
      <c r="BA29" s="503"/>
      <c r="BB29" s="555">
        <f>BB28*(1+$E29)</f>
        <v>38.536745799999991</v>
      </c>
      <c r="BD29" s="555">
        <f>BD28*(1+$E29)</f>
        <v>5.8592499999999994</v>
      </c>
      <c r="BF29" s="558">
        <f t="shared" ref="BF29:BF40" si="10">(BB29+BD29)*$BD$11</f>
        <v>2971.3182480574601</v>
      </c>
      <c r="BH29" s="563"/>
    </row>
    <row r="30" spans="1:64" ht="12">
      <c r="B30" s="526"/>
      <c r="C30">
        <f>+IF(C29&gt;$G$13+$G$14,XX,C29+1)</f>
        <v>2008</v>
      </c>
      <c r="E30" s="549">
        <v>1.7000000000000001E-2</v>
      </c>
      <c r="G30" s="475">
        <v>306096.90139893163</v>
      </c>
      <c r="I30" s="553">
        <f t="shared" ref="I30:I40" si="11">I29*(1+$E30)</f>
        <v>194.34759617138243</v>
      </c>
      <c r="K30" s="553">
        <f t="shared" ref="K30:K40" si="12">K29*(1+$E30)</f>
        <v>13.088871833119399</v>
      </c>
      <c r="M30" s="553">
        <f t="shared" ref="M30:M71" si="13">M29*(1+$E30)</f>
        <v>3.1318209696952168</v>
      </c>
      <c r="O30" s="552">
        <v>5.1866999999999992</v>
      </c>
      <c r="Q30" s="553">
        <v>-31.857534246575337</v>
      </c>
      <c r="S30" s="475">
        <f t="shared" si="5"/>
        <v>16333.177500108217</v>
      </c>
      <c r="U30" s="475">
        <f t="shared" si="0"/>
        <v>20894.644842978014</v>
      </c>
      <c r="W30" s="475">
        <f t="shared" si="1"/>
        <v>-4561.467342869797</v>
      </c>
      <c r="Y30" s="554">
        <f t="shared" si="6"/>
        <v>-14.902036975947375</v>
      </c>
      <c r="Z30" s="516"/>
      <c r="AB30" s="544">
        <f>+IF(AB29&gt;$G$13+$G$14,XX,AB29+1)</f>
        <v>2008</v>
      </c>
      <c r="AC30" s="503"/>
      <c r="AD30" s="488">
        <f t="shared" si="2"/>
        <v>306096.90139893163</v>
      </c>
      <c r="AF30" s="555">
        <f t="shared" ref="AF30:AF71" si="14">AF29*(1+$E30)</f>
        <v>58.163412158772744</v>
      </c>
      <c r="AH30" s="555">
        <f t="shared" ref="AH30:AH71" si="15">AH29*(1+$E30)</f>
        <v>8.2001037061794015</v>
      </c>
      <c r="AJ30" s="555">
        <f t="shared" ref="AJ30:AJ71" si="16">AJ29*(1+$E30)</f>
        <v>2.3050946065283835</v>
      </c>
      <c r="AL30" s="558">
        <f t="shared" si="7"/>
        <v>5458.3792454787863</v>
      </c>
      <c r="AN30" s="555">
        <v>7.9707205782722266</v>
      </c>
      <c r="AP30" s="555">
        <f t="shared" si="8"/>
        <v>57.915425742323464</v>
      </c>
      <c r="AR30" s="555">
        <f t="shared" ref="AR30:AR71" si="17">AR29*(1+$E30)</f>
        <v>2.3860545125109165</v>
      </c>
      <c r="AS30" s="555"/>
      <c r="AT30" s="558">
        <f t="shared" si="3"/>
        <v>2436.5485872043496</v>
      </c>
      <c r="AV30" s="558">
        <f t="shared" si="4"/>
        <v>18458.096255773664</v>
      </c>
      <c r="AW30" s="560"/>
      <c r="AX30" s="561">
        <f t="shared" si="9"/>
        <v>20894.644842978014</v>
      </c>
      <c r="AZ30" s="544">
        <f>+IF(AZ29&gt;$G$13+$G$14,XX,AZ29+1)</f>
        <v>2008</v>
      </c>
      <c r="BA30" s="503"/>
      <c r="BB30" s="555">
        <f t="shared" ref="BB30:BB71" si="18">BB29*(1+$E30)</f>
        <v>39.191870478599988</v>
      </c>
      <c r="BD30" s="555">
        <f t="shared" ref="BD30:BD71" si="19">BD29*(1+$E30)</f>
        <v>5.9588572499999986</v>
      </c>
      <c r="BF30" s="558">
        <f t="shared" si="10"/>
        <v>3021.8306582744367</v>
      </c>
      <c r="BH30" s="563"/>
    </row>
    <row r="31" spans="1:64" ht="12">
      <c r="B31" s="526"/>
      <c r="C31">
        <f>+IF(C30&gt;$G$13+$G$14,XX,C30+1)</f>
        <v>2009</v>
      </c>
      <c r="E31" s="549">
        <v>1.7000000000000001E-2</v>
      </c>
      <c r="G31" s="475">
        <v>305473.07679881854</v>
      </c>
      <c r="I31" s="553">
        <f t="shared" si="11"/>
        <v>197.65150530629592</v>
      </c>
      <c r="K31" s="553">
        <f t="shared" si="12"/>
        <v>13.311382654282427</v>
      </c>
      <c r="M31" s="553">
        <f t="shared" si="13"/>
        <v>3.185061926180035</v>
      </c>
      <c r="O31" s="552">
        <v>5.2748738999999985</v>
      </c>
      <c r="Q31" s="553">
        <v>-32.494684931506839</v>
      </c>
      <c r="S31" s="475">
        <f t="shared" si="5"/>
        <v>16588.27653984099</v>
      </c>
      <c r="U31" s="475">
        <f t="shared" si="0"/>
        <v>20476.7978363478</v>
      </c>
      <c r="W31" s="475">
        <f t="shared" si="1"/>
        <v>-3888.5212965068094</v>
      </c>
      <c r="Y31" s="554">
        <f t="shared" si="6"/>
        <v>-12.729505779220439</v>
      </c>
      <c r="Z31" s="516"/>
      <c r="AB31" s="544">
        <f>+IF(AB30&gt;$G$13+$G$14,XX,AB30+1)</f>
        <v>2009</v>
      </c>
      <c r="AC31" s="503"/>
      <c r="AD31" s="488">
        <f t="shared" si="2"/>
        <v>305473.07679881854</v>
      </c>
      <c r="AF31" s="555">
        <f t="shared" si="14"/>
        <v>59.152190165471872</v>
      </c>
      <c r="AH31" s="555">
        <f t="shared" si="15"/>
        <v>8.3395054691844503</v>
      </c>
      <c r="AJ31" s="555">
        <f t="shared" si="16"/>
        <v>2.3442812148393659</v>
      </c>
      <c r="AL31" s="558">
        <f t="shared" si="7"/>
        <v>5549.7092723605238</v>
      </c>
      <c r="AN31" s="555">
        <v>7.7758276535043622</v>
      </c>
      <c r="AP31" s="555">
        <f t="shared" si="8"/>
        <v>56.499329593768707</v>
      </c>
      <c r="AR31" s="555">
        <f t="shared" si="17"/>
        <v>2.4266174392236017</v>
      </c>
      <c r="AS31" s="555"/>
      <c r="AT31" s="558">
        <f t="shared" si="3"/>
        <v>2476.5074928954223</v>
      </c>
      <c r="AV31" s="558">
        <f t="shared" si="4"/>
        <v>18000.290343452376</v>
      </c>
      <c r="AW31" s="560"/>
      <c r="AX31" s="561">
        <f t="shared" si="9"/>
        <v>20476.7978363478</v>
      </c>
      <c r="AZ31" s="544">
        <f>+IF(AZ30&gt;$G$13+$G$14,XX,AZ30+1)</f>
        <v>2009</v>
      </c>
      <c r="BA31" s="503"/>
      <c r="BB31" s="555">
        <f t="shared" si="18"/>
        <v>39.858132276736185</v>
      </c>
      <c r="BD31" s="555">
        <f t="shared" si="19"/>
        <v>6.0601578232499982</v>
      </c>
      <c r="BF31" s="558">
        <f t="shared" si="10"/>
        <v>3073.2017794651015</v>
      </c>
      <c r="BH31" s="563"/>
    </row>
    <row r="32" spans="1:64" ht="12">
      <c r="B32" s="526"/>
      <c r="C32">
        <f>+IF(C31&gt;$G$13+$G$14,XX,C31+1)</f>
        <v>2010</v>
      </c>
      <c r="E32" s="549">
        <v>1.9E-2</v>
      </c>
      <c r="G32" s="475">
        <v>305473.07679881854</v>
      </c>
      <c r="I32" s="553">
        <f t="shared" si="11"/>
        <v>201.40688390711551</v>
      </c>
      <c r="K32" s="553">
        <f t="shared" si="12"/>
        <v>13.564298924713793</v>
      </c>
      <c r="M32" s="553">
        <f t="shared" si="13"/>
        <v>3.2455781027774555</v>
      </c>
      <c r="O32" s="552">
        <v>5.3750965040999983</v>
      </c>
      <c r="Q32" s="553">
        <v>-33.144578630136984</v>
      </c>
      <c r="S32" s="475">
        <f t="shared" si="5"/>
        <v>16893.527542712323</v>
      </c>
      <c r="U32" s="475">
        <f t="shared" si="0"/>
        <v>19875.654862083324</v>
      </c>
      <c r="W32" s="475">
        <f t="shared" si="1"/>
        <v>-2982.1273193710003</v>
      </c>
      <c r="Y32" s="554">
        <f t="shared" si="6"/>
        <v>-9.7623245577710893</v>
      </c>
      <c r="Z32" s="516"/>
      <c r="AB32" s="544">
        <f>+IF(AB31&gt;$G$13+$G$14,XX,AB31+1)</f>
        <v>2010</v>
      </c>
      <c r="AC32" s="503"/>
      <c r="AD32" s="488">
        <f t="shared" si="2"/>
        <v>305473.07679881854</v>
      </c>
      <c r="AF32" s="555">
        <f t="shared" si="14"/>
        <v>60.276081778615833</v>
      </c>
      <c r="AH32" s="555">
        <f t="shared" si="15"/>
        <v>8.4979560730989547</v>
      </c>
      <c r="AJ32" s="555">
        <f t="shared" si="16"/>
        <v>2.3888225579213138</v>
      </c>
      <c r="AL32" s="558">
        <f t="shared" si="7"/>
        <v>5655.1537485353738</v>
      </c>
      <c r="AN32" s="555">
        <v>7.4774457529777205</v>
      </c>
      <c r="AP32" s="555">
        <f t="shared" si="8"/>
        <v>54.331280339864243</v>
      </c>
      <c r="AR32" s="555">
        <f t="shared" si="17"/>
        <v>2.4727231705688499</v>
      </c>
      <c r="AS32" s="555"/>
      <c r="AT32" s="558">
        <f t="shared" si="3"/>
        <v>2523.5611352604351</v>
      </c>
      <c r="AV32" s="558">
        <f t="shared" si="4"/>
        <v>17352.093726822888</v>
      </c>
      <c r="AW32" s="560"/>
      <c r="AX32" s="561">
        <f t="shared" si="9"/>
        <v>19875.654862083324</v>
      </c>
      <c r="AZ32" s="544">
        <f>+IF(AZ31&gt;$G$13+$G$14,XX,AZ31+1)</f>
        <v>2010</v>
      </c>
      <c r="BA32" s="503"/>
      <c r="BB32" s="555">
        <f t="shared" si="18"/>
        <v>40.61543678999417</v>
      </c>
      <c r="BD32" s="555">
        <f t="shared" si="19"/>
        <v>6.1753008218917476</v>
      </c>
      <c r="BF32" s="558">
        <f t="shared" si="10"/>
        <v>3131.5926132749387</v>
      </c>
      <c r="BH32" s="563"/>
    </row>
    <row r="33" spans="2:60" ht="12">
      <c r="B33" s="526"/>
      <c r="C33">
        <f>+IF(C32&gt;$G$13+$G$14,XX,C32+1)</f>
        <v>2011</v>
      </c>
      <c r="E33" s="549">
        <v>1.9E-2</v>
      </c>
      <c r="G33" s="475">
        <v>305473.07679881854</v>
      </c>
      <c r="I33" s="553">
        <f t="shared" si="11"/>
        <v>205.23361470135069</v>
      </c>
      <c r="K33" s="553">
        <f t="shared" si="12"/>
        <v>13.822020604283354</v>
      </c>
      <c r="M33" s="553">
        <f t="shared" si="13"/>
        <v>3.3072440867302269</v>
      </c>
      <c r="O33" s="552">
        <v>5.4772233376778976</v>
      </c>
      <c r="Q33" s="553">
        <v>-33.807470202739722</v>
      </c>
      <c r="S33" s="475">
        <f t="shared" si="5"/>
        <v>17204.379789610506</v>
      </c>
      <c r="U33" s="475">
        <f t="shared" si="0"/>
        <v>19060.551893977183</v>
      </c>
      <c r="W33" s="475">
        <f t="shared" si="1"/>
        <v>-1856.1721043666766</v>
      </c>
      <c r="Y33" s="554">
        <f t="shared" si="6"/>
        <v>-6.076385270408406</v>
      </c>
      <c r="Z33" s="516"/>
      <c r="AB33" s="544">
        <f>+IF(AB32&gt;$G$13+$G$14,XX,AB32+1)</f>
        <v>2011</v>
      </c>
      <c r="AC33" s="503"/>
      <c r="AD33" s="488">
        <f t="shared" si="2"/>
        <v>305473.07679881854</v>
      </c>
      <c r="AF33" s="555">
        <f t="shared" si="14"/>
        <v>61.421327332409525</v>
      </c>
      <c r="AH33" s="555">
        <f t="shared" si="15"/>
        <v>8.6594172384878334</v>
      </c>
      <c r="AJ33" s="555">
        <f t="shared" si="16"/>
        <v>2.4342101865218186</v>
      </c>
      <c r="AL33" s="558">
        <f t="shared" si="7"/>
        <v>5762.6016697575469</v>
      </c>
      <c r="AN33" s="555">
        <v>7.0821436233211914</v>
      </c>
      <c r="AP33" s="555">
        <f t="shared" si="8"/>
        <v>51.459006633731178</v>
      </c>
      <c r="AR33" s="555">
        <f t="shared" si="17"/>
        <v>2.5197049108096579</v>
      </c>
      <c r="AS33" s="555"/>
      <c r="AT33" s="558">
        <f t="shared" si="3"/>
        <v>2571.5087968303851</v>
      </c>
      <c r="AV33" s="558">
        <f t="shared" si="4"/>
        <v>16489.043097146798</v>
      </c>
      <c r="AW33" s="560"/>
      <c r="AX33" s="561">
        <f t="shared" si="9"/>
        <v>19060.551893977183</v>
      </c>
      <c r="AZ33" s="544">
        <f>+IF(AZ32&gt;$G$13+$G$14,XX,AZ32+1)</f>
        <v>2011</v>
      </c>
      <c r="BA33" s="503"/>
      <c r="BB33" s="555">
        <f t="shared" si="18"/>
        <v>41.387130089004053</v>
      </c>
      <c r="BD33" s="555">
        <f t="shared" si="19"/>
        <v>6.29263153750769</v>
      </c>
      <c r="BF33" s="558">
        <f t="shared" si="10"/>
        <v>3191.0928729271618</v>
      </c>
      <c r="BH33" s="563"/>
    </row>
    <row r="34" spans="2:60" ht="12">
      <c r="B34" s="526"/>
      <c r="C34">
        <f>+IF(C33&gt;$G$13+$G$14,XX,C33+1)</f>
        <v>2012</v>
      </c>
      <c r="E34" s="549">
        <v>0.02</v>
      </c>
      <c r="G34" s="475">
        <v>306096.90139893163</v>
      </c>
      <c r="I34" s="553">
        <f t="shared" si="11"/>
        <v>209.3382869953777</v>
      </c>
      <c r="K34" s="553">
        <f t="shared" si="12"/>
        <v>14.098461016369022</v>
      </c>
      <c r="M34" s="553">
        <f t="shared" si="13"/>
        <v>3.3733889684648313</v>
      </c>
      <c r="O34" s="552">
        <v>5.5867678044314557</v>
      </c>
      <c r="Q34" s="553">
        <v>-34.48361960679452</v>
      </c>
      <c r="S34" s="475">
        <f t="shared" si="5"/>
        <v>17541.340188212605</v>
      </c>
      <c r="U34" s="475">
        <f t="shared" si="0"/>
        <v>18318.194854876459</v>
      </c>
      <c r="W34" s="475">
        <f t="shared" si="1"/>
        <v>-776.854666663854</v>
      </c>
      <c r="Y34" s="554">
        <f t="shared" si="6"/>
        <v>-2.5379370490633968</v>
      </c>
      <c r="Z34" s="516"/>
      <c r="AB34" s="544">
        <f>+IF(AB33&gt;$G$13+$G$14,XX,AB33+1)</f>
        <v>2012</v>
      </c>
      <c r="AC34" s="503"/>
      <c r="AD34" s="488">
        <f t="shared" si="2"/>
        <v>306096.90139893163</v>
      </c>
      <c r="AF34" s="555">
        <f t="shared" si="14"/>
        <v>62.64975387905772</v>
      </c>
      <c r="AH34" s="555">
        <f t="shared" si="15"/>
        <v>8.8326055832575907</v>
      </c>
      <c r="AJ34" s="555">
        <f t="shared" si="16"/>
        <v>2.4828943902522549</v>
      </c>
      <c r="AL34" s="558">
        <f t="shared" si="7"/>
        <v>5879.4025937528195</v>
      </c>
      <c r="AN34" s="555">
        <v>6.7024699037828679</v>
      </c>
      <c r="AP34" s="555">
        <f t="shared" si="8"/>
        <v>48.700289288881038</v>
      </c>
      <c r="AR34" s="555">
        <f t="shared" si="17"/>
        <v>2.5700990090258511</v>
      </c>
      <c r="AS34" s="555"/>
      <c r="AT34" s="558">
        <f t="shared" si="3"/>
        <v>2624.4878633671146</v>
      </c>
      <c r="AV34" s="558">
        <f t="shared" si="4"/>
        <v>15693.706991509345</v>
      </c>
      <c r="AW34" s="560"/>
      <c r="AX34" s="561">
        <f t="shared" si="9"/>
        <v>18318.194854876459</v>
      </c>
      <c r="AZ34" s="544">
        <f>+IF(AZ33&gt;$G$13+$G$14,XX,AZ33+1)</f>
        <v>2012</v>
      </c>
      <c r="BA34" s="503"/>
      <c r="BB34" s="555">
        <f t="shared" si="18"/>
        <v>42.214872690784134</v>
      </c>
      <c r="BD34" s="555">
        <f t="shared" si="19"/>
        <v>6.4184841682578435</v>
      </c>
      <c r="BF34" s="558">
        <f t="shared" si="10"/>
        <v>3254.9147303857048</v>
      </c>
      <c r="BH34" s="563"/>
    </row>
    <row r="35" spans="2:60" ht="12">
      <c r="B35" s="526"/>
      <c r="C35">
        <f>+IF(C34&gt;$G$13+$G$14,XX,C34+1)</f>
        <v>2013</v>
      </c>
      <c r="E35" s="549">
        <v>1.9E-2</v>
      </c>
      <c r="G35" s="475">
        <v>305473.07679881854</v>
      </c>
      <c r="I35" s="553">
        <f t="shared" si="11"/>
        <v>213.31571444828987</v>
      </c>
      <c r="K35" s="553">
        <f t="shared" si="12"/>
        <v>14.366331775680033</v>
      </c>
      <c r="M35" s="553">
        <f t="shared" si="13"/>
        <v>3.4374833588656628</v>
      </c>
      <c r="O35" s="552">
        <v>5.6929163927156532</v>
      </c>
      <c r="Q35" s="553">
        <v>-35.173291998930409</v>
      </c>
      <c r="S35" s="475">
        <f t="shared" si="5"/>
        <v>17871.354448344919</v>
      </c>
      <c r="U35" s="475">
        <f t="shared" si="0"/>
        <v>18342.811616613639</v>
      </c>
      <c r="W35" s="475">
        <f t="shared" si="1"/>
        <v>-471.45716826872012</v>
      </c>
      <c r="Y35" s="554">
        <f t="shared" si="6"/>
        <v>-1.5433673343959444</v>
      </c>
      <c r="Z35" s="516"/>
      <c r="AB35" s="544">
        <f>+IF(AB34&gt;$G$13+$G$14,XX,AB34+1)</f>
        <v>2013</v>
      </c>
      <c r="AC35" s="503"/>
      <c r="AD35" s="488">
        <f t="shared" si="2"/>
        <v>305473.07679881854</v>
      </c>
      <c r="AF35" s="555">
        <f t="shared" si="14"/>
        <v>63.840099202759809</v>
      </c>
      <c r="AH35" s="555">
        <f t="shared" si="15"/>
        <v>9.0004250893394833</v>
      </c>
      <c r="AJ35" s="555">
        <f t="shared" si="16"/>
        <v>2.5300693836670476</v>
      </c>
      <c r="AL35" s="558">
        <f t="shared" si="7"/>
        <v>5989.5329235125964</v>
      </c>
      <c r="AN35" s="555">
        <v>6.6994948806584134</v>
      </c>
      <c r="AP35" s="555">
        <f t="shared" si="8"/>
        <v>48.678672707399592</v>
      </c>
      <c r="AR35" s="555">
        <f t="shared" si="17"/>
        <v>2.6189308901973418</v>
      </c>
      <c r="AS35" s="555"/>
      <c r="AT35" s="558">
        <f t="shared" si="3"/>
        <v>2672.7748132495635</v>
      </c>
      <c r="AV35" s="558">
        <f t="shared" si="4"/>
        <v>15670.036803364077</v>
      </c>
      <c r="AW35" s="560"/>
      <c r="AX35" s="561">
        <f t="shared" si="9"/>
        <v>18342.811616613639</v>
      </c>
      <c r="AZ35" s="544">
        <f>+IF(AZ34&gt;$G$13+$G$14,XX,AZ34+1)</f>
        <v>2013</v>
      </c>
      <c r="BA35" s="503"/>
      <c r="BB35" s="555">
        <f t="shared" si="18"/>
        <v>43.016955271909026</v>
      </c>
      <c r="BD35" s="555">
        <f t="shared" si="19"/>
        <v>6.5404353674547417</v>
      </c>
      <c r="BF35" s="558">
        <f t="shared" si="10"/>
        <v>3316.7581102630329</v>
      </c>
      <c r="BH35" s="563"/>
    </row>
    <row r="36" spans="2:60" ht="12">
      <c r="B36" s="526"/>
      <c r="C36">
        <f>+IF(C35&gt;$G$13+$G$14,XX,C35+1)</f>
        <v>2014</v>
      </c>
      <c r="E36" s="549">
        <v>1.7999999999999999E-2</v>
      </c>
      <c r="G36" s="475">
        <v>305473.07679881854</v>
      </c>
      <c r="I36" s="553">
        <f t="shared" si="11"/>
        <v>217.15539730835908</v>
      </c>
      <c r="K36" s="553">
        <f t="shared" si="12"/>
        <v>14.624925747642274</v>
      </c>
      <c r="M36" s="553">
        <f t="shared" si="13"/>
        <v>3.4993580593252447</v>
      </c>
      <c r="O36" s="552">
        <v>5.7953888877845348</v>
      </c>
      <c r="Q36" s="553">
        <v>-35.876757838909015</v>
      </c>
      <c r="S36" s="475">
        <f t="shared" si="5"/>
        <v>18171.549840959015</v>
      </c>
      <c r="U36" s="475">
        <f t="shared" si="0"/>
        <v>18881.450804220665</v>
      </c>
      <c r="W36" s="475">
        <f t="shared" si="1"/>
        <v>-709.90096326165076</v>
      </c>
      <c r="Y36" s="554">
        <f t="shared" si="6"/>
        <v>-2.3239395455108611</v>
      </c>
      <c r="Z36" s="516"/>
      <c r="AB36" s="544">
        <f>+IF(AB35&gt;$G$13+$G$14,XX,AB35+1)</f>
        <v>2014</v>
      </c>
      <c r="AC36" s="503"/>
      <c r="AD36" s="488">
        <f t="shared" si="2"/>
        <v>305473.07679881854</v>
      </c>
      <c r="AF36" s="555">
        <f t="shared" si="14"/>
        <v>64.989220988409485</v>
      </c>
      <c r="AH36" s="555">
        <f t="shared" si="15"/>
        <v>9.1624327409475939</v>
      </c>
      <c r="AJ36" s="555">
        <f t="shared" si="16"/>
        <v>2.5756106325730546</v>
      </c>
      <c r="AL36" s="558">
        <f t="shared" si="7"/>
        <v>6097.3445161358241</v>
      </c>
      <c r="AN36" s="555">
        <v>6.9140085811973453</v>
      </c>
      <c r="AP36" s="555">
        <f t="shared" si="8"/>
        <v>50.2373338312307</v>
      </c>
      <c r="AR36" s="555">
        <f t="shared" si="17"/>
        <v>2.6660716462208942</v>
      </c>
      <c r="AS36" s="555"/>
      <c r="AT36" s="558">
        <f t="shared" si="3"/>
        <v>2720.8847598880566</v>
      </c>
      <c r="AV36" s="558">
        <f t="shared" si="4"/>
        <v>16160.566044332609</v>
      </c>
      <c r="AW36" s="560"/>
      <c r="AX36" s="561">
        <f t="shared" si="9"/>
        <v>18881.450804220665</v>
      </c>
      <c r="AZ36" s="544">
        <f>+IF(AZ35&gt;$G$13+$G$14,XX,AZ35+1)</f>
        <v>2014</v>
      </c>
      <c r="BA36" s="503"/>
      <c r="BB36" s="555">
        <f t="shared" si="18"/>
        <v>43.791260466803386</v>
      </c>
      <c r="BD36" s="555">
        <f t="shared" si="19"/>
        <v>6.6581632040689271</v>
      </c>
      <c r="BF36" s="558">
        <f t="shared" si="10"/>
        <v>3376.4597562477675</v>
      </c>
      <c r="BH36" s="563"/>
    </row>
    <row r="37" spans="2:60" ht="12">
      <c r="B37" s="526"/>
      <c r="C37">
        <f>+IF(C36&gt;$G$13+$G$14,XX,C36+1)</f>
        <v>2015</v>
      </c>
      <c r="E37" s="549">
        <v>1.7999999999999999E-2</v>
      </c>
      <c r="G37" s="475">
        <v>305473.07679881854</v>
      </c>
      <c r="I37" s="553">
        <f t="shared" si="11"/>
        <v>221.06419445990954</v>
      </c>
      <c r="K37" s="553">
        <f t="shared" si="12"/>
        <v>14.888174411099836</v>
      </c>
      <c r="M37" s="553">
        <f t="shared" si="13"/>
        <v>3.5623465043930991</v>
      </c>
      <c r="O37" s="552">
        <v>5.8997058877646564</v>
      </c>
      <c r="Q37" s="553">
        <v>-36.594292995687191</v>
      </c>
      <c r="S37" s="475">
        <f t="shared" si="5"/>
        <v>18476.718970891045</v>
      </c>
      <c r="U37" s="475">
        <f t="shared" si="0"/>
        <v>19838.226285512537</v>
      </c>
      <c r="W37" s="475">
        <f t="shared" si="1"/>
        <v>-1361.5073146214927</v>
      </c>
      <c r="Y37" s="554">
        <f t="shared" si="6"/>
        <v>-4.4570452129179543</v>
      </c>
      <c r="Z37" s="516"/>
      <c r="AB37" s="544">
        <f>+IF(AB36&gt;$G$13+$G$14,XX,AB36+1)</f>
        <v>2015</v>
      </c>
      <c r="AC37" s="503"/>
      <c r="AD37" s="488">
        <f t="shared" si="2"/>
        <v>305473.07679881854</v>
      </c>
      <c r="AF37" s="555">
        <f t="shared" si="14"/>
        <v>66.159026966200855</v>
      </c>
      <c r="AH37" s="555">
        <f t="shared" si="15"/>
        <v>9.3273565302846499</v>
      </c>
      <c r="AJ37" s="555">
        <f t="shared" si="16"/>
        <v>2.6219716239593698</v>
      </c>
      <c r="AL37" s="558">
        <f t="shared" si="7"/>
        <v>6207.0967174262696</v>
      </c>
      <c r="AN37" s="555">
        <v>7.3164011858738007</v>
      </c>
      <c r="AP37" s="555">
        <f t="shared" si="8"/>
        <v>53.161127080102943</v>
      </c>
      <c r="AR37" s="555">
        <f t="shared" si="17"/>
        <v>2.7140609358528702</v>
      </c>
      <c r="AS37" s="555"/>
      <c r="AT37" s="558">
        <f t="shared" si="3"/>
        <v>2769.8606855660423</v>
      </c>
      <c r="AV37" s="558">
        <f t="shared" si="4"/>
        <v>17068.365599946494</v>
      </c>
      <c r="AW37" s="560"/>
      <c r="AX37" s="561">
        <f t="shared" si="9"/>
        <v>19838.226285512537</v>
      </c>
      <c r="AZ37" s="544">
        <f>+IF(AZ36&gt;$G$13+$G$14,XX,AZ36+1)</f>
        <v>2015</v>
      </c>
      <c r="BA37" s="503"/>
      <c r="BB37" s="555">
        <f t="shared" si="18"/>
        <v>44.579503155205849</v>
      </c>
      <c r="BD37" s="555">
        <f t="shared" si="19"/>
        <v>6.7780101417421683</v>
      </c>
      <c r="BF37" s="558">
        <f>(BB37+BD37)*$BD$11</f>
        <v>3437.2360318602273</v>
      </c>
      <c r="BH37" s="563"/>
    </row>
    <row r="38" spans="2:60" ht="12">
      <c r="B38" s="526"/>
      <c r="C38">
        <f>+IF(C37&gt;$G$13+$G$14,XX,C37+1)</f>
        <v>2016</v>
      </c>
      <c r="E38" s="549">
        <v>1.7999999999999999E-2</v>
      </c>
      <c r="G38" s="475">
        <v>306096.90139893163</v>
      </c>
      <c r="I38" s="553">
        <f t="shared" si="11"/>
        <v>225.04334996018792</v>
      </c>
      <c r="K38" s="553">
        <f t="shared" si="12"/>
        <v>15.156161550499634</v>
      </c>
      <c r="M38" s="553">
        <f t="shared" si="13"/>
        <v>3.6264687414721748</v>
      </c>
      <c r="O38" s="552">
        <v>6.0059005937444203</v>
      </c>
      <c r="Q38" s="553">
        <v>0</v>
      </c>
      <c r="S38" s="475">
        <f t="shared" si="5"/>
        <v>30204.549165348344</v>
      </c>
      <c r="U38" s="475">
        <f t="shared" si="0"/>
        <v>21284.657849604559</v>
      </c>
      <c r="W38" s="475">
        <f t="shared" si="1"/>
        <v>8919.8913157437855</v>
      </c>
      <c r="Y38" s="554">
        <f t="shared" si="6"/>
        <v>29.140743584720646</v>
      </c>
      <c r="Z38" s="516"/>
      <c r="AB38" s="544">
        <f>+IF(AB37&gt;$G$13+$G$14,XX,AB37+1)</f>
        <v>2016</v>
      </c>
      <c r="AC38" s="503"/>
      <c r="AD38" s="488">
        <f t="shared" si="2"/>
        <v>306096.90139893163</v>
      </c>
      <c r="AF38" s="555">
        <f t="shared" si="14"/>
        <v>67.349889451592475</v>
      </c>
      <c r="AH38" s="555">
        <f t="shared" si="15"/>
        <v>9.4952489478297739</v>
      </c>
      <c r="AJ38" s="555">
        <f t="shared" si="16"/>
        <v>2.6691671131906385</v>
      </c>
      <c r="AL38" s="558">
        <f t="shared" si="7"/>
        <v>6320.4895504469632</v>
      </c>
      <c r="AN38" s="555">
        <v>7.9211828417083421</v>
      </c>
      <c r="AP38" s="555">
        <f t="shared" si="8"/>
        <v>57.555483491778489</v>
      </c>
      <c r="AR38" s="555">
        <f t="shared" si="17"/>
        <v>2.7629140326982218</v>
      </c>
      <c r="AS38" s="555"/>
      <c r="AT38" s="558">
        <f t="shared" si="3"/>
        <v>2821.3832700132511</v>
      </c>
      <c r="AV38" s="558">
        <f t="shared" si="4"/>
        <v>18463.274579591307</v>
      </c>
      <c r="AW38" s="560"/>
      <c r="AX38" s="561">
        <f t="shared" si="9"/>
        <v>21284.657849604559</v>
      </c>
      <c r="AZ38" s="544">
        <f>+IF(AZ37&gt;$G$13+$G$14,XX,AZ37+1)</f>
        <v>2016</v>
      </c>
      <c r="BA38" s="503"/>
      <c r="BB38" s="555">
        <f t="shared" si="18"/>
        <v>45.381934211999557</v>
      </c>
      <c r="BD38" s="555">
        <f t="shared" si="19"/>
        <v>6.9000143242935277</v>
      </c>
      <c r="BF38" s="558">
        <f t="shared" si="10"/>
        <v>3499.1062804337121</v>
      </c>
      <c r="BH38" s="563"/>
    </row>
    <row r="39" spans="2:60" ht="12">
      <c r="B39" s="526"/>
      <c r="C39">
        <f>+IF(C38&gt;$G$13+$G$14,XX,C38+1)</f>
        <v>2017</v>
      </c>
      <c r="E39" s="549">
        <v>1.7999999999999999E-2</v>
      </c>
      <c r="G39" s="475">
        <v>305473.07679881854</v>
      </c>
      <c r="I39" s="553">
        <f t="shared" si="11"/>
        <v>229.09413025947131</v>
      </c>
      <c r="K39" s="553">
        <f t="shared" si="12"/>
        <v>15.428972458408628</v>
      </c>
      <c r="M39" s="553">
        <f t="shared" si="13"/>
        <v>3.6917451788186741</v>
      </c>
      <c r="O39" s="552">
        <v>6.1140068044318197</v>
      </c>
      <c r="Q39" s="553">
        <v>0</v>
      </c>
      <c r="S39" s="475">
        <f t="shared" si="5"/>
        <v>30732.489008440829</v>
      </c>
      <c r="U39" s="475">
        <f t="shared" si="0"/>
        <v>22699.814172911068</v>
      </c>
      <c r="W39" s="475">
        <f t="shared" si="1"/>
        <v>8032.6748355297605</v>
      </c>
      <c r="Y39" s="554">
        <f t="shared" si="6"/>
        <v>26.295852059067052</v>
      </c>
      <c r="Z39" s="516"/>
      <c r="AB39" s="544">
        <f>+IF(AB38&gt;$G$13+$G$14,XX,AB38+1)</f>
        <v>2017</v>
      </c>
      <c r="AC39" s="503"/>
      <c r="AD39" s="488">
        <f t="shared" si="2"/>
        <v>305473.07679881854</v>
      </c>
      <c r="AF39" s="555">
        <f t="shared" si="14"/>
        <v>68.562187461721138</v>
      </c>
      <c r="AH39" s="555">
        <f t="shared" si="15"/>
        <v>9.6661634288907106</v>
      </c>
      <c r="AJ39" s="555">
        <f t="shared" si="16"/>
        <v>2.7172121212280702</v>
      </c>
      <c r="AL39" s="558">
        <f t="shared" si="7"/>
        <v>6432.5632985900611</v>
      </c>
      <c r="AN39" s="555">
        <v>8.5467545643478058</v>
      </c>
      <c r="AP39" s="555">
        <f t="shared" si="8"/>
        <v>62.100900972324112</v>
      </c>
      <c r="AR39" s="555">
        <f t="shared" si="17"/>
        <v>2.8126464852867898</v>
      </c>
      <c r="AS39" s="555"/>
      <c r="AT39" s="558">
        <f t="shared" si="3"/>
        <v>2870.4731051085428</v>
      </c>
      <c r="AV39" s="558">
        <f t="shared" si="4"/>
        <v>19829.341067802525</v>
      </c>
      <c r="AW39" s="560"/>
      <c r="AX39" s="561">
        <f t="shared" si="9"/>
        <v>22699.814172911068</v>
      </c>
      <c r="AZ39" s="544">
        <f>+IF(AZ38&gt;$G$13+$G$14,XX,AZ38+1)</f>
        <v>2017</v>
      </c>
      <c r="BA39" s="503"/>
      <c r="BB39" s="555">
        <f t="shared" si="18"/>
        <v>46.19880902781555</v>
      </c>
      <c r="BD39" s="555">
        <f t="shared" si="19"/>
        <v>7.0242145821308108</v>
      </c>
      <c r="BF39" s="558">
        <f t="shared" si="10"/>
        <v>3562.0901934815183</v>
      </c>
      <c r="BH39" s="563"/>
    </row>
    <row r="40" spans="2:60" ht="12">
      <c r="B40" s="526"/>
      <c r="C40">
        <f>+IF(C39&gt;$G$13+$G$14,XX,C39+1)</f>
        <v>2018</v>
      </c>
      <c r="E40" s="549">
        <v>1.7999999999999999E-2</v>
      </c>
      <c r="G40" s="475">
        <v>305473.07679881854</v>
      </c>
      <c r="I40" s="553">
        <f t="shared" si="11"/>
        <v>233.21782460414181</v>
      </c>
      <c r="K40" s="553">
        <f t="shared" si="12"/>
        <v>15.706693962659983</v>
      </c>
      <c r="M40" s="553">
        <f t="shared" si="13"/>
        <v>3.7581965920374105</v>
      </c>
      <c r="O40" s="552">
        <v>6.2240589269115922</v>
      </c>
      <c r="Q40" s="553">
        <v>0</v>
      </c>
      <c r="S40" s="475">
        <f>(I40*$G$11*1000+(K40+M40+O40+Q40)*G40)/1000</f>
        <v>31285.673810592762</v>
      </c>
      <c r="U40" s="475">
        <f t="shared" si="0"/>
        <v>24010.784566859322</v>
      </c>
      <c r="W40" s="475">
        <f t="shared" si="1"/>
        <v>7274.8892437334398</v>
      </c>
      <c r="Y40" s="554">
        <f t="shared" si="6"/>
        <v>23.815156870680973</v>
      </c>
      <c r="Z40" s="516"/>
      <c r="AB40" s="544">
        <f>+IF(AB39&gt;$G$13+$G$14,XX,AB39+1)</f>
        <v>2018</v>
      </c>
      <c r="AC40" s="503"/>
      <c r="AD40" s="488">
        <f t="shared" si="2"/>
        <v>305473.07679881854</v>
      </c>
      <c r="AF40" s="555">
        <f t="shared" si="14"/>
        <v>69.796306836032116</v>
      </c>
      <c r="AH40" s="555">
        <f t="shared" si="15"/>
        <v>9.8401543706107439</v>
      </c>
      <c r="AJ40" s="555">
        <f t="shared" si="16"/>
        <v>2.7661219394101755</v>
      </c>
      <c r="AL40" s="558">
        <f t="shared" si="7"/>
        <v>6548.3494379646818</v>
      </c>
      <c r="AN40" s="555">
        <v>9.1071488375904099</v>
      </c>
      <c r="AP40" s="555">
        <f t="shared" si="8"/>
        <v>66.172737715275218</v>
      </c>
      <c r="AR40" s="555">
        <f t="shared" si="17"/>
        <v>2.8632741220219522</v>
      </c>
      <c r="AS40" s="555"/>
      <c r="AT40" s="558">
        <f t="shared" si="3"/>
        <v>2922.1416210004959</v>
      </c>
      <c r="AV40" s="558">
        <f t="shared" si="4"/>
        <v>21088.642945858825</v>
      </c>
      <c r="AW40" s="560"/>
      <c r="AX40" s="561">
        <f t="shared" si="9"/>
        <v>24010.784566859322</v>
      </c>
      <c r="AZ40" s="544">
        <f>+IF(AZ39&gt;$G$13+$G$14,XX,AZ39+1)</f>
        <v>2018</v>
      </c>
      <c r="BA40" s="503"/>
      <c r="BB40" s="555">
        <f t="shared" si="18"/>
        <v>47.030387590316231</v>
      </c>
      <c r="BD40" s="555">
        <f t="shared" si="19"/>
        <v>7.1506504446091652</v>
      </c>
      <c r="BF40" s="558">
        <f t="shared" si="10"/>
        <v>3626.2078169641859</v>
      </c>
      <c r="BH40" s="563"/>
    </row>
    <row r="41" spans="2:60" ht="12">
      <c r="B41" s="526"/>
      <c r="C41" s="610">
        <f>+IF(C40&gt;$G$13+$G$14,XX,C40+1)</f>
        <v>2019</v>
      </c>
      <c r="E41" s="399">
        <v>2.3E-2</v>
      </c>
      <c r="G41" s="611">
        <f>G40</f>
        <v>305473.07679881854</v>
      </c>
      <c r="I41" s="612">
        <v>243.60175692578935</v>
      </c>
      <c r="K41" s="613">
        <v>1.6105570387117911</v>
      </c>
      <c r="M41" s="553">
        <f>M40*(1+$E41)</f>
        <v>3.8446351136542707</v>
      </c>
      <c r="O41" s="613">
        <v>0.60999999999999988</v>
      </c>
      <c r="Q41" s="613">
        <v>-4.5124346875317691</v>
      </c>
      <c r="S41" s="613">
        <f>(I41*$I$11*1000+(K41*I11+M41+O41+Q41)*G41)/1000</f>
        <v>73908.49266188794</v>
      </c>
      <c r="U41" s="475">
        <f>AX41</f>
        <v>9535.9591644431966</v>
      </c>
      <c r="W41" s="475">
        <f t="shared" si="1"/>
        <v>64372.533497444747</v>
      </c>
      <c r="Y41" s="554">
        <f t="shared" si="6"/>
        <v>210.73062861065117</v>
      </c>
      <c r="Z41" s="516"/>
      <c r="AB41" s="429">
        <f>+IF(AB40&gt;$G$13+$G$14,XX,AB40+1)</f>
        <v>2019</v>
      </c>
      <c r="AC41" s="503"/>
      <c r="AD41" s="488">
        <f t="shared" si="2"/>
        <v>305473.07679881854</v>
      </c>
      <c r="AF41" s="445">
        <f>AR15*AR16*(1+E41)</f>
        <v>101.14988775589339</v>
      </c>
      <c r="AH41" s="445">
        <f>AV11*(1+E41)</f>
        <v>20.260761973544962</v>
      </c>
      <c r="AJ41" s="445">
        <f>AV13*(1+E41)</f>
        <v>2.0676516575367789</v>
      </c>
      <c r="AL41" s="460">
        <f>((AF41+AH41)*$AR$11*1000+AJ41*AD41)/1000</f>
        <v>5333.5064400380788</v>
      </c>
      <c r="AN41" s="445">
        <v>2.6163124999999998</v>
      </c>
      <c r="AP41" s="445">
        <f>AN41*$AR$14/1000</f>
        <v>16.783340028828679</v>
      </c>
      <c r="AR41" s="555">
        <f>AR40*(1+$E41)</f>
        <v>2.9291294268284567</v>
      </c>
      <c r="AS41" s="555"/>
      <c r="AT41" s="558">
        <f>AL41-BF41</f>
        <v>3514.3304685208795</v>
      </c>
      <c r="AV41" s="558">
        <f>(AP41+AR41)*AD41/1000</f>
        <v>6021.6286959223171</v>
      </c>
      <c r="AW41" s="560"/>
      <c r="AX41" s="561">
        <f>AT41+AV41</f>
        <v>9535.9591644431966</v>
      </c>
      <c r="AZ41" s="429">
        <f>+IF(AZ40&gt;$G$13+$G$14,XX,AZ40+1)</f>
        <v>2019</v>
      </c>
      <c r="BA41" s="503"/>
      <c r="BB41" s="445">
        <f>BK14*BK15</f>
        <v>51.737400000000001</v>
      </c>
      <c r="BD41" s="445">
        <f>BI16</f>
        <v>15.97</v>
      </c>
      <c r="BF41" s="460">
        <f>(BB41+BD41)*$BK$11</f>
        <v>1819.1759715171991</v>
      </c>
      <c r="BH41" s="563"/>
    </row>
    <row r="42" spans="2:60" ht="12">
      <c r="B42" s="526"/>
      <c r="C42" s="614">
        <f>+IF(C41&gt;$I$13+$I$14,XX,C41+1)</f>
        <v>2020</v>
      </c>
      <c r="E42" s="400">
        <v>2.5999999999999999E-2</v>
      </c>
      <c r="G42" s="615">
        <v>238484</v>
      </c>
      <c r="I42" s="616">
        <v>317.33177722749872</v>
      </c>
      <c r="K42" s="616">
        <v>2.222548469383288</v>
      </c>
      <c r="M42" s="553">
        <f t="shared" si="13"/>
        <v>3.9445956266092819</v>
      </c>
      <c r="O42" s="616">
        <v>0.63</v>
      </c>
      <c r="Q42" s="616">
        <v>-40.290737965156566</v>
      </c>
      <c r="S42" s="616">
        <f t="shared" ref="S42:S71" si="20">(I42*$I$11*1000+(K42+M42+O42+Q42)*G42)/1000</f>
        <v>23904.157371069916</v>
      </c>
      <c r="U42" s="475">
        <f>AX42</f>
        <v>8302.356408193984</v>
      </c>
      <c r="W42" s="475">
        <f t="shared" si="1"/>
        <v>15601.800962875932</v>
      </c>
      <c r="Y42" s="554">
        <f t="shared" si="6"/>
        <v>65.420745051558725</v>
      </c>
      <c r="Z42" s="516"/>
      <c r="AB42" s="430">
        <f>+IF(AB41&gt;$I$13+$I$14,XX,AB41+1)</f>
        <v>2020</v>
      </c>
      <c r="AC42" s="503"/>
      <c r="AD42" s="488">
        <f t="shared" si="2"/>
        <v>238484</v>
      </c>
      <c r="AF42" s="555">
        <f t="shared" si="14"/>
        <v>103.77978483754661</v>
      </c>
      <c r="AH42" s="555">
        <f t="shared" si="15"/>
        <v>20.787541784857133</v>
      </c>
      <c r="AJ42" s="555">
        <f t="shared" si="16"/>
        <v>2.1214106006327351</v>
      </c>
      <c r="AL42" s="558">
        <f t="shared" ref="AL42:AL71" si="21">((AF42+AH42)*$AR$11*1000+AJ42*AD42)/1000</f>
        <v>5330.0662698314554</v>
      </c>
      <c r="AN42" s="555">
        <v>2.6944208333333339</v>
      </c>
      <c r="AP42" s="555">
        <f>AN42*$AR$14/1000</f>
        <v>17.28439589177259</v>
      </c>
      <c r="AR42" s="555">
        <f t="shared" si="17"/>
        <v>3.0052867919259967</v>
      </c>
      <c r="AS42" s="555"/>
      <c r="AT42" s="558">
        <f t="shared" si="3"/>
        <v>3463.5917230548093</v>
      </c>
      <c r="AV42" s="558">
        <f t="shared" si="4"/>
        <v>4838.7646851391737</v>
      </c>
      <c r="AW42" s="560"/>
      <c r="AX42" s="561">
        <f t="shared" si="9"/>
        <v>8302.356408193984</v>
      </c>
      <c r="AZ42" s="430">
        <f>+IF(AZ41&gt;$I$13+$I$14,XX,AZ41+1)</f>
        <v>2020</v>
      </c>
      <c r="BA42" s="503"/>
      <c r="BB42" s="555">
        <f t="shared" si="18"/>
        <v>53.082572400000004</v>
      </c>
      <c r="BD42" s="555">
        <f t="shared" si="19"/>
        <v>16.38522</v>
      </c>
      <c r="BF42" s="558">
        <f>(BB42+BD42)*$BK$11</f>
        <v>1866.4745467766463</v>
      </c>
      <c r="BH42" s="563"/>
    </row>
    <row r="43" spans="2:60" ht="12">
      <c r="B43" s="526"/>
      <c r="C43" s="614">
        <f>+IF(C42&gt;$I$13+$I$14,XX,C42+1)</f>
        <v>2021</v>
      </c>
      <c r="E43" s="400">
        <v>2.4E-2</v>
      </c>
      <c r="G43" s="615">
        <v>238444</v>
      </c>
      <c r="I43" s="616">
        <v>323.1193917659561</v>
      </c>
      <c r="K43" s="616">
        <v>2.2696713549636556</v>
      </c>
      <c r="M43" s="553">
        <f t="shared" si="13"/>
        <v>4.039265921647905</v>
      </c>
      <c r="O43" s="616">
        <v>0.6399999999999999</v>
      </c>
      <c r="Q43" s="616">
        <v>-41.902367483762823</v>
      </c>
      <c r="S43" s="616">
        <f t="shared" si="20"/>
        <v>24139.063160164609</v>
      </c>
      <c r="U43" s="475">
        <f t="shared" si="0"/>
        <v>8680.6904317816261</v>
      </c>
      <c r="W43" s="475">
        <f t="shared" si="1"/>
        <v>15458.372728382983</v>
      </c>
      <c r="Y43" s="554">
        <f t="shared" si="6"/>
        <v>64.830202179056641</v>
      </c>
      <c r="Z43" s="516"/>
      <c r="AB43" s="430">
        <f>+IF(AB42&gt;$I$13+$I$14,XX,AB42+1)</f>
        <v>2021</v>
      </c>
      <c r="AC43" s="503"/>
      <c r="AD43" s="488">
        <f t="shared" si="2"/>
        <v>238444</v>
      </c>
      <c r="AF43" s="555">
        <f t="shared" si="14"/>
        <v>106.27049967364773</v>
      </c>
      <c r="AH43" s="555">
        <f t="shared" si="15"/>
        <v>21.286442787693705</v>
      </c>
      <c r="AJ43" s="555">
        <f t="shared" si="16"/>
        <v>2.1723244550479208</v>
      </c>
      <c r="AL43" s="558">
        <f t="shared" si="21"/>
        <v>5457.9009673292076</v>
      </c>
      <c r="AN43" s="555">
        <v>2.8767624999999999</v>
      </c>
      <c r="AP43" s="555">
        <f t="shared" ref="AP43:AP71" si="22">AN43*$AR$14/1000</f>
        <v>18.45409645051318</v>
      </c>
      <c r="AR43" s="555">
        <f t="shared" si="17"/>
        <v>3.0774136749322207</v>
      </c>
      <c r="AS43" s="555"/>
      <c r="AT43" s="558">
        <f t="shared" si="3"/>
        <v>3546.6310314299217</v>
      </c>
      <c r="AV43" s="558">
        <f t="shared" si="4"/>
        <v>5134.0594003517035</v>
      </c>
      <c r="AW43" s="560"/>
      <c r="AX43" s="561">
        <f t="shared" si="9"/>
        <v>8680.6904317816261</v>
      </c>
      <c r="AZ43" s="430">
        <f>+IF(AZ42&gt;$I$13+$I$14,XX,AZ42+1)</f>
        <v>2021</v>
      </c>
      <c r="BA43" s="503"/>
      <c r="BB43" s="555">
        <f t="shared" si="18"/>
        <v>54.356554137600007</v>
      </c>
      <c r="BD43" s="555">
        <f t="shared" si="19"/>
        <v>16.778465279999999</v>
      </c>
      <c r="BF43" s="558">
        <f t="shared" ref="BF43:BF71" si="23">(BB43+BD43)*$BK$11</f>
        <v>1911.2699358992857</v>
      </c>
      <c r="BH43" s="563"/>
    </row>
    <row r="44" spans="2:60" ht="12">
      <c r="B44" s="526"/>
      <c r="C44" s="614">
        <f>+IF(C43&gt;$I$13+$I$14,XX,C43+1)</f>
        <v>2022</v>
      </c>
      <c r="E44" s="400">
        <v>2.3E-2</v>
      </c>
      <c r="G44" s="615">
        <v>238444</v>
      </c>
      <c r="I44" s="616">
        <v>329.25866020950923</v>
      </c>
      <c r="K44" s="616">
        <v>2.3218737961278193</v>
      </c>
      <c r="M44" s="553">
        <f t="shared" si="13"/>
        <v>4.1321690378458067</v>
      </c>
      <c r="O44" s="616">
        <v>0.66</v>
      </c>
      <c r="Q44" s="616">
        <v>-41.902367483762823</v>
      </c>
      <c r="S44" s="616">
        <f t="shared" si="20"/>
        <v>24795.428068261346</v>
      </c>
      <c r="U44" s="475">
        <f t="shared" si="0"/>
        <v>8982.715882698958</v>
      </c>
      <c r="W44" s="475">
        <f t="shared" si="1"/>
        <v>15812.712185562388</v>
      </c>
      <c r="Y44" s="554">
        <f t="shared" si="6"/>
        <v>66.316251134699925</v>
      </c>
      <c r="Z44" s="516"/>
      <c r="AB44" s="430">
        <f>+IF(AB43&gt;$I$13+$I$14,XX,AB43+1)</f>
        <v>2022</v>
      </c>
      <c r="AC44" s="503"/>
      <c r="AD44" s="488">
        <f t="shared" si="2"/>
        <v>238444</v>
      </c>
      <c r="AF44" s="555">
        <f t="shared" si="14"/>
        <v>108.71472116614163</v>
      </c>
      <c r="AH44" s="555">
        <f t="shared" si="15"/>
        <v>21.776030971810659</v>
      </c>
      <c r="AJ44" s="555">
        <f t="shared" si="16"/>
        <v>2.2222879175140227</v>
      </c>
      <c r="AL44" s="558">
        <f t="shared" si="21"/>
        <v>5583.4326895777795</v>
      </c>
      <c r="AN44" s="555">
        <v>3.0098541666666665</v>
      </c>
      <c r="AP44" s="555">
        <f t="shared" si="22"/>
        <v>19.307863994210731</v>
      </c>
      <c r="AR44" s="555">
        <f t="shared" si="17"/>
        <v>3.1481941894556615</v>
      </c>
      <c r="AS44" s="555"/>
      <c r="AT44" s="558">
        <f t="shared" si="3"/>
        <v>3628.20354515281</v>
      </c>
      <c r="AV44" s="558">
        <f t="shared" si="4"/>
        <v>5354.512337546149</v>
      </c>
      <c r="AW44" s="560"/>
      <c r="AX44" s="561">
        <f t="shared" si="9"/>
        <v>8982.715882698958</v>
      </c>
      <c r="AZ44" s="430">
        <f>+IF(AZ43&gt;$I$13+$I$14,XX,AZ43+1)</f>
        <v>2022</v>
      </c>
      <c r="BA44" s="503"/>
      <c r="BB44" s="555">
        <f t="shared" si="18"/>
        <v>55.606754882764804</v>
      </c>
      <c r="BD44" s="555">
        <f t="shared" si="19"/>
        <v>17.164369981439997</v>
      </c>
      <c r="BF44" s="558">
        <f t="shared" si="23"/>
        <v>1955.2291444249695</v>
      </c>
      <c r="BH44" s="563"/>
    </row>
    <row r="45" spans="2:60" ht="12">
      <c r="B45" s="526"/>
      <c r="C45" s="614">
        <f>+IF(C44&gt;$I$13+$I$14,XX,C44+1)</f>
        <v>2023</v>
      </c>
      <c r="E45" s="400">
        <v>2.3E-2</v>
      </c>
      <c r="G45" s="615">
        <v>238444</v>
      </c>
      <c r="I45" s="616">
        <v>335.51457475348991</v>
      </c>
      <c r="K45" s="616">
        <v>2.3752768934387585</v>
      </c>
      <c r="M45" s="553">
        <f t="shared" si="13"/>
        <v>4.2272089257162602</v>
      </c>
      <c r="O45" s="616">
        <v>0.67</v>
      </c>
      <c r="Q45" s="616">
        <v>-43.513997002369095</v>
      </c>
      <c r="S45" s="616">
        <f t="shared" si="20"/>
        <v>25077.64387015544</v>
      </c>
      <c r="U45" s="475">
        <f t="shared" si="0"/>
        <v>9798.1247137068058</v>
      </c>
      <c r="W45" s="475">
        <f t="shared" si="1"/>
        <v>15279.519156448634</v>
      </c>
      <c r="Y45" s="554">
        <f t="shared" si="6"/>
        <v>64.080115903309093</v>
      </c>
      <c r="Z45" s="516"/>
      <c r="AB45" s="430">
        <f>+IF(AB44&gt;$I$13+$I$14,XX,AB44+1)</f>
        <v>2023</v>
      </c>
      <c r="AC45" s="503"/>
      <c r="AD45" s="488">
        <f t="shared" si="2"/>
        <v>238444</v>
      </c>
      <c r="AF45" s="555">
        <f t="shared" si="14"/>
        <v>111.21515975296288</v>
      </c>
      <c r="AH45" s="555">
        <f t="shared" si="15"/>
        <v>22.276879684162303</v>
      </c>
      <c r="AJ45" s="555">
        <f t="shared" si="16"/>
        <v>2.2734005396168451</v>
      </c>
      <c r="AL45" s="558">
        <f t="shared" si="21"/>
        <v>5711.8516414380692</v>
      </c>
      <c r="AN45" s="555">
        <v>3.4771000000000001</v>
      </c>
      <c r="AP45" s="555">
        <f t="shared" si="22"/>
        <v>22.305191606216844</v>
      </c>
      <c r="AR45" s="555">
        <f t="shared" si="17"/>
        <v>3.2206026558131415</v>
      </c>
      <c r="AS45" s="555"/>
      <c r="AT45" s="558">
        <f t="shared" si="3"/>
        <v>3711.6522266913262</v>
      </c>
      <c r="AV45" s="558">
        <f t="shared" si="4"/>
        <v>6086.4724870154787</v>
      </c>
      <c r="AW45" s="560"/>
      <c r="AX45" s="561">
        <f t="shared" si="9"/>
        <v>9798.1247137068058</v>
      </c>
      <c r="AZ45" s="430">
        <f>+IF(AZ44&gt;$I$13+$I$14,XX,AZ44+1)</f>
        <v>2023</v>
      </c>
      <c r="BA45" s="503"/>
      <c r="BB45" s="555">
        <f t="shared" si="18"/>
        <v>56.885710245068388</v>
      </c>
      <c r="BD45" s="555">
        <f t="shared" si="19"/>
        <v>17.559150491013114</v>
      </c>
      <c r="BF45" s="558">
        <f t="shared" si="23"/>
        <v>2000.1994147467431</v>
      </c>
      <c r="BH45" s="563"/>
    </row>
    <row r="46" spans="2:60" ht="12">
      <c r="B46" s="526"/>
      <c r="C46" s="614">
        <f>+IF(C45&gt;$I$13+$I$14,XX,C45+1)</f>
        <v>2024</v>
      </c>
      <c r="E46" s="400">
        <v>2.3E-2</v>
      </c>
      <c r="G46" s="615">
        <v>238484</v>
      </c>
      <c r="I46" s="616">
        <v>341.88935167380617</v>
      </c>
      <c r="K46" s="616">
        <v>2.4365655448974057</v>
      </c>
      <c r="M46" s="553">
        <f t="shared" si="13"/>
        <v>4.3244347310077336</v>
      </c>
      <c r="O46" s="616">
        <v>0.69</v>
      </c>
      <c r="Q46" s="616">
        <v>-43.513997002369088</v>
      </c>
      <c r="S46" s="616">
        <f t="shared" si="20"/>
        <v>25759.432131903486</v>
      </c>
      <c r="U46" s="475">
        <f t="shared" si="0"/>
        <v>10631.524815057088</v>
      </c>
      <c r="W46" s="475">
        <f t="shared" si="1"/>
        <v>15127.907316846398</v>
      </c>
      <c r="Y46" s="554">
        <f t="shared" si="6"/>
        <v>63.433636289421507</v>
      </c>
      <c r="Z46" s="516"/>
      <c r="AB46" s="430">
        <f>+IF(AB45&gt;$I$13+$I$14,XX,AB45+1)</f>
        <v>2024</v>
      </c>
      <c r="AC46" s="503"/>
      <c r="AD46" s="488">
        <f t="shared" si="2"/>
        <v>238484</v>
      </c>
      <c r="AF46" s="555">
        <f t="shared" si="14"/>
        <v>113.77310842728102</v>
      </c>
      <c r="AH46" s="555">
        <f t="shared" si="15"/>
        <v>22.789247916898034</v>
      </c>
      <c r="AJ46" s="555">
        <f t="shared" si="16"/>
        <v>2.3256887520280323</v>
      </c>
      <c r="AL46" s="558">
        <f t="shared" si="21"/>
        <v>5843.3172567412239</v>
      </c>
      <c r="AN46" s="555">
        <v>3.9537833333333325</v>
      </c>
      <c r="AP46" s="555">
        <f t="shared" si="22"/>
        <v>25.363059681765467</v>
      </c>
      <c r="AR46" s="555">
        <f t="shared" si="17"/>
        <v>3.2946765168968435</v>
      </c>
      <c r="AS46" s="555"/>
      <c r="AT46" s="558">
        <f t="shared" si="3"/>
        <v>3797.113255455306</v>
      </c>
      <c r="AV46" s="558">
        <f t="shared" si="4"/>
        <v>6834.4115596017818</v>
      </c>
      <c r="AW46" s="560"/>
      <c r="AX46" s="561">
        <f t="shared" si="9"/>
        <v>10631.524815057088</v>
      </c>
      <c r="AZ46" s="430">
        <f>+IF(AZ45&gt;$I$13+$I$14,XX,AZ45+1)</f>
        <v>2024</v>
      </c>
      <c r="BA46" s="503"/>
      <c r="BB46" s="555">
        <f t="shared" si="18"/>
        <v>58.194081580704953</v>
      </c>
      <c r="BD46" s="555">
        <f t="shared" si="19"/>
        <v>17.963010952306412</v>
      </c>
      <c r="BF46" s="558">
        <f t="shared" si="23"/>
        <v>2046.2040012859181</v>
      </c>
      <c r="BH46" s="563"/>
    </row>
    <row r="47" spans="2:60" ht="12">
      <c r="B47" s="526"/>
      <c r="C47" s="614">
        <f>+IF(C46&gt;$I$13+$I$14,XX,C46+1)</f>
        <v>2025</v>
      </c>
      <c r="E47" s="400">
        <v>2.3E-2</v>
      </c>
      <c r="G47" s="615">
        <v>238444</v>
      </c>
      <c r="I47" s="616">
        <v>348.38524935560849</v>
      </c>
      <c r="K47" s="616">
        <v>2.4833662437515831</v>
      </c>
      <c r="M47" s="553">
        <f t="shared" si="13"/>
        <v>4.4238967298209113</v>
      </c>
      <c r="O47" s="616">
        <v>0.69999999999999984</v>
      </c>
      <c r="Q47" s="616">
        <v>-45.125626520975359</v>
      </c>
      <c r="S47" s="616">
        <f t="shared" si="20"/>
        <v>26066.68888254173</v>
      </c>
      <c r="U47" s="475">
        <f t="shared" si="0"/>
        <v>10972.600095460029</v>
      </c>
      <c r="W47" s="475">
        <f t="shared" si="1"/>
        <v>15094.088787081701</v>
      </c>
      <c r="Y47" s="554">
        <f t="shared" si="6"/>
        <v>63.30244748067345</v>
      </c>
      <c r="Z47" s="516"/>
      <c r="AB47" s="430">
        <f>+IF(AB46&gt;$I$13+$I$14,XX,AB46+1)</f>
        <v>2025</v>
      </c>
      <c r="AC47" s="503"/>
      <c r="AD47" s="488">
        <f t="shared" si="2"/>
        <v>238444</v>
      </c>
      <c r="AF47" s="555">
        <f t="shared" si="14"/>
        <v>116.38988992110846</v>
      </c>
      <c r="AH47" s="555">
        <f t="shared" si="15"/>
        <v>23.313400618986687</v>
      </c>
      <c r="AJ47" s="555">
        <f t="shared" si="16"/>
        <v>2.3791795933246767</v>
      </c>
      <c r="AL47" s="558">
        <f t="shared" si="21"/>
        <v>5977.6183864625382</v>
      </c>
      <c r="AN47" s="555">
        <v>4.1086708333333339</v>
      </c>
      <c r="AP47" s="555">
        <f t="shared" si="22"/>
        <v>26.356644958262532</v>
      </c>
      <c r="AR47" s="555">
        <f t="shared" si="17"/>
        <v>3.3704540767854705</v>
      </c>
      <c r="AS47" s="555"/>
      <c r="AT47" s="558">
        <f t="shared" si="3"/>
        <v>3884.3516931470444</v>
      </c>
      <c r="AV47" s="558">
        <f t="shared" si="4"/>
        <v>7088.2484023129855</v>
      </c>
      <c r="AW47" s="560"/>
      <c r="AX47" s="561">
        <f t="shared" si="9"/>
        <v>10972.600095460029</v>
      </c>
      <c r="AZ47" s="430">
        <f>+IF(AZ46&gt;$I$13+$I$14,XX,AZ46+1)</f>
        <v>2025</v>
      </c>
      <c r="BA47" s="503"/>
      <c r="BB47" s="555">
        <f t="shared" si="18"/>
        <v>59.532545457061161</v>
      </c>
      <c r="BD47" s="555">
        <f t="shared" si="19"/>
        <v>18.376160204209459</v>
      </c>
      <c r="BF47" s="558">
        <f t="shared" si="23"/>
        <v>2093.2666933154937</v>
      </c>
      <c r="BH47" s="563"/>
    </row>
    <row r="48" spans="2:60" ht="12">
      <c r="B48" s="526"/>
      <c r="C48" s="614">
        <f>+IF(C47&gt;$I$13+$I$14,XX,C47+1)</f>
        <v>2026</v>
      </c>
      <c r="E48" s="400">
        <v>2.1999999999999999E-2</v>
      </c>
      <c r="G48" s="615">
        <v>238444</v>
      </c>
      <c r="I48" s="616">
        <v>355.00456909336503</v>
      </c>
      <c r="K48" s="616">
        <v>2.5380003011141175</v>
      </c>
      <c r="M48" s="553">
        <f t="shared" si="13"/>
        <v>4.5212224578769717</v>
      </c>
      <c r="O48" s="616">
        <v>0.72</v>
      </c>
      <c r="Q48" s="616">
        <v>-46.737256039581631</v>
      </c>
      <c r="S48" s="616">
        <f t="shared" si="20"/>
        <v>26388.649906326056</v>
      </c>
      <c r="U48" s="475">
        <f t="shared" si="0"/>
        <v>11194.783206354903</v>
      </c>
      <c r="W48" s="475">
        <f t="shared" si="1"/>
        <v>15193.866699971153</v>
      </c>
      <c r="Y48" s="554">
        <f t="shared" si="6"/>
        <v>63.720901762976432</v>
      </c>
      <c r="Z48" s="516"/>
      <c r="AB48" s="430">
        <f>+IF(AB47&gt;$I$13+$I$14,XX,AB47+1)</f>
        <v>2026</v>
      </c>
      <c r="AC48" s="503"/>
      <c r="AD48" s="488">
        <f t="shared" si="2"/>
        <v>238444</v>
      </c>
      <c r="AF48" s="555">
        <f t="shared" si="14"/>
        <v>118.95046749937285</v>
      </c>
      <c r="AH48" s="555">
        <f t="shared" si="15"/>
        <v>23.826295432604393</v>
      </c>
      <c r="AJ48" s="555">
        <f t="shared" si="16"/>
        <v>2.4315215443778198</v>
      </c>
      <c r="AL48" s="558">
        <f t="shared" si="21"/>
        <v>6109.1259909647142</v>
      </c>
      <c r="AN48" s="555">
        <v>4.1864999999999997</v>
      </c>
      <c r="AP48" s="555">
        <f t="shared" si="22"/>
        <v>26.855909999547556</v>
      </c>
      <c r="AR48" s="555">
        <f t="shared" si="17"/>
        <v>3.444604066474751</v>
      </c>
      <c r="AS48" s="555"/>
      <c r="AT48" s="558">
        <f t="shared" si="3"/>
        <v>3969.8074303962794</v>
      </c>
      <c r="AV48" s="558">
        <f t="shared" si="4"/>
        <v>7224.9757759586237</v>
      </c>
      <c r="AW48" s="560"/>
      <c r="AX48" s="561">
        <f t="shared" si="9"/>
        <v>11194.783206354903</v>
      </c>
      <c r="AZ48" s="430">
        <f>+IF(AZ47&gt;$I$13+$I$14,XX,AZ47+1)</f>
        <v>2026</v>
      </c>
      <c r="BA48" s="503"/>
      <c r="BB48" s="555">
        <f t="shared" si="18"/>
        <v>60.842261457116507</v>
      </c>
      <c r="BD48" s="555">
        <f t="shared" si="19"/>
        <v>18.780435728702066</v>
      </c>
      <c r="BF48" s="558">
        <f t="shared" si="23"/>
        <v>2139.3185605684348</v>
      </c>
      <c r="BH48" s="563"/>
    </row>
    <row r="49" spans="2:60" ht="12">
      <c r="B49" s="526"/>
      <c r="C49" s="614">
        <f>+IF(C48&gt;$I$13+$I$14,XX,C48+1)</f>
        <v>2027</v>
      </c>
      <c r="E49" s="400">
        <v>2.1999999999999999E-2</v>
      </c>
      <c r="G49" s="615">
        <v>238444</v>
      </c>
      <c r="I49" s="616">
        <v>361.74965590613891</v>
      </c>
      <c r="K49" s="616">
        <v>2.5938363077386275</v>
      </c>
      <c r="M49" s="553">
        <f t="shared" si="13"/>
        <v>4.620689351950265</v>
      </c>
      <c r="O49" s="616">
        <v>0.74</v>
      </c>
      <c r="Q49" s="616">
        <v>-46.737256039581631</v>
      </c>
      <c r="S49" s="616">
        <f t="shared" si="20"/>
        <v>27108.331055863819</v>
      </c>
      <c r="U49" s="475">
        <f t="shared" si="0"/>
        <v>11714.420789316404</v>
      </c>
      <c r="W49" s="475">
        <f t="shared" si="1"/>
        <v>15393.910266547415</v>
      </c>
      <c r="Y49" s="554">
        <f t="shared" si="6"/>
        <v>64.559855842660809</v>
      </c>
      <c r="Z49" s="516"/>
      <c r="AB49" s="430">
        <f>+IF(AB48&gt;$I$13+$I$14,XX,AB48+1)</f>
        <v>2027</v>
      </c>
      <c r="AC49" s="503"/>
      <c r="AD49" s="488">
        <f t="shared" si="2"/>
        <v>238444</v>
      </c>
      <c r="AF49" s="555">
        <f t="shared" si="14"/>
        <v>121.56737778435905</v>
      </c>
      <c r="AH49" s="555">
        <f t="shared" si="15"/>
        <v>24.350473932121691</v>
      </c>
      <c r="AJ49" s="555">
        <f t="shared" si="16"/>
        <v>2.4850150183541317</v>
      </c>
      <c r="AL49" s="558">
        <f t="shared" si="21"/>
        <v>6243.5267627659387</v>
      </c>
      <c r="AN49" s="555">
        <v>4.4573125000000005</v>
      </c>
      <c r="AP49" s="555">
        <f t="shared" si="22"/>
        <v>28.593140652062186</v>
      </c>
      <c r="AR49" s="555">
        <f t="shared" si="17"/>
        <v>3.5203853559371958</v>
      </c>
      <c r="AS49" s="555"/>
      <c r="AT49" s="558">
        <f t="shared" si="3"/>
        <v>4057.143193864998</v>
      </c>
      <c r="AV49" s="558">
        <f t="shared" si="4"/>
        <v>7657.2775954514054</v>
      </c>
      <c r="AW49" s="560"/>
      <c r="AX49" s="561">
        <f t="shared" si="9"/>
        <v>11714.420789316404</v>
      </c>
      <c r="AZ49" s="430">
        <f>+IF(AZ48&gt;$I$13+$I$14,XX,AZ48+1)</f>
        <v>2027</v>
      </c>
      <c r="BA49" s="503"/>
      <c r="BB49" s="555">
        <f t="shared" si="18"/>
        <v>62.180791209173073</v>
      </c>
      <c r="BD49" s="555">
        <f t="shared" si="19"/>
        <v>19.193605314733514</v>
      </c>
      <c r="BF49" s="558">
        <f t="shared" si="23"/>
        <v>2186.3835689009406</v>
      </c>
      <c r="BH49" s="563"/>
    </row>
    <row r="50" spans="2:60" ht="12">
      <c r="B50" s="526"/>
      <c r="C50" s="614">
        <f>+IF(C49&gt;$I$13+$I$14,XX,C49+1)</f>
        <v>2028</v>
      </c>
      <c r="E50" s="400">
        <v>2.1999999999999999E-2</v>
      </c>
      <c r="G50" s="615">
        <v>238484</v>
      </c>
      <c r="I50" s="616">
        <v>368.62289936835555</v>
      </c>
      <c r="K50" s="616">
        <v>2.6581634481705465</v>
      </c>
      <c r="M50" s="553">
        <f t="shared" si="13"/>
        <v>4.7223445176931707</v>
      </c>
      <c r="O50" s="616">
        <v>0.75000000000000011</v>
      </c>
      <c r="Q50" s="616">
        <v>-48.348885558187881</v>
      </c>
      <c r="S50" s="616">
        <f t="shared" si="20"/>
        <v>27455.161824791892</v>
      </c>
      <c r="U50" s="475">
        <f t="shared" si="0"/>
        <v>12062.636642191002</v>
      </c>
      <c r="W50" s="475">
        <f t="shared" si="1"/>
        <v>15392.52518260089</v>
      </c>
      <c r="Y50" s="554">
        <f t="shared" si="6"/>
        <v>64.543219597964182</v>
      </c>
      <c r="Z50" s="516"/>
      <c r="AB50" s="430">
        <f>+IF(AB49&gt;$I$13+$I$14,XX,AB49+1)</f>
        <v>2028</v>
      </c>
      <c r="AC50" s="503"/>
      <c r="AD50" s="488">
        <f t="shared" si="2"/>
        <v>238484</v>
      </c>
      <c r="AF50" s="555">
        <f t="shared" si="14"/>
        <v>124.24186009561495</v>
      </c>
      <c r="AH50" s="555">
        <f t="shared" si="15"/>
        <v>24.88618435862837</v>
      </c>
      <c r="AJ50" s="555">
        <f t="shared" si="16"/>
        <v>2.5396853487579225</v>
      </c>
      <c r="AL50" s="558">
        <f t="shared" si="21"/>
        <v>6380.9859389607391</v>
      </c>
      <c r="AN50" s="555">
        <v>4.6136041666666676</v>
      </c>
      <c r="AP50" s="555">
        <f t="shared" si="22"/>
        <v>29.59573349421656</v>
      </c>
      <c r="AR50" s="555">
        <f t="shared" si="17"/>
        <v>3.5978338337678144</v>
      </c>
      <c r="AS50" s="555"/>
      <c r="AT50" s="558">
        <f t="shared" si="3"/>
        <v>4146.5019315439777</v>
      </c>
      <c r="AV50" s="558">
        <f>(AP50+AR50)*AD50/1000</f>
        <v>7916.1347106470257</v>
      </c>
      <c r="AW50" s="560"/>
      <c r="AX50" s="561">
        <f t="shared" si="9"/>
        <v>12062.636642191002</v>
      </c>
      <c r="AZ50" s="430">
        <f>+IF(AZ49&gt;$I$13+$I$14,XX,AZ49+1)</f>
        <v>2028</v>
      </c>
      <c r="BA50" s="503"/>
      <c r="BB50" s="555">
        <f t="shared" si="18"/>
        <v>63.548768615774883</v>
      </c>
      <c r="BD50" s="555">
        <f t="shared" si="19"/>
        <v>19.615864631657651</v>
      </c>
      <c r="BF50" s="558">
        <f t="shared" si="23"/>
        <v>2234.4840074167614</v>
      </c>
      <c r="BH50" s="563"/>
    </row>
    <row r="51" spans="2:60" ht="12">
      <c r="B51" s="526"/>
      <c r="C51" s="614">
        <f>+IF(C50&gt;$I$13+$I$14,XX,C50+1)</f>
        <v>2029</v>
      </c>
      <c r="E51" s="400">
        <v>2.1999999999999999E-2</v>
      </c>
      <c r="G51" s="615">
        <v>238444</v>
      </c>
      <c r="I51" s="616">
        <v>375.62673445635426</v>
      </c>
      <c r="K51" s="616">
        <v>2.7065696213455639</v>
      </c>
      <c r="M51" s="553">
        <f t="shared" si="13"/>
        <v>4.8262360970824201</v>
      </c>
      <c r="O51" s="616">
        <v>0.76999999999999991</v>
      </c>
      <c r="Q51" s="616">
        <v>-48.348885558187881</v>
      </c>
      <c r="S51" s="616">
        <f t="shared" si="20"/>
        <v>28201.739351551892</v>
      </c>
      <c r="U51" s="475">
        <f t="shared" si="0"/>
        <v>12386.304585089065</v>
      </c>
      <c r="W51" s="475">
        <f t="shared" si="1"/>
        <v>15815.434766462828</v>
      </c>
      <c r="Y51" s="554">
        <f t="shared" si="6"/>
        <v>66.327669249227611</v>
      </c>
      <c r="Z51" s="516"/>
      <c r="AB51" s="430">
        <f>+IF(AB50&gt;$I$13+$I$14,XX,AB50+1)</f>
        <v>2029</v>
      </c>
      <c r="AC51" s="503"/>
      <c r="AD51" s="488">
        <f t="shared" si="2"/>
        <v>238444</v>
      </c>
      <c r="AF51" s="555">
        <f t="shared" si="14"/>
        <v>126.97518101771848</v>
      </c>
      <c r="AH51" s="555">
        <f t="shared" si="15"/>
        <v>25.433680414518193</v>
      </c>
      <c r="AJ51" s="555">
        <f t="shared" si="16"/>
        <v>2.5955584264305966</v>
      </c>
      <c r="AL51" s="558">
        <f t="shared" si="21"/>
        <v>6521.2638072808186</v>
      </c>
      <c r="AN51" s="555">
        <v>4.7541666666666673</v>
      </c>
      <c r="AP51" s="555">
        <f t="shared" si="22"/>
        <v>30.497425563800078</v>
      </c>
      <c r="AR51" s="555">
        <f t="shared" si="17"/>
        <v>3.6769861781107065</v>
      </c>
      <c r="AS51" s="555"/>
      <c r="AT51" s="558">
        <f t="shared" si="3"/>
        <v>4237.6211517008887</v>
      </c>
      <c r="AV51" s="558">
        <f t="shared" si="4"/>
        <v>8148.6834333881761</v>
      </c>
      <c r="AW51" s="560"/>
      <c r="AX51" s="561">
        <f t="shared" si="9"/>
        <v>12386.304585089065</v>
      </c>
      <c r="AZ51" s="430">
        <f>+IF(AZ50&gt;$I$13+$I$14,XX,AZ50+1)</f>
        <v>2029</v>
      </c>
      <c r="BA51" s="503"/>
      <c r="BB51" s="555">
        <f t="shared" si="18"/>
        <v>64.946841525321929</v>
      </c>
      <c r="BD51" s="555">
        <f t="shared" si="19"/>
        <v>20.04741365355412</v>
      </c>
      <c r="BF51" s="558">
        <f t="shared" si="23"/>
        <v>2283.6426555799299</v>
      </c>
      <c r="BH51" s="563"/>
    </row>
    <row r="52" spans="2:60" ht="12">
      <c r="B52" s="526"/>
      <c r="C52" s="614">
        <f>+IF(C51&gt;$I$13+$I$14,XX,C51+1)</f>
        <v>2030</v>
      </c>
      <c r="E52" s="400">
        <v>2.1999999999999999E-2</v>
      </c>
      <c r="G52" s="615">
        <v>238444</v>
      </c>
      <c r="I52" s="616">
        <v>383.04966382289695</v>
      </c>
      <c r="K52" s="616">
        <v>2.7661141530151663</v>
      </c>
      <c r="M52" s="553">
        <f t="shared" si="13"/>
        <v>4.932413291218233</v>
      </c>
      <c r="O52" s="616">
        <v>0.78</v>
      </c>
      <c r="Q52" s="616">
        <v>0</v>
      </c>
      <c r="S52" s="616">
        <f t="shared" si="20"/>
        <v>40518.14521211393</v>
      </c>
      <c r="U52" s="475">
        <f t="shared" si="0"/>
        <v>12955.193310679228</v>
      </c>
      <c r="W52" s="475">
        <f t="shared" si="1"/>
        <v>27562.951901434702</v>
      </c>
      <c r="Y52" s="554">
        <f>+W52*1000/G52</f>
        <v>115.59507432116011</v>
      </c>
      <c r="Z52" s="516"/>
      <c r="AB52" s="430">
        <f>+IF(AB51&gt;$I$13+$I$14,XX,AB51+1)</f>
        <v>2030</v>
      </c>
      <c r="AC52" s="503"/>
      <c r="AD52" s="488">
        <f t="shared" si="2"/>
        <v>238444</v>
      </c>
      <c r="AF52" s="555">
        <f t="shared" si="14"/>
        <v>129.7686350001083</v>
      </c>
      <c r="AH52" s="555">
        <f t="shared" si="15"/>
        <v>25.993221383637593</v>
      </c>
      <c r="AJ52" s="555">
        <f t="shared" si="16"/>
        <v>2.6526607118120697</v>
      </c>
      <c r="AL52" s="558">
        <f t="shared" si="21"/>
        <v>6664.7316110409965</v>
      </c>
      <c r="AN52" s="555">
        <v>5.052529166666667</v>
      </c>
      <c r="AP52" s="555">
        <f t="shared" si="22"/>
        <v>32.411386258232184</v>
      </c>
      <c r="AR52" s="555">
        <f t="shared" si="17"/>
        <v>3.7578798740291419</v>
      </c>
      <c r="AS52" s="555"/>
      <c r="AT52" s="558">
        <f t="shared" si="3"/>
        <v>4330.848817038308</v>
      </c>
      <c r="AV52" s="558">
        <f t="shared" si="4"/>
        <v>8624.3444936409196</v>
      </c>
      <c r="AW52" s="560"/>
      <c r="AX52" s="561">
        <f t="shared" si="9"/>
        <v>12955.193310679228</v>
      </c>
      <c r="AZ52" s="430">
        <f>+IF(AZ51&gt;$I$13+$I$14,XX,AZ51+1)</f>
        <v>2030</v>
      </c>
      <c r="BA52" s="503"/>
      <c r="BB52" s="555">
        <f t="shared" si="18"/>
        <v>66.375672038879017</v>
      </c>
      <c r="BD52" s="555">
        <f t="shared" si="19"/>
        <v>20.488456753932311</v>
      </c>
      <c r="BF52" s="558">
        <f t="shared" si="23"/>
        <v>2333.8827940026886</v>
      </c>
      <c r="BH52" s="563"/>
    </row>
    <row r="53" spans="2:60" ht="12">
      <c r="B53" s="526"/>
      <c r="C53" s="614">
        <f>+IF(C52&gt;$I$13+$I$14,XX,C52+1)</f>
        <v>2031</v>
      </c>
      <c r="E53" s="400">
        <v>2.1999999999999999E-2</v>
      </c>
      <c r="G53" s="615">
        <v>238444</v>
      </c>
      <c r="I53" s="616">
        <v>93.042672364042517</v>
      </c>
      <c r="K53" s="616">
        <v>2.8269686643815</v>
      </c>
      <c r="M53" s="553">
        <f t="shared" si="13"/>
        <v>5.0409263836250346</v>
      </c>
      <c r="O53" s="616">
        <v>0.8</v>
      </c>
      <c r="Q53" s="616">
        <v>0</v>
      </c>
      <c r="S53" s="616">
        <f t="shared" si="20"/>
        <v>11417.596139413143</v>
      </c>
      <c r="U53" s="475">
        <f t="shared" si="0"/>
        <v>13280.274205022277</v>
      </c>
      <c r="W53" s="475">
        <f t="shared" si="1"/>
        <v>-1862.6780656091341</v>
      </c>
      <c r="Y53" s="554">
        <f t="shared" si="6"/>
        <v>-7.8118051433843334</v>
      </c>
      <c r="Z53" s="516"/>
      <c r="AB53" s="430">
        <f>+IF(AB52&gt;$I$13+$I$14,XX,AB52+1)</f>
        <v>2031</v>
      </c>
      <c r="AC53" s="503"/>
      <c r="AD53" s="488">
        <f t="shared" si="2"/>
        <v>238444</v>
      </c>
      <c r="AF53" s="555">
        <f t="shared" si="14"/>
        <v>132.62354497011069</v>
      </c>
      <c r="AH53" s="555">
        <f t="shared" si="15"/>
        <v>26.56507225407762</v>
      </c>
      <c r="AJ53" s="555">
        <f t="shared" si="16"/>
        <v>2.7110192474719352</v>
      </c>
      <c r="AL53" s="558">
        <f t="shared" si="21"/>
        <v>6811.3557064838988</v>
      </c>
      <c r="AN53" s="555">
        <v>5.1898791666666666</v>
      </c>
      <c r="AP53" s="555">
        <f t="shared" si="22"/>
        <v>33.292470514397912</v>
      </c>
      <c r="AR53" s="555">
        <f t="shared" si="17"/>
        <v>3.840553231257783</v>
      </c>
      <c r="AS53" s="555"/>
      <c r="AT53" s="558">
        <f t="shared" si="3"/>
        <v>4426.1274910131506</v>
      </c>
      <c r="AV53" s="558">
        <f t="shared" si="4"/>
        <v>8854.1467140091263</v>
      </c>
      <c r="AW53" s="560"/>
      <c r="AX53" s="561">
        <f t="shared" si="9"/>
        <v>13280.274205022277</v>
      </c>
      <c r="AZ53" s="430">
        <f>+IF(AZ52&gt;$I$13+$I$14,XX,AZ52+1)</f>
        <v>2031</v>
      </c>
      <c r="BA53" s="503"/>
      <c r="BB53" s="555">
        <f t="shared" si="18"/>
        <v>67.835936823734357</v>
      </c>
      <c r="BD53" s="555">
        <f t="shared" si="19"/>
        <v>20.939202802518821</v>
      </c>
      <c r="BF53" s="558">
        <f t="shared" si="23"/>
        <v>2385.2282154707477</v>
      </c>
      <c r="BH53" s="563"/>
    </row>
    <row r="54" spans="2:60" ht="12">
      <c r="B54" s="526"/>
      <c r="C54" s="614">
        <f>+IF(C53&gt;$I$13+$I$14,XX,C53+1)</f>
        <v>2032</v>
      </c>
      <c r="E54" s="400">
        <v>2.1999999999999999E-2</v>
      </c>
      <c r="G54" s="615">
        <v>238484</v>
      </c>
      <c r="I54" s="616">
        <v>315.78385809248942</v>
      </c>
      <c r="K54" s="616">
        <v>2.8970774872581617</v>
      </c>
      <c r="M54" s="553">
        <f t="shared" si="13"/>
        <v>5.1518267640647855</v>
      </c>
      <c r="O54" s="616">
        <v>0.82</v>
      </c>
      <c r="Q54" s="616">
        <v>0</v>
      </c>
      <c r="S54" s="616">
        <f t="shared" si="20"/>
        <v>33851.369499767694</v>
      </c>
      <c r="U54" s="475">
        <f t="shared" si="0"/>
        <v>13617.870101282035</v>
      </c>
      <c r="W54" s="475">
        <f t="shared" si="1"/>
        <v>20233.499398485659</v>
      </c>
      <c r="Y54" s="554">
        <f t="shared" si="6"/>
        <v>84.842167183063268</v>
      </c>
      <c r="Z54" s="516"/>
      <c r="AB54" s="430">
        <f>+IF(AB53&gt;$I$13+$I$14,XX,AB53+1)</f>
        <v>2032</v>
      </c>
      <c r="AC54" s="503"/>
      <c r="AD54" s="488">
        <f t="shared" si="2"/>
        <v>238484</v>
      </c>
      <c r="AF54" s="555">
        <f t="shared" si="14"/>
        <v>135.54126295945312</v>
      </c>
      <c r="AH54" s="555">
        <f t="shared" si="15"/>
        <v>27.149503843667329</v>
      </c>
      <c r="AJ54" s="555">
        <f t="shared" si="16"/>
        <v>2.7706616709163177</v>
      </c>
      <c r="AL54" s="558">
        <f t="shared" si="21"/>
        <v>6961.3163584933818</v>
      </c>
      <c r="AN54" s="555">
        <v>5.3326874999999996</v>
      </c>
      <c r="AP54" s="555">
        <f t="shared" si="22"/>
        <v>34.208569343296844</v>
      </c>
      <c r="AR54" s="555">
        <f t="shared" si="17"/>
        <v>3.9250454023454542</v>
      </c>
      <c r="AS54" s="555"/>
      <c r="AT54" s="558">
        <f t="shared" si="3"/>
        <v>4523.6131222822769</v>
      </c>
      <c r="AV54" s="558">
        <f t="shared" si="4"/>
        <v>9094.2569789997578</v>
      </c>
      <c r="AW54" s="560"/>
      <c r="AX54" s="561">
        <f t="shared" si="9"/>
        <v>13617.870101282035</v>
      </c>
      <c r="AZ54" s="430">
        <f>+IF(AZ53&gt;$I$13+$I$14,XX,AZ53+1)</f>
        <v>2032</v>
      </c>
      <c r="BA54" s="503"/>
      <c r="BB54" s="555">
        <f t="shared" si="18"/>
        <v>69.328327433856515</v>
      </c>
      <c r="BD54" s="555">
        <f t="shared" si="19"/>
        <v>21.399865264174235</v>
      </c>
      <c r="BF54" s="558">
        <f t="shared" si="23"/>
        <v>2437.7032362111045</v>
      </c>
      <c r="BH54" s="563"/>
    </row>
    <row r="55" spans="2:60" ht="12">
      <c r="B55" s="526"/>
      <c r="C55" s="614">
        <f>+IF(C54&gt;$I$13+$I$14,XX,C54+1)</f>
        <v>2033</v>
      </c>
      <c r="E55" s="400">
        <v>2.1999999999999999E-2</v>
      </c>
      <c r="G55" s="615">
        <v>238444</v>
      </c>
      <c r="I55" s="616">
        <v>96.611882318599555</v>
      </c>
      <c r="K55" s="616">
        <v>2.952723538447847</v>
      </c>
      <c r="M55" s="553">
        <f t="shared" si="13"/>
        <v>5.2651669528742104</v>
      </c>
      <c r="O55" s="616">
        <v>0.84000000000000008</v>
      </c>
      <c r="Q55" s="616">
        <v>0</v>
      </c>
      <c r="S55" s="616">
        <f t="shared" si="20"/>
        <v>11869.293813332051</v>
      </c>
      <c r="U55" s="475">
        <f t="shared" si="0"/>
        <v>14018.021321102551</v>
      </c>
      <c r="W55" s="475">
        <f t="shared" si="1"/>
        <v>-2148.7275077704999</v>
      </c>
      <c r="Y55" s="554">
        <f t="shared" si="6"/>
        <v>-9.0114555525427349</v>
      </c>
      <c r="Z55" s="516"/>
      <c r="AB55" s="430">
        <f>+IF(AB54&gt;$I$13+$I$14,XX,AB54+1)</f>
        <v>2033</v>
      </c>
      <c r="AC55" s="503"/>
      <c r="AD55" s="488">
        <f t="shared" si="2"/>
        <v>238444</v>
      </c>
      <c r="AF55" s="555">
        <f t="shared" si="14"/>
        <v>138.5231707445611</v>
      </c>
      <c r="AH55" s="555">
        <f t="shared" si="15"/>
        <v>27.746792928228011</v>
      </c>
      <c r="AJ55" s="555">
        <f t="shared" si="16"/>
        <v>2.8316162276764767</v>
      </c>
      <c r="AL55" s="558">
        <f t="shared" si="21"/>
        <v>7114.3520537311297</v>
      </c>
      <c r="AN55" s="555">
        <v>5.5168416666666671</v>
      </c>
      <c r="AP55" s="555">
        <f t="shared" si="22"/>
        <v>35.389896878479391</v>
      </c>
      <c r="AR55" s="555">
        <f t="shared" si="17"/>
        <v>4.0113964011970547</v>
      </c>
      <c r="AS55" s="555"/>
      <c r="AT55" s="558">
        <f t="shared" si="3"/>
        <v>4623.0193463233809</v>
      </c>
      <c r="AV55" s="558">
        <f t="shared" si="4"/>
        <v>9395.0019747791703</v>
      </c>
      <c r="AW55" s="560"/>
      <c r="AX55" s="561">
        <f t="shared" si="9"/>
        <v>14018.021321102551</v>
      </c>
      <c r="AZ55" s="430">
        <f>+IF(AZ54&gt;$I$13+$I$14,XX,AZ54+1)</f>
        <v>2033</v>
      </c>
      <c r="BA55" s="503"/>
      <c r="BB55" s="555">
        <f t="shared" si="18"/>
        <v>70.853550637401355</v>
      </c>
      <c r="BD55" s="555">
        <f t="shared" si="19"/>
        <v>21.870662299986069</v>
      </c>
      <c r="BF55" s="558">
        <f t="shared" si="23"/>
        <v>2491.3327074077483</v>
      </c>
      <c r="BH55" s="563"/>
    </row>
    <row r="56" spans="2:60" ht="12">
      <c r="B56" s="526"/>
      <c r="C56" s="614">
        <f>+IF(C55&gt;$I$13+$I$14,XX,C55+1)</f>
        <v>2034</v>
      </c>
      <c r="E56" s="400">
        <v>2.1999999999999999E-2</v>
      </c>
      <c r="G56" s="615">
        <v>238444</v>
      </c>
      <c r="I56" s="616">
        <v>98.447508082652945</v>
      </c>
      <c r="K56" s="616">
        <v>3.0176834562937001</v>
      </c>
      <c r="M56" s="553">
        <f t="shared" si="13"/>
        <v>5.3810006258374434</v>
      </c>
      <c r="O56" s="616">
        <v>0.85999999999999988</v>
      </c>
      <c r="Q56" s="616">
        <v>0</v>
      </c>
      <c r="S56" s="616">
        <f t="shared" si="20"/>
        <v>12101.6522295863</v>
      </c>
      <c r="U56" s="475">
        <f t="shared" si="0"/>
        <v>14403.025265121214</v>
      </c>
      <c r="W56" s="475">
        <f t="shared" si="1"/>
        <v>-2301.3730355349144</v>
      </c>
      <c r="Y56" s="554">
        <f t="shared" si="6"/>
        <v>-9.6516290430244194</v>
      </c>
      <c r="Z56" s="516"/>
      <c r="AB56" s="430">
        <f>+IF(AB55&gt;$I$13+$I$14,XX,AB55+1)</f>
        <v>2034</v>
      </c>
      <c r="AC56" s="503"/>
      <c r="AD56" s="488">
        <f t="shared" si="2"/>
        <v>238444</v>
      </c>
      <c r="AF56" s="555">
        <f t="shared" si="14"/>
        <v>141.57068050094145</v>
      </c>
      <c r="AH56" s="555">
        <f t="shared" si="15"/>
        <v>28.357222372649026</v>
      </c>
      <c r="AJ56" s="555">
        <f t="shared" si="16"/>
        <v>2.893911784685359</v>
      </c>
      <c r="AL56" s="558">
        <f t="shared" si="21"/>
        <v>7270.8677989132148</v>
      </c>
      <c r="AN56" s="555">
        <v>5.688295833333334</v>
      </c>
      <c r="AP56" s="555">
        <f t="shared" si="22"/>
        <v>36.489755392523918</v>
      </c>
      <c r="AR56" s="555">
        <f t="shared" si="17"/>
        <v>4.0996471220233897</v>
      </c>
      <c r="AS56" s="555"/>
      <c r="AT56" s="558">
        <f t="shared" si="3"/>
        <v>4724.7257719424961</v>
      </c>
      <c r="AV56" s="558">
        <f t="shared" si="4"/>
        <v>9678.299493178718</v>
      </c>
      <c r="AW56" s="560"/>
      <c r="AX56" s="561">
        <f t="shared" si="9"/>
        <v>14403.025265121214</v>
      </c>
      <c r="AZ56" s="430">
        <f>+IF(AZ55&gt;$I$13+$I$14,XX,AZ55+1)</f>
        <v>2034</v>
      </c>
      <c r="BA56" s="503"/>
      <c r="BB56" s="555">
        <f t="shared" si="18"/>
        <v>72.412328751424184</v>
      </c>
      <c r="BD56" s="555">
        <f t="shared" si="19"/>
        <v>22.351816870585765</v>
      </c>
      <c r="BF56" s="558">
        <f t="shared" si="23"/>
        <v>2546.1420269707191</v>
      </c>
      <c r="BH56" s="563"/>
    </row>
    <row r="57" spans="2:60" ht="12">
      <c r="B57" s="526"/>
      <c r="C57" s="614">
        <f>+IF(C56&gt;$I$13+$I$14,XX,C56+1)</f>
        <v>2035</v>
      </c>
      <c r="E57" s="400">
        <v>2.1999999999999999E-2</v>
      </c>
      <c r="G57" s="615">
        <v>238444</v>
      </c>
      <c r="I57" s="616">
        <v>100.31801073622334</v>
      </c>
      <c r="K57" s="616">
        <v>3.0840724923321612</v>
      </c>
      <c r="M57" s="553">
        <f t="shared" si="13"/>
        <v>5.4993826396058676</v>
      </c>
      <c r="O57" s="616">
        <v>0.86999999999999988</v>
      </c>
      <c r="Q57" s="616">
        <v>0</v>
      </c>
      <c r="S57" s="616">
        <f t="shared" si="20"/>
        <v>12336.079734470277</v>
      </c>
      <c r="U57" s="475">
        <f t="shared" si="0"/>
        <v>14769.697824015657</v>
      </c>
      <c r="W57" s="475">
        <f t="shared" si="1"/>
        <v>-2433.6180895453799</v>
      </c>
      <c r="Y57" s="554">
        <f t="shared" si="6"/>
        <v>-10.206245867144402</v>
      </c>
      <c r="Z57" s="516"/>
      <c r="AB57" s="430">
        <f>+IF(AB56&gt;$I$13+$I$14,XX,AB56+1)</f>
        <v>2035</v>
      </c>
      <c r="AC57" s="503"/>
      <c r="AD57" s="488">
        <f t="shared" si="2"/>
        <v>238444</v>
      </c>
      <c r="AF57" s="555">
        <f t="shared" si="14"/>
        <v>144.68523547196216</v>
      </c>
      <c r="AH57" s="555">
        <f t="shared" si="15"/>
        <v>28.981081264847305</v>
      </c>
      <c r="AJ57" s="555">
        <f t="shared" si="16"/>
        <v>2.957577843948437</v>
      </c>
      <c r="AL57" s="558">
        <f t="shared" si="21"/>
        <v>7430.8268904893048</v>
      </c>
      <c r="AN57" s="555">
        <v>5.846000000000001</v>
      </c>
      <c r="AP57" s="555">
        <f t="shared" si="22"/>
        <v>37.501409257698562</v>
      </c>
      <c r="AR57" s="555">
        <f t="shared" si="17"/>
        <v>4.1898393587079044</v>
      </c>
      <c r="AS57" s="555"/>
      <c r="AT57" s="558">
        <f t="shared" si="3"/>
        <v>4828.6697389252304</v>
      </c>
      <c r="AV57" s="558">
        <f t="shared" si="4"/>
        <v>9941.0280850904255</v>
      </c>
      <c r="AW57" s="560"/>
      <c r="AX57" s="561">
        <f t="shared" si="9"/>
        <v>14769.697824015657</v>
      </c>
      <c r="AZ57" s="430">
        <f>+IF(AZ56&gt;$I$13+$I$14,XX,AZ56+1)</f>
        <v>2035</v>
      </c>
      <c r="BA57" s="503"/>
      <c r="BB57" s="555">
        <f t="shared" si="18"/>
        <v>74.005399983955513</v>
      </c>
      <c r="BD57" s="555">
        <f t="shared" si="19"/>
        <v>22.843556841738653</v>
      </c>
      <c r="BF57" s="558">
        <f t="shared" si="23"/>
        <v>2602.1571515640744</v>
      </c>
      <c r="BH57" s="563"/>
    </row>
    <row r="58" spans="2:60" ht="12">
      <c r="B58" s="526"/>
      <c r="C58" s="614">
        <f>+IF(C57&gt;$I$13+$I$14,XX,C57+1)</f>
        <v>2036</v>
      </c>
      <c r="E58" s="400">
        <v>2.1999999999999999E-2</v>
      </c>
      <c r="G58" s="615">
        <v>238901</v>
      </c>
      <c r="I58" s="616">
        <v>102.22405294021156</v>
      </c>
      <c r="K58" s="616">
        <v>3.1605574901419988</v>
      </c>
      <c r="M58" s="553">
        <f t="shared" si="13"/>
        <v>5.6203690576771965</v>
      </c>
      <c r="O58" s="616">
        <v>0.89000000000000024</v>
      </c>
      <c r="Q58" s="616">
        <v>0</v>
      </c>
      <c r="S58" s="616">
        <f t="shared" si="20"/>
        <v>12583.911343691814</v>
      </c>
      <c r="U58" s="475">
        <f t="shared" si="0"/>
        <v>15264.357106005225</v>
      </c>
      <c r="W58" s="475">
        <f t="shared" si="1"/>
        <v>-2680.4457623134113</v>
      </c>
      <c r="Y58" s="554">
        <f t="shared" si="6"/>
        <v>-11.219901810010887</v>
      </c>
      <c r="Z58" s="516"/>
      <c r="AB58" s="430">
        <f>+IF(AB57&gt;$I$13+$I$14,XX,AB57+1)</f>
        <v>2036</v>
      </c>
      <c r="AC58" s="503"/>
      <c r="AD58" s="488">
        <f t="shared" si="2"/>
        <v>238901</v>
      </c>
      <c r="AF58" s="555">
        <f t="shared" si="14"/>
        <v>147.86831065234534</v>
      </c>
      <c r="AH58" s="555">
        <f t="shared" si="15"/>
        <v>29.618665052673947</v>
      </c>
      <c r="AJ58" s="555">
        <f t="shared" si="16"/>
        <v>3.0226445565153028</v>
      </c>
      <c r="AL58" s="558">
        <f t="shared" si="21"/>
        <v>7595.6864306423968</v>
      </c>
      <c r="AN58" s="555">
        <v>6.0717541666666675</v>
      </c>
      <c r="AP58" s="555">
        <f t="shared" si="22"/>
        <v>38.949595948734718</v>
      </c>
      <c r="AR58" s="555">
        <f t="shared" si="17"/>
        <v>4.2820158245994779</v>
      </c>
      <c r="AS58" s="555"/>
      <c r="AT58" s="558">
        <f t="shared" si="3"/>
        <v>4936.2818217439126</v>
      </c>
      <c r="AV58" s="558">
        <f t="shared" si="4"/>
        <v>10328.075284261313</v>
      </c>
      <c r="AW58" s="560"/>
      <c r="AX58" s="561">
        <f t="shared" si="9"/>
        <v>15264.357106005225</v>
      </c>
      <c r="AZ58" s="430">
        <f>+IF(AZ57&gt;$I$13+$I$14,XX,AZ57+1)</f>
        <v>2036</v>
      </c>
      <c r="BA58" s="503"/>
      <c r="BB58" s="555">
        <f t="shared" si="18"/>
        <v>75.63351878360254</v>
      </c>
      <c r="BD58" s="555">
        <f t="shared" si="19"/>
        <v>23.346115092256905</v>
      </c>
      <c r="BF58" s="558">
        <f t="shared" si="23"/>
        <v>2659.4046088984846</v>
      </c>
      <c r="BH58" s="563"/>
    </row>
    <row r="59" spans="2:60" ht="12">
      <c r="B59" s="526"/>
      <c r="C59" s="614">
        <f>+IF(C58&gt;$I$13+$I$14,XX,C58+1)</f>
        <v>2037</v>
      </c>
      <c r="E59" s="400">
        <v>2.1999999999999999E-2</v>
      </c>
      <c r="G59" s="615">
        <v>238901</v>
      </c>
      <c r="I59" s="616">
        <v>104.1663099460756</v>
      </c>
      <c r="K59" s="616">
        <v>3.2212643730810648</v>
      </c>
      <c r="M59" s="553">
        <f t="shared" si="13"/>
        <v>5.7440171769460946</v>
      </c>
      <c r="O59" s="616">
        <v>0.91000000000000025</v>
      </c>
      <c r="Q59" s="616">
        <v>0</v>
      </c>
      <c r="S59" s="616">
        <f t="shared" si="20"/>
        <v>12827.928787163635</v>
      </c>
      <c r="U59" s="475">
        <f t="shared" si="0"/>
        <v>15653.384287811563</v>
      </c>
      <c r="W59" s="475">
        <f t="shared" si="1"/>
        <v>-2825.4555006479277</v>
      </c>
      <c r="Y59" s="554">
        <f t="shared" si="6"/>
        <v>-11.826888546502223</v>
      </c>
      <c r="Z59" s="516"/>
      <c r="AB59" s="430">
        <f>+IF(AB58&gt;$I$13+$I$14,XX,AB58+1)</f>
        <v>2037</v>
      </c>
      <c r="AC59" s="503"/>
      <c r="AD59" s="488">
        <f t="shared" si="2"/>
        <v>238901</v>
      </c>
      <c r="AF59" s="555">
        <f t="shared" si="14"/>
        <v>151.12141348669695</v>
      </c>
      <c r="AH59" s="555">
        <f t="shared" si="15"/>
        <v>30.270275683832775</v>
      </c>
      <c r="AJ59" s="555">
        <f t="shared" si="16"/>
        <v>3.0891427367586397</v>
      </c>
      <c r="AL59" s="558">
        <f t="shared" si="21"/>
        <v>7762.7915321165301</v>
      </c>
      <c r="AN59" s="555">
        <v>6.240054166666666</v>
      </c>
      <c r="AP59" s="555">
        <f t="shared" si="22"/>
        <v>40.029220850902121</v>
      </c>
      <c r="AR59" s="555">
        <f t="shared" si="17"/>
        <v>4.3762201727406662</v>
      </c>
      <c r="AS59" s="555"/>
      <c r="AT59" s="558">
        <f t="shared" si="3"/>
        <v>5044.8800218222786</v>
      </c>
      <c r="AV59" s="558">
        <f t="shared" si="4"/>
        <v>10608.504265989284</v>
      </c>
      <c r="AW59" s="560"/>
      <c r="AX59" s="561">
        <f t="shared" si="9"/>
        <v>15653.384287811563</v>
      </c>
      <c r="AZ59" s="430">
        <f>+IF(AZ58&gt;$I$13+$I$14,XX,AZ58+1)</f>
        <v>2037</v>
      </c>
      <c r="BA59" s="503"/>
      <c r="BB59" s="555">
        <f t="shared" si="18"/>
        <v>77.297456196841793</v>
      </c>
      <c r="BD59" s="555">
        <f t="shared" si="19"/>
        <v>23.859729624286558</v>
      </c>
      <c r="BF59" s="558">
        <f t="shared" si="23"/>
        <v>2717.9115102942515</v>
      </c>
      <c r="BH59" s="563"/>
    </row>
    <row r="60" spans="2:60" ht="12">
      <c r="B60" s="526"/>
      <c r="C60" s="614">
        <f>+IF(C59&gt;$I$13+$I$14,XX,C59+1)</f>
        <v>2038</v>
      </c>
      <c r="E60" s="400">
        <v>2.1999999999999999E-2</v>
      </c>
      <c r="G60" s="615">
        <v>238901</v>
      </c>
      <c r="I60" s="616">
        <v>106.14546983505102</v>
      </c>
      <c r="K60" s="616">
        <v>3.2953534536619293</v>
      </c>
      <c r="M60" s="553">
        <f t="shared" si="13"/>
        <v>5.8703855548389088</v>
      </c>
      <c r="O60" s="616">
        <v>0.92999999999999994</v>
      </c>
      <c r="Q60" s="616">
        <v>0</v>
      </c>
      <c r="S60" s="616">
        <f t="shared" si="20"/>
        <v>13079.501863292486</v>
      </c>
      <c r="U60" s="475">
        <f t="shared" si="0"/>
        <v>16278.31573599818</v>
      </c>
      <c r="W60" s="475">
        <f t="shared" si="1"/>
        <v>-3198.8138727056939</v>
      </c>
      <c r="Y60" s="554">
        <f t="shared" si="6"/>
        <v>-13.389704826290782</v>
      </c>
      <c r="Z60" s="516"/>
      <c r="AB60" s="430">
        <f>+IF(AB59&gt;$I$13+$I$14,XX,AB59+1)</f>
        <v>2038</v>
      </c>
      <c r="AC60" s="503"/>
      <c r="AD60" s="488">
        <f t="shared" si="2"/>
        <v>238901</v>
      </c>
      <c r="AF60" s="555">
        <f t="shared" si="14"/>
        <v>154.44608458340429</v>
      </c>
      <c r="AH60" s="555">
        <f t="shared" si="15"/>
        <v>30.936221748877095</v>
      </c>
      <c r="AJ60" s="555">
        <f t="shared" si="16"/>
        <v>3.1571038769673296</v>
      </c>
      <c r="AL60" s="558">
        <f t="shared" si="21"/>
        <v>7933.5729458230935</v>
      </c>
      <c r="AN60" s="555">
        <v>6.5604041666666673</v>
      </c>
      <c r="AP60" s="555">
        <f t="shared" si="22"/>
        <v>42.084228797481622</v>
      </c>
      <c r="AR60" s="555">
        <f t="shared" si="17"/>
        <v>4.4724970165409612</v>
      </c>
      <c r="AS60" s="555"/>
      <c r="AT60" s="558">
        <f t="shared" si="3"/>
        <v>5155.8673823023692</v>
      </c>
      <c r="AV60" s="558">
        <f t="shared" si="4"/>
        <v>11122.448353695811</v>
      </c>
      <c r="AW60" s="560"/>
      <c r="AX60" s="561">
        <f t="shared" si="9"/>
        <v>16278.31573599818</v>
      </c>
      <c r="AZ60" s="430">
        <f>+IF(AZ59&gt;$I$13+$I$14,XX,AZ59+1)</f>
        <v>2038</v>
      </c>
      <c r="BA60" s="503"/>
      <c r="BB60" s="555">
        <f t="shared" si="18"/>
        <v>78.99800023317232</v>
      </c>
      <c r="BD60" s="555">
        <f t="shared" si="19"/>
        <v>24.384643676020865</v>
      </c>
      <c r="BF60" s="558">
        <f t="shared" si="23"/>
        <v>2777.7055635207248</v>
      </c>
      <c r="BH60" s="563"/>
    </row>
    <row r="61" spans="2:60" ht="12">
      <c r="B61" s="526"/>
      <c r="C61" s="614">
        <f>+IF(C60&gt;$I$13+$I$14,XX,C60+1)</f>
        <v>2039</v>
      </c>
      <c r="E61" s="400">
        <v>2.1999999999999999E-2</v>
      </c>
      <c r="G61" s="615">
        <v>238901</v>
      </c>
      <c r="I61" s="616">
        <v>108.16223376191699</v>
      </c>
      <c r="K61" s="616">
        <v>3.3711465830961536</v>
      </c>
      <c r="M61" s="553">
        <f t="shared" si="13"/>
        <v>5.9995340370453647</v>
      </c>
      <c r="O61" s="616">
        <v>0.95999999999999985</v>
      </c>
      <c r="Q61" s="616">
        <v>0</v>
      </c>
      <c r="S61" s="616">
        <f t="shared" si="20"/>
        <v>13338.314423905085</v>
      </c>
      <c r="U61" s="475">
        <f t="shared" si="0"/>
        <v>16739.909887146998</v>
      </c>
      <c r="W61" s="475">
        <f t="shared" si="1"/>
        <v>-3401.5954632419125</v>
      </c>
      <c r="Y61" s="554">
        <f t="shared" si="6"/>
        <v>-14.238514963277309</v>
      </c>
      <c r="Z61" s="516"/>
      <c r="AB61" s="430">
        <f>+IF(AB60&gt;$I$13+$I$14,XX,AB60+1)</f>
        <v>2039</v>
      </c>
      <c r="AC61" s="503"/>
      <c r="AD61" s="488">
        <f t="shared" si="2"/>
        <v>238901</v>
      </c>
      <c r="AF61" s="555">
        <f t="shared" si="14"/>
        <v>157.84389844423919</v>
      </c>
      <c r="AH61" s="555">
        <f t="shared" si="15"/>
        <v>31.616818627352391</v>
      </c>
      <c r="AJ61" s="555">
        <f t="shared" si="16"/>
        <v>3.2265601622606108</v>
      </c>
      <c r="AL61" s="558">
        <f t="shared" si="21"/>
        <v>8108.1115506312026</v>
      </c>
      <c r="AN61" s="555">
        <v>6.7722499999999988</v>
      </c>
      <c r="AP61" s="555">
        <f t="shared" si="22"/>
        <v>43.443195149751801</v>
      </c>
      <c r="AR61" s="555">
        <f t="shared" si="17"/>
        <v>4.5708919509048629</v>
      </c>
      <c r="AS61" s="555"/>
      <c r="AT61" s="558">
        <f t="shared" si="3"/>
        <v>5269.2964647130211</v>
      </c>
      <c r="AV61" s="558">
        <f t="shared" si="4"/>
        <v>11470.613422433978</v>
      </c>
      <c r="AW61" s="560"/>
      <c r="AX61" s="561">
        <f t="shared" si="9"/>
        <v>16739.909887146998</v>
      </c>
      <c r="AZ61" s="430">
        <f>+IF(AZ60&gt;$I$13+$I$14,XX,AZ60+1)</f>
        <v>2039</v>
      </c>
      <c r="BA61" s="503"/>
      <c r="BB61" s="555">
        <f t="shared" si="18"/>
        <v>80.735956238302109</v>
      </c>
      <c r="BD61" s="555">
        <f t="shared" si="19"/>
        <v>24.921105836893325</v>
      </c>
      <c r="BF61" s="558">
        <f t="shared" si="23"/>
        <v>2838.815085918181</v>
      </c>
      <c r="BH61" s="563"/>
    </row>
    <row r="62" spans="2:60" ht="12">
      <c r="B62" s="526"/>
      <c r="C62" s="614">
        <f>+IF(C61&gt;$I$13+$I$14,XX,C61+1)</f>
        <v>2040</v>
      </c>
      <c r="E62" s="400">
        <v>2.1999999999999999E-2</v>
      </c>
      <c r="G62" s="615">
        <v>238901</v>
      </c>
      <c r="I62" s="616">
        <v>110.21731620339342</v>
      </c>
      <c r="K62" s="616">
        <v>3.4581314009580693</v>
      </c>
      <c r="M62" s="553">
        <f t="shared" si="13"/>
        <v>6.1315237858603631</v>
      </c>
      <c r="O62" s="616">
        <v>0.9800000000000002</v>
      </c>
      <c r="Q62" s="616">
        <v>0</v>
      </c>
      <c r="S62" s="616">
        <f t="shared" si="20"/>
        <v>13601.94147222715</v>
      </c>
      <c r="U62" s="475">
        <f t="shared" si="0"/>
        <v>17345.023358535607</v>
      </c>
      <c r="W62" s="475">
        <f t="shared" si="1"/>
        <v>-3743.0818863084569</v>
      </c>
      <c r="Y62" s="554">
        <f t="shared" si="6"/>
        <v>-15.667920545784474</v>
      </c>
      <c r="Z62" s="516"/>
      <c r="AB62" s="430">
        <f>+IF(AB61&gt;$I$13+$I$14,XX,AB61+1)</f>
        <v>2040</v>
      </c>
      <c r="AC62" s="503"/>
      <c r="AD62" s="488">
        <f t="shared" si="2"/>
        <v>238901</v>
      </c>
      <c r="AF62" s="555">
        <f t="shared" si="14"/>
        <v>161.31646421001244</v>
      </c>
      <c r="AH62" s="555">
        <f t="shared" si="15"/>
        <v>32.312388637154143</v>
      </c>
      <c r="AJ62" s="555">
        <f t="shared" si="16"/>
        <v>3.2975444858303442</v>
      </c>
      <c r="AL62" s="558">
        <f t="shared" si="21"/>
        <v>8286.4900047450883</v>
      </c>
      <c r="AN62" s="555">
        <v>7.075779166666667</v>
      </c>
      <c r="AP62" s="555">
        <f t="shared" si="22"/>
        <v>45.39029940921381</v>
      </c>
      <c r="AR62" s="555">
        <f t="shared" si="17"/>
        <v>4.6714515738247702</v>
      </c>
      <c r="AS62" s="555"/>
      <c r="AT62" s="558">
        <f t="shared" si="3"/>
        <v>5385.220986936707</v>
      </c>
      <c r="AV62" s="558">
        <f t="shared" si="4"/>
        <v>11959.8023715989</v>
      </c>
      <c r="AW62" s="560"/>
      <c r="AX62" s="561">
        <f t="shared" si="9"/>
        <v>17345.023358535607</v>
      </c>
      <c r="AZ62" s="430">
        <f>+IF(AZ61&gt;$I$13+$I$14,XX,AZ61+1)</f>
        <v>2040</v>
      </c>
      <c r="BA62" s="503"/>
      <c r="BB62" s="555">
        <f t="shared" si="18"/>
        <v>82.512147275544763</v>
      </c>
      <c r="BD62" s="555">
        <f t="shared" si="19"/>
        <v>25.46937016530498</v>
      </c>
      <c r="BF62" s="558">
        <f t="shared" si="23"/>
        <v>2901.2690178083812</v>
      </c>
      <c r="BH62" s="563"/>
    </row>
    <row r="63" spans="2:60" ht="12">
      <c r="B63" s="526"/>
      <c r="C63" s="614">
        <f>+IF(C62&gt;$I$13+$I$14,XX,C62+1)</f>
        <v>2041</v>
      </c>
      <c r="E63" s="400">
        <v>2.1999999999999999E-2</v>
      </c>
      <c r="G63" s="615">
        <v>238901</v>
      </c>
      <c r="I63" s="616">
        <v>112.31144521125788</v>
      </c>
      <c r="K63" s="616">
        <v>3.5280026624610334</v>
      </c>
      <c r="M63" s="553">
        <f t="shared" si="13"/>
        <v>6.2664173091492907</v>
      </c>
      <c r="O63" s="616">
        <v>1</v>
      </c>
      <c r="Q63" s="616">
        <v>0</v>
      </c>
      <c r="S63" s="616">
        <f t="shared" si="20"/>
        <v>13866.097969369095</v>
      </c>
      <c r="U63" s="475">
        <f t="shared" si="0"/>
        <v>17737.46850932189</v>
      </c>
      <c r="W63" s="475">
        <f t="shared" si="1"/>
        <v>-3871.3705399527953</v>
      </c>
      <c r="Y63" s="554">
        <f t="shared" si="6"/>
        <v>-16.204915592453759</v>
      </c>
      <c r="Z63" s="516"/>
      <c r="AB63" s="430">
        <f>+IF(AB62&gt;$I$13+$I$14,XX,AB62+1)</f>
        <v>2041</v>
      </c>
      <c r="AC63" s="503"/>
      <c r="AD63" s="488">
        <f t="shared" si="2"/>
        <v>238901</v>
      </c>
      <c r="AF63" s="555">
        <f t="shared" si="14"/>
        <v>164.86542642263271</v>
      </c>
      <c r="AH63" s="555">
        <f t="shared" si="15"/>
        <v>33.023261187171535</v>
      </c>
      <c r="AJ63" s="555">
        <f t="shared" si="16"/>
        <v>3.3700904645186118</v>
      </c>
      <c r="AL63" s="558">
        <f t="shared" si="21"/>
        <v>8468.7927848494801</v>
      </c>
      <c r="AN63" s="555">
        <v>7.2385291666666687</v>
      </c>
      <c r="AP63" s="555">
        <f t="shared" si="22"/>
        <v>46.434321707655563</v>
      </c>
      <c r="AR63" s="555">
        <f t="shared" si="17"/>
        <v>4.7742235084489151</v>
      </c>
      <c r="AS63" s="555"/>
      <c r="AT63" s="558">
        <f t="shared" si="3"/>
        <v>5503.6958486493149</v>
      </c>
      <c r="AV63" s="558">
        <f t="shared" si="4"/>
        <v>12233.772660672576</v>
      </c>
      <c r="AW63" s="560"/>
      <c r="AX63" s="561">
        <f t="shared" si="9"/>
        <v>17737.46850932189</v>
      </c>
      <c r="AZ63" s="430">
        <f>+IF(AZ62&gt;$I$13+$I$14,XX,AZ62+1)</f>
        <v>2041</v>
      </c>
      <c r="BA63" s="503"/>
      <c r="BB63" s="555">
        <f t="shared" si="18"/>
        <v>84.327414515606748</v>
      </c>
      <c r="BD63" s="555">
        <f t="shared" si="19"/>
        <v>26.029696308941691</v>
      </c>
      <c r="BF63" s="558">
        <f t="shared" si="23"/>
        <v>2965.0969362001656</v>
      </c>
      <c r="BH63" s="563"/>
    </row>
    <row r="64" spans="2:60" ht="12">
      <c r="B64" s="526"/>
      <c r="C64" s="614">
        <f>+IF(C63&gt;$I$13+$I$14,XX,C63+1)</f>
        <v>2042</v>
      </c>
      <c r="E64" s="400">
        <v>2.1999999999999999E-2</v>
      </c>
      <c r="G64" s="615">
        <v>238901</v>
      </c>
      <c r="I64" s="616">
        <v>114.44536267027178</v>
      </c>
      <c r="K64" s="616">
        <v>3.6091467236976369</v>
      </c>
      <c r="M64" s="553">
        <f t="shared" si="13"/>
        <v>6.4042784899505749</v>
      </c>
      <c r="O64" s="616">
        <v>1.0199999999999998</v>
      </c>
      <c r="Q64" s="616">
        <v>0</v>
      </c>
      <c r="S64" s="616">
        <f t="shared" si="20"/>
        <v>14137.655265328087</v>
      </c>
      <c r="U64" s="475">
        <f t="shared" si="0"/>
        <v>18138.762517359606</v>
      </c>
      <c r="W64" s="475">
        <f t="shared" si="1"/>
        <v>-4001.1072520315192</v>
      </c>
      <c r="Y64" s="554">
        <f t="shared" si="6"/>
        <v>-16.747971971785464</v>
      </c>
      <c r="Z64" s="516"/>
      <c r="AB64" s="430">
        <f>+IF(AB63&gt;$I$13+$I$14,XX,AB63+1)</f>
        <v>2042</v>
      </c>
      <c r="AC64" s="503"/>
      <c r="AD64" s="488">
        <f t="shared" si="2"/>
        <v>238901</v>
      </c>
      <c r="AF64" s="555">
        <f t="shared" si="14"/>
        <v>168.49246580393063</v>
      </c>
      <c r="AH64" s="555">
        <f t="shared" si="15"/>
        <v>33.749772933289307</v>
      </c>
      <c r="AJ64" s="555">
        <f t="shared" si="16"/>
        <v>3.4442324547380214</v>
      </c>
      <c r="AL64" s="558">
        <f t="shared" si="21"/>
        <v>8655.1062261161696</v>
      </c>
      <c r="AN64" s="555">
        <v>7.4050000000000002</v>
      </c>
      <c r="AP64" s="555">
        <f t="shared" si="22"/>
        <v>47.502212718655123</v>
      </c>
      <c r="AR64" s="555">
        <f t="shared" si="17"/>
        <v>4.8792564256347912</v>
      </c>
      <c r="AS64" s="555"/>
      <c r="AT64" s="558">
        <f t="shared" si="3"/>
        <v>5624.7771573196005</v>
      </c>
      <c r="AV64" s="558">
        <f t="shared" si="4"/>
        <v>12513.985360040006</v>
      </c>
      <c r="AW64" s="560"/>
      <c r="AX64" s="561">
        <f t="shared" si="9"/>
        <v>18138.762517359606</v>
      </c>
      <c r="AZ64" s="430">
        <f>+IF(AZ63&gt;$I$13+$I$14,XX,AZ63+1)</f>
        <v>2042</v>
      </c>
      <c r="BA64" s="503"/>
      <c r="BB64" s="555">
        <f t="shared" si="18"/>
        <v>86.182617634950091</v>
      </c>
      <c r="BD64" s="555">
        <f t="shared" si="19"/>
        <v>26.602349627738409</v>
      </c>
      <c r="BF64" s="558">
        <f t="shared" si="23"/>
        <v>3030.3290687965691</v>
      </c>
      <c r="BH64" s="563"/>
    </row>
    <row r="65" spans="2:60" ht="12">
      <c r="B65" s="526"/>
      <c r="C65" s="614">
        <f>+IF(C64&gt;$I$13+$I$14,XX,C64+1)</f>
        <v>2043</v>
      </c>
      <c r="E65" s="400">
        <v>2.3E-2</v>
      </c>
      <c r="G65" s="615">
        <v>238901</v>
      </c>
      <c r="I65" s="616">
        <v>116.61982456100694</v>
      </c>
      <c r="K65" s="616">
        <v>3.6921570983426824</v>
      </c>
      <c r="M65" s="553">
        <f t="shared" si="13"/>
        <v>6.551576895219438</v>
      </c>
      <c r="O65" s="616">
        <v>1.05</v>
      </c>
      <c r="Q65" s="616">
        <v>0</v>
      </c>
      <c r="S65" s="616">
        <f t="shared" si="20"/>
        <v>14418.376713177182</v>
      </c>
      <c r="U65" s="475">
        <f t="shared" si="0"/>
        <v>18544.605729138173</v>
      </c>
      <c r="W65" s="475">
        <f t="shared" si="1"/>
        <v>-4126.2290159609911</v>
      </c>
      <c r="Y65" s="554">
        <f t="shared" si="6"/>
        <v>-17.271710942863322</v>
      </c>
      <c r="Z65" s="516"/>
      <c r="AB65" s="430">
        <f>+IF(AB64&gt;$I$13+$I$14,XX,AB64+1)</f>
        <v>2043</v>
      </c>
      <c r="AC65" s="503"/>
      <c r="AD65" s="488">
        <f t="shared" si="2"/>
        <v>238901</v>
      </c>
      <c r="AF65" s="555">
        <f t="shared" si="14"/>
        <v>172.36779251742101</v>
      </c>
      <c r="AH65" s="555">
        <f t="shared" si="15"/>
        <v>34.526017710754957</v>
      </c>
      <c r="AJ65" s="555">
        <f t="shared" si="16"/>
        <v>3.5234498011969957</v>
      </c>
      <c r="AL65" s="558">
        <f t="shared" si="21"/>
        <v>8854.1736693168386</v>
      </c>
      <c r="AN65" s="555">
        <v>7.5679100000000004</v>
      </c>
      <c r="AP65" s="555">
        <f t="shared" si="22"/>
        <v>48.547261398465537</v>
      </c>
      <c r="AR65" s="555">
        <f t="shared" si="17"/>
        <v>4.9914793234243913</v>
      </c>
      <c r="AS65" s="555"/>
      <c r="AT65" s="558">
        <f t="shared" si="3"/>
        <v>5754.1470319379487</v>
      </c>
      <c r="AV65" s="558">
        <f t="shared" si="4"/>
        <v>12790.458697200225</v>
      </c>
      <c r="AW65" s="560"/>
      <c r="AX65" s="561">
        <f t="shared" si="9"/>
        <v>18544.605729138173</v>
      </c>
      <c r="AZ65" s="430">
        <f>+IF(AZ64&gt;$I$13+$I$14,XX,AZ64+1)</f>
        <v>2043</v>
      </c>
      <c r="BA65" s="503"/>
      <c r="BB65" s="555">
        <f t="shared" si="18"/>
        <v>88.164817840553937</v>
      </c>
      <c r="BD65" s="555">
        <f t="shared" si="19"/>
        <v>27.214203669176388</v>
      </c>
      <c r="BF65" s="558">
        <f t="shared" si="23"/>
        <v>3100.02663737889</v>
      </c>
      <c r="BH65" s="563"/>
    </row>
    <row r="66" spans="2:60" ht="12">
      <c r="B66" s="526"/>
      <c r="C66" s="614">
        <f>+IF(C65&gt;$I$13+$I$14,XX,C65+1)</f>
        <v>2044</v>
      </c>
      <c r="E66" s="400">
        <v>2.3E-2</v>
      </c>
      <c r="G66" s="615">
        <v>238901</v>
      </c>
      <c r="I66" s="616">
        <v>118.83560122766605</v>
      </c>
      <c r="K66" s="616">
        <v>3.7874248669788226</v>
      </c>
      <c r="M66" s="553">
        <f t="shared" si="13"/>
        <v>6.7022631638094845</v>
      </c>
      <c r="O66" s="616">
        <v>1.0700000000000003</v>
      </c>
      <c r="Q66" s="616">
        <v>0</v>
      </c>
      <c r="S66" s="616">
        <f t="shared" si="20"/>
        <v>14704.598953623796</v>
      </c>
      <c r="U66" s="475">
        <f t="shared" si="0"/>
        <v>18959.533671613</v>
      </c>
      <c r="W66" s="475">
        <f t="shared" si="1"/>
        <v>-4254.9347179892047</v>
      </c>
      <c r="Y66" s="554">
        <f t="shared" si="6"/>
        <v>-17.810451684962409</v>
      </c>
      <c r="Z66" s="516"/>
      <c r="AB66" s="430">
        <f>+IF(AB65&gt;$I$13+$I$14,XX,AB65+1)</f>
        <v>2044</v>
      </c>
      <c r="AC66" s="503"/>
      <c r="AD66" s="488">
        <f t="shared" si="2"/>
        <v>238901</v>
      </c>
      <c r="AF66" s="555">
        <f t="shared" si="14"/>
        <v>176.33225174532168</v>
      </c>
      <c r="AH66" s="555">
        <f t="shared" si="15"/>
        <v>35.32011611810232</v>
      </c>
      <c r="AJ66" s="555">
        <f t="shared" si="16"/>
        <v>3.6044891466245264</v>
      </c>
      <c r="AL66" s="558">
        <f t="shared" si="21"/>
        <v>9057.8196637111269</v>
      </c>
      <c r="AN66" s="555">
        <v>7.7344040200000004</v>
      </c>
      <c r="AP66" s="555">
        <f t="shared" si="22"/>
        <v>49.615301149231783</v>
      </c>
      <c r="AR66" s="555">
        <f t="shared" si="17"/>
        <v>5.106283347863152</v>
      </c>
      <c r="AS66" s="555"/>
      <c r="AT66" s="558">
        <f t="shared" si="3"/>
        <v>5886.4924136725222</v>
      </c>
      <c r="AV66" s="558">
        <f t="shared" si="4"/>
        <v>13073.041257940478</v>
      </c>
      <c r="AW66" s="560"/>
      <c r="AX66" s="561">
        <f t="shared" si="9"/>
        <v>18959.533671613</v>
      </c>
      <c r="AZ66" s="430">
        <f>+IF(AZ65&gt;$I$13+$I$14,XX,AZ65+1)</f>
        <v>2044</v>
      </c>
      <c r="BA66" s="503"/>
      <c r="BB66" s="555">
        <f t="shared" si="18"/>
        <v>90.192608650886669</v>
      </c>
      <c r="BD66" s="555">
        <f t="shared" si="19"/>
        <v>27.840130353567442</v>
      </c>
      <c r="BF66" s="558">
        <f t="shared" si="23"/>
        <v>3171.3272500386042</v>
      </c>
      <c r="BH66" s="563"/>
    </row>
    <row r="67" spans="2:60" ht="12">
      <c r="B67" s="526"/>
      <c r="C67" s="614">
        <f>+IF(C66&gt;$I$13+$I$14,XX,C66+1)</f>
        <v>2045</v>
      </c>
      <c r="E67" s="400">
        <v>2.3E-2</v>
      </c>
      <c r="G67" s="615">
        <v>238901</v>
      </c>
      <c r="I67" s="616">
        <v>121.0934776509917</v>
      </c>
      <c r="K67" s="616">
        <v>3.8639494759714688</v>
      </c>
      <c r="M67" s="553">
        <f>M66*(1+$E67)</f>
        <v>6.8564152165771022</v>
      </c>
      <c r="O67" s="616">
        <v>1.1000000000000001</v>
      </c>
      <c r="Q67" s="616">
        <v>0</v>
      </c>
      <c r="S67" s="616">
        <f t="shared" si="20"/>
        <v>14993.791449339211</v>
      </c>
      <c r="U67" s="475">
        <f t="shared" si="0"/>
        <v>19383.749801000242</v>
      </c>
      <c r="W67" s="475">
        <f t="shared" si="1"/>
        <v>-4389.958351661031</v>
      </c>
      <c r="Y67" s="554">
        <f t="shared" si="6"/>
        <v>-18.375638242037628</v>
      </c>
      <c r="Z67" s="516"/>
      <c r="AB67" s="430">
        <f>+IF(AB66&gt;$I$13+$I$14,XX,AB66+1)</f>
        <v>2045</v>
      </c>
      <c r="AC67" s="503"/>
      <c r="AD67" s="488">
        <f t="shared" si="2"/>
        <v>238901</v>
      </c>
      <c r="AF67" s="555">
        <f t="shared" si="14"/>
        <v>180.38789353546406</v>
      </c>
      <c r="AH67" s="555">
        <f t="shared" si="15"/>
        <v>36.132478788818666</v>
      </c>
      <c r="AJ67" s="555">
        <f t="shared" si="16"/>
        <v>3.68739239699689</v>
      </c>
      <c r="AL67" s="558">
        <f t="shared" si="21"/>
        <v>9266.1495159764818</v>
      </c>
      <c r="AN67" s="555">
        <v>7.9045609084400006</v>
      </c>
      <c r="AP67" s="555">
        <f t="shared" si="22"/>
        <v>50.706837774514881</v>
      </c>
      <c r="AR67" s="555">
        <f t="shared" si="17"/>
        <v>5.2237278648640038</v>
      </c>
      <c r="AS67" s="555"/>
      <c r="AT67" s="558">
        <f t="shared" si="3"/>
        <v>6021.8817391869898</v>
      </c>
      <c r="AV67" s="558">
        <f t="shared" si="4"/>
        <v>13361.868061813253</v>
      </c>
      <c r="AW67" s="560"/>
      <c r="AX67" s="561">
        <f t="shared" si="9"/>
        <v>19383.749801000242</v>
      </c>
      <c r="AZ67" s="430">
        <f>+IF(AZ66&gt;$I$13+$I$14,XX,AZ66+1)</f>
        <v>2045</v>
      </c>
      <c r="BA67" s="503"/>
      <c r="BB67" s="555">
        <f t="shared" si="18"/>
        <v>92.267038649857056</v>
      </c>
      <c r="BD67" s="555">
        <f t="shared" si="19"/>
        <v>28.480453351699492</v>
      </c>
      <c r="BF67" s="558">
        <f t="shared" si="23"/>
        <v>3244.267776789492</v>
      </c>
      <c r="BH67" s="563"/>
    </row>
    <row r="68" spans="2:60" ht="12">
      <c r="B68" s="526"/>
      <c r="C68" s="614">
        <f>+IF(C67&gt;$I$13+$I$14,XX,C67+1)</f>
        <v>2046</v>
      </c>
      <c r="E68" s="400">
        <v>2.3E-2</v>
      </c>
      <c r="G68" s="615">
        <v>238901</v>
      </c>
      <c r="I68" s="616">
        <v>123.39425372636053</v>
      </c>
      <c r="K68" s="616">
        <v>3.9528203139188123</v>
      </c>
      <c r="M68" s="553">
        <f t="shared" si="13"/>
        <v>7.0141127665583749</v>
      </c>
      <c r="O68" s="616">
        <v>1.1200000000000001</v>
      </c>
      <c r="Q68" s="616">
        <v>0</v>
      </c>
      <c r="S68" s="616">
        <f t="shared" si="20"/>
        <v>15288.702899358314</v>
      </c>
      <c r="U68" s="475">
        <f t="shared" si="0"/>
        <v>19817.462132172077</v>
      </c>
      <c r="W68" s="475">
        <f t="shared" si="1"/>
        <v>-4528.7592328137634</v>
      </c>
      <c r="Y68" s="554">
        <f t="shared" si="6"/>
        <v>-18.956635731176359</v>
      </c>
      <c r="Z68" s="516"/>
      <c r="AB68" s="430">
        <f>+IF(AB67&gt;$I$13+$I$14,XX,AB67+1)</f>
        <v>2046</v>
      </c>
      <c r="AC68" s="503"/>
      <c r="AD68" s="488">
        <f t="shared" si="2"/>
        <v>238901</v>
      </c>
      <c r="AF68" s="555">
        <f t="shared" si="14"/>
        <v>184.53681508677971</v>
      </c>
      <c r="AH68" s="555">
        <f t="shared" si="15"/>
        <v>36.963525800961492</v>
      </c>
      <c r="AJ68" s="555">
        <f t="shared" si="16"/>
        <v>3.7722024221278181</v>
      </c>
      <c r="AL68" s="558">
        <f t="shared" si="21"/>
        <v>9479.2709548439398</v>
      </c>
      <c r="AN68" s="555">
        <v>8.0784612484256808</v>
      </c>
      <c r="AP68" s="555">
        <f t="shared" si="22"/>
        <v>51.822388205554205</v>
      </c>
      <c r="AR68" s="555">
        <f t="shared" si="17"/>
        <v>5.3438736057558751</v>
      </c>
      <c r="AS68" s="555"/>
      <c r="AT68" s="558">
        <f t="shared" si="3"/>
        <v>6160.3850191882902</v>
      </c>
      <c r="AV68" s="558">
        <f t="shared" si="4"/>
        <v>13657.077112983789</v>
      </c>
      <c r="AW68" s="560"/>
      <c r="AX68" s="561">
        <f t="shared" si="9"/>
        <v>19817.462132172077</v>
      </c>
      <c r="AZ68" s="430">
        <f>+IF(AZ67&gt;$I$13+$I$14,XX,AZ67+1)</f>
        <v>2046</v>
      </c>
      <c r="BA68" s="503"/>
      <c r="BB68" s="555">
        <f t="shared" si="18"/>
        <v>94.389180538803757</v>
      </c>
      <c r="BD68" s="555">
        <f t="shared" si="19"/>
        <v>29.135503778788578</v>
      </c>
      <c r="BF68" s="558">
        <f t="shared" si="23"/>
        <v>3318.8859356556495</v>
      </c>
      <c r="BH68" s="563"/>
    </row>
    <row r="69" spans="2:60" ht="12">
      <c r="B69" s="526"/>
      <c r="C69" s="614">
        <f>+IF(C68&gt;$I$13+$I$14,XX,C68+1)</f>
        <v>2047</v>
      </c>
      <c r="E69" s="400">
        <v>2.1999999999999999E-2</v>
      </c>
      <c r="G69" s="615">
        <v>238901</v>
      </c>
      <c r="I69" s="616">
        <v>125.73874454716137</v>
      </c>
      <c r="K69" s="616">
        <v>4.0437351811389437</v>
      </c>
      <c r="M69" s="553">
        <f t="shared" si="13"/>
        <v>7.168423247422659</v>
      </c>
      <c r="O69" s="616">
        <v>1.1499999999999997</v>
      </c>
      <c r="Q69" s="616">
        <v>0</v>
      </c>
      <c r="S69" s="616">
        <f t="shared" si="20"/>
        <v>15590.075837731514</v>
      </c>
      <c r="U69" s="475">
        <f t="shared" si="0"/>
        <v>20253.446299079871</v>
      </c>
      <c r="W69" s="475">
        <f t="shared" si="1"/>
        <v>-4663.3704613483569</v>
      </c>
      <c r="Y69" s="554">
        <f t="shared" si="6"/>
        <v>-19.520096028682829</v>
      </c>
      <c r="Z69" s="516"/>
      <c r="AB69" s="430">
        <f>+IF(AB68&gt;$I$13+$I$14,XX,AB68+1)</f>
        <v>2047</v>
      </c>
      <c r="AC69" s="503"/>
      <c r="AD69" s="488">
        <f t="shared" si="2"/>
        <v>238901</v>
      </c>
      <c r="AF69" s="555">
        <f t="shared" si="14"/>
        <v>188.59662501868885</v>
      </c>
      <c r="AH69" s="555">
        <f t="shared" si="15"/>
        <v>37.776723368582644</v>
      </c>
      <c r="AJ69" s="555">
        <f t="shared" si="16"/>
        <v>3.85519087541463</v>
      </c>
      <c r="AL69" s="558">
        <f t="shared" si="21"/>
        <v>9687.8149158505075</v>
      </c>
      <c r="AN69" s="555">
        <v>8.2561873958910468</v>
      </c>
      <c r="AP69" s="555">
        <f t="shared" si="22"/>
        <v>52.962480746076409</v>
      </c>
      <c r="AR69" s="555">
        <f t="shared" si="17"/>
        <v>5.4614388250825048</v>
      </c>
      <c r="AS69" s="555"/>
      <c r="AT69" s="558">
        <f t="shared" si="3"/>
        <v>6295.9134896104333</v>
      </c>
      <c r="AV69" s="558">
        <f t="shared" si="4"/>
        <v>13957.532809469436</v>
      </c>
      <c r="AW69" s="560"/>
      <c r="AX69" s="561">
        <f t="shared" si="9"/>
        <v>20253.446299079871</v>
      </c>
      <c r="AZ69" s="430">
        <f>+IF(AZ68&gt;$I$13+$I$14,XX,AZ68+1)</f>
        <v>2047</v>
      </c>
      <c r="BA69" s="503"/>
      <c r="BB69" s="555">
        <f t="shared" si="18"/>
        <v>96.465742510657435</v>
      </c>
      <c r="BD69" s="555">
        <f t="shared" si="19"/>
        <v>29.776484861921929</v>
      </c>
      <c r="BF69" s="558">
        <f t="shared" si="23"/>
        <v>3391.9014262400742</v>
      </c>
      <c r="BH69" s="563"/>
    </row>
    <row r="70" spans="2:60" ht="12">
      <c r="B70" s="526"/>
      <c r="C70" s="614">
        <f>+IF(C69&gt;$I$13+$I$14,XX,C69+1)</f>
        <v>2048</v>
      </c>
      <c r="E70" s="400">
        <v>2.1999999999999999E-2</v>
      </c>
      <c r="G70" s="615">
        <v>238901</v>
      </c>
      <c r="I70" s="616">
        <v>128.12778069355747</v>
      </c>
      <c r="K70" s="616">
        <v>4.1480746275388523</v>
      </c>
      <c r="M70" s="553">
        <f>M69*(1+$E70)</f>
        <v>7.3261285588659577</v>
      </c>
      <c r="O70" s="616">
        <v>1.17</v>
      </c>
      <c r="Q70" s="616">
        <v>0</v>
      </c>
      <c r="S70" s="616">
        <f t="shared" si="20"/>
        <v>15897.554745137822</v>
      </c>
      <c r="U70" s="475">
        <f t="shared" si="0"/>
        <v>20699.022117659628</v>
      </c>
      <c r="W70" s="475">
        <f t="shared" si="1"/>
        <v>-4801.4673725218054</v>
      </c>
      <c r="Y70" s="554">
        <f t="shared" si="6"/>
        <v>-20.098146816136413</v>
      </c>
      <c r="Z70" s="516"/>
      <c r="AB70" s="430">
        <f>+IF(AB69&gt;$I$13+$I$14,XX,AB69+1)</f>
        <v>2048</v>
      </c>
      <c r="AC70" s="503"/>
      <c r="AD70" s="488">
        <f t="shared" si="2"/>
        <v>238901</v>
      </c>
      <c r="AF70" s="555">
        <f t="shared" si="14"/>
        <v>192.7457507691</v>
      </c>
      <c r="AH70" s="555">
        <f t="shared" si="15"/>
        <v>38.607811282691465</v>
      </c>
      <c r="AJ70" s="555">
        <f t="shared" si="16"/>
        <v>3.9400050746737518</v>
      </c>
      <c r="AL70" s="558">
        <f t="shared" si="21"/>
        <v>9900.9468439992179</v>
      </c>
      <c r="AN70" s="555">
        <v>8.4378235186006503</v>
      </c>
      <c r="AP70" s="555">
        <f t="shared" si="22"/>
        <v>54.127655322490092</v>
      </c>
      <c r="AR70" s="555">
        <f t="shared" si="17"/>
        <v>5.5815904792343201</v>
      </c>
      <c r="AS70" s="555"/>
      <c r="AT70" s="558">
        <f t="shared" si="3"/>
        <v>6434.4235863818631</v>
      </c>
      <c r="AV70" s="558">
        <f t="shared" si="4"/>
        <v>14264.598531277765</v>
      </c>
      <c r="AW70" s="560"/>
      <c r="AX70" s="561">
        <f t="shared" si="9"/>
        <v>20699.022117659628</v>
      </c>
      <c r="AZ70" s="430">
        <f>+IF(AZ69&gt;$I$13+$I$14,XX,AZ69+1)</f>
        <v>2048</v>
      </c>
      <c r="BA70" s="503"/>
      <c r="BB70" s="555">
        <f t="shared" si="18"/>
        <v>98.5879888458919</v>
      </c>
      <c r="BD70" s="555">
        <f t="shared" si="19"/>
        <v>30.431567528884212</v>
      </c>
      <c r="BF70" s="558">
        <f t="shared" si="23"/>
        <v>3466.5232576173553</v>
      </c>
      <c r="BH70" s="563"/>
    </row>
    <row r="71" spans="2:60" ht="12">
      <c r="B71" s="526"/>
      <c r="C71" s="614">
        <f>+IF(C70&gt;$I$13+$I$14,XX,C70+1)</f>
        <v>2049</v>
      </c>
      <c r="E71" s="400">
        <v>2.1999999999999999E-2</v>
      </c>
      <c r="G71" s="615">
        <v>218394.24294171217</v>
      </c>
      <c r="I71" s="616">
        <v>119.68202448284046</v>
      </c>
      <c r="K71" s="616">
        <v>3.8792289574336447</v>
      </c>
      <c r="M71" s="553">
        <f t="shared" si="13"/>
        <v>7.4873033871610088</v>
      </c>
      <c r="O71" s="616">
        <v>1.2000000000000002</v>
      </c>
      <c r="Q71" s="616">
        <v>0</v>
      </c>
      <c r="S71" s="616">
        <f t="shared" si="20"/>
        <v>14772.501778325755</v>
      </c>
      <c r="U71" s="475">
        <f t="shared" si="0"/>
        <v>19820.445605641216</v>
      </c>
      <c r="W71" s="475">
        <f t="shared" si="1"/>
        <v>-5047.943827315461</v>
      </c>
      <c r="Y71" s="554">
        <f t="shared" si="6"/>
        <v>-23.113905198786398</v>
      </c>
      <c r="Z71" s="516"/>
      <c r="AB71" s="430">
        <f>+IF(AB70&gt;$I$13+$I$14,XX,AB70+1)</f>
        <v>2049</v>
      </c>
      <c r="AC71" s="503"/>
      <c r="AD71" s="488">
        <f t="shared" si="2"/>
        <v>218394.24294171217</v>
      </c>
      <c r="AF71" s="555">
        <f t="shared" si="14"/>
        <v>196.98615728602022</v>
      </c>
      <c r="AH71" s="555">
        <f t="shared" si="15"/>
        <v>39.457183130910678</v>
      </c>
      <c r="AJ71" s="555">
        <f t="shared" si="16"/>
        <v>4.0266851863165742</v>
      </c>
      <c r="AL71" s="558">
        <f t="shared" si="21"/>
        <v>10036.1934197012</v>
      </c>
      <c r="AN71" s="555">
        <v>8.6234556360098651</v>
      </c>
      <c r="AP71" s="555">
        <f t="shared" si="22"/>
        <v>55.318463739584878</v>
      </c>
      <c r="AR71" s="555">
        <f t="shared" si="17"/>
        <v>5.704385469777475</v>
      </c>
      <c r="AS71" s="555"/>
      <c r="AT71" s="558">
        <f t="shared" si="3"/>
        <v>6493.406650416262</v>
      </c>
      <c r="AV71" s="558">
        <f t="shared" si="4"/>
        <v>13327.038955224953</v>
      </c>
      <c r="AW71" s="560"/>
      <c r="AX71" s="561">
        <f t="shared" si="9"/>
        <v>19820.445605641216</v>
      </c>
      <c r="AZ71" s="430">
        <f>+IF(AZ70&gt;$I$13+$I$14,XX,AZ70+1)</f>
        <v>2049</v>
      </c>
      <c r="BA71" s="503"/>
      <c r="BB71" s="555">
        <f t="shared" si="18"/>
        <v>100.75692460050152</v>
      </c>
      <c r="BD71" s="555">
        <f t="shared" si="19"/>
        <v>31.101062014519666</v>
      </c>
      <c r="BF71" s="558">
        <f t="shared" si="23"/>
        <v>3542.7867692849377</v>
      </c>
      <c r="BH71" s="563"/>
    </row>
    <row r="72" spans="2:60">
      <c r="B72" s="526"/>
      <c r="E72" s="549"/>
      <c r="G72" s="546"/>
      <c r="H72" s="546"/>
      <c r="I72" s="546"/>
      <c r="K72" s="546"/>
      <c r="M72" s="546"/>
      <c r="O72" s="546"/>
      <c r="Q72" s="546"/>
      <c r="S72" s="546"/>
      <c r="U72" s="546"/>
      <c r="W72" s="546"/>
      <c r="Y72" s="546"/>
      <c r="Z72" s="516"/>
      <c r="AB72" s="526"/>
      <c r="AF72" s="564"/>
      <c r="AH72" s="564"/>
      <c r="AJ72" s="564"/>
      <c r="AL72" s="560"/>
      <c r="AN72" s="564"/>
      <c r="AP72" s="564"/>
      <c r="AR72" s="564"/>
      <c r="AS72" s="564"/>
      <c r="AT72" s="564"/>
      <c r="AV72" s="560"/>
      <c r="AW72" s="560"/>
      <c r="AX72" s="565"/>
      <c r="AZ72" s="526"/>
      <c r="BB72" s="564"/>
      <c r="BF72" s="560"/>
      <c r="BH72" s="516"/>
    </row>
    <row r="73" spans="2:60" ht="12">
      <c r="B73" s="526"/>
      <c r="C73" s="5" t="s">
        <v>234</v>
      </c>
      <c r="E73" s="549"/>
      <c r="G73" s="617">
        <f>+-PMT($I$18,44,NPV($I$18,G28:G71))</f>
        <v>280574.27984254091</v>
      </c>
      <c r="I73" s="617">
        <f>+-PMT($I$18,44,NPV($I$18,I28:I71))</f>
        <v>225.45785842199547</v>
      </c>
      <c r="J73" s="553"/>
      <c r="K73" s="617">
        <f>+-PMT($I$18,44,NPV($I$18,K28:K71))</f>
        <v>9.4168815444413756</v>
      </c>
      <c r="M73" s="617">
        <f>+-PMT($I$18,44,NPV($I$18,M28:M71))</f>
        <v>3.9653932818884812</v>
      </c>
      <c r="O73" s="617">
        <f>+-PMT($I$18,44,NPV($I$18,O28:O71))</f>
        <v>3.6091301361115211</v>
      </c>
      <c r="Q73" s="617">
        <f>+-PMT($I$18,44,NPV($I$18,Q28:Q71))</f>
        <v>-25.844435393474253</v>
      </c>
      <c r="S73" s="617">
        <f>+-PMT($I$18,44,NPV($I$18,S28:S71))</f>
        <v>21752.206130388346</v>
      </c>
      <c r="U73" s="617">
        <f>+-PMT($I$18,44,NPV($I$18,U28:U71))</f>
        <v>17111.301003855828</v>
      </c>
      <c r="W73" s="617">
        <f>+-PMT($I$18,44,NPV($I$18,W28:W71))</f>
        <v>4640.9051265325033</v>
      </c>
      <c r="Y73" s="617">
        <f>+-PMT($I$18,44,NPV($I$18,Y28:Y71))</f>
        <v>18.282770860147256</v>
      </c>
      <c r="Z73" s="516"/>
      <c r="AB73" s="526"/>
      <c r="AD73" s="617">
        <f>+-PMT($I$18,44,NPV($I$18,AD28:AD71))</f>
        <v>280574.27984254091</v>
      </c>
      <c r="AF73" s="617">
        <f>+-PMT($I$18,44,NPV($I$18,AF28:AF71))</f>
        <v>88.914773843283513</v>
      </c>
      <c r="AH73" s="617">
        <f>+-PMT($I$18,44,NPV($I$18,AH28:AH71))</f>
        <v>15.615618868341858</v>
      </c>
      <c r="AJ73" s="617">
        <f>+-PMT($I$18,44,NPV($I$18,AJ28:AJ71))</f>
        <v>2.5274249522994765</v>
      </c>
      <c r="AL73" s="618">
        <f>+-PMT($I$18,44,NPV($I$18,AL28:AL71))</f>
        <v>6141.3006644048337</v>
      </c>
      <c r="AN73" s="617">
        <f>+-PMT($I$18,44,NPV($I$18,AN28:AN71))</f>
        <v>6.4321243230359855</v>
      </c>
      <c r="AP73" s="617">
        <f>+-PMT($I$18,44,NPV($I$18,AP28:AP71))</f>
        <v>45.116628561727744</v>
      </c>
      <c r="AR73" s="617">
        <f>+-PMT($I$18,44,NPV($I$18,AR28:AR71))</f>
        <v>3.0211319949911659</v>
      </c>
      <c r="AS73" s="555"/>
      <c r="AT73" s="619">
        <f>+-PMT($I$18,44,NPV($I$18,AT28:AT71))</f>
        <v>3285.5760039204365</v>
      </c>
      <c r="AV73" s="618">
        <f>+-PMT($I$18,44,NPV($I$18,AV28:AV71))</f>
        <v>13825.72499993539</v>
      </c>
      <c r="AW73" s="560"/>
      <c r="AX73" s="619">
        <f>+-PMT($I$18,44,NPV($I$18,AX28:AX71))</f>
        <v>17111.301003855828</v>
      </c>
      <c r="AY73" s="620"/>
      <c r="AZ73" s="526"/>
      <c r="BB73" s="617">
        <f>+-PMT($I$18,44,NPV($I$18,BB28:BB71))</f>
        <v>51.484220150708985</v>
      </c>
      <c r="BD73" s="617">
        <f>+-PMT($I$18,44,NPV($I$18,BD28:BD71))</f>
        <v>11.987628638080135</v>
      </c>
      <c r="BF73" s="619">
        <f>+-PMT($I$18,44,NPV($I$18,BF28:BF71))</f>
        <v>2855.7246604843949</v>
      </c>
      <c r="BH73" s="563"/>
    </row>
    <row r="74" spans="2:60">
      <c r="B74" s="526"/>
      <c r="E74" s="549"/>
      <c r="W74" s="475"/>
      <c r="Y74" s="554"/>
      <c r="Z74" s="516"/>
      <c r="AB74" s="526"/>
      <c r="AT74" s="560"/>
      <c r="AX74" s="516"/>
      <c r="AZ74" s="526"/>
      <c r="BH74" s="516"/>
    </row>
    <row r="75" spans="2:60">
      <c r="B75" s="566"/>
      <c r="C75" s="567"/>
      <c r="D75" s="567"/>
      <c r="E75" s="568"/>
      <c r="F75" s="567"/>
      <c r="G75" s="567"/>
      <c r="H75" s="567"/>
      <c r="I75" s="567"/>
      <c r="J75" s="567"/>
      <c r="K75" s="567"/>
      <c r="L75" s="567"/>
      <c r="M75" s="567"/>
      <c r="N75" s="567"/>
      <c r="O75" s="567"/>
      <c r="P75" s="567"/>
      <c r="Q75" s="567"/>
      <c r="R75" s="567"/>
      <c r="S75" s="567"/>
      <c r="T75" s="567"/>
      <c r="U75" s="567"/>
      <c r="V75" s="567"/>
      <c r="W75" s="567"/>
      <c r="X75" s="567"/>
      <c r="Y75" s="567"/>
      <c r="Z75" s="569"/>
      <c r="AB75" s="566"/>
      <c r="AC75" s="567"/>
      <c r="AD75" s="567"/>
      <c r="AE75" s="567"/>
      <c r="AF75" s="567"/>
      <c r="AG75" s="567"/>
      <c r="AH75" s="567"/>
      <c r="AI75" s="567"/>
      <c r="AJ75" s="567"/>
      <c r="AK75" s="567"/>
      <c r="AL75" s="567"/>
      <c r="AM75" s="567"/>
      <c r="AN75" s="567"/>
      <c r="AO75" s="567"/>
      <c r="AP75" s="567"/>
      <c r="AQ75" s="567"/>
      <c r="AR75" s="567"/>
      <c r="AS75" s="567"/>
      <c r="AT75" s="567"/>
      <c r="AU75" s="567"/>
      <c r="AV75" s="567"/>
      <c r="AW75" s="567"/>
      <c r="AX75" s="569"/>
      <c r="AZ75" s="566"/>
      <c r="BA75" s="567"/>
      <c r="BB75" s="567"/>
      <c r="BC75" s="567"/>
      <c r="BD75" s="567"/>
      <c r="BE75" s="567"/>
      <c r="BF75" s="567"/>
      <c r="BG75" s="567"/>
      <c r="BH75" s="569"/>
    </row>
    <row r="76" spans="2:60">
      <c r="E76" s="549"/>
    </row>
    <row r="77" spans="2:60">
      <c r="E77" s="549"/>
      <c r="G77" s="475"/>
      <c r="I77" s="475"/>
      <c r="K77" s="475"/>
      <c r="O77" s="475"/>
      <c r="Q77" s="475"/>
      <c r="S77" s="475"/>
      <c r="U77" s="475"/>
      <c r="W77" s="475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  <row r="82" spans="5:5">
      <c r="E82" s="549"/>
    </row>
    <row r="83" spans="5:5">
      <c r="E83" s="549"/>
    </row>
    <row r="84" spans="5:5">
      <c r="E84" s="549"/>
    </row>
    <row r="85" spans="5:5">
      <c r="E85" s="549"/>
    </row>
    <row r="86" spans="5:5">
      <c r="E86" s="549"/>
    </row>
    <row r="87" spans="5:5">
      <c r="E87" s="549"/>
    </row>
    <row r="88" spans="5:5">
      <c r="E88" s="549"/>
    </row>
    <row r="89" spans="5:5">
      <c r="E89" s="549"/>
    </row>
    <row r="90" spans="5:5">
      <c r="E90" s="549"/>
    </row>
    <row r="91" spans="5:5">
      <c r="E91" s="549"/>
    </row>
    <row r="92" spans="5:5">
      <c r="E92" s="549"/>
    </row>
    <row r="93" spans="5:5">
      <c r="E93" s="549"/>
    </row>
    <row r="94" spans="5:5">
      <c r="E94" s="549"/>
    </row>
    <row r="95" spans="5:5">
      <c r="E95" s="549"/>
    </row>
    <row r="96" spans="5:5">
      <c r="E96" s="549"/>
    </row>
    <row r="97" spans="5:5">
      <c r="E97" s="549"/>
    </row>
    <row r="98" spans="5:5">
      <c r="E98" s="549"/>
    </row>
    <row r="99" spans="5:5">
      <c r="E99" s="549"/>
    </row>
  </sheetData>
  <pageMargins left="0.25" right="0.25" top="0.25" bottom="0.75" header="0.3" footer="0.3"/>
  <pageSetup paperSize="5" scale="46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9">
    <tabColor theme="0" tint="-0.249977111117893"/>
    <pageSetUpPr fitToPage="1"/>
  </sheetPr>
  <dimension ref="A1:BI80"/>
  <sheetViews>
    <sheetView topLeftCell="A47" workbookViewId="0">
      <selection activeCell="O44" sqref="O44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Index'!$C$4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144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274">
        <v>3.8999999999999986</v>
      </c>
      <c r="H11" s="275"/>
      <c r="AB11" s="129" t="s">
        <v>99</v>
      </c>
      <c r="AC11" s="130"/>
      <c r="AD11" s="130"/>
      <c r="AE11" s="130"/>
      <c r="AF11" s="141">
        <f>+G11*(G12/AJ16)</f>
        <v>1.944065484311051</v>
      </c>
      <c r="AG11" s="134"/>
      <c r="AH11" s="130" t="s">
        <v>100</v>
      </c>
      <c r="AI11" s="131"/>
      <c r="AJ11" s="136">
        <f>'(2.1)_Proxy Resources'!$N$82</f>
        <v>6.6035087719298247</v>
      </c>
      <c r="AK11" s="255"/>
      <c r="AZ11" s="129" t="s">
        <v>99</v>
      </c>
      <c r="BA11" s="130"/>
      <c r="BB11" s="130"/>
      <c r="BC11" s="130"/>
      <c r="BD11" s="141">
        <f>(AF11*AF13-G11*G19)</f>
        <v>0.44406548431105097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277">
        <v>0.38461538461538475</v>
      </c>
      <c r="H12" s="275"/>
      <c r="AB12" s="129" t="s">
        <v>32</v>
      </c>
      <c r="AC12" s="130"/>
      <c r="AD12" s="130"/>
      <c r="AE12" s="130"/>
      <c r="AF12" s="138">
        <f>+AD66/8760/AF11</f>
        <v>0.77157894736842125</v>
      </c>
      <c r="AG12" s="134"/>
      <c r="AH12" s="124" t="s">
        <v>101</v>
      </c>
      <c r="AI12" s="125"/>
      <c r="AJ12" s="124">
        <v>2002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2003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36">
        <f>'(2.1)_Proxy Resources'!$O$82</f>
        <v>1.5426421100500227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35</v>
      </c>
      <c r="H14" s="275"/>
      <c r="AB14" s="129" t="s">
        <v>104</v>
      </c>
      <c r="AC14" s="130"/>
      <c r="AD14" s="130"/>
      <c r="AE14" s="130"/>
      <c r="AF14" s="141">
        <f>'(2.1)_Proxy Resources'!$H$82</f>
        <v>7163.7407912687586</v>
      </c>
      <c r="AG14" s="134"/>
      <c r="AH14" s="124"/>
      <c r="AI14" s="125"/>
      <c r="AJ14" s="136"/>
      <c r="AK14" s="255"/>
      <c r="AZ14" s="129" t="s">
        <v>105</v>
      </c>
      <c r="BA14" s="130"/>
      <c r="BB14" s="130"/>
      <c r="BC14" s="130"/>
      <c r="BD14" s="142">
        <f>'(2.1)_Proxy Resources'!$J$83</f>
        <v>482</v>
      </c>
      <c r="BE14" s="139"/>
    </row>
    <row r="15" spans="1:57" ht="12">
      <c r="A15" s="143" t="s">
        <v>198</v>
      </c>
      <c r="B15" s="272"/>
      <c r="C15" s="273" t="s">
        <v>107</v>
      </c>
      <c r="D15" s="273"/>
      <c r="E15" s="273"/>
      <c r="F15" s="273"/>
      <c r="G15" s="278">
        <f>S28*1000/(G11*1000)</f>
        <v>155.6371642434062</v>
      </c>
      <c r="H15" s="275"/>
      <c r="AB15" s="129" t="s">
        <v>197</v>
      </c>
      <c r="AC15" s="130"/>
      <c r="AD15" s="130"/>
      <c r="AE15" s="130"/>
      <c r="AF15" s="142">
        <f>'(2.1)_Proxy Resources'!$J$82</f>
        <v>625</v>
      </c>
      <c r="AG15" s="134"/>
      <c r="AH15" s="124" t="s">
        <v>145</v>
      </c>
      <c r="AI15" s="125"/>
      <c r="AJ15" s="136">
        <f>'(2.1)_Proxy Resources'!$P$82</f>
        <v>3.1491524416152528</v>
      </c>
      <c r="AK15" s="255"/>
      <c r="AZ15" s="129" t="s">
        <v>108</v>
      </c>
      <c r="BA15" s="130"/>
      <c r="BB15" s="130"/>
      <c r="BC15" s="130"/>
      <c r="BD15" s="144">
        <f>'(2.1)_Proxy Resources'!$K$83</f>
        <v>9.5899999999999999E-2</v>
      </c>
      <c r="BE15" s="139"/>
    </row>
    <row r="16" spans="1:57" ht="12">
      <c r="A16" s="143" t="s">
        <v>198</v>
      </c>
      <c r="B16" s="272"/>
      <c r="C16" s="273" t="s">
        <v>109</v>
      </c>
      <c r="D16" s="273"/>
      <c r="E16" s="273"/>
      <c r="F16" s="273"/>
      <c r="G16" s="278">
        <v>0</v>
      </c>
      <c r="H16" s="275"/>
      <c r="AB16" s="129" t="s">
        <v>108</v>
      </c>
      <c r="AC16" s="130"/>
      <c r="AD16" s="130"/>
      <c r="AE16" s="130"/>
      <c r="AF16" s="144">
        <f>'(2.1)_Proxy Resources'!$K$80</f>
        <v>8.6099999999999996E-2</v>
      </c>
      <c r="AG16" s="134"/>
      <c r="AH16" s="124" t="s">
        <v>110</v>
      </c>
      <c r="AI16" s="131"/>
      <c r="AJ16" s="145">
        <f>'(2.1)_Proxy Resources'!$D$82</f>
        <v>0.77157894736842092</v>
      </c>
      <c r="AK16" s="255"/>
      <c r="AZ16" s="129" t="s">
        <v>100</v>
      </c>
      <c r="BA16" s="131"/>
      <c r="BB16" s="136">
        <f>'(2.1)_Proxy Resources'!N83</f>
        <v>10.050000000000001</v>
      </c>
      <c r="BC16" s="3"/>
      <c r="BD16" s="3"/>
      <c r="BE16" s="137"/>
    </row>
    <row r="17" spans="1:60" ht="12">
      <c r="A17" s="143" t="s">
        <v>198</v>
      </c>
      <c r="B17" s="272"/>
      <c r="C17" s="273" t="s">
        <v>111</v>
      </c>
      <c r="D17" s="273"/>
      <c r="E17" s="273"/>
      <c r="F17" s="273"/>
      <c r="G17" s="278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2002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277">
        <v>8.6999999999999994E-2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281">
        <v>0.38461538461538475</v>
      </c>
      <c r="H19" s="282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288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2003</v>
      </c>
      <c r="D28" s="6"/>
      <c r="E28" s="292">
        <f>'(2.2)_Forward_Price_Curve'!$CH$40</f>
        <v>2.5000000000000001E-2</v>
      </c>
      <c r="F28" s="6"/>
      <c r="G28" s="20">
        <v>13140</v>
      </c>
      <c r="H28" s="6"/>
      <c r="I28" s="293">
        <f>$G$15</f>
        <v>155.6371642434062</v>
      </c>
      <c r="J28" s="293"/>
      <c r="K28" s="293">
        <f>$G$16</f>
        <v>0</v>
      </c>
      <c r="L28" s="294"/>
      <c r="M28" s="293">
        <f>$G$17</f>
        <v>0</v>
      </c>
      <c r="N28" s="6"/>
      <c r="O28" s="295"/>
      <c r="P28" s="6"/>
      <c r="Q28" s="30"/>
      <c r="R28" s="6"/>
      <c r="S28" s="20">
        <v>606.98494054928403</v>
      </c>
      <c r="T28" s="6"/>
      <c r="U28" s="20">
        <f>AX28</f>
        <v>507.86031953152184</v>
      </c>
      <c r="V28" s="6"/>
      <c r="W28" s="20">
        <f t="shared" ref="W28:W62" si="0">S28-U28</f>
        <v>99.124621017762195</v>
      </c>
      <c r="X28" s="6"/>
      <c r="Y28" s="296">
        <f>+W28*1000/G28</f>
        <v>7.5437306710625718</v>
      </c>
      <c r="Z28" s="255"/>
      <c r="AB28" s="154">
        <f>$C$28</f>
        <v>2003</v>
      </c>
      <c r="AC28" s="124"/>
      <c r="AD28" s="159">
        <f t="shared" ref="AD28:AD62" si="1">G28</f>
        <v>13140</v>
      </c>
      <c r="AE28" s="3"/>
      <c r="AF28" s="160">
        <f>$AF$15*$AF$16*(1+$E$28)</f>
        <v>55.157812499999999</v>
      </c>
      <c r="AG28" s="297"/>
      <c r="AH28" s="160">
        <f>$AJ$11*(1+$E$28)</f>
        <v>6.7685964912280694</v>
      </c>
      <c r="AI28" s="297"/>
      <c r="AJ28" s="160">
        <f>$AJ$13*(1+$E$28)</f>
        <v>1.5812081628012731</v>
      </c>
      <c r="AK28" s="298"/>
      <c r="AL28" s="161">
        <f>((AF28+AH28)*$AF$11*1000+AJ28*AD28)/1000</f>
        <v>141.16606954638473</v>
      </c>
      <c r="AM28" s="3"/>
      <c r="AN28" s="162">
        <f>INDEX('(2.2)_Forward_Price_Curve'!$I:$I,MATCH($AB28,'(2.2)_Forward_Price_Curve'!$C:$C,0),1)</f>
        <v>3.7170731707317075</v>
      </c>
      <c r="AO28" s="310"/>
      <c r="AP28" s="162">
        <f>AN28*$AF$14/1000</f>
        <v>26.628148697301437</v>
      </c>
      <c r="AQ28" s="297"/>
      <c r="AR28" s="160">
        <f>$AJ$15*(1+$E$28)</f>
        <v>3.2278812526556337</v>
      </c>
      <c r="AS28" s="160"/>
      <c r="AT28" s="161">
        <f t="shared" ref="AT28:AT62" si="2">AL28-BF28</f>
        <v>115.55208598908594</v>
      </c>
      <c r="AU28" s="298"/>
      <c r="AV28" s="161">
        <f t="shared" ref="AV28:AV62" si="3">(AP28+AR28)*AD28/1000</f>
        <v>392.30823354243591</v>
      </c>
      <c r="AW28" s="299"/>
      <c r="AX28" s="163">
        <f>AT28+AV28</f>
        <v>507.86031953152184</v>
      </c>
      <c r="AZ28" s="154">
        <f>$C$28</f>
        <v>2003</v>
      </c>
      <c r="BA28" s="124"/>
      <c r="BB28" s="160">
        <f>$BD$14*$BD$15*(1+$E$28)</f>
        <v>47.379394999999995</v>
      </c>
      <c r="BC28" s="3"/>
      <c r="BD28" s="160">
        <f>$BB$16*(1+$E$28)</f>
        <v>10.30125</v>
      </c>
      <c r="BE28" s="297"/>
      <c r="BF28" s="161">
        <f>(BB28+BD28)*$BD$11</f>
        <v>25.613983557298798</v>
      </c>
      <c r="BG28" s="297"/>
      <c r="BH28" s="164"/>
    </row>
    <row r="29" spans="1:60" ht="12">
      <c r="B29" s="2"/>
      <c r="C29" s="6">
        <f>+IF(C28&gt;$G$13+$G$14,XX,C28+1)</f>
        <v>2004</v>
      </c>
      <c r="D29" s="6"/>
      <c r="E29" s="292">
        <f>E28</f>
        <v>2.5000000000000001E-2</v>
      </c>
      <c r="F29" s="6"/>
      <c r="G29" s="20">
        <f>$G$28</f>
        <v>13140</v>
      </c>
      <c r="H29" s="6"/>
      <c r="I29" s="30">
        <f>I28*(1+$E29)</f>
        <v>159.52809334949134</v>
      </c>
      <c r="J29" s="6"/>
      <c r="K29" s="30">
        <f>K28*(1+$E29)</f>
        <v>0</v>
      </c>
      <c r="L29" s="6"/>
      <c r="M29" s="30">
        <f>M28*(1+$E29)</f>
        <v>0</v>
      </c>
      <c r="N29" s="6"/>
      <c r="O29" s="295"/>
      <c r="P29" s="6"/>
      <c r="Q29" s="30"/>
      <c r="R29" s="6"/>
      <c r="S29" s="20">
        <v>0</v>
      </c>
      <c r="T29" s="6"/>
      <c r="U29" s="20">
        <f t="shared" ref="U29:U62" si="4">AX29</f>
        <v>520.55682751980976</v>
      </c>
      <c r="V29" s="6"/>
      <c r="W29" s="20">
        <f t="shared" si="0"/>
        <v>-520.55682751980976</v>
      </c>
      <c r="X29" s="6"/>
      <c r="Y29" s="296">
        <f t="shared" ref="Y29:Y62" si="5">+W29*1000/G29</f>
        <v>-39.616196919315811</v>
      </c>
      <c r="Z29" s="255"/>
      <c r="AB29" s="154">
        <f>+IF(AB28&gt;$G$13+$G$14,XX,AB28+1)</f>
        <v>2004</v>
      </c>
      <c r="AC29" s="124"/>
      <c r="AD29" s="159">
        <f t="shared" si="1"/>
        <v>13140</v>
      </c>
      <c r="AE29" s="3"/>
      <c r="AF29" s="162">
        <f>AF28*(1+$E29)</f>
        <v>56.536757812499992</v>
      </c>
      <c r="AG29" s="3"/>
      <c r="AH29" s="162">
        <f>AH28*(1+$E29)</f>
        <v>6.9378114035087703</v>
      </c>
      <c r="AI29" s="3"/>
      <c r="AJ29" s="162">
        <f>AJ28*(1+$E29)</f>
        <v>1.6207383668713047</v>
      </c>
      <c r="AK29" s="3"/>
      <c r="AL29" s="161">
        <f t="shared" ref="AL29:AL62" si="6">((AF29+AH29)*$AF$11*1000+AJ29*AD29)/1000</f>
        <v>144.69522128504434</v>
      </c>
      <c r="AM29" s="3"/>
      <c r="AN29" s="162">
        <f>INDEX('(2.2)_Forward_Price_Curve'!$I:$I,MATCH($AB29,'(2.2)_Forward_Price_Curve'!$C:$C,0),1)</f>
        <v>3.81</v>
      </c>
      <c r="AO29" s="3"/>
      <c r="AP29" s="162">
        <f t="shared" ref="AP29:AP62" si="7">AN29*$AF$14/1000</f>
        <v>27.293852414733969</v>
      </c>
      <c r="AQ29" s="3"/>
      <c r="AR29" s="162">
        <f>AR28*(1+$E29)</f>
        <v>3.3085782839720244</v>
      </c>
      <c r="AS29" s="162"/>
      <c r="AT29" s="161">
        <f t="shared" si="2"/>
        <v>118.44088813881308</v>
      </c>
      <c r="AU29" s="3"/>
      <c r="AV29" s="161">
        <f t="shared" si="3"/>
        <v>402.11593938099674</v>
      </c>
      <c r="AW29" s="299"/>
      <c r="AX29" s="163">
        <f t="shared" ref="AX29:AX62" si="8">AT29+AV29</f>
        <v>520.55682751980976</v>
      </c>
      <c r="AZ29" s="154">
        <f>+IF(AZ28&gt;$G$13+$G$14,XX,AZ28+1)</f>
        <v>2004</v>
      </c>
      <c r="BA29" s="124"/>
      <c r="BB29" s="162">
        <f>BB28*(1+$E29)</f>
        <v>48.563879874999991</v>
      </c>
      <c r="BC29" s="3"/>
      <c r="BD29" s="162">
        <f>BD28*(1+$E29)</f>
        <v>10.558781249999999</v>
      </c>
      <c r="BE29" s="3"/>
      <c r="BF29" s="161">
        <f t="shared" ref="BF29:BF62" si="9">(BB29+BD29)*$BD$11</f>
        <v>26.254333146231268</v>
      </c>
      <c r="BG29" s="3"/>
      <c r="BH29" s="165"/>
    </row>
    <row r="30" spans="1:60" ht="12">
      <c r="B30" s="2"/>
      <c r="C30" s="6">
        <f>+IF(C29&gt;$G$13+$G$14,XX,C29+1)</f>
        <v>2005</v>
      </c>
      <c r="D30" s="6"/>
      <c r="E30" s="292">
        <f t="shared" ref="E30:E62" si="10">E29</f>
        <v>2.5000000000000001E-2</v>
      </c>
      <c r="F30" s="6"/>
      <c r="G30" s="20">
        <f t="shared" ref="G30:G62" si="11">$G$28</f>
        <v>13140</v>
      </c>
      <c r="H30" s="6"/>
      <c r="I30" s="30">
        <f>I29*(1+$E30)</f>
        <v>163.51629568322861</v>
      </c>
      <c r="J30" s="6"/>
      <c r="K30" s="30">
        <f t="shared" ref="K30:K62" si="12">K29*(1+$E30)</f>
        <v>0</v>
      </c>
      <c r="L30" s="6"/>
      <c r="M30" s="30">
        <f t="shared" ref="M30:M62" si="13">M29*(1+$E30)</f>
        <v>0</v>
      </c>
      <c r="N30" s="6"/>
      <c r="O30" s="295"/>
      <c r="P30" s="6"/>
      <c r="Q30" s="30"/>
      <c r="R30" s="6"/>
      <c r="S30" s="20">
        <v>0</v>
      </c>
      <c r="T30" s="6"/>
      <c r="U30" s="20">
        <f t="shared" si="4"/>
        <v>538.72445078915564</v>
      </c>
      <c r="V30" s="6"/>
      <c r="W30" s="20">
        <f t="shared" si="0"/>
        <v>-538.72445078915564</v>
      </c>
      <c r="X30" s="6"/>
      <c r="Y30" s="296">
        <f t="shared" si="5"/>
        <v>-40.998816650620675</v>
      </c>
      <c r="Z30" s="255"/>
      <c r="AB30" s="154">
        <f>+IF(AB29&gt;$G$13+$G$14,XX,AB29+1)</f>
        <v>2005</v>
      </c>
      <c r="AC30" s="124"/>
      <c r="AD30" s="159">
        <f t="shared" si="1"/>
        <v>13140</v>
      </c>
      <c r="AE30" s="3"/>
      <c r="AF30" s="162">
        <f t="shared" ref="AF30:AF62" si="14">AF29*(1+$E30)</f>
        <v>57.950176757812486</v>
      </c>
      <c r="AG30" s="3"/>
      <c r="AH30" s="162">
        <f t="shared" ref="AH30:AH62" si="15">AH29*(1+$E30)</f>
        <v>7.1112566885964892</v>
      </c>
      <c r="AI30" s="3"/>
      <c r="AJ30" s="162">
        <f t="shared" ref="AJ30:AJ62" si="16">AJ29*(1+$E30)</f>
        <v>1.6612568260430871</v>
      </c>
      <c r="AK30" s="3"/>
      <c r="AL30" s="161">
        <f t="shared" si="6"/>
        <v>148.31260181717045</v>
      </c>
      <c r="AM30" s="3"/>
      <c r="AN30" s="162">
        <f>INDEX('(2.2)_Forward_Price_Curve'!$I:$I,MATCH($AB30,'(2.2)_Forward_Price_Curve'!$C:$C,0),1)</f>
        <v>3.96</v>
      </c>
      <c r="AO30" s="3"/>
      <c r="AP30" s="162">
        <f t="shared" si="7"/>
        <v>28.368413533424281</v>
      </c>
      <c r="AQ30" s="3"/>
      <c r="AR30" s="162">
        <f t="shared" ref="AR30:AR62" si="17">AR29*(1+$E30)</f>
        <v>3.3912927410713247</v>
      </c>
      <c r="AS30" s="162"/>
      <c r="AT30" s="161">
        <f t="shared" si="2"/>
        <v>121.4019103422834</v>
      </c>
      <c r="AU30" s="3"/>
      <c r="AV30" s="161">
        <f t="shared" si="3"/>
        <v>417.32254044687227</v>
      </c>
      <c r="AW30" s="299"/>
      <c r="AX30" s="163">
        <f t="shared" si="8"/>
        <v>538.72445078915564</v>
      </c>
      <c r="AZ30" s="154">
        <f>+IF(AZ29&gt;$G$13+$G$14,XX,AZ29+1)</f>
        <v>2005</v>
      </c>
      <c r="BA30" s="124"/>
      <c r="BB30" s="162">
        <f t="shared" ref="BB30:BB62" si="18">BB29*(1+$E30)</f>
        <v>49.777976871874984</v>
      </c>
      <c r="BC30" s="3"/>
      <c r="BD30" s="162">
        <f t="shared" ref="BD30:BD62" si="19">BD29*(1+$E30)</f>
        <v>10.822750781249999</v>
      </c>
      <c r="BE30" s="3"/>
      <c r="BF30" s="161">
        <f t="shared" si="9"/>
        <v>26.910691474887045</v>
      </c>
      <c r="BG30" s="3"/>
      <c r="BH30" s="165"/>
    </row>
    <row r="31" spans="1:60" ht="12">
      <c r="B31" s="2"/>
      <c r="C31" s="6">
        <f>+IF(C30&gt;$G$13+$G$14,XX,C30+1)</f>
        <v>2006</v>
      </c>
      <c r="D31" s="6"/>
      <c r="E31" s="292">
        <f t="shared" si="10"/>
        <v>2.5000000000000001E-2</v>
      </c>
      <c r="F31" s="6"/>
      <c r="G31" s="20">
        <f t="shared" si="11"/>
        <v>13140</v>
      </c>
      <c r="H31" s="6"/>
      <c r="I31" s="30">
        <f t="shared" ref="I31:I62" si="20">I30*(1+$E31)</f>
        <v>167.6042030753093</v>
      </c>
      <c r="J31" s="6"/>
      <c r="K31" s="30">
        <f t="shared" si="12"/>
        <v>0</v>
      </c>
      <c r="L31" s="6"/>
      <c r="M31" s="30">
        <f t="shared" si="13"/>
        <v>0</v>
      </c>
      <c r="N31" s="6"/>
      <c r="O31" s="295"/>
      <c r="P31" s="6"/>
      <c r="Q31" s="30"/>
      <c r="R31" s="6"/>
      <c r="S31" s="20">
        <v>0</v>
      </c>
      <c r="T31" s="6"/>
      <c r="U31" s="20">
        <f t="shared" si="4"/>
        <v>546.63880037304557</v>
      </c>
      <c r="V31" s="6"/>
      <c r="W31" s="20">
        <f t="shared" si="0"/>
        <v>-546.63880037304557</v>
      </c>
      <c r="X31" s="6"/>
      <c r="Y31" s="296">
        <f t="shared" si="5"/>
        <v>-41.601126360201341</v>
      </c>
      <c r="Z31" s="255"/>
      <c r="AB31" s="154">
        <f>+IF(AB30&gt;$G$13+$G$14,XX,AB30+1)</f>
        <v>2006</v>
      </c>
      <c r="AC31" s="124"/>
      <c r="AD31" s="159">
        <f t="shared" si="1"/>
        <v>13140</v>
      </c>
      <c r="AE31" s="3"/>
      <c r="AF31" s="162">
        <f t="shared" si="14"/>
        <v>59.398931176757792</v>
      </c>
      <c r="AG31" s="3"/>
      <c r="AH31" s="162">
        <f t="shared" si="15"/>
        <v>7.2890381058114011</v>
      </c>
      <c r="AI31" s="3"/>
      <c r="AJ31" s="162">
        <f t="shared" si="16"/>
        <v>1.7027882466941642</v>
      </c>
      <c r="AK31" s="3"/>
      <c r="AL31" s="161">
        <f t="shared" si="6"/>
        <v>152.02041686259969</v>
      </c>
      <c r="AM31" s="3"/>
      <c r="AN31" s="162">
        <f>INDEX('(2.2)_Forward_Price_Curve'!$I:$I,MATCH($AB31,'(2.2)_Forward_Price_Curve'!$C:$C,0),1)</f>
        <v>4</v>
      </c>
      <c r="AO31" s="3"/>
      <c r="AP31" s="162">
        <f t="shared" si="7"/>
        <v>28.654963165075035</v>
      </c>
      <c r="AQ31" s="3"/>
      <c r="AR31" s="162">
        <f t="shared" si="17"/>
        <v>3.4760750595981076</v>
      </c>
      <c r="AS31" s="162"/>
      <c r="AT31" s="161">
        <f t="shared" si="2"/>
        <v>124.43695810084047</v>
      </c>
      <c r="AU31" s="3"/>
      <c r="AV31" s="161">
        <f t="shared" si="3"/>
        <v>422.20184227220506</v>
      </c>
      <c r="AW31" s="299"/>
      <c r="AX31" s="163">
        <f t="shared" si="8"/>
        <v>546.63880037304557</v>
      </c>
      <c r="AZ31" s="154">
        <f>+IF(AZ30&gt;$G$13+$G$14,XX,AZ30+1)</f>
        <v>2006</v>
      </c>
      <c r="BA31" s="124"/>
      <c r="BB31" s="162">
        <f t="shared" si="18"/>
        <v>51.022426293671856</v>
      </c>
      <c r="BC31" s="3"/>
      <c r="BD31" s="162">
        <f t="shared" si="19"/>
        <v>11.093319550781247</v>
      </c>
      <c r="BE31" s="3"/>
      <c r="BF31" s="161">
        <f t="shared" si="9"/>
        <v>27.583458761759218</v>
      </c>
      <c r="BG31" s="3"/>
      <c r="BH31" s="165"/>
    </row>
    <row r="32" spans="1:60" ht="12">
      <c r="B32" s="2"/>
      <c r="C32" s="6">
        <f>+IF(C31&gt;$G$13+$G$14,XX,C31+1)</f>
        <v>2007</v>
      </c>
      <c r="D32" s="6"/>
      <c r="E32" s="292">
        <f t="shared" si="10"/>
        <v>2.5000000000000001E-2</v>
      </c>
      <c r="F32" s="6"/>
      <c r="G32" s="20">
        <f t="shared" si="11"/>
        <v>13140</v>
      </c>
      <c r="H32" s="6"/>
      <c r="I32" s="30">
        <f t="shared" si="20"/>
        <v>171.79430815219203</v>
      </c>
      <c r="J32" s="6"/>
      <c r="K32" s="30">
        <f t="shared" si="12"/>
        <v>0</v>
      </c>
      <c r="L32" s="6"/>
      <c r="M32" s="30">
        <f t="shared" si="13"/>
        <v>0</v>
      </c>
      <c r="N32" s="6"/>
      <c r="O32" s="295"/>
      <c r="P32" s="6"/>
      <c r="Q32" s="30"/>
      <c r="R32" s="6"/>
      <c r="S32" s="20">
        <v>0</v>
      </c>
      <c r="T32" s="6"/>
      <c r="U32" s="20">
        <f t="shared" si="4"/>
        <v>571.6005568620443</v>
      </c>
      <c r="V32" s="6"/>
      <c r="W32" s="20">
        <f t="shared" si="0"/>
        <v>-571.6005568620443</v>
      </c>
      <c r="X32" s="6"/>
      <c r="Y32" s="296">
        <f t="shared" si="5"/>
        <v>-43.500803414158618</v>
      </c>
      <c r="Z32" s="255"/>
      <c r="AB32" s="154">
        <f>+IF(AB31&gt;$G$13+$G$14,XX,AB31+1)</f>
        <v>2007</v>
      </c>
      <c r="AC32" s="124"/>
      <c r="AD32" s="159">
        <f t="shared" si="1"/>
        <v>13140</v>
      </c>
      <c r="AE32" s="3"/>
      <c r="AF32" s="162">
        <f t="shared" si="14"/>
        <v>60.88390445617673</v>
      </c>
      <c r="AG32" s="3"/>
      <c r="AH32" s="162">
        <f t="shared" si="15"/>
        <v>7.4712640584566854</v>
      </c>
      <c r="AI32" s="3"/>
      <c r="AJ32" s="162">
        <f t="shared" si="16"/>
        <v>1.7453579528615182</v>
      </c>
      <c r="AK32" s="3"/>
      <c r="AL32" s="161">
        <f t="shared" si="6"/>
        <v>155.82092728416467</v>
      </c>
      <c r="AM32" s="3"/>
      <c r="AN32" s="162">
        <f>INDEX('(2.2)_Forward_Price_Curve'!$I:$I,MATCH($AB32,'(2.2)_Forward_Price_Curve'!$C:$C,0),1)</f>
        <v>4.22</v>
      </c>
      <c r="AO32" s="3"/>
      <c r="AP32" s="162">
        <f t="shared" si="7"/>
        <v>30.230986139154162</v>
      </c>
      <c r="AQ32" s="3"/>
      <c r="AR32" s="162">
        <f t="shared" si="17"/>
        <v>3.5629769360880599</v>
      </c>
      <c r="AS32" s="162"/>
      <c r="AT32" s="161">
        <f t="shared" si="2"/>
        <v>127.54788205336148</v>
      </c>
      <c r="AU32" s="3"/>
      <c r="AV32" s="161">
        <f t="shared" si="3"/>
        <v>444.05267480868281</v>
      </c>
      <c r="AW32" s="299"/>
      <c r="AX32" s="163">
        <f t="shared" si="8"/>
        <v>571.6005568620443</v>
      </c>
      <c r="AZ32" s="154">
        <f>+IF(AZ31&gt;$G$13+$G$14,XX,AZ31+1)</f>
        <v>2007</v>
      </c>
      <c r="BA32" s="124"/>
      <c r="BB32" s="162">
        <f t="shared" si="18"/>
        <v>52.297986951013648</v>
      </c>
      <c r="BC32" s="3"/>
      <c r="BD32" s="162">
        <f t="shared" si="19"/>
        <v>11.370652539550777</v>
      </c>
      <c r="BE32" s="3"/>
      <c r="BF32" s="161">
        <f t="shared" si="9"/>
        <v>28.273045230803195</v>
      </c>
      <c r="BG32" s="3"/>
      <c r="BH32" s="165"/>
    </row>
    <row r="33" spans="2:60" ht="12">
      <c r="B33" s="2"/>
      <c r="C33" s="6">
        <f>+IF(C32&gt;$G$13+$G$14,XX,C32+1)</f>
        <v>2008</v>
      </c>
      <c r="D33" s="6"/>
      <c r="E33" s="292">
        <f t="shared" si="10"/>
        <v>2.5000000000000001E-2</v>
      </c>
      <c r="F33" s="6"/>
      <c r="G33" s="20">
        <f t="shared" si="11"/>
        <v>13140</v>
      </c>
      <c r="H33" s="6"/>
      <c r="I33" s="30">
        <f t="shared" si="20"/>
        <v>176.08916585599681</v>
      </c>
      <c r="J33" s="6"/>
      <c r="K33" s="30">
        <f t="shared" si="12"/>
        <v>0</v>
      </c>
      <c r="L33" s="6"/>
      <c r="M33" s="30">
        <f t="shared" si="13"/>
        <v>0</v>
      </c>
      <c r="N33" s="6"/>
      <c r="O33" s="295"/>
      <c r="P33" s="6"/>
      <c r="Q33" s="30"/>
      <c r="R33" s="6"/>
      <c r="S33" s="20">
        <v>0</v>
      </c>
      <c r="T33" s="6"/>
      <c r="U33" s="20">
        <f t="shared" si="4"/>
        <v>594.78600263633746</v>
      </c>
      <c r="V33" s="6"/>
      <c r="W33" s="20">
        <f t="shared" si="0"/>
        <v>-594.78600263633746</v>
      </c>
      <c r="X33" s="6"/>
      <c r="Y33" s="296">
        <f t="shared" si="5"/>
        <v>-45.265297004287476</v>
      </c>
      <c r="Z33" s="255"/>
      <c r="AB33" s="154">
        <f>+IF(AB32&gt;$G$13+$G$14,XX,AB32+1)</f>
        <v>2008</v>
      </c>
      <c r="AC33" s="124"/>
      <c r="AD33" s="159">
        <f t="shared" si="1"/>
        <v>13140</v>
      </c>
      <c r="AE33" s="3"/>
      <c r="AF33" s="162">
        <f t="shared" si="14"/>
        <v>62.406002067581142</v>
      </c>
      <c r="AG33" s="3"/>
      <c r="AH33" s="162">
        <f t="shared" si="15"/>
        <v>7.6580456599181019</v>
      </c>
      <c r="AI33" s="3"/>
      <c r="AJ33" s="162">
        <f t="shared" si="16"/>
        <v>1.788991901683056</v>
      </c>
      <c r="AK33" s="3"/>
      <c r="AL33" s="161">
        <f t="shared" si="6"/>
        <v>159.71645046626878</v>
      </c>
      <c r="AM33" s="3"/>
      <c r="AN33" s="162">
        <f>INDEX('(2.2)_Forward_Price_Curve'!$I:$I,MATCH($AB33,'(2.2)_Forward_Price_Curve'!$C:$C,0),1)</f>
        <v>4.42</v>
      </c>
      <c r="AO33" s="3"/>
      <c r="AP33" s="162">
        <f t="shared" si="7"/>
        <v>31.66373429740791</v>
      </c>
      <c r="AQ33" s="3"/>
      <c r="AR33" s="162">
        <f t="shared" si="17"/>
        <v>3.6520513594902613</v>
      </c>
      <c r="AS33" s="162"/>
      <c r="AT33" s="161">
        <f t="shared" si="2"/>
        <v>130.73657910469552</v>
      </c>
      <c r="AU33" s="3"/>
      <c r="AV33" s="161">
        <f t="shared" si="3"/>
        <v>464.04942353164193</v>
      </c>
      <c r="AW33" s="299"/>
      <c r="AX33" s="163">
        <f t="shared" si="8"/>
        <v>594.78600263633746</v>
      </c>
      <c r="AZ33" s="154">
        <f>+IF(AZ32&gt;$G$13+$G$14,XX,AZ32+1)</f>
        <v>2008</v>
      </c>
      <c r="BA33" s="124"/>
      <c r="BB33" s="162">
        <f t="shared" si="18"/>
        <v>53.605436624788986</v>
      </c>
      <c r="BC33" s="3"/>
      <c r="BD33" s="162">
        <f t="shared" si="19"/>
        <v>11.654918853039545</v>
      </c>
      <c r="BE33" s="3"/>
      <c r="BF33" s="161">
        <f t="shared" si="9"/>
        <v>28.979871361573274</v>
      </c>
      <c r="BG33" s="3"/>
      <c r="BH33" s="165"/>
    </row>
    <row r="34" spans="2:60" ht="12">
      <c r="B34" s="2"/>
      <c r="C34" s="6">
        <f>+IF(C33&gt;$G$13+$G$14,XX,C33+1)</f>
        <v>2009</v>
      </c>
      <c r="D34" s="6"/>
      <c r="E34" s="292">
        <f t="shared" si="10"/>
        <v>2.5000000000000001E-2</v>
      </c>
      <c r="F34" s="6"/>
      <c r="G34" s="20">
        <f t="shared" si="11"/>
        <v>13140</v>
      </c>
      <c r="H34" s="6"/>
      <c r="I34" s="30">
        <f t="shared" si="20"/>
        <v>180.49139500239673</v>
      </c>
      <c r="J34" s="6"/>
      <c r="K34" s="30">
        <f t="shared" si="12"/>
        <v>0</v>
      </c>
      <c r="L34" s="6"/>
      <c r="M34" s="30">
        <f t="shared" si="13"/>
        <v>0</v>
      </c>
      <c r="N34" s="6"/>
      <c r="O34" s="295"/>
      <c r="P34" s="6"/>
      <c r="Q34" s="30"/>
      <c r="R34" s="6"/>
      <c r="S34" s="20">
        <v>0</v>
      </c>
      <c r="T34" s="6"/>
      <c r="U34" s="20">
        <f t="shared" si="4"/>
        <v>587.01701396590204</v>
      </c>
      <c r="V34" s="6"/>
      <c r="W34" s="20">
        <f t="shared" si="0"/>
        <v>-587.01701396590204</v>
      </c>
      <c r="X34" s="6"/>
      <c r="Y34" s="296">
        <f t="shared" si="5"/>
        <v>-44.674049769094523</v>
      </c>
      <c r="Z34" s="255"/>
      <c r="AB34" s="154">
        <f>+IF(AB33&gt;$G$13+$G$14,XX,AB33+1)</f>
        <v>2009</v>
      </c>
      <c r="AC34" s="124"/>
      <c r="AD34" s="159">
        <f t="shared" si="1"/>
        <v>13140</v>
      </c>
      <c r="AE34" s="3"/>
      <c r="AF34" s="162">
        <f t="shared" si="14"/>
        <v>63.966152119270667</v>
      </c>
      <c r="AG34" s="3"/>
      <c r="AH34" s="162">
        <f t="shared" si="15"/>
        <v>7.8494968014160538</v>
      </c>
      <c r="AI34" s="3"/>
      <c r="AJ34" s="162">
        <f t="shared" si="16"/>
        <v>1.8337166992251321</v>
      </c>
      <c r="AK34" s="3"/>
      <c r="AL34" s="161">
        <f t="shared" si="6"/>
        <v>163.70936172792548</v>
      </c>
      <c r="AM34" s="3"/>
      <c r="AN34" s="162">
        <f>INDEX('(2.2)_Forward_Price_Curve'!$I:$I,MATCH($AB34,'(2.2)_Forward_Price_Curve'!$C:$C,0),1)</f>
        <v>4.29</v>
      </c>
      <c r="AO34" s="3"/>
      <c r="AP34" s="162">
        <f t="shared" si="7"/>
        <v>30.732447994542973</v>
      </c>
      <c r="AQ34" s="3"/>
      <c r="AR34" s="162">
        <f t="shared" si="17"/>
        <v>3.7433526434775173</v>
      </c>
      <c r="AS34" s="162"/>
      <c r="AT34" s="161">
        <f t="shared" si="2"/>
        <v>134.00499358231289</v>
      </c>
      <c r="AU34" s="3"/>
      <c r="AV34" s="161">
        <f t="shared" si="3"/>
        <v>453.01202038358917</v>
      </c>
      <c r="AW34" s="299"/>
      <c r="AX34" s="163">
        <f t="shared" si="8"/>
        <v>587.01701396590204</v>
      </c>
      <c r="AZ34" s="154">
        <f>+IF(AZ33&gt;$G$13+$G$14,XX,AZ33+1)</f>
        <v>2009</v>
      </c>
      <c r="BA34" s="124"/>
      <c r="BB34" s="162">
        <f t="shared" si="18"/>
        <v>54.945572540408705</v>
      </c>
      <c r="BC34" s="3"/>
      <c r="BD34" s="162">
        <f t="shared" si="19"/>
        <v>11.946291824365533</v>
      </c>
      <c r="BE34" s="3"/>
      <c r="BF34" s="161">
        <f t="shared" si="9"/>
        <v>29.704368145612602</v>
      </c>
      <c r="BG34" s="3"/>
      <c r="BH34" s="165"/>
    </row>
    <row r="35" spans="2:60" ht="12">
      <c r="B35" s="2"/>
      <c r="C35" s="6">
        <f>+IF(C34&gt;$G$13+$G$14,XX,C34+1)</f>
        <v>2010</v>
      </c>
      <c r="D35" s="6"/>
      <c r="E35" s="292">
        <f t="shared" si="10"/>
        <v>2.5000000000000001E-2</v>
      </c>
      <c r="F35" s="6"/>
      <c r="G35" s="20">
        <f t="shared" si="11"/>
        <v>13140</v>
      </c>
      <c r="H35" s="6"/>
      <c r="I35" s="30">
        <f t="shared" si="20"/>
        <v>185.00367987745662</v>
      </c>
      <c r="J35" s="6"/>
      <c r="K35" s="30">
        <f t="shared" si="12"/>
        <v>0</v>
      </c>
      <c r="L35" s="6"/>
      <c r="M35" s="30">
        <f t="shared" si="13"/>
        <v>0</v>
      </c>
      <c r="N35" s="6"/>
      <c r="O35" s="295"/>
      <c r="P35" s="6"/>
      <c r="Q35" s="30"/>
      <c r="R35" s="6"/>
      <c r="S35" s="20">
        <v>0</v>
      </c>
      <c r="T35" s="6"/>
      <c r="U35" s="20">
        <f t="shared" si="4"/>
        <v>542.64842207026118</v>
      </c>
      <c r="V35" s="6"/>
      <c r="W35" s="20">
        <f t="shared" si="0"/>
        <v>-542.64842207026118</v>
      </c>
      <c r="X35" s="6"/>
      <c r="Y35" s="296">
        <f t="shared" si="5"/>
        <v>-41.297444601998571</v>
      </c>
      <c r="Z35" s="255"/>
      <c r="AB35" s="154">
        <f>+IF(AB34&gt;$G$13+$G$14,XX,AB34+1)</f>
        <v>2010</v>
      </c>
      <c r="AC35" s="124"/>
      <c r="AD35" s="159">
        <f t="shared" si="1"/>
        <v>13140</v>
      </c>
      <c r="AE35" s="3"/>
      <c r="AF35" s="162">
        <f t="shared" si="14"/>
        <v>65.565305922252435</v>
      </c>
      <c r="AG35" s="3"/>
      <c r="AH35" s="162">
        <f t="shared" si="15"/>
        <v>8.045734221451454</v>
      </c>
      <c r="AI35" s="3"/>
      <c r="AJ35" s="162">
        <f t="shared" si="16"/>
        <v>1.8795596167057602</v>
      </c>
      <c r="AK35" s="3"/>
      <c r="AL35" s="161">
        <f t="shared" si="6"/>
        <v>167.80209577112359</v>
      </c>
      <c r="AM35" s="3"/>
      <c r="AN35" s="162">
        <f>INDEX('(2.2)_Forward_Price_Curve'!$I:$I,MATCH($AB35,'(2.2)_Forward_Price_Curve'!$C:$C,0),1)</f>
        <v>3.77</v>
      </c>
      <c r="AO35" s="3"/>
      <c r="AP35" s="162">
        <f t="shared" si="7"/>
        <v>27.007302783083222</v>
      </c>
      <c r="AQ35" s="3"/>
      <c r="AR35" s="162">
        <f t="shared" si="17"/>
        <v>3.8369364595644551</v>
      </c>
      <c r="AS35" s="162"/>
      <c r="AT35" s="161">
        <f t="shared" si="2"/>
        <v>137.35511842187066</v>
      </c>
      <c r="AU35" s="3"/>
      <c r="AV35" s="161">
        <f t="shared" si="3"/>
        <v>405.29330364839052</v>
      </c>
      <c r="AW35" s="299"/>
      <c r="AX35" s="163">
        <f t="shared" si="8"/>
        <v>542.64842207026118</v>
      </c>
      <c r="AZ35" s="154">
        <f>+IF(AZ34&gt;$G$13+$G$14,XX,AZ34+1)</f>
        <v>2010</v>
      </c>
      <c r="BA35" s="124"/>
      <c r="BB35" s="162">
        <f t="shared" si="18"/>
        <v>56.319211853918915</v>
      </c>
      <c r="BC35" s="3"/>
      <c r="BD35" s="162">
        <f t="shared" si="19"/>
        <v>12.24494911997467</v>
      </c>
      <c r="BE35" s="3"/>
      <c r="BF35" s="161">
        <f t="shared" si="9"/>
        <v>30.446977349252919</v>
      </c>
      <c r="BG35" s="3"/>
      <c r="BH35" s="165"/>
    </row>
    <row r="36" spans="2:60" ht="12">
      <c r="B36" s="2"/>
      <c r="C36" s="6">
        <f>+IF(C35&gt;$G$13+$G$14,XX,C35+1)</f>
        <v>2011</v>
      </c>
      <c r="D36" s="6"/>
      <c r="E36" s="292">
        <f t="shared" si="10"/>
        <v>2.5000000000000001E-2</v>
      </c>
      <c r="F36" s="6"/>
      <c r="G36" s="20">
        <f t="shared" si="11"/>
        <v>13140</v>
      </c>
      <c r="H36" s="6"/>
      <c r="I36" s="30">
        <f t="shared" si="20"/>
        <v>189.62877187439301</v>
      </c>
      <c r="J36" s="6"/>
      <c r="K36" s="30">
        <f t="shared" si="12"/>
        <v>0</v>
      </c>
      <c r="L36" s="6"/>
      <c r="M36" s="30">
        <f t="shared" si="13"/>
        <v>0</v>
      </c>
      <c r="N36" s="6"/>
      <c r="O36" s="295"/>
      <c r="P36" s="6"/>
      <c r="Q36" s="30"/>
      <c r="R36" s="6"/>
      <c r="S36" s="20">
        <v>0</v>
      </c>
      <c r="T36" s="6"/>
      <c r="U36" s="20">
        <f t="shared" si="4"/>
        <v>560.5211512173928</v>
      </c>
      <c r="V36" s="6"/>
      <c r="W36" s="20">
        <f t="shared" si="0"/>
        <v>-560.5211512173928</v>
      </c>
      <c r="X36" s="6"/>
      <c r="Y36" s="296">
        <f t="shared" si="5"/>
        <v>-42.657621858249065</v>
      </c>
      <c r="Z36" s="255"/>
      <c r="AB36" s="154">
        <f>+IF(AB35&gt;$G$13+$G$14,XX,AB35+1)</f>
        <v>2011</v>
      </c>
      <c r="AC36" s="124"/>
      <c r="AD36" s="159">
        <f t="shared" si="1"/>
        <v>13140</v>
      </c>
      <c r="AE36" s="3"/>
      <c r="AF36" s="162">
        <f t="shared" si="14"/>
        <v>67.204438570308739</v>
      </c>
      <c r="AG36" s="3"/>
      <c r="AH36" s="162">
        <f t="shared" si="15"/>
        <v>8.2468775769877389</v>
      </c>
      <c r="AI36" s="3"/>
      <c r="AJ36" s="162">
        <f t="shared" si="16"/>
        <v>1.9265486071234041</v>
      </c>
      <c r="AK36" s="3"/>
      <c r="AL36" s="161">
        <f t="shared" si="6"/>
        <v>171.99714816540168</v>
      </c>
      <c r="AM36" s="3"/>
      <c r="AN36" s="162">
        <f>INDEX('(2.2)_Forward_Price_Curve'!$I:$I,MATCH($AB36,'(2.2)_Forward_Price_Curve'!$C:$C,0),1)</f>
        <v>3.91</v>
      </c>
      <c r="AO36" s="3"/>
      <c r="AP36" s="162">
        <f t="shared" si="7"/>
        <v>28.010226493860845</v>
      </c>
      <c r="AQ36" s="3"/>
      <c r="AR36" s="162">
        <f t="shared" si="17"/>
        <v>3.9328598710535663</v>
      </c>
      <c r="AS36" s="162"/>
      <c r="AT36" s="161">
        <f t="shared" si="2"/>
        <v>140.78899638241745</v>
      </c>
      <c r="AU36" s="3"/>
      <c r="AV36" s="161">
        <f t="shared" si="3"/>
        <v>419.73215483497535</v>
      </c>
      <c r="AW36" s="299"/>
      <c r="AX36" s="163">
        <f t="shared" si="8"/>
        <v>560.5211512173928</v>
      </c>
      <c r="AZ36" s="154">
        <f>+IF(AZ35&gt;$G$13+$G$14,XX,AZ35+1)</f>
        <v>2011</v>
      </c>
      <c r="BA36" s="124"/>
      <c r="BB36" s="162">
        <f t="shared" si="18"/>
        <v>57.72719215026688</v>
      </c>
      <c r="BC36" s="3"/>
      <c r="BD36" s="162">
        <f t="shared" si="19"/>
        <v>12.551072847974035</v>
      </c>
      <c r="BE36" s="3"/>
      <c r="BF36" s="161">
        <f t="shared" si="9"/>
        <v>31.208151782984235</v>
      </c>
      <c r="BG36" s="3"/>
      <c r="BH36" s="165"/>
    </row>
    <row r="37" spans="2:60" ht="12">
      <c r="B37" s="2"/>
      <c r="C37" s="6">
        <f>+IF(C36&gt;$G$13+$G$14,XX,C36+1)</f>
        <v>2012</v>
      </c>
      <c r="D37" s="6"/>
      <c r="E37" s="292">
        <f t="shared" si="10"/>
        <v>2.5000000000000001E-2</v>
      </c>
      <c r="F37" s="6"/>
      <c r="G37" s="20">
        <f t="shared" si="11"/>
        <v>13140</v>
      </c>
      <c r="H37" s="6"/>
      <c r="I37" s="30">
        <f t="shared" si="20"/>
        <v>194.36949117125283</v>
      </c>
      <c r="J37" s="6"/>
      <c r="K37" s="30">
        <f t="shared" si="12"/>
        <v>0</v>
      </c>
      <c r="L37" s="6"/>
      <c r="M37" s="30">
        <f t="shared" si="13"/>
        <v>0</v>
      </c>
      <c r="N37" s="6"/>
      <c r="O37" s="295"/>
      <c r="P37" s="6"/>
      <c r="Q37" s="30"/>
      <c r="R37" s="6"/>
      <c r="S37" s="20">
        <v>0</v>
      </c>
      <c r="T37" s="6"/>
      <c r="U37" s="20">
        <f t="shared" si="4"/>
        <v>611.45728205325747</v>
      </c>
      <c r="V37" s="6"/>
      <c r="W37" s="20">
        <f t="shared" si="0"/>
        <v>-611.45728205325747</v>
      </c>
      <c r="X37" s="6"/>
      <c r="Y37" s="296">
        <f t="shared" si="5"/>
        <v>-46.53403973008048</v>
      </c>
      <c r="Z37" s="255"/>
      <c r="AB37" s="154">
        <f>+IF(AB36&gt;$G$13+$G$14,XX,AB36+1)</f>
        <v>2012</v>
      </c>
      <c r="AC37" s="124"/>
      <c r="AD37" s="159">
        <f t="shared" si="1"/>
        <v>13140</v>
      </c>
      <c r="AE37" s="3"/>
      <c r="AF37" s="162">
        <f t="shared" si="14"/>
        <v>68.884549534566446</v>
      </c>
      <c r="AG37" s="3"/>
      <c r="AH37" s="162">
        <f t="shared" si="15"/>
        <v>8.4530495164124311</v>
      </c>
      <c r="AI37" s="3"/>
      <c r="AJ37" s="162">
        <f t="shared" si="16"/>
        <v>1.9747123223014891</v>
      </c>
      <c r="AK37" s="3"/>
      <c r="AL37" s="161">
        <f t="shared" si="6"/>
        <v>176.29707686953668</v>
      </c>
      <c r="AM37" s="3"/>
      <c r="AN37" s="162">
        <f>INDEX('(2.2)_Forward_Price_Curve'!$I:$I,MATCH($AB37,'(2.2)_Forward_Price_Curve'!$C:$C,0),1)</f>
        <v>4.4000000000000004</v>
      </c>
      <c r="AO37" s="3"/>
      <c r="AP37" s="162">
        <f t="shared" si="7"/>
        <v>31.520459481582542</v>
      </c>
      <c r="AQ37" s="3"/>
      <c r="AR37" s="162">
        <f t="shared" si="17"/>
        <v>4.0311813678299053</v>
      </c>
      <c r="AS37" s="162"/>
      <c r="AT37" s="161">
        <f t="shared" si="2"/>
        <v>144.30872129197783</v>
      </c>
      <c r="AU37" s="3"/>
      <c r="AV37" s="161">
        <f t="shared" si="3"/>
        <v>467.14856076127961</v>
      </c>
      <c r="AW37" s="299"/>
      <c r="AX37" s="163">
        <f t="shared" si="8"/>
        <v>611.45728205325747</v>
      </c>
      <c r="AZ37" s="154">
        <f>+IF(AZ36&gt;$G$13+$G$14,XX,AZ36+1)</f>
        <v>2012</v>
      </c>
      <c r="BA37" s="124"/>
      <c r="BB37" s="162">
        <f t="shared" si="18"/>
        <v>59.170371954023544</v>
      </c>
      <c r="BC37" s="3"/>
      <c r="BD37" s="162">
        <f t="shared" si="19"/>
        <v>12.864849669173385</v>
      </c>
      <c r="BE37" s="3"/>
      <c r="BF37" s="161">
        <f t="shared" si="9"/>
        <v>31.988355577558838</v>
      </c>
      <c r="BG37" s="3"/>
      <c r="BH37" s="165"/>
    </row>
    <row r="38" spans="2:60" ht="12">
      <c r="B38" s="2"/>
      <c r="C38" s="6">
        <f>+IF(C37&gt;$G$13+$G$14,XX,C37+1)</f>
        <v>2013</v>
      </c>
      <c r="D38" s="6"/>
      <c r="E38" s="292">
        <f t="shared" si="10"/>
        <v>2.5000000000000001E-2</v>
      </c>
      <c r="F38" s="6"/>
      <c r="G38" s="20">
        <f t="shared" si="11"/>
        <v>13140</v>
      </c>
      <c r="H38" s="6"/>
      <c r="I38" s="30">
        <f t="shared" si="20"/>
        <v>199.22872845053413</v>
      </c>
      <c r="J38" s="6"/>
      <c r="K38" s="30">
        <f t="shared" si="12"/>
        <v>0</v>
      </c>
      <c r="L38" s="6"/>
      <c r="M38" s="30">
        <f t="shared" si="13"/>
        <v>0</v>
      </c>
      <c r="N38" s="6"/>
      <c r="O38" s="295"/>
      <c r="P38" s="6"/>
      <c r="Q38" s="30"/>
      <c r="R38" s="6"/>
      <c r="S38" s="20">
        <v>0</v>
      </c>
      <c r="T38" s="6"/>
      <c r="U38" s="20">
        <f t="shared" si="4"/>
        <v>638.98081612423414</v>
      </c>
      <c r="V38" s="6"/>
      <c r="W38" s="20">
        <f t="shared" si="0"/>
        <v>-638.98081612423414</v>
      </c>
      <c r="X38" s="6"/>
      <c r="Y38" s="296">
        <f t="shared" si="5"/>
        <v>-48.628677026197423</v>
      </c>
      <c r="Z38" s="255"/>
      <c r="AB38" s="154">
        <f>+IF(AB37&gt;$G$13+$G$14,XX,AB37+1)</f>
        <v>2013</v>
      </c>
      <c r="AC38" s="124"/>
      <c r="AD38" s="159">
        <f t="shared" si="1"/>
        <v>13140</v>
      </c>
      <c r="AE38" s="3"/>
      <c r="AF38" s="162">
        <f t="shared" si="14"/>
        <v>70.606663272930604</v>
      </c>
      <c r="AG38" s="3"/>
      <c r="AH38" s="162">
        <f t="shared" si="15"/>
        <v>8.6643757543227409</v>
      </c>
      <c r="AI38" s="3"/>
      <c r="AJ38" s="162">
        <f t="shared" si="16"/>
        <v>2.0240801303590263</v>
      </c>
      <c r="AK38" s="3"/>
      <c r="AL38" s="161">
        <f t="shared" si="6"/>
        <v>180.7045037912751</v>
      </c>
      <c r="AM38" s="3"/>
      <c r="AN38" s="162">
        <f>INDEX('(2.2)_Forward_Price_Curve'!$I:$I,MATCH($AB38,'(2.2)_Forward_Price_Curve'!$C:$C,0),1)</f>
        <v>4.6399999999999997</v>
      </c>
      <c r="AO38" s="3"/>
      <c r="AP38" s="162">
        <f t="shared" si="7"/>
        <v>33.239757271487044</v>
      </c>
      <c r="AQ38" s="3"/>
      <c r="AR38" s="162">
        <f t="shared" si="17"/>
        <v>4.1319609020256527</v>
      </c>
      <c r="AS38" s="162"/>
      <c r="AT38" s="161">
        <f t="shared" si="2"/>
        <v>147.91643932427729</v>
      </c>
      <c r="AU38" s="3"/>
      <c r="AV38" s="161">
        <f t="shared" si="3"/>
        <v>491.06437679995685</v>
      </c>
      <c r="AW38" s="299"/>
      <c r="AX38" s="163">
        <f t="shared" si="8"/>
        <v>638.98081612423414</v>
      </c>
      <c r="AZ38" s="154">
        <f>+IF(AZ37&gt;$G$13+$G$14,XX,AZ37+1)</f>
        <v>2013</v>
      </c>
      <c r="BA38" s="124"/>
      <c r="BB38" s="162">
        <f t="shared" si="18"/>
        <v>60.64963125287413</v>
      </c>
      <c r="BC38" s="3"/>
      <c r="BD38" s="162">
        <f t="shared" si="19"/>
        <v>13.186470910902719</v>
      </c>
      <c r="BE38" s="3"/>
      <c r="BF38" s="161">
        <f t="shared" si="9"/>
        <v>32.788064466997803</v>
      </c>
      <c r="BG38" s="3"/>
      <c r="BH38" s="165"/>
    </row>
    <row r="39" spans="2:60" ht="12">
      <c r="B39" s="2"/>
      <c r="C39" s="6">
        <f>+IF(C38&gt;$G$13+$G$14,XX,C38+1)</f>
        <v>2014</v>
      </c>
      <c r="D39" s="6"/>
      <c r="E39" s="292">
        <f t="shared" si="10"/>
        <v>2.5000000000000001E-2</v>
      </c>
      <c r="F39" s="6"/>
      <c r="G39" s="20">
        <f t="shared" si="11"/>
        <v>13140</v>
      </c>
      <c r="H39" s="6"/>
      <c r="I39" s="30">
        <f t="shared" si="20"/>
        <v>204.20944666179747</v>
      </c>
      <c r="J39" s="6"/>
      <c r="K39" s="30">
        <f t="shared" si="12"/>
        <v>0</v>
      </c>
      <c r="L39" s="6"/>
      <c r="M39" s="30">
        <f t="shared" si="13"/>
        <v>0</v>
      </c>
      <c r="N39" s="6"/>
      <c r="O39" s="295"/>
      <c r="P39" s="6"/>
      <c r="Q39" s="30"/>
      <c r="R39" s="6"/>
      <c r="S39" s="20">
        <v>0</v>
      </c>
      <c r="T39" s="6"/>
      <c r="U39" s="20">
        <f t="shared" si="4"/>
        <v>626.15108100417501</v>
      </c>
      <c r="V39" s="6"/>
      <c r="W39" s="20">
        <f t="shared" si="0"/>
        <v>-626.15108100417501</v>
      </c>
      <c r="X39" s="6"/>
      <c r="Y39" s="296">
        <f t="shared" si="5"/>
        <v>-47.652289269724129</v>
      </c>
      <c r="Z39" s="255"/>
      <c r="AB39" s="154">
        <f>+IF(AB38&gt;$G$13+$G$14,XX,AB38+1)</f>
        <v>2014</v>
      </c>
      <c r="AC39" s="124"/>
      <c r="AD39" s="159">
        <f t="shared" si="1"/>
        <v>13140</v>
      </c>
      <c r="AE39" s="3"/>
      <c r="AF39" s="162">
        <f t="shared" si="14"/>
        <v>72.371829854753869</v>
      </c>
      <c r="AG39" s="3"/>
      <c r="AH39" s="162">
        <f t="shared" si="15"/>
        <v>8.8809851481808089</v>
      </c>
      <c r="AI39" s="3"/>
      <c r="AJ39" s="162">
        <f t="shared" si="16"/>
        <v>2.0746821336180017</v>
      </c>
      <c r="AK39" s="3"/>
      <c r="AL39" s="161">
        <f t="shared" si="6"/>
        <v>185.222116386057</v>
      </c>
      <c r="AM39" s="3"/>
      <c r="AN39" s="162">
        <f>INDEX('(2.2)_Forward_Price_Curve'!$I:$I,MATCH($AB39,'(2.2)_Forward_Price_Curve'!$C:$C,0),1)</f>
        <v>4.45</v>
      </c>
      <c r="AO39" s="3"/>
      <c r="AP39" s="162">
        <f t="shared" si="7"/>
        <v>31.878646521145978</v>
      </c>
      <c r="AQ39" s="3"/>
      <c r="AR39" s="162">
        <f t="shared" si="17"/>
        <v>4.2352599245762939</v>
      </c>
      <c r="AS39" s="162"/>
      <c r="AT39" s="161">
        <f t="shared" si="2"/>
        <v>151.61435030738426</v>
      </c>
      <c r="AU39" s="3"/>
      <c r="AV39" s="161">
        <f t="shared" si="3"/>
        <v>474.5367306967907</v>
      </c>
      <c r="AW39" s="299"/>
      <c r="AX39" s="163">
        <f t="shared" si="8"/>
        <v>626.15108100417501</v>
      </c>
      <c r="AZ39" s="154">
        <f>+IF(AZ38&gt;$G$13+$G$14,XX,AZ38+1)</f>
        <v>2014</v>
      </c>
      <c r="BA39" s="124"/>
      <c r="BB39" s="162">
        <f t="shared" si="18"/>
        <v>62.165872034195978</v>
      </c>
      <c r="BC39" s="3"/>
      <c r="BD39" s="162">
        <f t="shared" si="19"/>
        <v>13.516132683675286</v>
      </c>
      <c r="BE39" s="3"/>
      <c r="BF39" s="161">
        <f t="shared" si="9"/>
        <v>33.607766078672746</v>
      </c>
      <c r="BG39" s="3"/>
      <c r="BH39" s="165"/>
    </row>
    <row r="40" spans="2:60" ht="12">
      <c r="B40" s="2"/>
      <c r="C40" s="6">
        <f>+IF(C39&gt;$G$13+$G$14,XX,C39+1)</f>
        <v>2015</v>
      </c>
      <c r="D40" s="6"/>
      <c r="E40" s="292">
        <f t="shared" si="10"/>
        <v>2.5000000000000001E-2</v>
      </c>
      <c r="F40" s="6"/>
      <c r="G40" s="20">
        <f t="shared" si="11"/>
        <v>13140</v>
      </c>
      <c r="H40" s="6"/>
      <c r="I40" s="30">
        <f t="shared" si="20"/>
        <v>209.3146828283424</v>
      </c>
      <c r="J40" s="6"/>
      <c r="K40" s="30">
        <f t="shared" si="12"/>
        <v>0</v>
      </c>
      <c r="L40" s="6"/>
      <c r="M40" s="30">
        <f t="shared" si="13"/>
        <v>0</v>
      </c>
      <c r="N40" s="6"/>
      <c r="O40" s="295"/>
      <c r="P40" s="6"/>
      <c r="Q40" s="30"/>
      <c r="R40" s="6"/>
      <c r="S40" s="20">
        <v>0</v>
      </c>
      <c r="T40" s="6"/>
      <c r="U40" s="20">
        <f t="shared" si="4"/>
        <v>671.80929086590936</v>
      </c>
      <c r="V40" s="6"/>
      <c r="W40" s="20">
        <f t="shared" si="0"/>
        <v>-671.80929086590936</v>
      </c>
      <c r="X40" s="6"/>
      <c r="Y40" s="296">
        <f t="shared" si="5"/>
        <v>-51.127038878684118</v>
      </c>
      <c r="Z40" s="255"/>
      <c r="AB40" s="154">
        <f>+IF(AB39&gt;$G$13+$G$14,XX,AB39+1)</f>
        <v>2015</v>
      </c>
      <c r="AC40" s="124"/>
      <c r="AD40" s="159">
        <f t="shared" si="1"/>
        <v>13140</v>
      </c>
      <c r="AE40" s="3"/>
      <c r="AF40" s="162">
        <f t="shared" si="14"/>
        <v>74.181125601122716</v>
      </c>
      <c r="AG40" s="3"/>
      <c r="AH40" s="162">
        <f t="shared" si="15"/>
        <v>9.1030097768853278</v>
      </c>
      <c r="AI40" s="3"/>
      <c r="AJ40" s="162">
        <f t="shared" si="16"/>
        <v>2.1265491869584516</v>
      </c>
      <c r="AK40" s="3"/>
      <c r="AL40" s="161">
        <f t="shared" si="6"/>
        <v>189.85266929570838</v>
      </c>
      <c r="AM40" s="3"/>
      <c r="AN40" s="162">
        <f>INDEX('(2.2)_Forward_Price_Curve'!$I:$I,MATCH($AB40,'(2.2)_Forward_Price_Curve'!$C:$C,0),1)</f>
        <v>4.88</v>
      </c>
      <c r="AO40" s="3"/>
      <c r="AP40" s="162">
        <f t="shared" si="7"/>
        <v>34.959055061391538</v>
      </c>
      <c r="AQ40" s="3"/>
      <c r="AR40" s="162">
        <f t="shared" si="17"/>
        <v>4.3411414226907006</v>
      </c>
      <c r="AS40" s="162"/>
      <c r="AT40" s="161">
        <f t="shared" si="2"/>
        <v>155.40470906506883</v>
      </c>
      <c r="AU40" s="3"/>
      <c r="AV40" s="161">
        <f t="shared" si="3"/>
        <v>516.40458180084056</v>
      </c>
      <c r="AW40" s="299"/>
      <c r="AX40" s="163">
        <f t="shared" si="8"/>
        <v>671.80929086590936</v>
      </c>
      <c r="AZ40" s="154">
        <f>+IF(AZ39&gt;$G$13+$G$14,XX,AZ39+1)</f>
        <v>2015</v>
      </c>
      <c r="BA40" s="124"/>
      <c r="BB40" s="162">
        <f t="shared" si="18"/>
        <v>63.720018835050872</v>
      </c>
      <c r="BC40" s="3"/>
      <c r="BD40" s="162">
        <f t="shared" si="19"/>
        <v>13.854036000767167</v>
      </c>
      <c r="BE40" s="3"/>
      <c r="BF40" s="161">
        <f t="shared" si="9"/>
        <v>34.447960230639559</v>
      </c>
      <c r="BG40" s="3"/>
      <c r="BH40" s="165"/>
    </row>
    <row r="41" spans="2:60" ht="12">
      <c r="B41" s="2"/>
      <c r="C41" s="6">
        <f>+IF(C40&gt;$G$13+$G$14,XX,C40+1)</f>
        <v>2016</v>
      </c>
      <c r="D41" s="6"/>
      <c r="E41" s="292">
        <f t="shared" si="10"/>
        <v>2.5000000000000001E-2</v>
      </c>
      <c r="F41" s="6"/>
      <c r="G41" s="20">
        <f t="shared" si="11"/>
        <v>13140</v>
      </c>
      <c r="H41" s="6"/>
      <c r="I41" s="30">
        <f t="shared" si="20"/>
        <v>214.54754989905095</v>
      </c>
      <c r="J41" s="6"/>
      <c r="K41" s="30">
        <f t="shared" si="12"/>
        <v>0</v>
      </c>
      <c r="L41" s="6"/>
      <c r="M41" s="30">
        <f t="shared" si="13"/>
        <v>0</v>
      </c>
      <c r="N41" s="6"/>
      <c r="O41" s="295"/>
      <c r="P41" s="6"/>
      <c r="Q41" s="30"/>
      <c r="R41" s="6"/>
      <c r="S41" s="20">
        <v>0</v>
      </c>
      <c r="T41" s="6"/>
      <c r="U41" s="20">
        <f t="shared" si="4"/>
        <v>697.82941542928984</v>
      </c>
      <c r="V41" s="6"/>
      <c r="W41" s="20">
        <f t="shared" si="0"/>
        <v>-697.82941542928984</v>
      </c>
      <c r="X41" s="6"/>
      <c r="Y41" s="296">
        <f t="shared" si="5"/>
        <v>-53.107261448195572</v>
      </c>
      <c r="Z41" s="255"/>
      <c r="AB41" s="154">
        <f>+IF(AB40&gt;$G$13+$G$14,XX,AB40+1)</f>
        <v>2016</v>
      </c>
      <c r="AC41" s="124"/>
      <c r="AD41" s="159">
        <f t="shared" si="1"/>
        <v>13140</v>
      </c>
      <c r="AE41" s="3"/>
      <c r="AF41" s="162">
        <f t="shared" si="14"/>
        <v>76.035653741150782</v>
      </c>
      <c r="AG41" s="3"/>
      <c r="AH41" s="162">
        <f t="shared" si="15"/>
        <v>9.3305850213074599</v>
      </c>
      <c r="AI41" s="3"/>
      <c r="AJ41" s="162">
        <f t="shared" si="16"/>
        <v>2.1797129166324125</v>
      </c>
      <c r="AK41" s="3"/>
      <c r="AL41" s="161">
        <f t="shared" si="6"/>
        <v>194.59898602810108</v>
      </c>
      <c r="AM41" s="3"/>
      <c r="AN41" s="162">
        <f>INDEX('(2.2)_Forward_Price_Curve'!$I:$I,MATCH($AB41,'(2.2)_Forward_Price_Curve'!$C:$C,0),1)</f>
        <v>5.0999999999999996</v>
      </c>
      <c r="AO41" s="3"/>
      <c r="AP41" s="162">
        <f t="shared" si="7"/>
        <v>36.535078035470669</v>
      </c>
      <c r="AQ41" s="3"/>
      <c r="AR41" s="162">
        <f t="shared" si="17"/>
        <v>4.4496699582579673</v>
      </c>
      <c r="AS41" s="162"/>
      <c r="AT41" s="161">
        <f t="shared" si="2"/>
        <v>159.28982679169553</v>
      </c>
      <c r="AU41" s="3"/>
      <c r="AV41" s="161">
        <f t="shared" si="3"/>
        <v>538.53958863759431</v>
      </c>
      <c r="AW41" s="299"/>
      <c r="AX41" s="163">
        <f t="shared" si="8"/>
        <v>697.82941542928984</v>
      </c>
      <c r="AZ41" s="154">
        <f>+IF(AZ40&gt;$G$13+$G$14,XX,AZ40+1)</f>
        <v>2016</v>
      </c>
      <c r="BA41" s="124"/>
      <c r="BB41" s="162">
        <f t="shared" si="18"/>
        <v>65.313019305927142</v>
      </c>
      <c r="BC41" s="3"/>
      <c r="BD41" s="162">
        <f t="shared" si="19"/>
        <v>14.200386900786345</v>
      </c>
      <c r="BE41" s="3"/>
      <c r="BF41" s="161">
        <f t="shared" si="9"/>
        <v>35.309159236405549</v>
      </c>
      <c r="BG41" s="3"/>
      <c r="BH41" s="165"/>
    </row>
    <row r="42" spans="2:60" ht="12">
      <c r="B42" s="2"/>
      <c r="C42" s="6">
        <f>+IF(C41&gt;$G$13+$G$14,XX,C41+1)</f>
        <v>2017</v>
      </c>
      <c r="D42" s="6"/>
      <c r="E42" s="292">
        <f t="shared" si="10"/>
        <v>2.5000000000000001E-2</v>
      </c>
      <c r="F42" s="6"/>
      <c r="G42" s="20">
        <f t="shared" si="11"/>
        <v>13140</v>
      </c>
      <c r="H42" s="6"/>
      <c r="I42" s="30">
        <f t="shared" si="20"/>
        <v>219.91123864652721</v>
      </c>
      <c r="J42" s="6"/>
      <c r="K42" s="30">
        <f t="shared" si="12"/>
        <v>0</v>
      </c>
      <c r="L42" s="6"/>
      <c r="M42" s="30">
        <f t="shared" si="13"/>
        <v>0</v>
      </c>
      <c r="N42" s="6"/>
      <c r="O42" s="295"/>
      <c r="P42" s="6"/>
      <c r="Q42" s="30"/>
      <c r="R42" s="6"/>
      <c r="S42" s="20">
        <v>0</v>
      </c>
      <c r="T42" s="6"/>
      <c r="U42" s="20">
        <f t="shared" si="4"/>
        <v>714.56916416004253</v>
      </c>
      <c r="V42" s="6"/>
      <c r="W42" s="20">
        <f t="shared" si="0"/>
        <v>-714.56916416004253</v>
      </c>
      <c r="X42" s="6"/>
      <c r="Y42" s="296">
        <f t="shared" si="5"/>
        <v>-54.381214928465944</v>
      </c>
      <c r="Z42" s="255"/>
      <c r="AB42" s="154">
        <f>+IF(AB41&gt;$G$13+$G$14,XX,AB41+1)</f>
        <v>2017</v>
      </c>
      <c r="AC42" s="124"/>
      <c r="AD42" s="159">
        <f t="shared" si="1"/>
        <v>13140</v>
      </c>
      <c r="AE42" s="3"/>
      <c r="AF42" s="162">
        <f t="shared" si="14"/>
        <v>77.936545084679551</v>
      </c>
      <c r="AG42" s="3"/>
      <c r="AH42" s="162">
        <f t="shared" si="15"/>
        <v>9.5638496468401453</v>
      </c>
      <c r="AI42" s="3"/>
      <c r="AJ42" s="162">
        <f t="shared" si="16"/>
        <v>2.2342057395482224</v>
      </c>
      <c r="AK42" s="3"/>
      <c r="AL42" s="161">
        <f t="shared" si="6"/>
        <v>199.46396067880363</v>
      </c>
      <c r="AM42" s="3"/>
      <c r="AN42" s="162">
        <f>INDEX('(2.2)_Forward_Price_Curve'!$I:$I,MATCH($AB42,'(2.2)_Forward_Price_Curve'!$C:$C,0),1)</f>
        <v>5.22</v>
      </c>
      <c r="AO42" s="3"/>
      <c r="AP42" s="162">
        <f t="shared" si="7"/>
        <v>37.39472693042292</v>
      </c>
      <c r="AQ42" s="3"/>
      <c r="AR42" s="162">
        <f t="shared" si="17"/>
        <v>4.5609117072144159</v>
      </c>
      <c r="AS42" s="162"/>
      <c r="AT42" s="161">
        <f t="shared" si="2"/>
        <v>163.27207246148794</v>
      </c>
      <c r="AU42" s="3"/>
      <c r="AV42" s="161">
        <f t="shared" si="3"/>
        <v>551.2970916985546</v>
      </c>
      <c r="AW42" s="299"/>
      <c r="AX42" s="163">
        <f t="shared" si="8"/>
        <v>714.56916416004253</v>
      </c>
      <c r="AZ42" s="154">
        <f>+IF(AZ41&gt;$G$13+$G$14,XX,AZ41+1)</f>
        <v>2017</v>
      </c>
      <c r="BA42" s="124"/>
      <c r="BB42" s="162">
        <f t="shared" si="18"/>
        <v>66.945844788575315</v>
      </c>
      <c r="BC42" s="3"/>
      <c r="BD42" s="162">
        <f t="shared" si="19"/>
        <v>14.555396573306002</v>
      </c>
      <c r="BE42" s="3"/>
      <c r="BF42" s="161">
        <f t="shared" si="9"/>
        <v>36.191888217315686</v>
      </c>
      <c r="BG42" s="3"/>
      <c r="BH42" s="165"/>
    </row>
    <row r="43" spans="2:60" ht="12">
      <c r="B43" s="2"/>
      <c r="C43" s="6">
        <f>+IF(C42&gt;$G$13+$G$14,XX,C42+1)</f>
        <v>2018</v>
      </c>
      <c r="D43" s="6"/>
      <c r="E43" s="292">
        <f t="shared" si="10"/>
        <v>2.5000000000000001E-2</v>
      </c>
      <c r="F43" s="6"/>
      <c r="G43" s="20">
        <f t="shared" si="11"/>
        <v>13140</v>
      </c>
      <c r="H43" s="6"/>
      <c r="I43" s="30">
        <f t="shared" si="20"/>
        <v>225.40901961269037</v>
      </c>
      <c r="J43" s="6"/>
      <c r="K43" s="30">
        <f t="shared" si="12"/>
        <v>0</v>
      </c>
      <c r="L43" s="6"/>
      <c r="M43" s="30">
        <f t="shared" si="13"/>
        <v>0</v>
      </c>
      <c r="N43" s="6"/>
      <c r="O43" s="295"/>
      <c r="P43" s="6"/>
      <c r="Q43" s="30"/>
      <c r="R43" s="6"/>
      <c r="S43" s="20">
        <v>0</v>
      </c>
      <c r="T43" s="6"/>
      <c r="U43" s="20">
        <f t="shared" si="4"/>
        <v>731.44501194707209</v>
      </c>
      <c r="V43" s="6"/>
      <c r="W43" s="20">
        <f t="shared" si="0"/>
        <v>-731.44501194707209</v>
      </c>
      <c r="X43" s="6"/>
      <c r="Y43" s="296">
        <f t="shared" si="5"/>
        <v>-55.66552602336926</v>
      </c>
      <c r="Z43" s="255"/>
      <c r="AB43" s="154">
        <f>+IF(AB42&gt;$G$13+$G$14,XX,AB42+1)</f>
        <v>2018</v>
      </c>
      <c r="AC43" s="124"/>
      <c r="AD43" s="159">
        <f t="shared" si="1"/>
        <v>13140</v>
      </c>
      <c r="AE43" s="3"/>
      <c r="AF43" s="162">
        <f t="shared" si="14"/>
        <v>79.884958711796529</v>
      </c>
      <c r="AG43" s="3"/>
      <c r="AH43" s="162">
        <f t="shared" si="15"/>
        <v>9.8029458880111484</v>
      </c>
      <c r="AI43" s="3"/>
      <c r="AJ43" s="162">
        <f t="shared" si="16"/>
        <v>2.290060883036928</v>
      </c>
      <c r="AK43" s="3"/>
      <c r="AL43" s="161">
        <f t="shared" si="6"/>
        <v>204.45055969577368</v>
      </c>
      <c r="AM43" s="3"/>
      <c r="AN43" s="162">
        <f>INDEX('(2.2)_Forward_Price_Curve'!$I:$I,MATCH($AB43,'(2.2)_Forward_Price_Curve'!$C:$C,0),1)</f>
        <v>5.34</v>
      </c>
      <c r="AO43" s="3"/>
      <c r="AP43" s="162">
        <f t="shared" si="7"/>
        <v>38.25437582537517</v>
      </c>
      <c r="AQ43" s="3"/>
      <c r="AR43" s="162">
        <f t="shared" si="17"/>
        <v>4.6749344998947757</v>
      </c>
      <c r="AS43" s="162"/>
      <c r="AT43" s="161">
        <f t="shared" si="2"/>
        <v>167.3538742730251</v>
      </c>
      <c r="AU43" s="3"/>
      <c r="AV43" s="161">
        <f t="shared" si="3"/>
        <v>564.09113767404699</v>
      </c>
      <c r="AW43" s="299"/>
      <c r="AX43" s="163">
        <f t="shared" si="8"/>
        <v>731.44501194707209</v>
      </c>
      <c r="AZ43" s="154">
        <f>+IF(AZ42&gt;$G$13+$G$14,XX,AZ42+1)</f>
        <v>2018</v>
      </c>
      <c r="BA43" s="124"/>
      <c r="BB43" s="162">
        <f t="shared" si="18"/>
        <v>68.619490908289691</v>
      </c>
      <c r="BC43" s="3"/>
      <c r="BD43" s="162">
        <f t="shared" si="19"/>
        <v>14.919281487638651</v>
      </c>
      <c r="BE43" s="3"/>
      <c r="BF43" s="161">
        <f t="shared" si="9"/>
        <v>37.096685422748578</v>
      </c>
      <c r="BG43" s="3"/>
      <c r="BH43" s="165"/>
    </row>
    <row r="44" spans="2:60" ht="12">
      <c r="B44" s="2"/>
      <c r="C44" s="6">
        <f>+IF(C43&gt;$G$13+$G$14,XX,C43+1)</f>
        <v>2019</v>
      </c>
      <c r="D44" s="6"/>
      <c r="E44" s="292">
        <f t="shared" si="10"/>
        <v>2.5000000000000001E-2</v>
      </c>
      <c r="F44" s="6"/>
      <c r="G44" s="20">
        <f t="shared" si="11"/>
        <v>13140</v>
      </c>
      <c r="H44" s="6"/>
      <c r="I44" s="30">
        <f t="shared" si="20"/>
        <v>231.0442451030076</v>
      </c>
      <c r="J44" s="6"/>
      <c r="K44" s="30">
        <f t="shared" si="12"/>
        <v>0</v>
      </c>
      <c r="L44" s="6"/>
      <c r="M44" s="30">
        <f t="shared" si="13"/>
        <v>0</v>
      </c>
      <c r="N44" s="6"/>
      <c r="O44" s="295"/>
      <c r="P44" s="6"/>
      <c r="Q44" s="30"/>
      <c r="R44" s="6"/>
      <c r="S44" s="20">
        <v>0</v>
      </c>
      <c r="T44" s="6"/>
      <c r="U44" s="20">
        <f t="shared" si="4"/>
        <v>748.46036126678587</v>
      </c>
      <c r="V44" s="6"/>
      <c r="W44" s="20">
        <f t="shared" si="0"/>
        <v>-748.46036126678587</v>
      </c>
      <c r="X44" s="6"/>
      <c r="Y44" s="296">
        <f t="shared" si="5"/>
        <v>-56.960453673271374</v>
      </c>
      <c r="Z44" s="255"/>
      <c r="AB44" s="154">
        <f>+IF(AB43&gt;$G$13+$G$14,XX,AB43+1)</f>
        <v>2019</v>
      </c>
      <c r="AC44" s="124"/>
      <c r="AD44" s="159">
        <f t="shared" si="1"/>
        <v>13140</v>
      </c>
      <c r="AE44" s="3"/>
      <c r="AF44" s="162">
        <f t="shared" si="14"/>
        <v>81.882082679591434</v>
      </c>
      <c r="AG44" s="3"/>
      <c r="AH44" s="162">
        <f t="shared" si="15"/>
        <v>10.048019535211425</v>
      </c>
      <c r="AI44" s="3"/>
      <c r="AJ44" s="162">
        <f t="shared" si="16"/>
        <v>2.3473124051128509</v>
      </c>
      <c r="AK44" s="3"/>
      <c r="AL44" s="161">
        <f t="shared" si="6"/>
        <v>209.561823688168</v>
      </c>
      <c r="AM44" s="3"/>
      <c r="AN44" s="162">
        <f>INDEX('(2.2)_Forward_Price_Curve'!$I:$I,MATCH($AB44,'(2.2)_Forward_Price_Curve'!$C:$C,0),1)</f>
        <v>5.46</v>
      </c>
      <c r="AO44" s="3"/>
      <c r="AP44" s="162">
        <f t="shared" si="7"/>
        <v>39.114024720327421</v>
      </c>
      <c r="AQ44" s="3"/>
      <c r="AR44" s="162">
        <f t="shared" si="17"/>
        <v>4.7918078623921447</v>
      </c>
      <c r="AS44" s="162"/>
      <c r="AT44" s="161">
        <f t="shared" si="2"/>
        <v>171.53772112985072</v>
      </c>
      <c r="AU44" s="3"/>
      <c r="AV44" s="161">
        <f t="shared" si="3"/>
        <v>576.92264013693512</v>
      </c>
      <c r="AW44" s="299"/>
      <c r="AX44" s="163">
        <f t="shared" si="8"/>
        <v>748.46036126678587</v>
      </c>
      <c r="AZ44" s="154">
        <f>+IF(AZ43&gt;$G$13+$G$14,XX,AZ43+1)</f>
        <v>2019</v>
      </c>
      <c r="BA44" s="124"/>
      <c r="BB44" s="162">
        <f t="shared" si="18"/>
        <v>70.334978180996927</v>
      </c>
      <c r="BC44" s="3"/>
      <c r="BD44" s="162">
        <f t="shared" si="19"/>
        <v>15.292263524829616</v>
      </c>
      <c r="BE44" s="3"/>
      <c r="BF44" s="161">
        <f t="shared" si="9"/>
        <v>38.024102558317288</v>
      </c>
      <c r="BG44" s="3"/>
      <c r="BH44" s="165"/>
    </row>
    <row r="45" spans="2:60" ht="12">
      <c r="B45" s="2"/>
      <c r="C45" s="6">
        <f>+IF(C44&gt;$G$13+$G$14,XX,C44+1)</f>
        <v>2020</v>
      </c>
      <c r="D45" s="6"/>
      <c r="E45" s="292">
        <f t="shared" si="10"/>
        <v>2.5000000000000001E-2</v>
      </c>
      <c r="F45" s="6"/>
      <c r="G45" s="20">
        <f t="shared" si="11"/>
        <v>13140</v>
      </c>
      <c r="H45" s="6"/>
      <c r="I45" s="30">
        <f t="shared" si="20"/>
        <v>236.82035123058276</v>
      </c>
      <c r="J45" s="6"/>
      <c r="K45" s="30">
        <f t="shared" si="12"/>
        <v>0</v>
      </c>
      <c r="L45" s="6"/>
      <c r="M45" s="30">
        <f t="shared" si="13"/>
        <v>0</v>
      </c>
      <c r="N45" s="6"/>
      <c r="O45" s="295"/>
      <c r="P45" s="6"/>
      <c r="Q45" s="30"/>
      <c r="R45" s="6"/>
      <c r="S45" s="20">
        <v>0</v>
      </c>
      <c r="T45" s="6"/>
      <c r="U45" s="20">
        <f t="shared" si="4"/>
        <v>766.56001519747304</v>
      </c>
      <c r="V45" s="6"/>
      <c r="W45" s="20">
        <f t="shared" si="0"/>
        <v>-766.56001519747304</v>
      </c>
      <c r="X45" s="6"/>
      <c r="Y45" s="296">
        <f t="shared" si="5"/>
        <v>-58.337900699959896</v>
      </c>
      <c r="Z45" s="255"/>
      <c r="AB45" s="154">
        <f>+IF(AB44&gt;$G$13+$G$14,XX,AB44+1)</f>
        <v>2020</v>
      </c>
      <c r="AC45" s="124"/>
      <c r="AD45" s="159">
        <f t="shared" si="1"/>
        <v>13140</v>
      </c>
      <c r="AE45" s="3"/>
      <c r="AF45" s="162">
        <f t="shared" si="14"/>
        <v>83.929134746581212</v>
      </c>
      <c r="AG45" s="3"/>
      <c r="AH45" s="162">
        <f t="shared" si="15"/>
        <v>10.29922002359171</v>
      </c>
      <c r="AI45" s="3"/>
      <c r="AJ45" s="162">
        <f t="shared" si="16"/>
        <v>2.4059952152406718</v>
      </c>
      <c r="AK45" s="3"/>
      <c r="AL45" s="161">
        <f t="shared" si="6"/>
        <v>214.80086928037215</v>
      </c>
      <c r="AM45" s="3"/>
      <c r="AN45" s="162">
        <f>INDEX('(2.2)_Forward_Price_Curve'!$I:$I,MATCH($AB45,'(2.2)_Forward_Price_Curve'!$C:$C,0),1)</f>
        <v>5.59</v>
      </c>
      <c r="AO45" s="3"/>
      <c r="AP45" s="162">
        <f t="shared" si="7"/>
        <v>40.045311023192355</v>
      </c>
      <c r="AQ45" s="3"/>
      <c r="AR45" s="162">
        <f t="shared" si="17"/>
        <v>4.9116030589519477</v>
      </c>
      <c r="AS45" s="162"/>
      <c r="AT45" s="161">
        <f t="shared" si="2"/>
        <v>175.82616415809696</v>
      </c>
      <c r="AU45" s="3"/>
      <c r="AV45" s="161">
        <f t="shared" si="3"/>
        <v>590.73385103937608</v>
      </c>
      <c r="AW45" s="299"/>
      <c r="AX45" s="163">
        <f t="shared" si="8"/>
        <v>766.56001519747304</v>
      </c>
      <c r="AZ45" s="154">
        <f>+IF(AZ44&gt;$G$13+$G$14,XX,AZ44+1)</f>
        <v>2020</v>
      </c>
      <c r="BA45" s="124"/>
      <c r="BB45" s="162">
        <f t="shared" si="18"/>
        <v>72.093352635521839</v>
      </c>
      <c r="BC45" s="3"/>
      <c r="BD45" s="162">
        <f t="shared" si="19"/>
        <v>15.674570112950356</v>
      </c>
      <c r="BE45" s="3"/>
      <c r="BF45" s="161">
        <f t="shared" si="9"/>
        <v>38.974705122275211</v>
      </c>
      <c r="BG45" s="3"/>
      <c r="BH45" s="165"/>
    </row>
    <row r="46" spans="2:60" ht="12">
      <c r="B46" s="2"/>
      <c r="C46" s="6">
        <f>+IF(C45&gt;$G$13+$G$14,XX,C45+1)</f>
        <v>2021</v>
      </c>
      <c r="D46" s="6"/>
      <c r="E46" s="292">
        <f t="shared" si="10"/>
        <v>2.5000000000000001E-2</v>
      </c>
      <c r="F46" s="6"/>
      <c r="G46" s="20">
        <f t="shared" si="11"/>
        <v>13140</v>
      </c>
      <c r="H46" s="6"/>
      <c r="I46" s="30">
        <f t="shared" si="20"/>
        <v>242.74086001134731</v>
      </c>
      <c r="J46" s="6"/>
      <c r="K46" s="30">
        <f t="shared" si="12"/>
        <v>0</v>
      </c>
      <c r="L46" s="6"/>
      <c r="M46" s="30">
        <f t="shared" si="13"/>
        <v>0</v>
      </c>
      <c r="N46" s="6"/>
      <c r="O46" s="295"/>
      <c r="P46" s="6"/>
      <c r="Q46" s="30"/>
      <c r="R46" s="6"/>
      <c r="S46" s="20">
        <v>0</v>
      </c>
      <c r="T46" s="6"/>
      <c r="U46" s="20">
        <f t="shared" si="4"/>
        <v>781.04097076604558</v>
      </c>
      <c r="V46" s="6"/>
      <c r="W46" s="20">
        <f t="shared" si="0"/>
        <v>-781.04097076604558</v>
      </c>
      <c r="X46" s="6"/>
      <c r="Y46" s="296">
        <f t="shared" si="5"/>
        <v>-59.439952113093277</v>
      </c>
      <c r="Z46" s="255"/>
      <c r="AB46" s="154">
        <f>+IF(AB45&gt;$G$13+$G$14,XX,AB45+1)</f>
        <v>2021</v>
      </c>
      <c r="AC46" s="124"/>
      <c r="AD46" s="159">
        <f t="shared" si="1"/>
        <v>13140</v>
      </c>
      <c r="AE46" s="3"/>
      <c r="AF46" s="162">
        <f t="shared" si="14"/>
        <v>86.027363115245734</v>
      </c>
      <c r="AG46" s="3"/>
      <c r="AH46" s="162">
        <f t="shared" si="15"/>
        <v>10.556700524181501</v>
      </c>
      <c r="AI46" s="3"/>
      <c r="AJ46" s="162">
        <f t="shared" si="16"/>
        <v>2.4661450956216884</v>
      </c>
      <c r="AK46" s="3"/>
      <c r="AL46" s="161">
        <f t="shared" si="6"/>
        <v>220.17089101238142</v>
      </c>
      <c r="AM46" s="3"/>
      <c r="AN46" s="162">
        <f>INDEX('(2.2)_Forward_Price_Curve'!$I:$I,MATCH($AB46,'(2.2)_Forward_Price_Curve'!$C:$C,0),1)</f>
        <v>5.68</v>
      </c>
      <c r="AO46" s="3"/>
      <c r="AP46" s="162">
        <f t="shared" si="7"/>
        <v>40.690047694406545</v>
      </c>
      <c r="AQ46" s="3"/>
      <c r="AR46" s="162">
        <f t="shared" si="17"/>
        <v>5.0343931354257458</v>
      </c>
      <c r="AS46" s="162"/>
      <c r="AT46" s="161">
        <f t="shared" si="2"/>
        <v>180.22181826204934</v>
      </c>
      <c r="AU46" s="3"/>
      <c r="AV46" s="161">
        <f t="shared" si="3"/>
        <v>600.81915250399629</v>
      </c>
      <c r="AW46" s="299"/>
      <c r="AX46" s="163">
        <f t="shared" si="8"/>
        <v>781.04097076604558</v>
      </c>
      <c r="AZ46" s="154">
        <f>+IF(AZ45&gt;$G$13+$G$14,XX,AZ45+1)</f>
        <v>2021</v>
      </c>
      <c r="BA46" s="124"/>
      <c r="BB46" s="162">
        <f t="shared" si="18"/>
        <v>73.895686451409873</v>
      </c>
      <c r="BC46" s="3"/>
      <c r="BD46" s="162">
        <f t="shared" si="19"/>
        <v>16.066434365774114</v>
      </c>
      <c r="BE46" s="3"/>
      <c r="BF46" s="161">
        <f t="shared" si="9"/>
        <v>39.949072750332085</v>
      </c>
      <c r="BG46" s="3"/>
      <c r="BH46" s="165"/>
    </row>
    <row r="47" spans="2:60" ht="12">
      <c r="B47" s="2"/>
      <c r="C47" s="6">
        <f>+IF(C46&gt;$G$13+$G$14,XX,C46+1)</f>
        <v>2022</v>
      </c>
      <c r="D47" s="6"/>
      <c r="E47" s="292">
        <f t="shared" si="10"/>
        <v>2.5000000000000001E-2</v>
      </c>
      <c r="F47" s="6"/>
      <c r="G47" s="20">
        <f t="shared" si="11"/>
        <v>13140</v>
      </c>
      <c r="H47" s="6"/>
      <c r="I47" s="30">
        <f t="shared" si="20"/>
        <v>248.80938151163096</v>
      </c>
      <c r="J47" s="6"/>
      <c r="K47" s="30">
        <f t="shared" si="12"/>
        <v>0</v>
      </c>
      <c r="L47" s="6"/>
      <c r="M47" s="30">
        <f t="shared" si="13"/>
        <v>0</v>
      </c>
      <c r="N47" s="6"/>
      <c r="O47" s="295"/>
      <c r="P47" s="6"/>
      <c r="Q47" s="30"/>
      <c r="R47" s="6"/>
      <c r="S47" s="20">
        <v>0</v>
      </c>
      <c r="T47" s="6"/>
      <c r="U47" s="20">
        <f t="shared" si="4"/>
        <v>790.96557652747504</v>
      </c>
      <c r="V47" s="6"/>
      <c r="W47" s="20">
        <f t="shared" si="0"/>
        <v>-790.96557652747504</v>
      </c>
      <c r="X47" s="6"/>
      <c r="Y47" s="296">
        <f t="shared" si="5"/>
        <v>-60.195249355211189</v>
      </c>
      <c r="Z47" s="255"/>
      <c r="AB47" s="154">
        <f>+IF(AB46&gt;$G$13+$G$14,XX,AB46+1)</f>
        <v>2022</v>
      </c>
      <c r="AC47" s="124"/>
      <c r="AD47" s="159">
        <f t="shared" si="1"/>
        <v>13140</v>
      </c>
      <c r="AE47" s="3"/>
      <c r="AF47" s="162">
        <f t="shared" si="14"/>
        <v>88.178047193126872</v>
      </c>
      <c r="AG47" s="3"/>
      <c r="AH47" s="162">
        <f t="shared" si="15"/>
        <v>10.820618037286037</v>
      </c>
      <c r="AI47" s="3"/>
      <c r="AJ47" s="162">
        <f t="shared" si="16"/>
        <v>2.5277987230122303</v>
      </c>
      <c r="AK47" s="3"/>
      <c r="AL47" s="161">
        <f t="shared" si="6"/>
        <v>225.67516328769102</v>
      </c>
      <c r="AM47" s="3"/>
      <c r="AN47" s="162">
        <f>INDEX('(2.2)_Forward_Price_Curve'!$I:$I,MATCH($AB47,'(2.2)_Forward_Price_Curve'!$C:$C,0),1)</f>
        <v>5.72</v>
      </c>
      <c r="AO47" s="3"/>
      <c r="AP47" s="162">
        <f t="shared" si="7"/>
        <v>40.976597326057295</v>
      </c>
      <c r="AQ47" s="3"/>
      <c r="AR47" s="162">
        <f t="shared" si="17"/>
        <v>5.1602529638113888</v>
      </c>
      <c r="AS47" s="162"/>
      <c r="AT47" s="161">
        <f t="shared" si="2"/>
        <v>184.72736371860063</v>
      </c>
      <c r="AU47" s="3"/>
      <c r="AV47" s="161">
        <f t="shared" si="3"/>
        <v>606.23821280887444</v>
      </c>
      <c r="AW47" s="299"/>
      <c r="AX47" s="163">
        <f t="shared" si="8"/>
        <v>790.96557652747504</v>
      </c>
      <c r="AZ47" s="154">
        <f>+IF(AZ46&gt;$G$13+$G$14,XX,AZ46+1)</f>
        <v>2022</v>
      </c>
      <c r="BA47" s="124"/>
      <c r="BB47" s="162">
        <f t="shared" si="18"/>
        <v>75.743078612695115</v>
      </c>
      <c r="BC47" s="3"/>
      <c r="BD47" s="162">
        <f t="shared" si="19"/>
        <v>16.468095224918464</v>
      </c>
      <c r="BE47" s="3"/>
      <c r="BF47" s="161">
        <f t="shared" si="9"/>
        <v>40.947799569090392</v>
      </c>
      <c r="BG47" s="3"/>
      <c r="BH47" s="165"/>
    </row>
    <row r="48" spans="2:60" ht="12">
      <c r="B48" s="2"/>
      <c r="C48" s="6">
        <f>+IF(C47&gt;$G$13+$G$14,XX,C47+1)</f>
        <v>2023</v>
      </c>
      <c r="D48" s="6"/>
      <c r="E48" s="292">
        <f t="shared" si="10"/>
        <v>2.5000000000000001E-2</v>
      </c>
      <c r="F48" s="6"/>
      <c r="G48" s="20">
        <f t="shared" si="11"/>
        <v>13140</v>
      </c>
      <c r="H48" s="6"/>
      <c r="I48" s="30">
        <f t="shared" si="20"/>
        <v>255.02961604942172</v>
      </c>
      <c r="J48" s="6"/>
      <c r="K48" s="30">
        <f t="shared" si="12"/>
        <v>0</v>
      </c>
      <c r="L48" s="6"/>
      <c r="M48" s="30">
        <f t="shared" si="13"/>
        <v>0</v>
      </c>
      <c r="N48" s="6"/>
      <c r="O48" s="295"/>
      <c r="P48" s="6"/>
      <c r="Q48" s="30"/>
      <c r="R48" s="6"/>
      <c r="S48" s="20">
        <v>0</v>
      </c>
      <c r="T48" s="6"/>
      <c r="U48" s="20">
        <f t="shared" si="4"/>
        <v>809.51600573869746</v>
      </c>
      <c r="V48" s="6"/>
      <c r="W48" s="20">
        <f t="shared" si="0"/>
        <v>-809.51600573869746</v>
      </c>
      <c r="X48" s="6"/>
      <c r="Y48" s="296">
        <f t="shared" si="5"/>
        <v>-61.607001958804986</v>
      </c>
      <c r="Z48" s="255"/>
      <c r="AB48" s="154">
        <f>+IF(AB47&gt;$G$13+$G$14,XX,AB47+1)</f>
        <v>2023</v>
      </c>
      <c r="AC48" s="124"/>
      <c r="AD48" s="159">
        <f t="shared" si="1"/>
        <v>13140</v>
      </c>
      <c r="AE48" s="3"/>
      <c r="AF48" s="162">
        <f t="shared" si="14"/>
        <v>90.382498372955041</v>
      </c>
      <c r="AG48" s="3"/>
      <c r="AH48" s="162">
        <f t="shared" si="15"/>
        <v>11.091133488218187</v>
      </c>
      <c r="AI48" s="3"/>
      <c r="AJ48" s="162">
        <f t="shared" si="16"/>
        <v>2.5909936910875357</v>
      </c>
      <c r="AK48" s="3"/>
      <c r="AL48" s="161">
        <f t="shared" si="6"/>
        <v>231.31704236988324</v>
      </c>
      <c r="AM48" s="3"/>
      <c r="AN48" s="162">
        <f>INDEX('(2.2)_Forward_Price_Curve'!$I:$I,MATCH($AB48,'(2.2)_Forward_Price_Curve'!$C:$C,0),1)</f>
        <v>5.85</v>
      </c>
      <c r="AO48" s="3"/>
      <c r="AP48" s="162">
        <f t="shared" si="7"/>
        <v>41.907883628922235</v>
      </c>
      <c r="AQ48" s="3"/>
      <c r="AR48" s="162">
        <f t="shared" si="17"/>
        <v>5.2892592879066731</v>
      </c>
      <c r="AS48" s="162"/>
      <c r="AT48" s="161">
        <f t="shared" si="2"/>
        <v>189.34554781156561</v>
      </c>
      <c r="AU48" s="3"/>
      <c r="AV48" s="161">
        <f t="shared" si="3"/>
        <v>620.17045792713191</v>
      </c>
      <c r="AW48" s="299"/>
      <c r="AX48" s="163">
        <f t="shared" si="8"/>
        <v>809.51600573869746</v>
      </c>
      <c r="AZ48" s="154">
        <f>+IF(AZ47&gt;$G$13+$G$14,XX,AZ47+1)</f>
        <v>2023</v>
      </c>
      <c r="BA48" s="124"/>
      <c r="BB48" s="162">
        <f t="shared" si="18"/>
        <v>77.63665557801248</v>
      </c>
      <c r="BC48" s="3"/>
      <c r="BD48" s="162">
        <f t="shared" si="19"/>
        <v>16.879797605541423</v>
      </c>
      <c r="BE48" s="3"/>
      <c r="BF48" s="161">
        <f t="shared" si="9"/>
        <v>41.971494558317644</v>
      </c>
      <c r="BG48" s="3"/>
      <c r="BH48" s="165"/>
    </row>
    <row r="49" spans="1:61" ht="12">
      <c r="B49" s="2"/>
      <c r="C49" s="6">
        <f>+IF(C48&gt;$G$13+$G$14,XX,C48+1)</f>
        <v>2024</v>
      </c>
      <c r="D49" s="6"/>
      <c r="E49" s="292">
        <f t="shared" si="10"/>
        <v>2.5000000000000001E-2</v>
      </c>
      <c r="F49" s="6"/>
      <c r="G49" s="20">
        <f t="shared" si="11"/>
        <v>13140</v>
      </c>
      <c r="H49" s="6"/>
      <c r="I49" s="30">
        <f t="shared" si="20"/>
        <v>261.40535645065722</v>
      </c>
      <c r="J49" s="6"/>
      <c r="K49" s="30">
        <f t="shared" si="12"/>
        <v>0</v>
      </c>
      <c r="L49" s="6"/>
      <c r="M49" s="30">
        <f t="shared" si="13"/>
        <v>0</v>
      </c>
      <c r="N49" s="6"/>
      <c r="O49" s="295"/>
      <c r="P49" s="6"/>
      <c r="Q49" s="30"/>
      <c r="R49" s="6"/>
      <c r="S49" s="20">
        <v>0</v>
      </c>
      <c r="T49" s="6"/>
      <c r="U49" s="20">
        <f t="shared" si="4"/>
        <v>829.75390588216487</v>
      </c>
      <c r="V49" s="6"/>
      <c r="W49" s="20">
        <f t="shared" si="0"/>
        <v>-829.75390588216487</v>
      </c>
      <c r="X49" s="6"/>
      <c r="Y49" s="296">
        <f t="shared" si="5"/>
        <v>-63.147177007775099</v>
      </c>
      <c r="Z49" s="255"/>
      <c r="AB49" s="154">
        <f>+IF(AB48&gt;$G$13+$G$14,XX,AB48+1)</f>
        <v>2024</v>
      </c>
      <c r="AC49" s="124"/>
      <c r="AD49" s="159">
        <f t="shared" si="1"/>
        <v>13140</v>
      </c>
      <c r="AE49" s="3"/>
      <c r="AF49" s="162">
        <f t="shared" si="14"/>
        <v>92.642060832278915</v>
      </c>
      <c r="AG49" s="3"/>
      <c r="AH49" s="162">
        <f t="shared" si="15"/>
        <v>11.368411825423641</v>
      </c>
      <c r="AI49" s="3"/>
      <c r="AJ49" s="162">
        <f t="shared" si="16"/>
        <v>2.6557685333647241</v>
      </c>
      <c r="AK49" s="3"/>
      <c r="AL49" s="161">
        <f t="shared" si="6"/>
        <v>237.09996842913029</v>
      </c>
      <c r="AM49" s="3"/>
      <c r="AN49" s="162">
        <f>INDEX('(2.2)_Forward_Price_Curve'!$I:$I,MATCH($AB49,'(2.2)_Forward_Price_Curve'!$C:$C,0),1)</f>
        <v>5.996249999999999</v>
      </c>
      <c r="AO49" s="3"/>
      <c r="AP49" s="162">
        <f t="shared" si="7"/>
        <v>42.95558071964529</v>
      </c>
      <c r="AQ49" s="3"/>
      <c r="AR49" s="162">
        <f t="shared" si="17"/>
        <v>5.4214907701043398</v>
      </c>
      <c r="AS49" s="162"/>
      <c r="AT49" s="161">
        <f t="shared" si="2"/>
        <v>194.07918650685471</v>
      </c>
      <c r="AU49" s="3"/>
      <c r="AV49" s="161">
        <f t="shared" si="3"/>
        <v>635.67471937531013</v>
      </c>
      <c r="AW49" s="299"/>
      <c r="AX49" s="163">
        <f t="shared" si="8"/>
        <v>829.75390588216487</v>
      </c>
      <c r="AZ49" s="154">
        <f>+IF(AZ48&gt;$G$13+$G$14,XX,AZ48+1)</f>
        <v>2024</v>
      </c>
      <c r="BA49" s="124"/>
      <c r="BB49" s="162">
        <f t="shared" si="18"/>
        <v>79.577571967462788</v>
      </c>
      <c r="BC49" s="3"/>
      <c r="BD49" s="162">
        <f t="shared" si="19"/>
        <v>17.301792545679959</v>
      </c>
      <c r="BE49" s="3"/>
      <c r="BF49" s="161">
        <f t="shared" si="9"/>
        <v>43.020781922275582</v>
      </c>
      <c r="BG49" s="3"/>
      <c r="BH49" s="165"/>
    </row>
    <row r="50" spans="1:61" ht="12">
      <c r="B50" s="2"/>
      <c r="C50" s="6">
        <f>+IF(C49&gt;$G$13+$G$14,XX,C49+1)</f>
        <v>2025</v>
      </c>
      <c r="D50" s="6"/>
      <c r="E50" s="292">
        <f t="shared" si="10"/>
        <v>2.5000000000000001E-2</v>
      </c>
      <c r="F50" s="6"/>
      <c r="G50" s="20">
        <f t="shared" si="11"/>
        <v>13140</v>
      </c>
      <c r="H50" s="6"/>
      <c r="I50" s="30">
        <f t="shared" si="20"/>
        <v>267.94049036192365</v>
      </c>
      <c r="J50" s="6"/>
      <c r="K50" s="30">
        <f t="shared" si="12"/>
        <v>0</v>
      </c>
      <c r="L50" s="6"/>
      <c r="M50" s="30">
        <f t="shared" si="13"/>
        <v>0</v>
      </c>
      <c r="N50" s="6"/>
      <c r="O50" s="295"/>
      <c r="P50" s="6"/>
      <c r="Q50" s="30"/>
      <c r="R50" s="6"/>
      <c r="S50" s="20">
        <v>0</v>
      </c>
      <c r="T50" s="6"/>
      <c r="U50" s="20">
        <f t="shared" si="4"/>
        <v>850.49775352921904</v>
      </c>
      <c r="V50" s="6"/>
      <c r="W50" s="20">
        <f t="shared" si="0"/>
        <v>-850.49775352921904</v>
      </c>
      <c r="X50" s="6"/>
      <c r="Y50" s="296">
        <f t="shared" si="5"/>
        <v>-64.725856432969493</v>
      </c>
      <c r="Z50" s="255"/>
      <c r="AB50" s="154">
        <f>+IF(AB49&gt;$G$13+$G$14,XX,AB49+1)</f>
        <v>2025</v>
      </c>
      <c r="AC50" s="124"/>
      <c r="AD50" s="159">
        <f t="shared" si="1"/>
        <v>13140</v>
      </c>
      <c r="AE50" s="3"/>
      <c r="AF50" s="162">
        <f t="shared" si="14"/>
        <v>94.95811235308588</v>
      </c>
      <c r="AG50" s="3"/>
      <c r="AH50" s="162">
        <f t="shared" si="15"/>
        <v>11.652622121059231</v>
      </c>
      <c r="AI50" s="3"/>
      <c r="AJ50" s="162">
        <f t="shared" si="16"/>
        <v>2.7221627466988418</v>
      </c>
      <c r="AK50" s="3"/>
      <c r="AL50" s="161">
        <f t="shared" si="6"/>
        <v>243.0274676398586</v>
      </c>
      <c r="AM50" s="3"/>
      <c r="AN50" s="162">
        <f>INDEX('(2.2)_Forward_Price_Curve'!$I:$I,MATCH($AB50,'(2.2)_Forward_Price_Curve'!$C:$C,0),1)</f>
        <v>6.146156249999998</v>
      </c>
      <c r="AO50" s="3"/>
      <c r="AP50" s="162">
        <f t="shared" si="7"/>
        <v>44.029470237636417</v>
      </c>
      <c r="AQ50" s="3"/>
      <c r="AR50" s="162">
        <f t="shared" si="17"/>
        <v>5.5570280393569478</v>
      </c>
      <c r="AS50" s="162"/>
      <c r="AT50" s="161">
        <f t="shared" si="2"/>
        <v>198.93116616952614</v>
      </c>
      <c r="AU50" s="3"/>
      <c r="AV50" s="161">
        <f t="shared" si="3"/>
        <v>651.5665873596929</v>
      </c>
      <c r="AW50" s="299"/>
      <c r="AX50" s="163">
        <f t="shared" si="8"/>
        <v>850.49775352921904</v>
      </c>
      <c r="AZ50" s="154">
        <f>+IF(AZ49&gt;$G$13+$G$14,XX,AZ49+1)</f>
        <v>2025</v>
      </c>
      <c r="BA50" s="124"/>
      <c r="BB50" s="162">
        <f t="shared" si="18"/>
        <v>81.567011266649345</v>
      </c>
      <c r="BC50" s="3"/>
      <c r="BD50" s="162">
        <f t="shared" si="19"/>
        <v>17.734337359321955</v>
      </c>
      <c r="BE50" s="3"/>
      <c r="BF50" s="161">
        <f t="shared" si="9"/>
        <v>44.096301470332463</v>
      </c>
      <c r="BG50" s="3"/>
      <c r="BH50" s="165"/>
    </row>
    <row r="51" spans="1:61" ht="12">
      <c r="B51" s="2"/>
      <c r="C51" s="6">
        <f>+IF(C50&gt;$G$13+$G$14,XX,C50+1)</f>
        <v>2026</v>
      </c>
      <c r="D51" s="6"/>
      <c r="E51" s="292">
        <f t="shared" si="10"/>
        <v>2.5000000000000001E-2</v>
      </c>
      <c r="F51" s="6"/>
      <c r="G51" s="20">
        <f t="shared" si="11"/>
        <v>13140</v>
      </c>
      <c r="H51" s="6"/>
      <c r="I51" s="30">
        <f t="shared" si="20"/>
        <v>274.63900262097172</v>
      </c>
      <c r="J51" s="6"/>
      <c r="K51" s="30">
        <f t="shared" si="12"/>
        <v>0</v>
      </c>
      <c r="L51" s="6"/>
      <c r="M51" s="30">
        <f t="shared" si="13"/>
        <v>0</v>
      </c>
      <c r="N51" s="6"/>
      <c r="O51" s="295"/>
      <c r="P51" s="6"/>
      <c r="Q51" s="30"/>
      <c r="R51" s="6"/>
      <c r="S51" s="20">
        <v>0</v>
      </c>
      <c r="T51" s="6"/>
      <c r="U51" s="20">
        <f t="shared" si="4"/>
        <v>871.76019736744911</v>
      </c>
      <c r="V51" s="6"/>
      <c r="W51" s="20">
        <f t="shared" si="0"/>
        <v>-871.76019736744911</v>
      </c>
      <c r="X51" s="6"/>
      <c r="Y51" s="296">
        <f t="shared" si="5"/>
        <v>-66.344002843793689</v>
      </c>
      <c r="Z51" s="255"/>
      <c r="AB51" s="154">
        <f>+IF(AB50&gt;$G$13+$G$14,XX,AB50+1)</f>
        <v>2026</v>
      </c>
      <c r="AC51" s="124"/>
      <c r="AD51" s="159">
        <f t="shared" si="1"/>
        <v>13140</v>
      </c>
      <c r="AE51" s="3"/>
      <c r="AF51" s="162">
        <f t="shared" si="14"/>
        <v>97.332065161913022</v>
      </c>
      <c r="AG51" s="3"/>
      <c r="AH51" s="162">
        <f t="shared" si="15"/>
        <v>11.943937674085712</v>
      </c>
      <c r="AI51" s="3"/>
      <c r="AJ51" s="162">
        <f t="shared" si="16"/>
        <v>2.7902168153663127</v>
      </c>
      <c r="AK51" s="3"/>
      <c r="AL51" s="161">
        <f t="shared" si="6"/>
        <v>249.10315433085503</v>
      </c>
      <c r="AM51" s="3"/>
      <c r="AN51" s="162">
        <f>INDEX('(2.2)_Forward_Price_Curve'!$I:$I,MATCH($AB51,'(2.2)_Forward_Price_Curve'!$C:$C,0),1)</f>
        <v>6.2998101562499977</v>
      </c>
      <c r="AO51" s="3"/>
      <c r="AP51" s="162">
        <f t="shared" si="7"/>
        <v>45.130206993577318</v>
      </c>
      <c r="AQ51" s="3"/>
      <c r="AR51" s="162">
        <f t="shared" si="17"/>
        <v>5.6959537403408707</v>
      </c>
      <c r="AS51" s="162"/>
      <c r="AT51" s="161">
        <f t="shared" si="2"/>
        <v>203.90444532376426</v>
      </c>
      <c r="AU51" s="3"/>
      <c r="AV51" s="161">
        <f t="shared" si="3"/>
        <v>667.8557520436849</v>
      </c>
      <c r="AW51" s="299"/>
      <c r="AX51" s="163">
        <f t="shared" si="8"/>
        <v>871.76019736744911</v>
      </c>
      <c r="AZ51" s="154">
        <f>+IF(AZ50&gt;$G$13+$G$14,XX,AZ50+1)</f>
        <v>2026</v>
      </c>
      <c r="BA51" s="124"/>
      <c r="BB51" s="162">
        <f t="shared" si="18"/>
        <v>83.606186548315577</v>
      </c>
      <c r="BC51" s="3"/>
      <c r="BD51" s="162">
        <f t="shared" si="19"/>
        <v>18.177695793305002</v>
      </c>
      <c r="BE51" s="3"/>
      <c r="BF51" s="161">
        <f t="shared" si="9"/>
        <v>45.19870900709077</v>
      </c>
      <c r="BG51" s="3"/>
      <c r="BH51" s="165"/>
    </row>
    <row r="52" spans="1:61" ht="12">
      <c r="B52" s="2"/>
      <c r="C52" s="6">
        <f>+IF(C51&gt;$G$13+$G$14,XX,C51+1)</f>
        <v>2027</v>
      </c>
      <c r="D52" s="6"/>
      <c r="E52" s="292">
        <f t="shared" si="10"/>
        <v>2.5000000000000001E-2</v>
      </c>
      <c r="F52" s="6"/>
      <c r="G52" s="20">
        <f t="shared" si="11"/>
        <v>13140</v>
      </c>
      <c r="H52" s="6"/>
      <c r="I52" s="30">
        <f t="shared" si="20"/>
        <v>281.50497768649598</v>
      </c>
      <c r="J52" s="6"/>
      <c r="K52" s="30">
        <f t="shared" si="12"/>
        <v>0</v>
      </c>
      <c r="L52" s="6"/>
      <c r="M52" s="30">
        <f t="shared" si="13"/>
        <v>0</v>
      </c>
      <c r="N52" s="6"/>
      <c r="O52" s="295"/>
      <c r="P52" s="6"/>
      <c r="Q52" s="30"/>
      <c r="R52" s="6"/>
      <c r="S52" s="20">
        <v>0</v>
      </c>
      <c r="T52" s="6"/>
      <c r="U52" s="20">
        <f t="shared" si="4"/>
        <v>893.55420230163543</v>
      </c>
      <c r="V52" s="6"/>
      <c r="W52" s="20">
        <f t="shared" si="0"/>
        <v>-893.55420230163543</v>
      </c>
      <c r="X52" s="6"/>
      <c r="Y52" s="296">
        <f t="shared" si="5"/>
        <v>-68.002602914888541</v>
      </c>
      <c r="Z52" s="255"/>
      <c r="AB52" s="154">
        <f>+IF(AB51&gt;$G$13+$G$14,XX,AB51+1)</f>
        <v>2027</v>
      </c>
      <c r="AC52" s="124"/>
      <c r="AD52" s="159">
        <f t="shared" si="1"/>
        <v>13140</v>
      </c>
      <c r="AE52" s="3"/>
      <c r="AF52" s="162">
        <f t="shared" si="14"/>
        <v>99.76536679096084</v>
      </c>
      <c r="AG52" s="3"/>
      <c r="AH52" s="162">
        <f t="shared" si="15"/>
        <v>12.242536115937854</v>
      </c>
      <c r="AI52" s="3"/>
      <c r="AJ52" s="162">
        <f t="shared" si="16"/>
        <v>2.8599722357504702</v>
      </c>
      <c r="AK52" s="3"/>
      <c r="AL52" s="161">
        <f t="shared" si="6"/>
        <v>255.33073318912636</v>
      </c>
      <c r="AM52" s="3"/>
      <c r="AN52" s="162">
        <f>INDEX('(2.2)_Forward_Price_Curve'!$I:$I,MATCH($AB52,'(2.2)_Forward_Price_Curve'!$C:$C,0),1)</f>
        <v>6.4573054101562475</v>
      </c>
      <c r="AO52" s="3"/>
      <c r="AP52" s="162">
        <f t="shared" si="7"/>
        <v>46.258462168416749</v>
      </c>
      <c r="AQ52" s="3"/>
      <c r="AR52" s="162">
        <f t="shared" si="17"/>
        <v>5.8383525838493915</v>
      </c>
      <c r="AS52" s="162"/>
      <c r="AT52" s="161">
        <f t="shared" si="2"/>
        <v>209.00205645685833</v>
      </c>
      <c r="AU52" s="3"/>
      <c r="AV52" s="161">
        <f t="shared" si="3"/>
        <v>684.5521458447771</v>
      </c>
      <c r="AW52" s="299"/>
      <c r="AX52" s="163">
        <f t="shared" si="8"/>
        <v>893.55420230163543</v>
      </c>
      <c r="AZ52" s="154">
        <f>+IF(AZ51&gt;$G$13+$G$14,XX,AZ51+1)</f>
        <v>2027</v>
      </c>
      <c r="BA52" s="124"/>
      <c r="BB52" s="162">
        <f t="shared" si="18"/>
        <v>85.696341212023455</v>
      </c>
      <c r="BC52" s="3"/>
      <c r="BD52" s="162">
        <f t="shared" si="19"/>
        <v>18.632138188137624</v>
      </c>
      <c r="BE52" s="3"/>
      <c r="BF52" s="161">
        <f t="shared" si="9"/>
        <v>46.328676732268036</v>
      </c>
      <c r="BG52" s="3"/>
      <c r="BH52" s="165"/>
    </row>
    <row r="53" spans="1:61" ht="12">
      <c r="B53" s="2"/>
      <c r="C53" s="6">
        <f>+IF(C52&gt;$G$13+$G$14,XX,C52+1)</f>
        <v>2028</v>
      </c>
      <c r="D53" s="6"/>
      <c r="E53" s="292">
        <f t="shared" si="10"/>
        <v>2.5000000000000001E-2</v>
      </c>
      <c r="F53" s="6"/>
      <c r="G53" s="20">
        <f t="shared" si="11"/>
        <v>13140</v>
      </c>
      <c r="H53" s="6"/>
      <c r="I53" s="30">
        <f t="shared" si="20"/>
        <v>288.54260212865836</v>
      </c>
      <c r="J53" s="6"/>
      <c r="K53" s="30">
        <f t="shared" si="12"/>
        <v>0</v>
      </c>
      <c r="L53" s="6"/>
      <c r="M53" s="30">
        <f t="shared" si="13"/>
        <v>0</v>
      </c>
      <c r="N53" s="6"/>
      <c r="O53" s="295"/>
      <c r="P53" s="6"/>
      <c r="Q53" s="30"/>
      <c r="R53" s="6"/>
      <c r="S53" s="20">
        <v>0</v>
      </c>
      <c r="T53" s="6"/>
      <c r="U53" s="20">
        <f t="shared" si="4"/>
        <v>915.89305735917628</v>
      </c>
      <c r="V53" s="6"/>
      <c r="W53" s="20">
        <f t="shared" si="0"/>
        <v>-915.89305735917628</v>
      </c>
      <c r="X53" s="6"/>
      <c r="Y53" s="296">
        <f t="shared" si="5"/>
        <v>-69.702667987760762</v>
      </c>
      <c r="Z53" s="255"/>
      <c r="AB53" s="154">
        <f>+IF(AB52&gt;$G$13+$G$14,XX,AB52+1)</f>
        <v>2028</v>
      </c>
      <c r="AC53" s="124"/>
      <c r="AD53" s="159">
        <f t="shared" si="1"/>
        <v>13140</v>
      </c>
      <c r="AE53" s="3"/>
      <c r="AF53" s="162">
        <f t="shared" si="14"/>
        <v>102.25950096073485</v>
      </c>
      <c r="AG53" s="3"/>
      <c r="AH53" s="162">
        <f t="shared" si="15"/>
        <v>12.5485995188363</v>
      </c>
      <c r="AI53" s="3"/>
      <c r="AJ53" s="162">
        <f t="shared" si="16"/>
        <v>2.9314715416442318</v>
      </c>
      <c r="AK53" s="3"/>
      <c r="AL53" s="161">
        <f t="shared" si="6"/>
        <v>261.7140015188545</v>
      </c>
      <c r="AM53" s="3"/>
      <c r="AN53" s="162">
        <f>INDEX('(2.2)_Forward_Price_Curve'!$I:$I,MATCH($AB53,'(2.2)_Forward_Price_Curve'!$C:$C,0),1)</f>
        <v>6.6187380454101534</v>
      </c>
      <c r="AO53" s="3"/>
      <c r="AP53" s="162">
        <f t="shared" si="7"/>
        <v>47.414923722627172</v>
      </c>
      <c r="AQ53" s="3"/>
      <c r="AR53" s="162">
        <f t="shared" si="17"/>
        <v>5.9843113984456258</v>
      </c>
      <c r="AS53" s="162"/>
      <c r="AT53" s="161">
        <f t="shared" si="2"/>
        <v>214.22710786827977</v>
      </c>
      <c r="AU53" s="3"/>
      <c r="AV53" s="161">
        <f t="shared" si="3"/>
        <v>701.66594949089654</v>
      </c>
      <c r="AW53" s="299"/>
      <c r="AX53" s="163">
        <f t="shared" si="8"/>
        <v>915.89305735917628</v>
      </c>
      <c r="AZ53" s="154">
        <f>+IF(AZ52&gt;$G$13+$G$14,XX,AZ52+1)</f>
        <v>2028</v>
      </c>
      <c r="BA53" s="124"/>
      <c r="BB53" s="162">
        <f t="shared" si="18"/>
        <v>87.83874974232404</v>
      </c>
      <c r="BC53" s="3"/>
      <c r="BD53" s="162">
        <f t="shared" si="19"/>
        <v>19.097941642841064</v>
      </c>
      <c r="BE53" s="3"/>
      <c r="BF53" s="161">
        <f t="shared" si="9"/>
        <v>47.486893650574736</v>
      </c>
      <c r="BG53" s="3"/>
      <c r="BH53" s="255"/>
    </row>
    <row r="54" spans="1:61" ht="12">
      <c r="B54" s="2"/>
      <c r="C54" s="6">
        <f>+IF(C53&gt;$G$13+$G$14,XX,C53+1)</f>
        <v>2029</v>
      </c>
      <c r="D54" s="6"/>
      <c r="E54" s="292">
        <f t="shared" si="10"/>
        <v>2.5000000000000001E-2</v>
      </c>
      <c r="F54" s="6"/>
      <c r="G54" s="20">
        <f t="shared" si="11"/>
        <v>13140</v>
      </c>
      <c r="H54" s="6"/>
      <c r="I54" s="30">
        <f t="shared" si="20"/>
        <v>295.75616718187479</v>
      </c>
      <c r="J54" s="6"/>
      <c r="K54" s="30">
        <f t="shared" si="12"/>
        <v>0</v>
      </c>
      <c r="L54" s="6"/>
      <c r="M54" s="30">
        <f t="shared" si="13"/>
        <v>0</v>
      </c>
      <c r="N54" s="6"/>
      <c r="O54" s="295"/>
      <c r="P54" s="6"/>
      <c r="Q54" s="30"/>
      <c r="R54" s="6"/>
      <c r="S54" s="20">
        <v>0</v>
      </c>
      <c r="T54" s="6"/>
      <c r="U54" s="20">
        <f t="shared" si="4"/>
        <v>938.7903837931558</v>
      </c>
      <c r="V54" s="6"/>
      <c r="W54" s="20">
        <f t="shared" si="0"/>
        <v>-938.7903837931558</v>
      </c>
      <c r="X54" s="6"/>
      <c r="Y54" s="296">
        <f t="shared" si="5"/>
        <v>-71.445234687454771</v>
      </c>
      <c r="Z54" s="255"/>
      <c r="AB54" s="154">
        <f>+IF(AB53&gt;$G$13+$G$14,XX,AB53+1)</f>
        <v>2029</v>
      </c>
      <c r="AC54" s="124"/>
      <c r="AD54" s="159">
        <f t="shared" si="1"/>
        <v>13140</v>
      </c>
      <c r="AE54" s="3"/>
      <c r="AF54" s="162">
        <f t="shared" si="14"/>
        <v>104.81598848475322</v>
      </c>
      <c r="AG54" s="3"/>
      <c r="AH54" s="162">
        <f t="shared" si="15"/>
        <v>12.862314506807206</v>
      </c>
      <c r="AI54" s="3"/>
      <c r="AJ54" s="162">
        <f t="shared" si="16"/>
        <v>3.0047583301853376</v>
      </c>
      <c r="AK54" s="3"/>
      <c r="AL54" s="161">
        <f t="shared" si="6"/>
        <v>268.25685155682584</v>
      </c>
      <c r="AM54" s="3"/>
      <c r="AN54" s="162">
        <f>INDEX('(2.2)_Forward_Price_Curve'!$I:$I,MATCH($AB54,'(2.2)_Forward_Price_Curve'!$C:$C,0),1)</f>
        <v>6.7842064965454068</v>
      </c>
      <c r="AO54" s="3"/>
      <c r="AP54" s="162">
        <f t="shared" si="7"/>
        <v>48.60029681569285</v>
      </c>
      <c r="AQ54" s="3"/>
      <c r="AR54" s="162">
        <f t="shared" si="17"/>
        <v>6.1339191834067659</v>
      </c>
      <c r="AS54" s="162"/>
      <c r="AT54" s="161">
        <f t="shared" si="2"/>
        <v>219.58278556498675</v>
      </c>
      <c r="AU54" s="3"/>
      <c r="AV54" s="161">
        <f t="shared" si="3"/>
        <v>719.20759822816899</v>
      </c>
      <c r="AW54" s="299"/>
      <c r="AX54" s="163">
        <f t="shared" si="8"/>
        <v>938.7903837931558</v>
      </c>
      <c r="AZ54" s="154">
        <f>+IF(AZ53&gt;$G$13+$G$14,XX,AZ53+1)</f>
        <v>2029</v>
      </c>
      <c r="BA54" s="124"/>
      <c r="BB54" s="162">
        <f t="shared" si="18"/>
        <v>90.034718485882138</v>
      </c>
      <c r="BC54" s="3"/>
      <c r="BD54" s="162">
        <f t="shared" si="19"/>
        <v>19.575390183912088</v>
      </c>
      <c r="BE54" s="3"/>
      <c r="BF54" s="161">
        <f t="shared" si="9"/>
        <v>48.6740659918391</v>
      </c>
      <c r="BG54" s="3"/>
      <c r="BH54" s="165"/>
    </row>
    <row r="55" spans="1:61" ht="12">
      <c r="B55" s="2"/>
      <c r="C55" s="6">
        <f>+IF(C54&gt;$G$13+$G$14,XX,C54+1)</f>
        <v>2030</v>
      </c>
      <c r="D55" s="6"/>
      <c r="E55" s="292">
        <f t="shared" si="10"/>
        <v>2.5000000000000001E-2</v>
      </c>
      <c r="F55" s="6"/>
      <c r="G55" s="20">
        <f t="shared" si="11"/>
        <v>13140</v>
      </c>
      <c r="H55" s="6"/>
      <c r="I55" s="30">
        <f t="shared" si="20"/>
        <v>303.15007136142162</v>
      </c>
      <c r="J55" s="6"/>
      <c r="K55" s="30">
        <f t="shared" si="12"/>
        <v>0</v>
      </c>
      <c r="L55" s="6"/>
      <c r="M55" s="30">
        <f t="shared" si="13"/>
        <v>0</v>
      </c>
      <c r="N55" s="6"/>
      <c r="O55" s="295"/>
      <c r="P55" s="6"/>
      <c r="Q55" s="30"/>
      <c r="R55" s="6"/>
      <c r="S55" s="20">
        <v>0</v>
      </c>
      <c r="T55" s="6"/>
      <c r="U55" s="20">
        <f t="shared" si="4"/>
        <v>962.26014338798439</v>
      </c>
      <c r="V55" s="6"/>
      <c r="W55" s="20">
        <f t="shared" si="0"/>
        <v>-962.26014338798439</v>
      </c>
      <c r="X55" s="6"/>
      <c r="Y55" s="296">
        <f t="shared" si="5"/>
        <v>-73.23136555464113</v>
      </c>
      <c r="Z55" s="255"/>
      <c r="AB55" s="154">
        <f>+IF(AB54&gt;$G$13+$G$14,XX,AB54+1)</f>
        <v>2030</v>
      </c>
      <c r="AC55" s="124"/>
      <c r="AD55" s="159">
        <f t="shared" si="1"/>
        <v>13140</v>
      </c>
      <c r="AE55" s="3"/>
      <c r="AF55" s="162">
        <f t="shared" si="14"/>
        <v>107.43638819687204</v>
      </c>
      <c r="AG55" s="3"/>
      <c r="AH55" s="162">
        <f t="shared" si="15"/>
        <v>13.183872369477385</v>
      </c>
      <c r="AI55" s="3"/>
      <c r="AJ55" s="162">
        <f t="shared" si="16"/>
        <v>3.0798772884399708</v>
      </c>
      <c r="AK55" s="3"/>
      <c r="AL55" s="161">
        <f t="shared" si="6"/>
        <v>274.96327284574647</v>
      </c>
      <c r="AM55" s="3"/>
      <c r="AN55" s="162">
        <f>INDEX('(2.2)_Forward_Price_Curve'!$I:$I,MATCH($AB55,'(2.2)_Forward_Price_Curve'!$C:$C,0),1)</f>
        <v>6.9538116589590411</v>
      </c>
      <c r="AO55" s="3"/>
      <c r="AP55" s="162">
        <f t="shared" si="7"/>
        <v>49.815304236085161</v>
      </c>
      <c r="AQ55" s="3"/>
      <c r="AR55" s="162">
        <f t="shared" si="17"/>
        <v>6.2872671629919346</v>
      </c>
      <c r="AS55" s="162"/>
      <c r="AT55" s="161">
        <f t="shared" si="2"/>
        <v>225.0723552041114</v>
      </c>
      <c r="AU55" s="3"/>
      <c r="AV55" s="161">
        <f t="shared" si="3"/>
        <v>737.18778818387295</v>
      </c>
      <c r="AW55" s="299"/>
      <c r="AX55" s="163">
        <f t="shared" si="8"/>
        <v>962.26014338798439</v>
      </c>
      <c r="AZ55" s="154">
        <f>+IF(AZ54&gt;$G$13+$G$14,XX,AZ54+1)</f>
        <v>2030</v>
      </c>
      <c r="BA55" s="124"/>
      <c r="BB55" s="162">
        <f t="shared" si="18"/>
        <v>92.285586448029179</v>
      </c>
      <c r="BC55" s="3"/>
      <c r="BD55" s="162">
        <f t="shared" si="19"/>
        <v>20.064774938509888</v>
      </c>
      <c r="BE55" s="3"/>
      <c r="BF55" s="161">
        <f t="shared" si="9"/>
        <v>49.89091764163507</v>
      </c>
      <c r="BG55" s="3"/>
      <c r="BH55" s="255"/>
    </row>
    <row r="56" spans="1:61" ht="12">
      <c r="B56" s="2"/>
      <c r="C56" s="6">
        <f>+IF(C55&gt;$G$13+$G$14,XX,C55+1)</f>
        <v>2031</v>
      </c>
      <c r="D56" s="6"/>
      <c r="E56" s="292">
        <f t="shared" si="10"/>
        <v>2.5000000000000001E-2</v>
      </c>
      <c r="F56" s="6"/>
      <c r="G56" s="20">
        <f t="shared" si="11"/>
        <v>13140</v>
      </c>
      <c r="H56" s="6"/>
      <c r="I56" s="30">
        <f t="shared" si="20"/>
        <v>310.72882314545711</v>
      </c>
      <c r="J56" s="6"/>
      <c r="K56" s="30">
        <f t="shared" si="12"/>
        <v>0</v>
      </c>
      <c r="L56" s="6"/>
      <c r="M56" s="30">
        <f t="shared" si="13"/>
        <v>0</v>
      </c>
      <c r="N56" s="6"/>
      <c r="O56" s="295"/>
      <c r="P56" s="6"/>
      <c r="Q56" s="30"/>
      <c r="R56" s="6"/>
      <c r="S56" s="20">
        <v>0</v>
      </c>
      <c r="T56" s="6"/>
      <c r="U56" s="20">
        <f t="shared" si="4"/>
        <v>986.316646972684</v>
      </c>
      <c r="V56" s="6"/>
      <c r="W56" s="20">
        <f t="shared" si="0"/>
        <v>-986.316646972684</v>
      </c>
      <c r="X56" s="6"/>
      <c r="Y56" s="296">
        <f t="shared" si="5"/>
        <v>-75.062149693507152</v>
      </c>
      <c r="Z56" s="255"/>
      <c r="AB56" s="154">
        <f>+IF(AB55&gt;$G$13+$G$14,XX,AB55+1)</f>
        <v>2031</v>
      </c>
      <c r="AC56" s="124"/>
      <c r="AD56" s="159">
        <f t="shared" si="1"/>
        <v>13140</v>
      </c>
      <c r="AE56" s="3"/>
      <c r="AF56" s="162">
        <f t="shared" si="14"/>
        <v>110.12229790179384</v>
      </c>
      <c r="AG56" s="3"/>
      <c r="AH56" s="162">
        <f t="shared" si="15"/>
        <v>13.513469178714319</v>
      </c>
      <c r="AI56" s="3"/>
      <c r="AJ56" s="162">
        <f t="shared" si="16"/>
        <v>3.1568742206509697</v>
      </c>
      <c r="AK56" s="3"/>
      <c r="AL56" s="161">
        <f t="shared" si="6"/>
        <v>281.83735466689012</v>
      </c>
      <c r="AM56" s="3"/>
      <c r="AN56" s="162">
        <f>INDEX('(2.2)_Forward_Price_Curve'!$I:$I,MATCH($AB56,'(2.2)_Forward_Price_Curve'!$C:$C,0),1)</f>
        <v>7.1276569504330167</v>
      </c>
      <c r="AO56" s="3"/>
      <c r="AP56" s="162">
        <f t="shared" si="7"/>
        <v>51.060686841987284</v>
      </c>
      <c r="AQ56" s="3"/>
      <c r="AR56" s="162">
        <f t="shared" si="17"/>
        <v>6.4444488420667323</v>
      </c>
      <c r="AS56" s="162"/>
      <c r="AT56" s="161">
        <f t="shared" si="2"/>
        <v>230.69916408421417</v>
      </c>
      <c r="AU56" s="3"/>
      <c r="AV56" s="161">
        <f t="shared" si="3"/>
        <v>755.61748288846979</v>
      </c>
      <c r="AW56" s="299"/>
      <c r="AX56" s="163">
        <f t="shared" si="8"/>
        <v>986.316646972684</v>
      </c>
      <c r="AZ56" s="154">
        <f>+IF(AZ55&gt;$G$13+$G$14,XX,AZ55+1)</f>
        <v>2031</v>
      </c>
      <c r="BA56" s="124"/>
      <c r="BB56" s="162">
        <f t="shared" si="18"/>
        <v>94.592726109229901</v>
      </c>
      <c r="BC56" s="3"/>
      <c r="BD56" s="162">
        <f t="shared" si="19"/>
        <v>20.566394311972633</v>
      </c>
      <c r="BE56" s="3"/>
      <c r="BF56" s="161">
        <f t="shared" si="9"/>
        <v>51.138190582675939</v>
      </c>
      <c r="BG56" s="3"/>
      <c r="BH56" s="255"/>
    </row>
    <row r="57" spans="1:61" ht="12">
      <c r="A57" s="255"/>
      <c r="C57" s="6">
        <f>+IF(C56&gt;$G$13+$G$14,XX,C56+1)</f>
        <v>2032</v>
      </c>
      <c r="D57" s="6"/>
      <c r="E57" s="292">
        <f t="shared" si="10"/>
        <v>2.5000000000000001E-2</v>
      </c>
      <c r="F57" s="6"/>
      <c r="G57" s="20">
        <f t="shared" si="11"/>
        <v>13140</v>
      </c>
      <c r="H57" s="6"/>
      <c r="I57" s="30">
        <f t="shared" si="20"/>
        <v>318.49704372409349</v>
      </c>
      <c r="J57" s="6"/>
      <c r="K57" s="30">
        <f t="shared" si="12"/>
        <v>0</v>
      </c>
      <c r="L57" s="6"/>
      <c r="M57" s="30">
        <f t="shared" si="13"/>
        <v>0</v>
      </c>
      <c r="N57" s="6"/>
      <c r="O57" s="295"/>
      <c r="P57" s="6"/>
      <c r="Q57" s="30"/>
      <c r="R57" s="6"/>
      <c r="S57" s="20">
        <v>0</v>
      </c>
      <c r="T57" s="6"/>
      <c r="U57" s="20">
        <f t="shared" si="4"/>
        <v>1010.974563147001</v>
      </c>
      <c r="V57" s="6"/>
      <c r="W57" s="20">
        <f t="shared" si="0"/>
        <v>-1010.974563147001</v>
      </c>
      <c r="X57" s="6"/>
      <c r="Y57" s="296">
        <f t="shared" si="5"/>
        <v>-76.938703435844829</v>
      </c>
      <c r="Z57" s="255"/>
      <c r="AB57" s="154">
        <f>+IF(AB56&gt;$G$13+$G$14,XX,AB56+1)</f>
        <v>2032</v>
      </c>
      <c r="AC57" s="124"/>
      <c r="AD57" s="159">
        <f t="shared" si="1"/>
        <v>13140</v>
      </c>
      <c r="AE57" s="3"/>
      <c r="AF57" s="162">
        <f t="shared" si="14"/>
        <v>112.87535534933868</v>
      </c>
      <c r="AG57" s="3"/>
      <c r="AH57" s="162">
        <f t="shared" si="15"/>
        <v>13.851305908182175</v>
      </c>
      <c r="AI57" s="3"/>
      <c r="AJ57" s="162">
        <f t="shared" si="16"/>
        <v>3.2357960761672437</v>
      </c>
      <c r="AK57" s="3"/>
      <c r="AL57" s="161">
        <f t="shared" si="6"/>
        <v>288.88328853356234</v>
      </c>
      <c r="AM57" s="3"/>
      <c r="AN57" s="162">
        <f>INDEX('(2.2)_Forward_Price_Curve'!$I:$I,MATCH($AB57,'(2.2)_Forward_Price_Curve'!$C:$C,0),1)</f>
        <v>7.3058483741938414</v>
      </c>
      <c r="AO57" s="3"/>
      <c r="AP57" s="162">
        <f t="shared" si="7"/>
        <v>52.337204013036967</v>
      </c>
      <c r="AQ57" s="3"/>
      <c r="AR57" s="162">
        <f t="shared" si="17"/>
        <v>6.6055600631183999</v>
      </c>
      <c r="AS57" s="162"/>
      <c r="AT57" s="161">
        <f t="shared" si="2"/>
        <v>236.46664318631952</v>
      </c>
      <c r="AU57" s="3"/>
      <c r="AV57" s="161">
        <f t="shared" si="3"/>
        <v>774.50791996068153</v>
      </c>
      <c r="AW57" s="299"/>
      <c r="AX57" s="163">
        <f t="shared" si="8"/>
        <v>1010.974563147001</v>
      </c>
      <c r="AZ57" s="154">
        <f>+IF(AZ56&gt;$G$13+$G$14,XX,AZ56+1)</f>
        <v>2032</v>
      </c>
      <c r="BA57" s="124"/>
      <c r="BB57" s="162">
        <f t="shared" si="18"/>
        <v>96.957544261960635</v>
      </c>
      <c r="BC57" s="3"/>
      <c r="BD57" s="162">
        <f t="shared" si="19"/>
        <v>21.080554169771947</v>
      </c>
      <c r="BE57" s="3"/>
      <c r="BF57" s="161">
        <f t="shared" si="9"/>
        <v>52.416645347242834</v>
      </c>
      <c r="BG57" s="3"/>
      <c r="BH57" s="255"/>
      <c r="BI57" s="3"/>
    </row>
    <row r="58" spans="1:61" ht="12">
      <c r="A58" s="255"/>
      <c r="C58" s="6">
        <f>+IF(C57&gt;$G$13+$G$14,XX,C57+1)</f>
        <v>2033</v>
      </c>
      <c r="D58" s="6"/>
      <c r="E58" s="292">
        <f t="shared" si="10"/>
        <v>2.5000000000000001E-2</v>
      </c>
      <c r="F58" s="6"/>
      <c r="G58" s="20">
        <f t="shared" si="11"/>
        <v>13140</v>
      </c>
      <c r="H58" s="6"/>
      <c r="I58" s="30">
        <f t="shared" si="20"/>
        <v>326.45946981719578</v>
      </c>
      <c r="J58" s="6"/>
      <c r="K58" s="30">
        <f t="shared" si="12"/>
        <v>0</v>
      </c>
      <c r="L58" s="6"/>
      <c r="M58" s="30">
        <f t="shared" si="13"/>
        <v>0</v>
      </c>
      <c r="N58" s="6"/>
      <c r="O58" s="295"/>
      <c r="P58" s="6"/>
      <c r="Q58" s="30"/>
      <c r="R58" s="6"/>
      <c r="S58" s="20">
        <v>0</v>
      </c>
      <c r="T58" s="6"/>
      <c r="U58" s="20">
        <f t="shared" si="4"/>
        <v>1036.248927225676</v>
      </c>
      <c r="V58" s="6"/>
      <c r="W58" s="20">
        <f t="shared" si="0"/>
        <v>-1036.248927225676</v>
      </c>
      <c r="X58" s="6"/>
      <c r="Y58" s="296">
        <f t="shared" si="5"/>
        <v>-78.862171021740949</v>
      </c>
      <c r="Z58" s="255"/>
      <c r="AB58" s="154">
        <f>+IF(AB57&gt;$G$13+$G$14,XX,AB57+1)</f>
        <v>2033</v>
      </c>
      <c r="AC58" s="124"/>
      <c r="AD58" s="159">
        <f t="shared" si="1"/>
        <v>13140</v>
      </c>
      <c r="AE58" s="3"/>
      <c r="AF58" s="162">
        <f t="shared" si="14"/>
        <v>115.69723923307214</v>
      </c>
      <c r="AG58" s="3"/>
      <c r="AH58" s="162">
        <f t="shared" si="15"/>
        <v>14.197588555886728</v>
      </c>
      <c r="AI58" s="3"/>
      <c r="AJ58" s="162">
        <f t="shared" si="16"/>
        <v>3.3166909780714247</v>
      </c>
      <c r="AK58" s="3"/>
      <c r="AL58" s="161">
        <f t="shared" si="6"/>
        <v>296.10537074690143</v>
      </c>
      <c r="AM58" s="3"/>
      <c r="AN58" s="162">
        <f>INDEX('(2.2)_Forward_Price_Curve'!$I:$I,MATCH($AB58,'(2.2)_Forward_Price_Curve'!$C:$C,0),1)</f>
        <v>7.4884945835486869</v>
      </c>
      <c r="AO58" s="3"/>
      <c r="AP58" s="162">
        <f t="shared" si="7"/>
        <v>53.645634113362881</v>
      </c>
      <c r="AQ58" s="3"/>
      <c r="AR58" s="162">
        <f t="shared" si="17"/>
        <v>6.770699064696359</v>
      </c>
      <c r="AS58" s="162"/>
      <c r="AT58" s="161">
        <f t="shared" si="2"/>
        <v>242.37830926597752</v>
      </c>
      <c r="AU58" s="3"/>
      <c r="AV58" s="161">
        <f t="shared" si="3"/>
        <v>793.87061795969839</v>
      </c>
      <c r="AW58" s="299"/>
      <c r="AX58" s="163">
        <f t="shared" si="8"/>
        <v>1036.248927225676</v>
      </c>
      <c r="AZ58" s="154">
        <f>+IF(AZ57&gt;$G$13+$G$14,XX,AZ57+1)</f>
        <v>2033</v>
      </c>
      <c r="BA58" s="124"/>
      <c r="BB58" s="162">
        <f t="shared" si="18"/>
        <v>99.381482868509636</v>
      </c>
      <c r="BC58" s="3"/>
      <c r="BD58" s="162">
        <f t="shared" si="19"/>
        <v>21.607568024016242</v>
      </c>
      <c r="BE58" s="3"/>
      <c r="BF58" s="161">
        <f t="shared" si="9"/>
        <v>53.727061480923901</v>
      </c>
      <c r="BH58" s="255"/>
    </row>
    <row r="59" spans="1:61" ht="12">
      <c r="A59" s="255"/>
      <c r="C59" s="6">
        <f>+IF(C58&gt;$G$13+$G$14,XX,C58+1)</f>
        <v>2034</v>
      </c>
      <c r="D59" s="6"/>
      <c r="E59" s="292">
        <f t="shared" si="10"/>
        <v>2.5000000000000001E-2</v>
      </c>
      <c r="F59" s="6"/>
      <c r="G59" s="20">
        <f t="shared" si="11"/>
        <v>13140</v>
      </c>
      <c r="H59" s="6"/>
      <c r="I59" s="30">
        <f t="shared" si="20"/>
        <v>334.62095656262562</v>
      </c>
      <c r="J59" s="6"/>
      <c r="K59" s="30">
        <f t="shared" si="12"/>
        <v>0</v>
      </c>
      <c r="L59" s="6"/>
      <c r="M59" s="30">
        <f t="shared" si="13"/>
        <v>0</v>
      </c>
      <c r="N59" s="6"/>
      <c r="O59" s="295"/>
      <c r="P59" s="6"/>
      <c r="Q59" s="30"/>
      <c r="R59" s="6"/>
      <c r="S59" s="20">
        <v>0</v>
      </c>
      <c r="T59" s="6"/>
      <c r="U59" s="20">
        <f t="shared" si="4"/>
        <v>1062.1551504063177</v>
      </c>
      <c r="V59" s="6"/>
      <c r="W59" s="20">
        <f t="shared" si="0"/>
        <v>-1062.1551504063177</v>
      </c>
      <c r="X59" s="6"/>
      <c r="Y59" s="296">
        <f t="shared" si="5"/>
        <v>-80.83372529728446</v>
      </c>
      <c r="Z59" s="255"/>
      <c r="AB59" s="154">
        <f>+IF(AB58&gt;$G$13+$G$14,XX,AB58+1)</f>
        <v>2034</v>
      </c>
      <c r="AC59" s="124"/>
      <c r="AD59" s="159">
        <f t="shared" si="1"/>
        <v>13140</v>
      </c>
      <c r="AE59" s="3"/>
      <c r="AF59" s="162">
        <f t="shared" si="14"/>
        <v>118.58967021389893</v>
      </c>
      <c r="AG59" s="3"/>
      <c r="AH59" s="162">
        <f t="shared" si="15"/>
        <v>14.552528269783895</v>
      </c>
      <c r="AI59" s="3"/>
      <c r="AJ59" s="162">
        <f t="shared" si="16"/>
        <v>3.3996082525232101</v>
      </c>
      <c r="AK59" s="3"/>
      <c r="AL59" s="161">
        <f t="shared" si="6"/>
        <v>303.50800501557393</v>
      </c>
      <c r="AM59" s="3"/>
      <c r="AN59" s="162">
        <f>INDEX('(2.2)_Forward_Price_Curve'!$I:$I,MATCH($AB59,'(2.2)_Forward_Price_Curve'!$C:$C,0),1)</f>
        <v>7.6757069481374032</v>
      </c>
      <c r="AO59" s="3"/>
      <c r="AP59" s="162">
        <f t="shared" si="7"/>
        <v>54.986774966196947</v>
      </c>
      <c r="AQ59" s="3"/>
      <c r="AR59" s="162">
        <f t="shared" si="17"/>
        <v>6.9399665413137672</v>
      </c>
      <c r="AS59" s="162"/>
      <c r="AT59" s="161">
        <f t="shared" si="2"/>
        <v>248.43776699762694</v>
      </c>
      <c r="AU59" s="3"/>
      <c r="AV59" s="161">
        <f t="shared" si="3"/>
        <v>813.71738340869081</v>
      </c>
      <c r="AW59" s="299"/>
      <c r="AX59" s="163">
        <f t="shared" si="8"/>
        <v>1062.1551504063177</v>
      </c>
      <c r="AZ59" s="154">
        <f>+IF(AZ58&gt;$G$13+$G$14,XX,AZ58+1)</f>
        <v>2034</v>
      </c>
      <c r="BA59" s="124"/>
      <c r="BB59" s="162">
        <f t="shared" si="18"/>
        <v>101.86601994022237</v>
      </c>
      <c r="BC59" s="3"/>
      <c r="BD59" s="162">
        <f t="shared" si="19"/>
        <v>22.147757224616647</v>
      </c>
      <c r="BE59" s="3"/>
      <c r="BF59" s="161">
        <f t="shared" si="9"/>
        <v>55.070238017946991</v>
      </c>
      <c r="BH59" s="255"/>
    </row>
    <row r="60" spans="1:61" ht="12">
      <c r="A60" s="255"/>
      <c r="C60" s="6">
        <f>+IF(C59&gt;$G$13+$G$14,XX,C59+1)</f>
        <v>2035</v>
      </c>
      <c r="D60" s="6"/>
      <c r="E60" s="292">
        <f t="shared" si="10"/>
        <v>2.5000000000000001E-2</v>
      </c>
      <c r="F60" s="6"/>
      <c r="G60" s="20">
        <f t="shared" si="11"/>
        <v>13140</v>
      </c>
      <c r="H60" s="6"/>
      <c r="I60" s="30">
        <f t="shared" si="20"/>
        <v>342.98648047669121</v>
      </c>
      <c r="J60" s="6"/>
      <c r="K60" s="30">
        <f t="shared" si="12"/>
        <v>0</v>
      </c>
      <c r="L60" s="6"/>
      <c r="M60" s="30">
        <f t="shared" si="13"/>
        <v>0</v>
      </c>
      <c r="N60" s="6"/>
      <c r="O60" s="295"/>
      <c r="P60" s="6"/>
      <c r="Q60" s="30"/>
      <c r="R60" s="6"/>
      <c r="S60" s="20">
        <v>0</v>
      </c>
      <c r="T60" s="6"/>
      <c r="U60" s="20">
        <f t="shared" si="4"/>
        <v>1088.7090291664756</v>
      </c>
      <c r="V60" s="6"/>
      <c r="W60" s="20">
        <f t="shared" si="0"/>
        <v>-1088.7090291664756</v>
      </c>
      <c r="X60" s="6"/>
      <c r="Y60" s="296">
        <f t="shared" si="5"/>
        <v>-82.854568429716565</v>
      </c>
      <c r="Z60" s="255"/>
      <c r="AB60" s="154">
        <f>+IF(AB59&gt;$G$13+$G$14,XX,AB59+1)</f>
        <v>2035</v>
      </c>
      <c r="AC60" s="124"/>
      <c r="AD60" s="159">
        <f t="shared" si="1"/>
        <v>13140</v>
      </c>
      <c r="AE60" s="3"/>
      <c r="AF60" s="162">
        <f t="shared" si="14"/>
        <v>121.55441196924639</v>
      </c>
      <c r="AG60" s="3"/>
      <c r="AH60" s="162">
        <f t="shared" si="15"/>
        <v>14.916341476528492</v>
      </c>
      <c r="AI60" s="3"/>
      <c r="AJ60" s="162">
        <f t="shared" si="16"/>
        <v>3.4845984588362899</v>
      </c>
      <c r="AK60" s="3"/>
      <c r="AL60" s="161">
        <f t="shared" si="6"/>
        <v>311.09570514096328</v>
      </c>
      <c r="AM60" s="3"/>
      <c r="AN60" s="162">
        <f>INDEX('(2.2)_Forward_Price_Curve'!$I:$I,MATCH($AB60,'(2.2)_Forward_Price_Curve'!$C:$C,0),1)</f>
        <v>7.8675996218408377</v>
      </c>
      <c r="AO60" s="3"/>
      <c r="AP60" s="162">
        <f t="shared" si="7"/>
        <v>56.361444340351866</v>
      </c>
      <c r="AQ60" s="3"/>
      <c r="AR60" s="162">
        <f t="shared" si="17"/>
        <v>7.113465704846611</v>
      </c>
      <c r="AS60" s="162"/>
      <c r="AT60" s="161">
        <f t="shared" si="2"/>
        <v>254.6487111725676</v>
      </c>
      <c r="AU60" s="3"/>
      <c r="AV60" s="161">
        <f t="shared" si="3"/>
        <v>834.06031799390792</v>
      </c>
      <c r="AW60" s="299"/>
      <c r="AX60" s="163">
        <f t="shared" si="8"/>
        <v>1088.7090291664756</v>
      </c>
      <c r="AZ60" s="154">
        <f>+IF(AZ59&gt;$G$13+$G$14,XX,AZ59+1)</f>
        <v>2035</v>
      </c>
      <c r="BA60" s="124"/>
      <c r="BB60" s="162">
        <f t="shared" si="18"/>
        <v>104.41267043872793</v>
      </c>
      <c r="BC60" s="3"/>
      <c r="BD60" s="162">
        <f t="shared" si="19"/>
        <v>22.701451155232061</v>
      </c>
      <c r="BE60" s="3"/>
      <c r="BF60" s="161">
        <f t="shared" si="9"/>
        <v>56.446993968395667</v>
      </c>
      <c r="BH60" s="255"/>
    </row>
    <row r="61" spans="1:61" ht="12">
      <c r="A61" s="255"/>
      <c r="C61" s="6">
        <f>+IF(C60&gt;$G$13+$G$14,XX,C60+1)</f>
        <v>2036</v>
      </c>
      <c r="D61" s="6"/>
      <c r="E61" s="292">
        <f t="shared" si="10"/>
        <v>2.5000000000000001E-2</v>
      </c>
      <c r="F61" s="6"/>
      <c r="G61" s="20">
        <f t="shared" si="11"/>
        <v>13140</v>
      </c>
      <c r="H61" s="6"/>
      <c r="I61" s="30">
        <f>I60*(1+$E61)</f>
        <v>351.56114248860848</v>
      </c>
      <c r="J61" s="6"/>
      <c r="K61" s="30">
        <f t="shared" si="12"/>
        <v>0</v>
      </c>
      <c r="L61" s="6"/>
      <c r="M61" s="30">
        <f t="shared" si="13"/>
        <v>0</v>
      </c>
      <c r="N61" s="6"/>
      <c r="O61" s="295"/>
      <c r="P61" s="6"/>
      <c r="Q61" s="30"/>
      <c r="R61" s="6"/>
      <c r="S61" s="20">
        <v>0</v>
      </c>
      <c r="T61" s="6"/>
      <c r="U61" s="20">
        <f t="shared" si="4"/>
        <v>1115.9267548956373</v>
      </c>
      <c r="V61" s="6"/>
      <c r="W61" s="20">
        <f t="shared" si="0"/>
        <v>-1115.9267548956373</v>
      </c>
      <c r="X61" s="6"/>
      <c r="Y61" s="296">
        <f t="shared" si="5"/>
        <v>-84.925932640459465</v>
      </c>
      <c r="Z61" s="255"/>
      <c r="AB61" s="154">
        <f>+IF(AB60&gt;$G$13+$G$14,XX,AB60+1)</f>
        <v>2036</v>
      </c>
      <c r="AC61" s="124"/>
      <c r="AD61" s="159">
        <f t="shared" si="1"/>
        <v>13140</v>
      </c>
      <c r="AE61" s="3"/>
      <c r="AF61" s="162">
        <f t="shared" si="14"/>
        <v>124.59327226847753</v>
      </c>
      <c r="AG61" s="3"/>
      <c r="AH61" s="162">
        <f t="shared" si="15"/>
        <v>15.289250013441704</v>
      </c>
      <c r="AI61" s="3"/>
      <c r="AJ61" s="162">
        <f t="shared" si="16"/>
        <v>3.571713420307197</v>
      </c>
      <c r="AK61" s="3"/>
      <c r="AL61" s="161">
        <f t="shared" si="6"/>
        <v>318.87309776948729</v>
      </c>
      <c r="AM61" s="3"/>
      <c r="AN61" s="162">
        <f>INDEX('(2.2)_Forward_Price_Curve'!$I:$I,MATCH($AB61,'(2.2)_Forward_Price_Curve'!$C:$C,0),1)</f>
        <v>8.0642896123868582</v>
      </c>
      <c r="AO61" s="3"/>
      <c r="AP61" s="162">
        <f t="shared" si="7"/>
        <v>57.77048044886066</v>
      </c>
      <c r="AQ61" s="3"/>
      <c r="AR61" s="162">
        <f t="shared" si="17"/>
        <v>7.2913023474677754</v>
      </c>
      <c r="AS61" s="162"/>
      <c r="AT61" s="161">
        <f t="shared" si="2"/>
        <v>261.01492895188176</v>
      </c>
      <c r="AU61" s="3"/>
      <c r="AV61" s="161">
        <f t="shared" si="3"/>
        <v>854.91182594375562</v>
      </c>
      <c r="AW61" s="299"/>
      <c r="AX61" s="163">
        <f t="shared" si="8"/>
        <v>1115.9267548956373</v>
      </c>
      <c r="AZ61" s="154">
        <f>+IF(AZ60&gt;$G$13+$G$14,XX,AZ60+1)</f>
        <v>2036</v>
      </c>
      <c r="BA61" s="124"/>
      <c r="BB61" s="162">
        <f t="shared" si="18"/>
        <v>107.02298719969612</v>
      </c>
      <c r="BC61" s="3"/>
      <c r="BD61" s="162">
        <f t="shared" si="19"/>
        <v>23.268987434112859</v>
      </c>
      <c r="BE61" s="3"/>
      <c r="BF61" s="161">
        <f t="shared" si="9"/>
        <v>57.858168817605559</v>
      </c>
      <c r="BH61" s="255"/>
    </row>
    <row r="62" spans="1:61" ht="12">
      <c r="A62" s="255"/>
      <c r="C62" s="6">
        <f>+IF(C61&gt;$G$13+$G$14,XX,C61+1)</f>
        <v>2037</v>
      </c>
      <c r="D62" s="6"/>
      <c r="E62" s="292">
        <f t="shared" si="10"/>
        <v>2.5000000000000001E-2</v>
      </c>
      <c r="F62" s="6"/>
      <c r="G62" s="20">
        <f t="shared" si="11"/>
        <v>13140</v>
      </c>
      <c r="H62" s="6"/>
      <c r="I62" s="30">
        <f t="shared" si="20"/>
        <v>360.35017105082369</v>
      </c>
      <c r="J62" s="6"/>
      <c r="K62" s="30">
        <f t="shared" si="12"/>
        <v>0</v>
      </c>
      <c r="L62" s="6"/>
      <c r="M62" s="30">
        <f t="shared" si="13"/>
        <v>0</v>
      </c>
      <c r="N62" s="6"/>
      <c r="O62" s="295"/>
      <c r="P62" s="6"/>
      <c r="Q62" s="30"/>
      <c r="R62" s="6"/>
      <c r="S62" s="20">
        <v>0</v>
      </c>
      <c r="T62" s="6"/>
      <c r="U62" s="20">
        <f t="shared" si="4"/>
        <v>1143.8249237680279</v>
      </c>
      <c r="V62" s="6"/>
      <c r="W62" s="20">
        <f t="shared" si="0"/>
        <v>-1143.8249237680279</v>
      </c>
      <c r="X62" s="6"/>
      <c r="Y62" s="296">
        <f t="shared" si="5"/>
        <v>-87.049080956470917</v>
      </c>
      <c r="Z62" s="255"/>
      <c r="AB62" s="154">
        <f>+IF(AB61&gt;$G$13+$G$14,XX,AB61+1)</f>
        <v>2037</v>
      </c>
      <c r="AC62" s="124"/>
      <c r="AD62" s="159">
        <f t="shared" si="1"/>
        <v>13140</v>
      </c>
      <c r="AE62" s="3"/>
      <c r="AF62" s="162">
        <f t="shared" si="14"/>
        <v>127.70810407518947</v>
      </c>
      <c r="AG62" s="3"/>
      <c r="AH62" s="162">
        <f t="shared" si="15"/>
        <v>15.671481263777745</v>
      </c>
      <c r="AI62" s="3"/>
      <c r="AJ62" s="162">
        <f t="shared" si="16"/>
        <v>3.6610062558148764</v>
      </c>
      <c r="AK62" s="3"/>
      <c r="AL62" s="161">
        <f t="shared" si="6"/>
        <v>326.84492521372437</v>
      </c>
      <c r="AM62" s="3"/>
      <c r="AN62" s="162">
        <f>INDEX('(2.2)_Forward_Price_Curve'!$I:$I,MATCH($AB62,'(2.2)_Forward_Price_Curve'!$C:$C,0),1)</f>
        <v>8.2658968526965282</v>
      </c>
      <c r="AO62" s="3"/>
      <c r="AP62" s="162">
        <f t="shared" si="7"/>
        <v>59.214742460082171</v>
      </c>
      <c r="AQ62" s="3"/>
      <c r="AR62" s="162">
        <f t="shared" si="17"/>
        <v>7.4735849061544695</v>
      </c>
      <c r="AS62" s="162"/>
      <c r="AT62" s="161">
        <f t="shared" si="2"/>
        <v>267.54030217567868</v>
      </c>
      <c r="AU62" s="3"/>
      <c r="AV62" s="161">
        <f t="shared" si="3"/>
        <v>876.28462159234937</v>
      </c>
      <c r="AW62" s="299"/>
      <c r="AX62" s="163">
        <f t="shared" si="8"/>
        <v>1143.8249237680279</v>
      </c>
      <c r="AZ62" s="154">
        <f>+IF(AZ61&gt;$G$13+$G$14,XX,AZ61+1)</f>
        <v>2037</v>
      </c>
      <c r="BA62" s="124"/>
      <c r="BB62" s="162">
        <f t="shared" si="18"/>
        <v>109.69856187968851</v>
      </c>
      <c r="BC62" s="3"/>
      <c r="BD62" s="162">
        <f t="shared" si="19"/>
        <v>23.850712119965678</v>
      </c>
      <c r="BE62" s="3"/>
      <c r="BF62" s="161">
        <f t="shared" si="9"/>
        <v>59.304623038045683</v>
      </c>
      <c r="BH62" s="255"/>
    </row>
    <row r="63" spans="1:61" ht="12">
      <c r="A63" s="255"/>
      <c r="E63" s="308"/>
      <c r="G63" s="20"/>
      <c r="H63" s="6"/>
      <c r="I63" s="30"/>
      <c r="J63" s="6"/>
      <c r="K63" s="30"/>
      <c r="L63" s="6"/>
      <c r="M63" s="30"/>
      <c r="N63" s="6"/>
      <c r="O63" s="295"/>
      <c r="P63" s="6"/>
      <c r="Q63" s="30"/>
      <c r="R63" s="6"/>
      <c r="S63" s="20"/>
      <c r="T63" s="6"/>
      <c r="U63" s="20"/>
      <c r="V63" s="6"/>
      <c r="W63" s="20"/>
      <c r="X63" s="6"/>
      <c r="Y63" s="296"/>
      <c r="Z63" s="255"/>
      <c r="AB63" s="154"/>
      <c r="AC63" s="124"/>
      <c r="AD63" s="159"/>
      <c r="AE63" s="3"/>
      <c r="AF63" s="162"/>
      <c r="AG63" s="3"/>
      <c r="AH63" s="162"/>
      <c r="AI63" s="3"/>
      <c r="AJ63" s="162"/>
      <c r="AK63" s="3"/>
      <c r="AL63" s="161"/>
      <c r="AM63" s="3"/>
      <c r="AN63" s="162"/>
      <c r="AO63" s="3"/>
      <c r="AP63" s="162"/>
      <c r="AQ63" s="3"/>
      <c r="AR63" s="162"/>
      <c r="AS63" s="162"/>
      <c r="AT63" s="161"/>
      <c r="AU63" s="3"/>
      <c r="AV63" s="161"/>
      <c r="AW63" s="299"/>
      <c r="AX63" s="163"/>
      <c r="AZ63" s="154"/>
      <c r="BA63" s="124"/>
      <c r="BB63" s="162"/>
      <c r="BC63" s="3"/>
      <c r="BD63" s="162"/>
      <c r="BE63" s="3"/>
      <c r="BF63" s="161"/>
      <c r="BH63" s="255"/>
    </row>
    <row r="64" spans="1:61" ht="12">
      <c r="A64" s="255"/>
      <c r="E64" s="308"/>
      <c r="G64" s="20"/>
      <c r="H64" s="6"/>
      <c r="I64" s="30"/>
      <c r="J64" s="6"/>
      <c r="K64" s="30"/>
      <c r="L64" s="6"/>
      <c r="M64" s="30"/>
      <c r="N64" s="6"/>
      <c r="O64" s="295"/>
      <c r="P64" s="6"/>
      <c r="Q64" s="30"/>
      <c r="R64" s="6"/>
      <c r="S64" s="20"/>
      <c r="T64" s="6"/>
      <c r="U64" s="20"/>
      <c r="V64" s="6"/>
      <c r="W64" s="20"/>
      <c r="X64" s="6"/>
      <c r="Y64" s="296"/>
      <c r="Z64" s="255"/>
      <c r="AB64" s="154"/>
      <c r="AC64" s="124"/>
      <c r="AD64" s="159"/>
      <c r="AE64" s="3"/>
      <c r="AF64" s="162"/>
      <c r="AG64" s="3"/>
      <c r="AH64" s="162"/>
      <c r="AI64" s="3"/>
      <c r="AJ64" s="162"/>
      <c r="AK64" s="3"/>
      <c r="AL64" s="161"/>
      <c r="AM64" s="3"/>
      <c r="AN64" s="162"/>
      <c r="AO64" s="3"/>
      <c r="AP64" s="162"/>
      <c r="AQ64" s="3"/>
      <c r="AR64" s="162"/>
      <c r="AS64" s="162"/>
      <c r="AT64" s="161"/>
      <c r="AU64" s="3"/>
      <c r="AV64" s="161"/>
      <c r="AW64" s="299"/>
      <c r="AX64" s="163"/>
      <c r="AZ64" s="154"/>
      <c r="BA64" s="124"/>
      <c r="BB64" s="162"/>
      <c r="BC64" s="3"/>
      <c r="BD64" s="162"/>
      <c r="BE64" s="3"/>
      <c r="BF64" s="161"/>
      <c r="BH64" s="255"/>
    </row>
    <row r="65" spans="1:60" ht="12">
      <c r="A65" s="255"/>
      <c r="E65" s="308"/>
      <c r="G65" s="20"/>
      <c r="H65" s="6"/>
      <c r="I65" s="30"/>
      <c r="J65" s="6"/>
      <c r="K65" s="30"/>
      <c r="L65" s="6"/>
      <c r="M65" s="30"/>
      <c r="N65" s="6"/>
      <c r="O65" s="295"/>
      <c r="P65" s="6"/>
      <c r="Q65" s="30"/>
      <c r="R65" s="6"/>
      <c r="S65" s="20"/>
      <c r="T65" s="6"/>
      <c r="U65" s="20"/>
      <c r="V65" s="6"/>
      <c r="W65" s="20"/>
      <c r="X65" s="6"/>
      <c r="Y65" s="296"/>
      <c r="Z65" s="255"/>
      <c r="AB65" s="154"/>
      <c r="AC65" s="124"/>
      <c r="AD65" s="159"/>
      <c r="AE65" s="3"/>
      <c r="AF65" s="162"/>
      <c r="AG65" s="3"/>
      <c r="AH65" s="162"/>
      <c r="AI65" s="3"/>
      <c r="AJ65" s="162"/>
      <c r="AK65" s="3"/>
      <c r="AL65" s="161"/>
      <c r="AM65" s="3"/>
      <c r="AN65" s="162"/>
      <c r="AO65" s="3"/>
      <c r="AP65" s="162"/>
      <c r="AQ65" s="3"/>
      <c r="AR65" s="162"/>
      <c r="AS65" s="162"/>
      <c r="AT65" s="161"/>
      <c r="AU65" s="3"/>
      <c r="AV65" s="161"/>
      <c r="AW65" s="299"/>
      <c r="AX65" s="163"/>
      <c r="AZ65" s="154"/>
      <c r="BA65" s="124"/>
      <c r="BB65" s="162"/>
      <c r="BC65" s="3"/>
      <c r="BD65" s="162"/>
      <c r="BE65" s="3"/>
      <c r="BF65" s="161"/>
      <c r="BH65" s="255"/>
    </row>
    <row r="66" spans="1:60" ht="12">
      <c r="A66" s="255"/>
      <c r="C66" s="271" t="str">
        <f>G14&amp;"-year Nominal Levelized at "&amp;TEXT($G$18,"#.00%")</f>
        <v>35-year Nominal Levelized at 8.70%</v>
      </c>
      <c r="E66" s="308"/>
      <c r="G66" s="20">
        <f>+-PMT($G$18,$G$14,NPV($G$18,G28:G62))</f>
        <v>13140.000000000005</v>
      </c>
      <c r="H66" s="6"/>
      <c r="I66" s="30">
        <f>+-PMT($G$18,$G$14,NPV($G$18,I28:I62))</f>
        <v>201.29288001746093</v>
      </c>
      <c r="J66" s="6"/>
      <c r="K66" s="30">
        <f>+-PMT($G$18,$G$14,NPV($G$18,K28:K62))</f>
        <v>0</v>
      </c>
      <c r="L66" s="6"/>
      <c r="M66" s="30">
        <f>+-PMT($G$18,$G$14,NPV($G$18,M28:M62))</f>
        <v>0</v>
      </c>
      <c r="N66" s="6"/>
      <c r="O66" s="295">
        <f>+-PMT($G$18,$G$14,NPV($G$18,O28:O62))</f>
        <v>0</v>
      </c>
      <c r="P66" s="6"/>
      <c r="Q66" s="30">
        <f>+-PMT($G$18,$G$14,NPV($G$18,Q28:Q62))</f>
        <v>0</v>
      </c>
      <c r="R66" s="6"/>
      <c r="S66" s="317">
        <f>+-PMT($G$18,$G$14,NPV($G$18,S28:S62))</f>
        <v>51.351375492717658</v>
      </c>
      <c r="T66" s="6"/>
      <c r="U66" s="20">
        <f>+-PMT($G$18,$G$14,NPV($G$18,U28:U62))</f>
        <v>645.67385605629227</v>
      </c>
      <c r="V66" s="6"/>
      <c r="W66" s="20">
        <f>+-PMT($G$18,$G$14,NPV($G$18,W28:W62))</f>
        <v>-594.32248056357446</v>
      </c>
      <c r="X66" s="6"/>
      <c r="Y66" s="296">
        <f>+-PMT($G$18,$G$14,NPV($G$18,Y28:Y62))</f>
        <v>-45.230021351870242</v>
      </c>
      <c r="Z66" s="255"/>
      <c r="AB66" s="154"/>
      <c r="AC66" s="124"/>
      <c r="AD66" s="159">
        <f>+-PMT($G$18,$G$14,NPV($G$18,AD28:AD62))</f>
        <v>13140.000000000005</v>
      </c>
      <c r="AE66" s="3"/>
      <c r="AF66" s="162">
        <f>+-PMT($G$18,$G$14,NPV($G$18,AF28:AF62))</f>
        <v>71.338198608039065</v>
      </c>
      <c r="AG66" s="3"/>
      <c r="AH66" s="162">
        <f>+-PMT($G$18,$G$14,NPV($G$18,AH28:AH62))</f>
        <v>8.7541448600577514</v>
      </c>
      <c r="AI66" s="3"/>
      <c r="AJ66" s="162">
        <f>+-PMT($G$18,$G$14,NPV($G$18,AJ28:AJ62))</f>
        <v>2.0450510425621</v>
      </c>
      <c r="AK66" s="3"/>
      <c r="AL66" s="161">
        <f>+-PMT($G$18,$G$14,NPV($G$18,AL28:AL62))</f>
        <v>182.57673119317872</v>
      </c>
      <c r="AM66" s="3"/>
      <c r="AN66" s="162">
        <f>+-PMT($G$18,$G$14,NPV($G$18,AN28:AN62))</f>
        <v>4.6888464905821561</v>
      </c>
      <c r="AO66" s="3"/>
      <c r="AP66" s="162">
        <f>+-PMT($G$18,$G$14,NPV($G$18,AP28:AP62))</f>
        <v>33.58968086858075</v>
      </c>
      <c r="AQ66" s="3"/>
      <c r="AR66" s="162">
        <f>+-PMT($G$18,$G$14,NPV($G$18,AR28:AR62))</f>
        <v>4.1747709607793713</v>
      </c>
      <c r="AS66" s="162"/>
      <c r="AT66" s="161">
        <f>+-PMT($G$18,$G$14,NPV($G$18,AT28:AT62))</f>
        <v>149.44895901850032</v>
      </c>
      <c r="AU66" s="3"/>
      <c r="AV66" s="161">
        <f>+-PMT($G$18,$G$14,NPV($G$18,AV28:AV62))</f>
        <v>496.22489703779212</v>
      </c>
      <c r="AW66" s="299"/>
      <c r="AX66" s="163">
        <f>+-PMT($G$18,$G$14,NPV($G$18,AX28:AX62))</f>
        <v>645.67385605629227</v>
      </c>
      <c r="AZ66" s="154"/>
      <c r="BA66" s="124"/>
      <c r="BB66" s="162">
        <f>+-PMT($G$18,$G$14,NPV($G$18,BB28:BB62))</f>
        <v>61.278004642383742</v>
      </c>
      <c r="BC66" s="3"/>
      <c r="BD66" s="162">
        <f>+-PMT($G$18,$G$14,NPV($G$18,BD28:BD62))</f>
        <v>13.323092144219144</v>
      </c>
      <c r="BE66" s="3"/>
      <c r="BF66" s="161">
        <f>+-PMT($G$18,$G$14,NPV($G$18,BF28:BF62))</f>
        <v>33.127772174678398</v>
      </c>
      <c r="BH66" s="255"/>
    </row>
    <row r="67" spans="1:60">
      <c r="A67" s="255"/>
      <c r="E67" s="308"/>
      <c r="Z67" s="255"/>
      <c r="AA67" s="349"/>
      <c r="AX67" s="255"/>
      <c r="AY67" s="349"/>
      <c r="BH67" s="255"/>
    </row>
    <row r="68" spans="1:60">
      <c r="A68" s="255"/>
      <c r="E68" s="308"/>
      <c r="Z68" s="255"/>
      <c r="AA68" s="349"/>
      <c r="AX68" s="255"/>
      <c r="AY68" s="349"/>
      <c r="BH68" s="255"/>
    </row>
    <row r="69" spans="1:60">
      <c r="A69" s="255"/>
      <c r="B69" s="258"/>
      <c r="C69" s="306"/>
      <c r="D69" s="306"/>
      <c r="E69" s="307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259"/>
      <c r="AA69" s="349"/>
      <c r="AB69" s="258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6"/>
      <c r="AU69" s="306"/>
      <c r="AV69" s="306"/>
      <c r="AW69" s="306"/>
      <c r="AX69" s="259"/>
      <c r="AY69" s="349"/>
      <c r="AZ69" s="258"/>
      <c r="BA69" s="306"/>
      <c r="BB69" s="306"/>
      <c r="BC69" s="306"/>
      <c r="BD69" s="306"/>
      <c r="BE69" s="306"/>
      <c r="BF69" s="306"/>
      <c r="BG69" s="306"/>
      <c r="BH69" s="259"/>
    </row>
    <row r="70" spans="1:60">
      <c r="E70" s="308"/>
    </row>
    <row r="71" spans="1:60">
      <c r="E71" s="308"/>
    </row>
    <row r="72" spans="1:60">
      <c r="E72" s="308"/>
    </row>
    <row r="73" spans="1:60">
      <c r="E73" s="308"/>
    </row>
    <row r="74" spans="1:60">
      <c r="E74" s="308"/>
    </row>
    <row r="75" spans="1:60">
      <c r="E75" s="308"/>
    </row>
    <row r="76" spans="1:60">
      <c r="E76" s="308"/>
    </row>
    <row r="77" spans="1:60">
      <c r="E77" s="308"/>
    </row>
    <row r="78" spans="1:60">
      <c r="E78" s="308"/>
    </row>
    <row r="79" spans="1:60">
      <c r="E79" s="308"/>
    </row>
    <row r="80" spans="1:60">
      <c r="E80" s="308"/>
    </row>
  </sheetData>
  <pageMargins left="0.25" right="0.25" top="0.25" bottom="0.75" header="0.3" footer="0.3"/>
  <pageSetup paperSize="5" scale="46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theme="0" tint="-0.249977111117893"/>
    <pageSetUpPr fitToPage="1"/>
  </sheetPr>
  <dimension ref="A1:BH84"/>
  <sheetViews>
    <sheetView topLeftCell="B48" workbookViewId="0">
      <selection activeCell="Q39" sqref="Q39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146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4.2</v>
      </c>
      <c r="H11" s="275"/>
      <c r="AB11" s="129" t="s">
        <v>99</v>
      </c>
      <c r="AC11" s="130"/>
      <c r="AD11" s="130"/>
      <c r="AE11" s="130"/>
      <c r="AF11" s="312">
        <f>+G11*(G12/AJ16)</f>
        <v>4.0329782182807907</v>
      </c>
      <c r="AG11" s="134"/>
      <c r="AH11" s="130" t="s">
        <v>100</v>
      </c>
      <c r="AI11" s="131"/>
      <c r="AJ11" s="174">
        <f>'(2.1)_Proxy Resources'!N70</f>
        <v>7.5808934397681389</v>
      </c>
      <c r="AK11" s="255"/>
      <c r="AZ11" s="129" t="s">
        <v>99</v>
      </c>
      <c r="BA11" s="130"/>
      <c r="BB11" s="130"/>
      <c r="BC11" s="130"/>
      <c r="BD11" s="141">
        <f>(AF11*AF13-G11*G19)</f>
        <v>2.0692795881438046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0.4675472928897586</v>
      </c>
      <c r="H12" s="275"/>
      <c r="AB12" s="129" t="s">
        <v>32</v>
      </c>
      <c r="AC12" s="130"/>
      <c r="AD12" s="130"/>
      <c r="AE12" s="130"/>
      <c r="AF12" s="138">
        <f>+AD58/8760/AF11</f>
        <v>0.486910299003323</v>
      </c>
      <c r="AG12" s="134"/>
      <c r="AH12" s="124" t="s">
        <v>101</v>
      </c>
      <c r="AI12" s="125"/>
      <c r="AJ12" s="124">
        <v>2008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Resources'!$O$70</f>
        <v>2.8538881199911357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29</v>
      </c>
      <c r="H14" s="275"/>
      <c r="AB14" s="129" t="s">
        <v>104</v>
      </c>
      <c r="AC14" s="130"/>
      <c r="AD14" s="130"/>
      <c r="AE14" s="130"/>
      <c r="AF14" s="141">
        <f>'(2.1)_Proxy Resources'!H70*(1+E28)</f>
        <v>7277.4747099407059</v>
      </c>
      <c r="AG14" s="134"/>
      <c r="AH14" s="124" t="s">
        <v>148</v>
      </c>
      <c r="AI14" s="125"/>
      <c r="AJ14" s="174">
        <f>'(2.1)_Proxy Resources'!P70</f>
        <v>6.0023887836530019</v>
      </c>
      <c r="AK14" s="255"/>
      <c r="AL14" s="143" t="s">
        <v>193</v>
      </c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138</v>
      </c>
      <c r="B15" s="272"/>
      <c r="C15" s="273" t="s">
        <v>107</v>
      </c>
      <c r="D15" s="273"/>
      <c r="E15" s="273"/>
      <c r="F15" s="273"/>
      <c r="G15" s="314">
        <v>171.69496414373259</v>
      </c>
      <c r="H15" s="275"/>
      <c r="AB15" s="129" t="s">
        <v>192</v>
      </c>
      <c r="AC15" s="130"/>
      <c r="AD15" s="130"/>
      <c r="AE15" s="130"/>
      <c r="AF15" s="175">
        <f>'(2.1)_Proxy Resources'!J70</f>
        <v>1174.8198494434653</v>
      </c>
      <c r="AG15" s="134"/>
      <c r="AH15" s="124" t="s">
        <v>145</v>
      </c>
      <c r="AI15" s="125"/>
      <c r="AJ15" s="174">
        <f>'(2.1)_Proxy Resources'!$P$57</f>
        <v>2.302423580786026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138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Resources'!K68</f>
        <v>8.5860000000000006E-2</v>
      </c>
      <c r="AG16" s="134"/>
      <c r="AH16" s="124" t="s">
        <v>110</v>
      </c>
      <c r="AI16" s="131"/>
      <c r="AJ16" s="145">
        <f>'(2.1)_Proxy Resources'!$D$57</f>
        <v>0.48691029900332239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138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v>7.3599999999999999E-2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v>0.4675472928897586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2009</v>
      </c>
      <c r="D28" s="6"/>
      <c r="E28" s="292">
        <f>+INDEX('(2.2)_Forward_Price_Curve'!$R:$R,MATCH($C28,'(2.2)_Forward_Price_Curve'!C:C,0))</f>
        <v>1.7999999999999999E-2</v>
      </c>
      <c r="F28" s="6"/>
      <c r="G28" s="20">
        <v>17202</v>
      </c>
      <c r="H28" s="6"/>
      <c r="I28" s="293">
        <f>$G$15*(1+E28)</f>
        <v>174.78547349831979</v>
      </c>
      <c r="J28" s="293"/>
      <c r="K28" s="293">
        <f>$G$16</f>
        <v>0</v>
      </c>
      <c r="L28" s="294"/>
      <c r="M28" s="293">
        <f>$G$17</f>
        <v>0</v>
      </c>
      <c r="N28" s="6"/>
      <c r="O28" s="295"/>
      <c r="P28" s="6"/>
      <c r="Q28" s="30"/>
      <c r="R28" s="6"/>
      <c r="S28" s="20">
        <f>(I28*$G$11*1000+(K28+M28+O28+Q28)*G28)/1000</f>
        <v>734.09898869294307</v>
      </c>
      <c r="T28" s="6"/>
      <c r="U28" s="20">
        <f t="shared" ref="U28:U56" si="0">AX28</f>
        <v>1975.7103258681059</v>
      </c>
      <c r="V28" s="6"/>
      <c r="W28" s="20">
        <f t="shared" ref="W28:W56" si="1">S28-U28</f>
        <v>-1241.6113371751628</v>
      </c>
      <c r="X28" s="6"/>
      <c r="Y28" s="296">
        <f>+W28*1000/G28</f>
        <v>-72.178312822646362</v>
      </c>
      <c r="Z28" s="255"/>
      <c r="AB28" s="154">
        <f>$C$28</f>
        <v>2009</v>
      </c>
      <c r="AC28" s="124"/>
      <c r="AD28" s="159">
        <f t="shared" ref="AD28:AD56" si="2">G28</f>
        <v>17202</v>
      </c>
      <c r="AE28" s="3"/>
      <c r="AF28" s="160">
        <f>$AF$15*$AF$16*(1+E28)</f>
        <v>102.68569285413383</v>
      </c>
      <c r="AG28" s="297"/>
      <c r="AH28" s="160">
        <f>$AJ$11*(1+E28)</f>
        <v>7.7173495216839658</v>
      </c>
      <c r="AI28" s="297"/>
      <c r="AJ28" s="160">
        <f>$AJ$13*(1+E28)</f>
        <v>2.9052581061509763</v>
      </c>
      <c r="AK28" s="298"/>
      <c r="AL28" s="161">
        <f>((AF28+AH28)*$AF$11*1000+AJ28*AD28)/1000</f>
        <v>495.22931507561344</v>
      </c>
      <c r="AM28" s="3"/>
      <c r="AN28" s="162">
        <f>INDEX('(2.2)_Forward_Price_Curve'!$L:$L,MATCH($AB28,'(2.2)_Forward_Price_Curve'!$C:$C,0),1)</f>
        <v>11.848729166666667</v>
      </c>
      <c r="AO28" s="310"/>
      <c r="AP28" s="162">
        <f>AN28*$AF$14/1000+$AJ$14/(1+E29)</f>
        <v>92.125083027900644</v>
      </c>
      <c r="AQ28" s="297"/>
      <c r="AR28" s="160">
        <f>$AJ$15*(1+E28)</f>
        <v>2.3438672052401746</v>
      </c>
      <c r="AS28" s="160"/>
      <c r="AT28" s="161">
        <f t="shared" ref="AT28:AT56" si="3">AL28-BF28</f>
        <v>350.65544395761754</v>
      </c>
      <c r="AU28" s="298"/>
      <c r="AV28" s="161">
        <f t="shared" ref="AV28:AV56" si="4">(AP28+AR28)*AD28/1000</f>
        <v>1625.0548819104883</v>
      </c>
      <c r="AW28" s="299"/>
      <c r="AX28" s="163">
        <f>AT28+AV28</f>
        <v>1975.7103258681059</v>
      </c>
      <c r="AZ28" s="154">
        <f>$C$28</f>
        <v>2009</v>
      </c>
      <c r="BA28" s="124"/>
      <c r="BB28" s="160">
        <f>$BD$14*$BD$15*(1+E28)</f>
        <v>65.550445199999999</v>
      </c>
      <c r="BC28" s="3"/>
      <c r="BD28" s="160">
        <f>$BB$16*(1+E28)</f>
        <v>4.3163200000000002</v>
      </c>
      <c r="BE28" s="297"/>
      <c r="BF28" s="161">
        <f>(BB28+BD28)*$BD$11</f>
        <v>144.57387111799591</v>
      </c>
      <c r="BG28" s="297"/>
      <c r="BH28" s="164"/>
    </row>
    <row r="29" spans="1:60" ht="12">
      <c r="B29" s="2"/>
      <c r="C29" s="6">
        <f>+IF(C28&gt;$G$13+$G$14,XX,C28+1)</f>
        <v>2010</v>
      </c>
      <c r="D29" s="6"/>
      <c r="E29" s="292">
        <f>+INDEX('(2.2)_Forward_Price_Curve'!$R:$R,MATCH($C29,'(2.2)_Forward_Price_Curve'!C:C,0))</f>
        <v>1.7999999999999999E-2</v>
      </c>
      <c r="F29" s="6"/>
      <c r="G29" s="20">
        <f>$G$28</f>
        <v>17202</v>
      </c>
      <c r="H29" s="6"/>
      <c r="I29" s="30">
        <f>I28*(1+$E29)</f>
        <v>177.93161202128954</v>
      </c>
      <c r="J29" s="6"/>
      <c r="K29" s="30">
        <f>K28*(1+$E29)</f>
        <v>0</v>
      </c>
      <c r="L29" s="6"/>
      <c r="M29" s="30">
        <f>M28*(1+$E29)</f>
        <v>0</v>
      </c>
      <c r="N29" s="6"/>
      <c r="O29" s="295"/>
      <c r="P29" s="6"/>
      <c r="Q29" s="30"/>
      <c r="R29" s="6"/>
      <c r="S29" s="20">
        <f t="shared" ref="S29:S56" si="5">(I29*$G$11*1000+(K29+M29+O29+Q29)*G29)/1000</f>
        <v>747.31277048941604</v>
      </c>
      <c r="T29" s="6"/>
      <c r="U29" s="20">
        <f t="shared" si="0"/>
        <v>1857.9024537566165</v>
      </c>
      <c r="V29" s="6"/>
      <c r="W29" s="20">
        <f t="shared" si="1"/>
        <v>-1110.5896832672006</v>
      </c>
      <c r="X29" s="6"/>
      <c r="Y29" s="296">
        <f t="shared" ref="Y29:Y56" si="6">+W29*1000/G29</f>
        <v>-64.56166046199283</v>
      </c>
      <c r="Z29" s="255"/>
      <c r="AB29" s="154">
        <f>+IF(AB28&gt;$G$13+$G$14,XX,AB28+1)</f>
        <v>2010</v>
      </c>
      <c r="AC29" s="124"/>
      <c r="AD29" s="159">
        <f t="shared" si="2"/>
        <v>17202</v>
      </c>
      <c r="AE29" s="3"/>
      <c r="AF29" s="162">
        <f>AF28*(1+$E29)</f>
        <v>104.53403532550824</v>
      </c>
      <c r="AG29" s="3"/>
      <c r="AH29" s="162">
        <f>AH28*(1+$E29)</f>
        <v>7.8562618130742772</v>
      </c>
      <c r="AI29" s="3"/>
      <c r="AJ29" s="162">
        <f>AJ28*(1+$E29)</f>
        <v>2.957552752061694</v>
      </c>
      <c r="AK29" s="3"/>
      <c r="AL29" s="161">
        <f t="shared" ref="AL29:AL56" si="7">((AF29+AH29)*$AF$11*1000+AJ29*AD29)/1000</f>
        <v>504.14344274697447</v>
      </c>
      <c r="AM29" s="3"/>
      <c r="AN29" s="162">
        <f>INDEX('(2.2)_Forward_Price_Curve'!$L:$L,MATCH($AB29,'(2.2)_Forward_Price_Curve'!$C:$C,0),1)</f>
        <v>10.836874999999999</v>
      </c>
      <c r="AO29" s="3"/>
      <c r="AP29" s="162">
        <f>AN29*$AF$14/1000+$AJ$14</f>
        <v>84.867472530941683</v>
      </c>
      <c r="AQ29" s="3"/>
      <c r="AR29" s="162">
        <f>AR28*(1+$E29)</f>
        <v>2.3860568149344976</v>
      </c>
      <c r="AS29" s="162"/>
      <c r="AT29" s="161">
        <f t="shared" si="3"/>
        <v>356.96724194885462</v>
      </c>
      <c r="AU29" s="3"/>
      <c r="AV29" s="161">
        <f t="shared" si="4"/>
        <v>1500.935211807762</v>
      </c>
      <c r="AW29" s="299"/>
      <c r="AX29" s="163">
        <f t="shared" ref="AX29:AX56" si="8">AT29+AV29</f>
        <v>1857.9024537566165</v>
      </c>
      <c r="AZ29" s="154">
        <f>+IF(AZ28&gt;$G$13+$G$14,XX,AZ28+1)</f>
        <v>2010</v>
      </c>
      <c r="BA29" s="124"/>
      <c r="BB29" s="162">
        <f>BB28*(1+$E29)</f>
        <v>66.730353213599997</v>
      </c>
      <c r="BC29" s="3"/>
      <c r="BD29" s="162">
        <f>BD28*(1+$E29)</f>
        <v>4.39401376</v>
      </c>
      <c r="BE29" s="3"/>
      <c r="BF29" s="161">
        <f t="shared" ref="BF29:BF51" si="9">(BB29+BD29)*$BD$11</f>
        <v>147.17620079811982</v>
      </c>
      <c r="BG29" s="3"/>
      <c r="BH29" s="165"/>
    </row>
    <row r="30" spans="1:60" ht="12">
      <c r="B30" s="2"/>
      <c r="C30" s="6">
        <f>+IF(C29&gt;$G$13+$G$14,XX,C29+1)</f>
        <v>2011</v>
      </c>
      <c r="D30" s="6"/>
      <c r="E30" s="292">
        <f>+INDEX('(2.2)_Forward_Price_Curve'!$R:$R,MATCH($C30,'(2.2)_Forward_Price_Curve'!C:C,0))</f>
        <v>1.9E-2</v>
      </c>
      <c r="F30" s="6"/>
      <c r="G30" s="20">
        <f t="shared" ref="G30:G56" si="10">$G$28</f>
        <v>17202</v>
      </c>
      <c r="H30" s="6"/>
      <c r="I30" s="30">
        <f t="shared" ref="I30:I56" si="11">I29*(1+$E30)</f>
        <v>181.31231264969404</v>
      </c>
      <c r="J30" s="6"/>
      <c r="K30" s="30">
        <f t="shared" ref="K30:K56" si="12">K29*(1+$E30)</f>
        <v>0</v>
      </c>
      <c r="L30" s="6"/>
      <c r="M30" s="30">
        <f t="shared" ref="M30:M56" si="13">M29*(1+$E30)</f>
        <v>0</v>
      </c>
      <c r="N30" s="6"/>
      <c r="O30" s="295"/>
      <c r="P30" s="6"/>
      <c r="Q30" s="30"/>
      <c r="R30" s="6"/>
      <c r="S30" s="20">
        <f t="shared" si="5"/>
        <v>761.51171312871497</v>
      </c>
      <c r="T30" s="6"/>
      <c r="U30" s="20">
        <f t="shared" si="0"/>
        <v>1815.173911877725</v>
      </c>
      <c r="V30" s="6"/>
      <c r="W30" s="20">
        <f t="shared" si="1"/>
        <v>-1053.66219874901</v>
      </c>
      <c r="X30" s="6"/>
      <c r="Y30" s="296">
        <f t="shared" si="6"/>
        <v>-61.252307798454247</v>
      </c>
      <c r="Z30" s="255"/>
      <c r="AB30" s="154">
        <f>+IF(AB29&gt;$G$13+$G$14,XX,AB29+1)</f>
        <v>2011</v>
      </c>
      <c r="AC30" s="124"/>
      <c r="AD30" s="159">
        <f t="shared" si="2"/>
        <v>17202</v>
      </c>
      <c r="AE30" s="3"/>
      <c r="AF30" s="162">
        <f t="shared" ref="AF30:AF56" si="14">AF29*(1+$E30)</f>
        <v>106.52018199669288</v>
      </c>
      <c r="AG30" s="3"/>
      <c r="AH30" s="162">
        <f t="shared" ref="AH30:AH56" si="15">AH29*(1+$E30)</f>
        <v>8.0055307875226873</v>
      </c>
      <c r="AI30" s="3"/>
      <c r="AJ30" s="162">
        <f t="shared" ref="AJ30:AJ56" si="16">AJ29*(1+$E30)</f>
        <v>3.013746254350866</v>
      </c>
      <c r="AK30" s="3"/>
      <c r="AL30" s="161">
        <f t="shared" si="7"/>
        <v>513.72216815916681</v>
      </c>
      <c r="AM30" s="3"/>
      <c r="AN30" s="162">
        <f>INDEX('(2.2)_Forward_Price_Curve'!$L:$L,MATCH($AB30,'(2.2)_Forward_Price_Curve'!$C:$C,0),1)</f>
        <v>10.419479166666667</v>
      </c>
      <c r="AO30" s="3"/>
      <c r="AP30" s="162">
        <f>AN30*$AF$14/1000+$AJ$14*(1+E30)</f>
        <v>81.943930296713134</v>
      </c>
      <c r="AQ30" s="3"/>
      <c r="AR30" s="162">
        <f t="shared" ref="AR30:AR56" si="17">AR29*(1+$E30)</f>
        <v>2.4313918944182529</v>
      </c>
      <c r="AS30" s="162"/>
      <c r="AT30" s="161">
        <f t="shared" si="3"/>
        <v>363.74961954588275</v>
      </c>
      <c r="AU30" s="3"/>
      <c r="AV30" s="161">
        <f t="shared" si="4"/>
        <v>1451.4242923318423</v>
      </c>
      <c r="AW30" s="299"/>
      <c r="AX30" s="163">
        <f t="shared" si="8"/>
        <v>1815.173911877725</v>
      </c>
      <c r="AZ30" s="154">
        <f>+IF(AZ29&gt;$G$13+$G$14,XX,AZ29+1)</f>
        <v>2011</v>
      </c>
      <c r="BA30" s="124"/>
      <c r="BB30" s="162">
        <f t="shared" ref="BB30:BB56" si="18">BB29*(1+$E30)</f>
        <v>67.998229924658389</v>
      </c>
      <c r="BC30" s="3"/>
      <c r="BD30" s="162">
        <f t="shared" ref="BD30:BD56" si="19">BD29*(1+$E30)</f>
        <v>4.4775000214399991</v>
      </c>
      <c r="BE30" s="3"/>
      <c r="BF30" s="161">
        <f t="shared" si="9"/>
        <v>149.97254861328406</v>
      </c>
      <c r="BG30" s="3"/>
      <c r="BH30" s="165"/>
    </row>
    <row r="31" spans="1:60" ht="12">
      <c r="B31" s="2"/>
      <c r="C31" s="6">
        <f>+IF(C30&gt;$G$13+$G$14,XX,C30+1)</f>
        <v>2012</v>
      </c>
      <c r="D31" s="6"/>
      <c r="E31" s="292">
        <f>+INDEX('(2.2)_Forward_Price_Curve'!$R:$R,MATCH($C31,'(2.2)_Forward_Price_Curve'!C:C,0))</f>
        <v>0.02</v>
      </c>
      <c r="F31" s="6"/>
      <c r="G31" s="20">
        <f t="shared" si="10"/>
        <v>17202</v>
      </c>
      <c r="H31" s="6"/>
      <c r="I31" s="30">
        <f t="shared" si="11"/>
        <v>184.93855890268793</v>
      </c>
      <c r="J31" s="6"/>
      <c r="K31" s="30">
        <f t="shared" si="12"/>
        <v>0</v>
      </c>
      <c r="L31" s="6"/>
      <c r="M31" s="30">
        <f t="shared" si="13"/>
        <v>0</v>
      </c>
      <c r="N31" s="6"/>
      <c r="O31" s="295"/>
      <c r="P31" s="6"/>
      <c r="Q31" s="30"/>
      <c r="R31" s="6"/>
      <c r="S31" s="20">
        <f t="shared" si="5"/>
        <v>776.74194739128939</v>
      </c>
      <c r="T31" s="6"/>
      <c r="U31" s="20">
        <f t="shared" si="0"/>
        <v>1824.5407010439374</v>
      </c>
      <c r="V31" s="6"/>
      <c r="W31" s="20">
        <f t="shared" si="1"/>
        <v>-1047.798753652648</v>
      </c>
      <c r="X31" s="6"/>
      <c r="Y31" s="296">
        <f t="shared" si="6"/>
        <v>-60.911449462425765</v>
      </c>
      <c r="Z31" s="255"/>
      <c r="AB31" s="154">
        <f>+IF(AB30&gt;$G$13+$G$14,XX,AB30+1)</f>
        <v>2012</v>
      </c>
      <c r="AC31" s="124"/>
      <c r="AD31" s="159">
        <f t="shared" si="2"/>
        <v>17202</v>
      </c>
      <c r="AE31" s="3"/>
      <c r="AF31" s="162">
        <f t="shared" si="14"/>
        <v>108.65058563662674</v>
      </c>
      <c r="AG31" s="3"/>
      <c r="AH31" s="162">
        <f t="shared" si="15"/>
        <v>8.1656414032731419</v>
      </c>
      <c r="AI31" s="3"/>
      <c r="AJ31" s="162">
        <f t="shared" si="16"/>
        <v>3.0740211794378833</v>
      </c>
      <c r="AK31" s="3"/>
      <c r="AL31" s="161">
        <f t="shared" si="7"/>
        <v>523.99661152235024</v>
      </c>
      <c r="AM31" s="3"/>
      <c r="AN31" s="162">
        <f>INDEX('(2.2)_Forward_Price_Curve'!$L:$L,MATCH($AB31,'(2.2)_Forward_Price_Curve'!$C:$C,0),1)</f>
        <v>10.428681771666666</v>
      </c>
      <c r="AO31" s="3"/>
      <c r="AP31" s="162">
        <f>AN31*$AF$14/1000+$AJ$14*(1+E31)</f>
        <v>82.016904410649843</v>
      </c>
      <c r="AQ31" s="3"/>
      <c r="AR31" s="162">
        <f t="shared" si="17"/>
        <v>2.480019732306618</v>
      </c>
      <c r="AS31" s="162"/>
      <c r="AT31" s="161">
        <f t="shared" si="3"/>
        <v>371.02461193680051</v>
      </c>
      <c r="AU31" s="3"/>
      <c r="AV31" s="161">
        <f t="shared" si="4"/>
        <v>1453.5160891071368</v>
      </c>
      <c r="AW31" s="299"/>
      <c r="AX31" s="163">
        <f t="shared" si="8"/>
        <v>1824.5407010439374</v>
      </c>
      <c r="AZ31" s="154">
        <f>+IF(AZ30&gt;$G$13+$G$14,XX,AZ30+1)</f>
        <v>2012</v>
      </c>
      <c r="BA31" s="124"/>
      <c r="BB31" s="162">
        <f t="shared" si="18"/>
        <v>69.358194523151553</v>
      </c>
      <c r="BC31" s="3"/>
      <c r="BD31" s="162">
        <f t="shared" si="19"/>
        <v>4.5670500218687993</v>
      </c>
      <c r="BE31" s="3"/>
      <c r="BF31" s="161">
        <f t="shared" si="9"/>
        <v>152.97199958554975</v>
      </c>
      <c r="BG31" s="3"/>
      <c r="BH31" s="165"/>
    </row>
    <row r="32" spans="1:60" ht="12">
      <c r="B32" s="2"/>
      <c r="C32" s="6">
        <f>+IF(C31&gt;$G$13+$G$14,XX,C31+1)</f>
        <v>2013</v>
      </c>
      <c r="D32" s="6"/>
      <c r="E32" s="292">
        <f>+INDEX('(2.2)_Forward_Price_Curve'!$R:$R,MATCH($C32,'(2.2)_Forward_Price_Curve'!C:C,0))</f>
        <v>0.02</v>
      </c>
      <c r="F32" s="6"/>
      <c r="G32" s="20">
        <f t="shared" si="10"/>
        <v>17202</v>
      </c>
      <c r="H32" s="6"/>
      <c r="I32" s="30">
        <f t="shared" si="11"/>
        <v>188.63733008074169</v>
      </c>
      <c r="J32" s="6"/>
      <c r="K32" s="30">
        <f t="shared" si="12"/>
        <v>0</v>
      </c>
      <c r="L32" s="6"/>
      <c r="M32" s="30">
        <f t="shared" si="13"/>
        <v>0</v>
      </c>
      <c r="N32" s="6"/>
      <c r="O32" s="295"/>
      <c r="P32" s="6"/>
      <c r="Q32" s="30"/>
      <c r="R32" s="6"/>
      <c r="S32" s="20">
        <f t="shared" si="5"/>
        <v>792.27678633911512</v>
      </c>
      <c r="T32" s="6"/>
      <c r="U32" s="20">
        <f t="shared" si="0"/>
        <v>1858.3734562632915</v>
      </c>
      <c r="V32" s="6"/>
      <c r="W32" s="20">
        <f t="shared" si="1"/>
        <v>-1066.0966699241762</v>
      </c>
      <c r="X32" s="6"/>
      <c r="Y32" s="296">
        <f t="shared" si="6"/>
        <v>-61.975158116740865</v>
      </c>
      <c r="Z32" s="255"/>
      <c r="AB32" s="154">
        <f>+IF(AB31&gt;$G$13+$G$14,XX,AB31+1)</f>
        <v>2013</v>
      </c>
      <c r="AC32" s="124"/>
      <c r="AD32" s="159">
        <f t="shared" si="2"/>
        <v>17202</v>
      </c>
      <c r="AE32" s="3"/>
      <c r="AF32" s="162">
        <f t="shared" si="14"/>
        <v>110.82359734935928</v>
      </c>
      <c r="AG32" s="3"/>
      <c r="AH32" s="162">
        <f t="shared" si="15"/>
        <v>8.3289542313386047</v>
      </c>
      <c r="AI32" s="3"/>
      <c r="AJ32" s="162">
        <f t="shared" si="16"/>
        <v>3.1355016030266412</v>
      </c>
      <c r="AK32" s="3"/>
      <c r="AL32" s="161">
        <f t="shared" si="7"/>
        <v>534.47654375279717</v>
      </c>
      <c r="AM32" s="3"/>
      <c r="AN32" s="162">
        <f>INDEX('(2.2)_Forward_Price_Curve'!$L:$L,MATCH($AB32,'(2.2)_Forward_Price_Curve'!$C:$C,0),1)</f>
        <v>10.632848438333333</v>
      </c>
      <c r="AO32" s="3"/>
      <c r="AP32" s="162">
        <f t="shared" ref="AP32:AP56" si="20">AN32*$AF$14/1000+$AJ$14*(1+E32)</f>
        <v>83.50272216392942</v>
      </c>
      <c r="AQ32" s="3"/>
      <c r="AR32" s="162">
        <f t="shared" si="17"/>
        <v>2.5296201269527505</v>
      </c>
      <c r="AS32" s="162"/>
      <c r="AT32" s="161">
        <f t="shared" si="3"/>
        <v>378.44510417553641</v>
      </c>
      <c r="AU32" s="3"/>
      <c r="AV32" s="161">
        <f t="shared" si="4"/>
        <v>1479.928352087755</v>
      </c>
      <c r="AW32" s="299"/>
      <c r="AX32" s="163">
        <f t="shared" si="8"/>
        <v>1858.3734562632915</v>
      </c>
      <c r="AZ32" s="154">
        <f>+IF(AZ31&gt;$G$13+$G$14,XX,AZ31+1)</f>
        <v>2013</v>
      </c>
      <c r="BA32" s="124"/>
      <c r="BB32" s="162">
        <f t="shared" si="18"/>
        <v>70.745358413614582</v>
      </c>
      <c r="BC32" s="3"/>
      <c r="BD32" s="162">
        <f t="shared" si="19"/>
        <v>4.6583910223061755</v>
      </c>
      <c r="BE32" s="3"/>
      <c r="BF32" s="161">
        <f t="shared" si="9"/>
        <v>156.03143957726076</v>
      </c>
      <c r="BG32" s="3"/>
      <c r="BH32" s="165"/>
    </row>
    <row r="33" spans="2:60" ht="12">
      <c r="B33" s="2"/>
      <c r="C33" s="6">
        <f>+IF(C32&gt;$G$13+$G$14,XX,C32+1)</f>
        <v>2014</v>
      </c>
      <c r="D33" s="6"/>
      <c r="E33" s="292">
        <f>+INDEX('(2.2)_Forward_Price_Curve'!$R:$R,MATCH($C33,'(2.2)_Forward_Price_Curve'!C:C,0))</f>
        <v>0.02</v>
      </c>
      <c r="F33" s="6"/>
      <c r="G33" s="20">
        <f t="shared" si="10"/>
        <v>17202</v>
      </c>
      <c r="H33" s="6"/>
      <c r="I33" s="30">
        <f t="shared" si="11"/>
        <v>192.41007668235653</v>
      </c>
      <c r="J33" s="6"/>
      <c r="K33" s="30">
        <f t="shared" si="12"/>
        <v>0</v>
      </c>
      <c r="L33" s="6"/>
      <c r="M33" s="30">
        <f t="shared" si="13"/>
        <v>0</v>
      </c>
      <c r="N33" s="6"/>
      <c r="O33" s="295"/>
      <c r="P33" s="6"/>
      <c r="Q33" s="30"/>
      <c r="R33" s="6"/>
      <c r="S33" s="20">
        <f t="shared" si="5"/>
        <v>808.12232206589749</v>
      </c>
      <c r="T33" s="6"/>
      <c r="U33" s="20">
        <f t="shared" si="0"/>
        <v>1831.0224651313642</v>
      </c>
      <c r="V33" s="6"/>
      <c r="W33" s="20">
        <f t="shared" si="1"/>
        <v>-1022.9001430654668</v>
      </c>
      <c r="X33" s="6"/>
      <c r="Y33" s="296">
        <f t="shared" si="6"/>
        <v>-59.464024128907496</v>
      </c>
      <c r="Z33" s="255"/>
      <c r="AB33" s="154">
        <f>+IF(AB32&gt;$G$13+$G$14,XX,AB32+1)</f>
        <v>2014</v>
      </c>
      <c r="AC33" s="124"/>
      <c r="AD33" s="159">
        <f t="shared" si="2"/>
        <v>17202</v>
      </c>
      <c r="AE33" s="3"/>
      <c r="AF33" s="162">
        <f t="shared" si="14"/>
        <v>113.04006929634646</v>
      </c>
      <c r="AG33" s="3"/>
      <c r="AH33" s="162">
        <f t="shared" si="15"/>
        <v>8.4955333159653765</v>
      </c>
      <c r="AI33" s="3"/>
      <c r="AJ33" s="162">
        <f t="shared" si="16"/>
        <v>3.1982116350871741</v>
      </c>
      <c r="AK33" s="3"/>
      <c r="AL33" s="161">
        <f t="shared" si="7"/>
        <v>545.16607462785328</v>
      </c>
      <c r="AM33" s="3"/>
      <c r="AN33" s="162">
        <f>INDEX('(2.2)_Forward_Price_Curve'!$L:$L,MATCH($AB33,'(2.2)_Forward_Price_Curve'!$C:$C,0),1)</f>
        <v>10.346954939583332</v>
      </c>
      <c r="AO33" s="3"/>
      <c r="AP33" s="162">
        <f t="shared" si="20"/>
        <v>81.422139457039833</v>
      </c>
      <c r="AQ33" s="3"/>
      <c r="AR33" s="162">
        <f t="shared" si="17"/>
        <v>2.5802125294918055</v>
      </c>
      <c r="AS33" s="162"/>
      <c r="AT33" s="161">
        <f t="shared" si="3"/>
        <v>386.01400625904728</v>
      </c>
      <c r="AU33" s="3"/>
      <c r="AV33" s="161">
        <f t="shared" si="4"/>
        <v>1445.0084588723171</v>
      </c>
      <c r="AW33" s="299"/>
      <c r="AX33" s="163">
        <f t="shared" si="8"/>
        <v>1831.0224651313642</v>
      </c>
      <c r="AZ33" s="154">
        <f>+IF(AZ32&gt;$G$13+$G$14,XX,AZ32+1)</f>
        <v>2014</v>
      </c>
      <c r="BA33" s="124"/>
      <c r="BB33" s="162">
        <f t="shared" si="18"/>
        <v>72.160265581886875</v>
      </c>
      <c r="BC33" s="3"/>
      <c r="BD33" s="162">
        <f t="shared" si="19"/>
        <v>4.7515588427522992</v>
      </c>
      <c r="BE33" s="3"/>
      <c r="BF33" s="161">
        <f t="shared" si="9"/>
        <v>159.15206836880597</v>
      </c>
      <c r="BG33" s="3"/>
      <c r="BH33" s="165"/>
    </row>
    <row r="34" spans="2:60" ht="12">
      <c r="B34" s="2"/>
      <c r="C34" s="6">
        <f>+IF(C33&gt;$G$13+$G$14,XX,C33+1)</f>
        <v>2015</v>
      </c>
      <c r="D34" s="6"/>
      <c r="E34" s="292">
        <f>+INDEX('(2.2)_Forward_Price_Curve'!$R:$R,MATCH($C34,'(2.2)_Forward_Price_Curve'!C:C,0))</f>
        <v>0.02</v>
      </c>
      <c r="F34" s="6"/>
      <c r="G34" s="20">
        <f t="shared" si="10"/>
        <v>17202</v>
      </c>
      <c r="H34" s="6"/>
      <c r="I34" s="30">
        <f t="shared" si="11"/>
        <v>196.25827821600367</v>
      </c>
      <c r="J34" s="6"/>
      <c r="K34" s="30">
        <f t="shared" si="12"/>
        <v>0</v>
      </c>
      <c r="L34" s="6"/>
      <c r="M34" s="30">
        <f t="shared" si="13"/>
        <v>0</v>
      </c>
      <c r="N34" s="6"/>
      <c r="O34" s="295"/>
      <c r="P34" s="6"/>
      <c r="Q34" s="30"/>
      <c r="R34" s="6"/>
      <c r="S34" s="20">
        <f t="shared" si="5"/>
        <v>824.28476850721552</v>
      </c>
      <c r="T34" s="6"/>
      <c r="U34" s="20">
        <f t="shared" si="0"/>
        <v>1712.6986009296475</v>
      </c>
      <c r="V34" s="6"/>
      <c r="W34" s="20">
        <f t="shared" si="1"/>
        <v>-888.41383242243194</v>
      </c>
      <c r="X34" s="6"/>
      <c r="Y34" s="296">
        <f t="shared" si="6"/>
        <v>-51.645961656925465</v>
      </c>
      <c r="Z34" s="255"/>
      <c r="AB34" s="154">
        <f>+IF(AB33&gt;$G$13+$G$14,XX,AB33+1)</f>
        <v>2015</v>
      </c>
      <c r="AC34" s="124"/>
      <c r="AD34" s="159">
        <f t="shared" si="2"/>
        <v>17202</v>
      </c>
      <c r="AE34" s="3"/>
      <c r="AF34" s="162">
        <f t="shared" si="14"/>
        <v>115.30087068227338</v>
      </c>
      <c r="AG34" s="3"/>
      <c r="AH34" s="162">
        <f t="shared" si="15"/>
        <v>8.6654439822846836</v>
      </c>
      <c r="AI34" s="3"/>
      <c r="AJ34" s="162">
        <f t="shared" si="16"/>
        <v>3.2621758677889177</v>
      </c>
      <c r="AK34" s="3"/>
      <c r="AL34" s="161">
        <f t="shared" si="7"/>
        <v>556.06939612041015</v>
      </c>
      <c r="AM34" s="3"/>
      <c r="AN34" s="162">
        <f>INDEX('(2.2)_Forward_Price_Curve'!$L:$L,MATCH($AB34,'(2.2)_Forward_Price_Curve'!$C:$C,0),1)</f>
        <v>9.3330180370833329</v>
      </c>
      <c r="AO34" s="3"/>
      <c r="AP34" s="162">
        <f t="shared" si="20"/>
        <v>74.043239291620466</v>
      </c>
      <c r="AQ34" s="3"/>
      <c r="AR34" s="162">
        <f t="shared" si="17"/>
        <v>2.6318167800816417</v>
      </c>
      <c r="AS34" s="162"/>
      <c r="AT34" s="161">
        <f t="shared" si="3"/>
        <v>393.73428638422808</v>
      </c>
      <c r="AU34" s="3"/>
      <c r="AV34" s="161">
        <f t="shared" si="4"/>
        <v>1318.9643145454195</v>
      </c>
      <c r="AW34" s="299"/>
      <c r="AX34" s="163">
        <f t="shared" si="8"/>
        <v>1712.6986009296475</v>
      </c>
      <c r="AZ34" s="154">
        <f>+IF(AZ33&gt;$G$13+$G$14,XX,AZ33+1)</f>
        <v>2015</v>
      </c>
      <c r="BA34" s="124"/>
      <c r="BB34" s="162">
        <f t="shared" si="18"/>
        <v>73.603470893524616</v>
      </c>
      <c r="BC34" s="3"/>
      <c r="BD34" s="162">
        <f t="shared" si="19"/>
        <v>4.846590019607345</v>
      </c>
      <c r="BE34" s="3"/>
      <c r="BF34" s="161">
        <f t="shared" si="9"/>
        <v>162.33510973618209</v>
      </c>
      <c r="BG34" s="3"/>
      <c r="BH34" s="165"/>
    </row>
    <row r="35" spans="2:60" ht="12">
      <c r="B35" s="2"/>
      <c r="C35" s="6">
        <f>+IF(C34&gt;$G$13+$G$14,XX,C34+1)</f>
        <v>2016</v>
      </c>
      <c r="D35" s="6"/>
      <c r="E35" s="292">
        <f>+INDEX('(2.2)_Forward_Price_Curve'!$R:$R,MATCH($C35,'(2.2)_Forward_Price_Curve'!C:C,0))</f>
        <v>0.02</v>
      </c>
      <c r="F35" s="6"/>
      <c r="G35" s="20">
        <f t="shared" si="10"/>
        <v>17202</v>
      </c>
      <c r="H35" s="6"/>
      <c r="I35" s="30">
        <f t="shared" si="11"/>
        <v>200.18344378032376</v>
      </c>
      <c r="J35" s="6"/>
      <c r="K35" s="30">
        <f t="shared" si="12"/>
        <v>0</v>
      </c>
      <c r="L35" s="6"/>
      <c r="M35" s="30">
        <f t="shared" si="13"/>
        <v>0</v>
      </c>
      <c r="N35" s="6"/>
      <c r="O35" s="295"/>
      <c r="P35" s="6"/>
      <c r="Q35" s="30"/>
      <c r="R35" s="6"/>
      <c r="S35" s="20">
        <f t="shared" si="5"/>
        <v>840.77046387735982</v>
      </c>
      <c r="T35" s="6"/>
      <c r="U35" s="20">
        <f t="shared" si="0"/>
        <v>1674.0514249468383</v>
      </c>
      <c r="V35" s="6"/>
      <c r="W35" s="20">
        <f t="shared" si="1"/>
        <v>-833.28096106947851</v>
      </c>
      <c r="X35" s="6"/>
      <c r="Y35" s="296">
        <f t="shared" si="6"/>
        <v>-48.440934837197915</v>
      </c>
      <c r="Z35" s="255"/>
      <c r="AB35" s="154">
        <f>+IF(AB34&gt;$G$13+$G$14,XX,AB34+1)</f>
        <v>2016</v>
      </c>
      <c r="AC35" s="124"/>
      <c r="AD35" s="159">
        <f t="shared" si="2"/>
        <v>17202</v>
      </c>
      <c r="AE35" s="3"/>
      <c r="AF35" s="162">
        <f t="shared" si="14"/>
        <v>117.60688809591885</v>
      </c>
      <c r="AG35" s="3"/>
      <c r="AH35" s="162">
        <f t="shared" si="15"/>
        <v>8.8387528619303772</v>
      </c>
      <c r="AI35" s="3"/>
      <c r="AJ35" s="162">
        <f t="shared" si="16"/>
        <v>3.327419385144696</v>
      </c>
      <c r="AK35" s="3"/>
      <c r="AL35" s="161">
        <f t="shared" si="7"/>
        <v>567.19078404281834</v>
      </c>
      <c r="AM35" s="3"/>
      <c r="AN35" s="162">
        <f>INDEX('(2.2)_Forward_Price_Curve'!$L:$L,MATCH($AB35,'(2.2)_Forward_Price_Curve'!$C:$C,0),1)</f>
        <v>8.9541666666666657</v>
      </c>
      <c r="AO35" s="3"/>
      <c r="AP35" s="162">
        <f t="shared" si="20"/>
        <v>71.286158024586797</v>
      </c>
      <c r="AQ35" s="3"/>
      <c r="AR35" s="162">
        <f t="shared" si="17"/>
        <v>2.6844531156832745</v>
      </c>
      <c r="AS35" s="162"/>
      <c r="AT35" s="161">
        <f t="shared" si="3"/>
        <v>401.60897211191264</v>
      </c>
      <c r="AU35" s="3"/>
      <c r="AV35" s="161">
        <f t="shared" si="4"/>
        <v>1272.4424528349257</v>
      </c>
      <c r="AW35" s="299"/>
      <c r="AX35" s="163">
        <f t="shared" si="8"/>
        <v>1674.0514249468383</v>
      </c>
      <c r="AZ35" s="154">
        <f>+IF(AZ34&gt;$G$13+$G$14,XX,AZ34+1)</f>
        <v>2016</v>
      </c>
      <c r="BA35" s="124"/>
      <c r="BB35" s="162">
        <f t="shared" si="18"/>
        <v>75.075540311395116</v>
      </c>
      <c r="BC35" s="3"/>
      <c r="BD35" s="162">
        <f t="shared" si="19"/>
        <v>4.9435218199994919</v>
      </c>
      <c r="BE35" s="3"/>
      <c r="BF35" s="161">
        <f t="shared" si="9"/>
        <v>165.58181193090573</v>
      </c>
      <c r="BG35" s="3"/>
      <c r="BH35" s="165"/>
    </row>
    <row r="36" spans="2:60" ht="12">
      <c r="B36" s="2"/>
      <c r="C36" s="6">
        <f>+IF(C35&gt;$G$13+$G$14,XX,C35+1)</f>
        <v>2017</v>
      </c>
      <c r="D36" s="6"/>
      <c r="E36" s="292">
        <f>+INDEX('(2.2)_Forward_Price_Curve'!$R:$R,MATCH($C36,'(2.2)_Forward_Price_Curve'!C:C,0))</f>
        <v>1.9E-2</v>
      </c>
      <c r="F36" s="6"/>
      <c r="G36" s="20">
        <f t="shared" si="10"/>
        <v>17202</v>
      </c>
      <c r="H36" s="6"/>
      <c r="I36" s="30">
        <f t="shared" si="11"/>
        <v>203.9869292121499</v>
      </c>
      <c r="J36" s="6"/>
      <c r="K36" s="30">
        <f t="shared" si="12"/>
        <v>0</v>
      </c>
      <c r="L36" s="6"/>
      <c r="M36" s="30">
        <f t="shared" si="13"/>
        <v>0</v>
      </c>
      <c r="N36" s="6"/>
      <c r="O36" s="295"/>
      <c r="P36" s="6"/>
      <c r="Q36" s="30"/>
      <c r="R36" s="6"/>
      <c r="S36" s="20">
        <f t="shared" si="5"/>
        <v>856.74510269102962</v>
      </c>
      <c r="T36" s="6"/>
      <c r="U36" s="20">
        <f t="shared" si="0"/>
        <v>1768.5744298852906</v>
      </c>
      <c r="V36" s="6"/>
      <c r="W36" s="20">
        <f t="shared" si="1"/>
        <v>-911.82932719426094</v>
      </c>
      <c r="X36" s="6"/>
      <c r="Y36" s="296">
        <f t="shared" si="6"/>
        <v>-53.007169352067251</v>
      </c>
      <c r="Z36" s="255"/>
      <c r="AB36" s="154">
        <f>+IF(AB35&gt;$G$13+$G$14,XX,AB35+1)</f>
        <v>2017</v>
      </c>
      <c r="AC36" s="124"/>
      <c r="AD36" s="159">
        <f t="shared" si="2"/>
        <v>17202</v>
      </c>
      <c r="AE36" s="3"/>
      <c r="AF36" s="162">
        <f t="shared" si="14"/>
        <v>119.8414189697413</v>
      </c>
      <c r="AG36" s="3"/>
      <c r="AH36" s="162">
        <f t="shared" si="15"/>
        <v>9.0066891663070532</v>
      </c>
      <c r="AI36" s="3"/>
      <c r="AJ36" s="162">
        <f t="shared" si="16"/>
        <v>3.390640353462445</v>
      </c>
      <c r="AK36" s="3"/>
      <c r="AL36" s="161">
        <f t="shared" si="7"/>
        <v>577.96740893963192</v>
      </c>
      <c r="AM36" s="3"/>
      <c r="AN36" s="162">
        <f>INDEX('(2.2)_Forward_Price_Curve'!$L:$L,MATCH($AB36,'(2.2)_Forward_Price_Curve'!$C:$C,0),1)</f>
        <v>9.6420833333333338</v>
      </c>
      <c r="AO36" s="3"/>
      <c r="AP36" s="162">
        <f t="shared" si="20"/>
        <v>76.28645178001652</v>
      </c>
      <c r="AQ36" s="3"/>
      <c r="AR36" s="162">
        <f t="shared" si="17"/>
        <v>2.7354577248812566</v>
      </c>
      <c r="AS36" s="162"/>
      <c r="AT36" s="161">
        <f t="shared" si="3"/>
        <v>409.23954258203901</v>
      </c>
      <c r="AU36" s="3"/>
      <c r="AV36" s="161">
        <f t="shared" si="4"/>
        <v>1359.3348873032514</v>
      </c>
      <c r="AW36" s="299"/>
      <c r="AX36" s="163">
        <f t="shared" si="8"/>
        <v>1768.5744298852906</v>
      </c>
      <c r="AZ36" s="154">
        <f>+IF(AZ35&gt;$G$13+$G$14,XX,AZ35+1)</f>
        <v>2017</v>
      </c>
      <c r="BA36" s="124"/>
      <c r="BB36" s="162">
        <f t="shared" si="18"/>
        <v>76.501975577311612</v>
      </c>
      <c r="BC36" s="3"/>
      <c r="BD36" s="162">
        <f t="shared" si="19"/>
        <v>5.0374487345794821</v>
      </c>
      <c r="BE36" s="3"/>
      <c r="BF36" s="161">
        <f t="shared" si="9"/>
        <v>168.72786635759294</v>
      </c>
      <c r="BG36" s="3"/>
      <c r="BH36" s="165"/>
    </row>
    <row r="37" spans="2:60" ht="12">
      <c r="B37" s="2"/>
      <c r="C37" s="6">
        <f>+IF(C36&gt;$G$13+$G$14,XX,C36+1)</f>
        <v>2018</v>
      </c>
      <c r="D37" s="6"/>
      <c r="E37" s="292">
        <f>+INDEX('(2.2)_Forward_Price_Curve'!$R:$R,MATCH($C37,'(2.2)_Forward_Price_Curve'!C:C,0))</f>
        <v>1.9E-2</v>
      </c>
      <c r="F37" s="6"/>
      <c r="G37" s="20">
        <f t="shared" si="10"/>
        <v>17202</v>
      </c>
      <c r="H37" s="6"/>
      <c r="I37" s="30">
        <f t="shared" si="11"/>
        <v>207.86268086718073</v>
      </c>
      <c r="J37" s="6"/>
      <c r="K37" s="30">
        <f t="shared" si="12"/>
        <v>0</v>
      </c>
      <c r="L37" s="6"/>
      <c r="M37" s="30">
        <f t="shared" si="13"/>
        <v>0</v>
      </c>
      <c r="N37" s="6"/>
      <c r="O37" s="295"/>
      <c r="P37" s="6"/>
      <c r="Q37" s="30"/>
      <c r="R37" s="6"/>
      <c r="S37" s="20">
        <f t="shared" si="5"/>
        <v>873.02325964215913</v>
      </c>
      <c r="T37" s="6"/>
      <c r="U37" s="20">
        <f t="shared" si="0"/>
        <v>1985.5762648603336</v>
      </c>
      <c r="V37" s="6"/>
      <c r="W37" s="20">
        <f t="shared" si="1"/>
        <v>-1112.5530052181743</v>
      </c>
      <c r="X37" s="6"/>
      <c r="Y37" s="296">
        <f t="shared" si="6"/>
        <v>-64.675793815729236</v>
      </c>
      <c r="Z37" s="255"/>
      <c r="AB37" s="154">
        <f>+IF(AB36&gt;$G$13+$G$14,XX,AB36+1)</f>
        <v>2018</v>
      </c>
      <c r="AC37" s="124"/>
      <c r="AD37" s="159">
        <f t="shared" si="2"/>
        <v>17202</v>
      </c>
      <c r="AE37" s="3"/>
      <c r="AF37" s="162">
        <f t="shared" si="14"/>
        <v>122.11840593016638</v>
      </c>
      <c r="AG37" s="3"/>
      <c r="AH37" s="162">
        <f t="shared" si="15"/>
        <v>9.1778162604668871</v>
      </c>
      <c r="AI37" s="3"/>
      <c r="AJ37" s="162">
        <f t="shared" si="16"/>
        <v>3.455062520178231</v>
      </c>
      <c r="AK37" s="3"/>
      <c r="AL37" s="161">
        <f t="shared" si="7"/>
        <v>588.94878970948491</v>
      </c>
      <c r="AM37" s="3"/>
      <c r="AN37" s="162">
        <f>INDEX('(2.2)_Forward_Price_Curve'!$L:$L,MATCH($AB37,'(2.2)_Forward_Price_Curve'!$C:$C,0),1)</f>
        <v>11.30625</v>
      </c>
      <c r="AO37" s="3"/>
      <c r="AP37" s="162">
        <f t="shared" si="20"/>
        <v>88.397382609809526</v>
      </c>
      <c r="AQ37" s="3"/>
      <c r="AR37" s="162">
        <f t="shared" si="17"/>
        <v>2.7874314216540004</v>
      </c>
      <c r="AS37" s="162"/>
      <c r="AT37" s="161">
        <f t="shared" si="3"/>
        <v>417.01509389109776</v>
      </c>
      <c r="AU37" s="3"/>
      <c r="AV37" s="161">
        <f t="shared" si="4"/>
        <v>1568.5611709692357</v>
      </c>
      <c r="AW37" s="299"/>
      <c r="AX37" s="163">
        <f t="shared" si="8"/>
        <v>1985.5762648603336</v>
      </c>
      <c r="AZ37" s="154">
        <f>+IF(AZ36&gt;$G$13+$G$14,XX,AZ36+1)</f>
        <v>2018</v>
      </c>
      <c r="BA37" s="124"/>
      <c r="BB37" s="162">
        <f t="shared" si="18"/>
        <v>77.955513113280531</v>
      </c>
      <c r="BC37" s="3"/>
      <c r="BD37" s="162">
        <f t="shared" si="19"/>
        <v>5.1331602605364921</v>
      </c>
      <c r="BE37" s="3"/>
      <c r="BF37" s="161">
        <f t="shared" si="9"/>
        <v>171.93369581838718</v>
      </c>
      <c r="BG37" s="3"/>
      <c r="BH37" s="165"/>
    </row>
    <row r="38" spans="2:60" ht="12">
      <c r="B38" s="2"/>
      <c r="C38" s="6">
        <f>+IF(C37&gt;$G$13+$G$14,XX,C37+1)</f>
        <v>2019</v>
      </c>
      <c r="D38" s="6"/>
      <c r="E38" s="292">
        <f>+INDEX('(2.2)_Forward_Price_Curve'!$R:$R,MATCH($C38,'(2.2)_Forward_Price_Curve'!C:C,0))</f>
        <v>1.9E-2</v>
      </c>
      <c r="F38" s="6"/>
      <c r="G38" s="20">
        <f t="shared" si="10"/>
        <v>17202</v>
      </c>
      <c r="H38" s="6"/>
      <c r="I38" s="30">
        <f t="shared" si="11"/>
        <v>211.81207180365715</v>
      </c>
      <c r="J38" s="6"/>
      <c r="K38" s="30">
        <f t="shared" si="12"/>
        <v>0</v>
      </c>
      <c r="L38" s="6"/>
      <c r="M38" s="30">
        <f t="shared" si="13"/>
        <v>0</v>
      </c>
      <c r="N38" s="6"/>
      <c r="O38" s="295"/>
      <c r="P38" s="6"/>
      <c r="Q38" s="30"/>
      <c r="R38" s="6"/>
      <c r="S38" s="20">
        <f t="shared" si="5"/>
        <v>889.61070157536005</v>
      </c>
      <c r="T38" s="6"/>
      <c r="U38" s="20">
        <f t="shared" si="0"/>
        <v>2050.2231811375991</v>
      </c>
      <c r="V38" s="6"/>
      <c r="W38" s="20">
        <f t="shared" si="1"/>
        <v>-1160.6124795622391</v>
      </c>
      <c r="X38" s="6"/>
      <c r="Y38" s="296">
        <f t="shared" si="6"/>
        <v>-67.469624436823565</v>
      </c>
      <c r="Z38" s="255"/>
      <c r="AB38" s="154">
        <f>+IF(AB37&gt;$G$13+$G$14,XX,AB37+1)</f>
        <v>2019</v>
      </c>
      <c r="AC38" s="124"/>
      <c r="AD38" s="159">
        <f t="shared" si="2"/>
        <v>17202</v>
      </c>
      <c r="AE38" s="3"/>
      <c r="AF38" s="162">
        <f t="shared" si="14"/>
        <v>124.43865564283952</v>
      </c>
      <c r="AG38" s="3"/>
      <c r="AH38" s="162">
        <f t="shared" si="15"/>
        <v>9.3521947694157568</v>
      </c>
      <c r="AI38" s="3"/>
      <c r="AJ38" s="162">
        <f t="shared" si="16"/>
        <v>3.5207087080616173</v>
      </c>
      <c r="AK38" s="3"/>
      <c r="AL38" s="161">
        <f t="shared" si="7"/>
        <v>600.13881671396507</v>
      </c>
      <c r="AM38" s="3"/>
      <c r="AN38" s="162">
        <f>INDEX('(2.2)_Forward_Price_Curve'!$L:$L,MATCH($AB38,'(2.2)_Forward_Price_Curve'!$C:$C,0),1)</f>
        <v>11.752083333333331</v>
      </c>
      <c r="AO38" s="3"/>
      <c r="AP38" s="162">
        <f t="shared" si="20"/>
        <v>91.641923417991393</v>
      </c>
      <c r="AQ38" s="3"/>
      <c r="AR38" s="162">
        <f t="shared" si="17"/>
        <v>2.840392618665426</v>
      </c>
      <c r="AS38" s="162"/>
      <c r="AT38" s="161">
        <f t="shared" si="3"/>
        <v>424.9383806750285</v>
      </c>
      <c r="AU38" s="3"/>
      <c r="AV38" s="161">
        <f t="shared" si="4"/>
        <v>1625.2848004625705</v>
      </c>
      <c r="AW38" s="299"/>
      <c r="AX38" s="163">
        <f t="shared" si="8"/>
        <v>2050.2231811375991</v>
      </c>
      <c r="AZ38" s="154">
        <f>+IF(AZ37&gt;$G$13+$G$14,XX,AZ37+1)</f>
        <v>2019</v>
      </c>
      <c r="BA38" s="124"/>
      <c r="BB38" s="162">
        <f t="shared" si="18"/>
        <v>79.436667862432856</v>
      </c>
      <c r="BC38" s="3"/>
      <c r="BD38" s="162">
        <f t="shared" si="19"/>
        <v>5.2306903054866849</v>
      </c>
      <c r="BE38" s="3"/>
      <c r="BF38" s="161">
        <f t="shared" si="9"/>
        <v>175.20043603893654</v>
      </c>
      <c r="BG38" s="3"/>
      <c r="BH38" s="165"/>
    </row>
    <row r="39" spans="2:60" ht="12">
      <c r="B39" s="2"/>
      <c r="C39" s="6">
        <f>+IF(C38&gt;$G$13+$G$14,XX,C38+1)</f>
        <v>2020</v>
      </c>
      <c r="D39" s="6"/>
      <c r="E39" s="292">
        <f>+INDEX('(2.2)_Forward_Price_Curve'!$R:$R,MATCH($C39,'(2.2)_Forward_Price_Curve'!C:C,0))</f>
        <v>1.9E-2</v>
      </c>
      <c r="F39" s="6"/>
      <c r="G39" s="20">
        <f t="shared" si="10"/>
        <v>17202</v>
      </c>
      <c r="H39" s="6"/>
      <c r="I39" s="30">
        <f t="shared" si="11"/>
        <v>215.83650116792663</v>
      </c>
      <c r="J39" s="6"/>
      <c r="K39" s="30">
        <f t="shared" si="12"/>
        <v>0</v>
      </c>
      <c r="L39" s="6"/>
      <c r="M39" s="30">
        <f t="shared" si="13"/>
        <v>0</v>
      </c>
      <c r="N39" s="6"/>
      <c r="O39" s="295"/>
      <c r="P39" s="6"/>
      <c r="Q39" s="30"/>
      <c r="R39" s="6"/>
      <c r="S39" s="20">
        <f t="shared" si="5"/>
        <v>906.51330490529188</v>
      </c>
      <c r="T39" s="6"/>
      <c r="U39" s="20">
        <f t="shared" si="0"/>
        <v>2024.3816102241469</v>
      </c>
      <c r="V39" s="6"/>
      <c r="W39" s="20">
        <f t="shared" si="1"/>
        <v>-1117.8683053188552</v>
      </c>
      <c r="X39" s="6"/>
      <c r="Y39" s="296">
        <f t="shared" si="6"/>
        <v>-64.984786961914622</v>
      </c>
      <c r="Z39" s="255"/>
      <c r="AB39" s="154">
        <f>+IF(AB38&gt;$G$13+$G$14,XX,AB38+1)</f>
        <v>2020</v>
      </c>
      <c r="AC39" s="124"/>
      <c r="AD39" s="159">
        <f t="shared" si="2"/>
        <v>17202</v>
      </c>
      <c r="AE39" s="3"/>
      <c r="AF39" s="162">
        <f t="shared" si="14"/>
        <v>126.80299010005346</v>
      </c>
      <c r="AG39" s="3"/>
      <c r="AH39" s="162">
        <f t="shared" si="15"/>
        <v>9.5298864700346559</v>
      </c>
      <c r="AI39" s="3"/>
      <c r="AJ39" s="162">
        <f t="shared" si="16"/>
        <v>3.5876021735147878</v>
      </c>
      <c r="AK39" s="3"/>
      <c r="AL39" s="161">
        <f t="shared" si="7"/>
        <v>611.54145423153045</v>
      </c>
      <c r="AM39" s="3"/>
      <c r="AN39" s="162">
        <f>INDEX('(2.2)_Forward_Price_Curve'!$L:$L,MATCH($AB39,'(2.2)_Forward_Price_Curve'!$C:$C,0),1)</f>
        <v>11.473750000000003</v>
      </c>
      <c r="AO39" s="3"/>
      <c r="AP39" s="162">
        <f t="shared" si="20"/>
        <v>89.616359623724605</v>
      </c>
      <c r="AQ39" s="3"/>
      <c r="AR39" s="162">
        <f t="shared" si="17"/>
        <v>2.8943600784200689</v>
      </c>
      <c r="AS39" s="162"/>
      <c r="AT39" s="161">
        <f t="shared" si="3"/>
        <v>433.01220990785413</v>
      </c>
      <c r="AU39" s="3"/>
      <c r="AV39" s="161">
        <f t="shared" si="4"/>
        <v>1591.3694003162927</v>
      </c>
      <c r="AW39" s="299"/>
      <c r="AX39" s="163">
        <f t="shared" si="8"/>
        <v>2024.3816102241469</v>
      </c>
      <c r="AZ39" s="154">
        <f>+IF(AZ38&gt;$G$13+$G$14,XX,AZ38+1)</f>
        <v>2020</v>
      </c>
      <c r="BA39" s="124"/>
      <c r="BB39" s="162">
        <f t="shared" si="18"/>
        <v>80.945964551819074</v>
      </c>
      <c r="BC39" s="3"/>
      <c r="BD39" s="162">
        <f t="shared" si="19"/>
        <v>5.3300734212909315</v>
      </c>
      <c r="BE39" s="3"/>
      <c r="BF39" s="161">
        <f t="shared" si="9"/>
        <v>178.52924432367632</v>
      </c>
      <c r="BG39" s="3"/>
      <c r="BH39" s="165"/>
    </row>
    <row r="40" spans="2:60" ht="12">
      <c r="B40" s="2"/>
      <c r="C40" s="6">
        <f>+IF(C39&gt;$G$13+$G$14,XX,C39+1)</f>
        <v>2021</v>
      </c>
      <c r="D40" s="6"/>
      <c r="E40" s="292">
        <f>+INDEX('(2.2)_Forward_Price_Curve'!$R:$R,MATCH($C40,'(2.2)_Forward_Price_Curve'!C:C,0))</f>
        <v>1.7999999999999999E-2</v>
      </c>
      <c r="F40" s="6"/>
      <c r="G40" s="20">
        <f t="shared" si="10"/>
        <v>17202</v>
      </c>
      <c r="H40" s="6"/>
      <c r="I40" s="30">
        <f t="shared" si="11"/>
        <v>219.7215581889493</v>
      </c>
      <c r="J40" s="6"/>
      <c r="K40" s="30">
        <f t="shared" si="12"/>
        <v>0</v>
      </c>
      <c r="L40" s="6"/>
      <c r="M40" s="30">
        <f t="shared" si="13"/>
        <v>0</v>
      </c>
      <c r="N40" s="6"/>
      <c r="O40" s="295"/>
      <c r="P40" s="6"/>
      <c r="Q40" s="30"/>
      <c r="R40" s="6"/>
      <c r="S40" s="20">
        <f t="shared" si="5"/>
        <v>922.83054439358716</v>
      </c>
      <c r="T40" s="6"/>
      <c r="U40" s="20">
        <f t="shared" si="0"/>
        <v>2060.3012961792269</v>
      </c>
      <c r="V40" s="6"/>
      <c r="W40" s="20">
        <f t="shared" si="1"/>
        <v>-1137.4707517856398</v>
      </c>
      <c r="X40" s="6"/>
      <c r="Y40" s="296">
        <f t="shared" si="6"/>
        <v>-66.124331576888721</v>
      </c>
      <c r="Z40" s="255"/>
      <c r="AB40" s="154">
        <f>+IF(AB39&gt;$G$13+$G$14,XX,AB39+1)</f>
        <v>2021</v>
      </c>
      <c r="AC40" s="124"/>
      <c r="AD40" s="159">
        <f t="shared" si="2"/>
        <v>17202</v>
      </c>
      <c r="AE40" s="3"/>
      <c r="AF40" s="162">
        <f t="shared" si="14"/>
        <v>129.08544392185442</v>
      </c>
      <c r="AG40" s="3"/>
      <c r="AH40" s="162">
        <f t="shared" si="15"/>
        <v>9.7014244264952794</v>
      </c>
      <c r="AI40" s="3"/>
      <c r="AJ40" s="162">
        <f t="shared" si="16"/>
        <v>3.652179012638054</v>
      </c>
      <c r="AK40" s="3"/>
      <c r="AL40" s="161">
        <f t="shared" si="7"/>
        <v>622.54920040769787</v>
      </c>
      <c r="AM40" s="3"/>
      <c r="AN40" s="162">
        <f>INDEX('(2.2)_Forward_Price_Curve'!$L:$L,MATCH($AB40,'(2.2)_Forward_Price_Curve'!$C:$C,0),1)</f>
        <v>11.692083333333334</v>
      </c>
      <c r="AO40" s="3"/>
      <c r="AP40" s="162">
        <f t="shared" si="20"/>
        <v>91.199272546611326</v>
      </c>
      <c r="AQ40" s="3"/>
      <c r="AR40" s="162">
        <f t="shared" si="17"/>
        <v>2.9464585598316302</v>
      </c>
      <c r="AS40" s="162"/>
      <c r="AT40" s="161">
        <f t="shared" si="3"/>
        <v>440.80642968619532</v>
      </c>
      <c r="AU40" s="3"/>
      <c r="AV40" s="161">
        <f t="shared" si="4"/>
        <v>1619.4948664930316</v>
      </c>
      <c r="AW40" s="299"/>
      <c r="AX40" s="163">
        <f t="shared" si="8"/>
        <v>2060.3012961792269</v>
      </c>
      <c r="AZ40" s="154">
        <f>+IF(AZ39&gt;$G$13+$G$14,XX,AZ39+1)</f>
        <v>2021</v>
      </c>
      <c r="BA40" s="124"/>
      <c r="BB40" s="162">
        <f t="shared" si="18"/>
        <v>82.402991913751819</v>
      </c>
      <c r="BC40" s="3"/>
      <c r="BD40" s="162">
        <f t="shared" si="19"/>
        <v>5.4260147428741687</v>
      </c>
      <c r="BE40" s="3"/>
      <c r="BF40" s="161">
        <f t="shared" si="9"/>
        <v>181.74277072150252</v>
      </c>
      <c r="BG40" s="3"/>
      <c r="BH40" s="165"/>
    </row>
    <row r="41" spans="2:60" ht="12">
      <c r="B41" s="2"/>
      <c r="C41" s="6">
        <f>+IF(C40&gt;$G$13+$G$14,XX,C40+1)</f>
        <v>2022</v>
      </c>
      <c r="D41" s="6"/>
      <c r="E41" s="292">
        <f>+INDEX('(2.2)_Forward_Price_Curve'!$R:$R,MATCH($C41,'(2.2)_Forward_Price_Curve'!C:C,0))</f>
        <v>1.7999999999999999E-2</v>
      </c>
      <c r="F41" s="6"/>
      <c r="G41" s="20">
        <f t="shared" si="10"/>
        <v>17202</v>
      </c>
      <c r="H41" s="6"/>
      <c r="I41" s="30">
        <f t="shared" si="11"/>
        <v>223.67654623635039</v>
      </c>
      <c r="J41" s="6"/>
      <c r="K41" s="30">
        <f t="shared" si="12"/>
        <v>0</v>
      </c>
      <c r="L41" s="6"/>
      <c r="M41" s="30">
        <f t="shared" si="13"/>
        <v>0</v>
      </c>
      <c r="N41" s="6"/>
      <c r="O41" s="295"/>
      <c r="P41" s="6"/>
      <c r="Q41" s="30"/>
      <c r="R41" s="6"/>
      <c r="S41" s="20">
        <f t="shared" si="5"/>
        <v>939.44149419267171</v>
      </c>
      <c r="T41" s="6"/>
      <c r="U41" s="20">
        <f t="shared" si="0"/>
        <v>2096.7936305474655</v>
      </c>
      <c r="V41" s="6"/>
      <c r="W41" s="20">
        <f t="shared" si="1"/>
        <v>-1157.3521363547939</v>
      </c>
      <c r="X41" s="6"/>
      <c r="Y41" s="296">
        <f t="shared" si="6"/>
        <v>-67.280091637878954</v>
      </c>
      <c r="Z41" s="255"/>
      <c r="AB41" s="154">
        <f>+IF(AB40&gt;$G$13+$G$14,XX,AB40+1)</f>
        <v>2022</v>
      </c>
      <c r="AC41" s="124"/>
      <c r="AD41" s="159">
        <f t="shared" si="2"/>
        <v>17202</v>
      </c>
      <c r="AE41" s="3"/>
      <c r="AF41" s="162">
        <f t="shared" si="14"/>
        <v>131.40898191244781</v>
      </c>
      <c r="AG41" s="3"/>
      <c r="AH41" s="162">
        <f t="shared" si="15"/>
        <v>9.8760500661721942</v>
      </c>
      <c r="AI41" s="3"/>
      <c r="AJ41" s="162">
        <f t="shared" si="16"/>
        <v>3.7179182348655391</v>
      </c>
      <c r="AK41" s="3"/>
      <c r="AL41" s="161">
        <f t="shared" si="7"/>
        <v>633.75508601503645</v>
      </c>
      <c r="AM41" s="3"/>
      <c r="AN41" s="162">
        <f>INDEX('(2.2)_Forward_Price_Curve'!$L:$L,MATCH($AB41,'(2.2)_Forward_Price_Curve'!$C:$C,0),1)</f>
        <v>11.912916666666668</v>
      </c>
      <c r="AO41" s="3"/>
      <c r="AP41" s="162">
        <f t="shared" si="20"/>
        <v>92.806381545056553</v>
      </c>
      <c r="AQ41" s="3"/>
      <c r="AR41" s="162">
        <f t="shared" si="17"/>
        <v>2.9994948139085995</v>
      </c>
      <c r="AS41" s="162"/>
      <c r="AT41" s="161">
        <f t="shared" si="3"/>
        <v>448.74094542054689</v>
      </c>
      <c r="AU41" s="3"/>
      <c r="AV41" s="161">
        <f t="shared" si="4"/>
        <v>1648.0526851269185</v>
      </c>
      <c r="AW41" s="299"/>
      <c r="AX41" s="163">
        <f t="shared" si="8"/>
        <v>2096.7936305474655</v>
      </c>
      <c r="AZ41" s="154">
        <f>+IF(AZ40&gt;$G$13+$G$14,XX,AZ40+1)</f>
        <v>2022</v>
      </c>
      <c r="BA41" s="124"/>
      <c r="BB41" s="162">
        <f t="shared" si="18"/>
        <v>83.886245768199359</v>
      </c>
      <c r="BC41" s="3"/>
      <c r="BD41" s="162">
        <f t="shared" si="19"/>
        <v>5.5236830082459036</v>
      </c>
      <c r="BE41" s="3"/>
      <c r="BF41" s="161">
        <f t="shared" si="9"/>
        <v>185.01414059448956</v>
      </c>
      <c r="BG41" s="3"/>
      <c r="BH41" s="165"/>
    </row>
    <row r="42" spans="2:60" ht="12">
      <c r="B42" s="2"/>
      <c r="C42" s="6">
        <f>+IF(C41&gt;$G$13+$G$14,XX,C41+1)</f>
        <v>2023</v>
      </c>
      <c r="D42" s="6"/>
      <c r="E42" s="292">
        <f>+INDEX('(2.2)_Forward_Price_Curve'!$R:$R,MATCH($C42,'(2.2)_Forward_Price_Curve'!C:C,0))</f>
        <v>1.9E-2</v>
      </c>
      <c r="F42" s="6"/>
      <c r="G42" s="20">
        <f t="shared" si="10"/>
        <v>17202</v>
      </c>
      <c r="H42" s="6"/>
      <c r="I42" s="30">
        <f t="shared" si="11"/>
        <v>227.92640061484101</v>
      </c>
      <c r="J42" s="6"/>
      <c r="K42" s="30">
        <f t="shared" si="12"/>
        <v>0</v>
      </c>
      <c r="L42" s="6"/>
      <c r="M42" s="30">
        <f t="shared" si="13"/>
        <v>0</v>
      </c>
      <c r="N42" s="6"/>
      <c r="O42" s="295"/>
      <c r="P42" s="6"/>
      <c r="Q42" s="30"/>
      <c r="R42" s="6"/>
      <c r="S42" s="20">
        <f t="shared" si="5"/>
        <v>957.2908825823323</v>
      </c>
      <c r="T42" s="6"/>
      <c r="U42" s="20">
        <f t="shared" si="0"/>
        <v>2134.7268963793413</v>
      </c>
      <c r="V42" s="6"/>
      <c r="W42" s="20">
        <f t="shared" si="1"/>
        <v>-1177.4360137970089</v>
      </c>
      <c r="X42" s="6"/>
      <c r="Y42" s="296">
        <f t="shared" si="6"/>
        <v>-68.447623171550333</v>
      </c>
      <c r="Z42" s="255"/>
      <c r="AB42" s="154">
        <f>+IF(AB41&gt;$G$13+$G$14,XX,AB41+1)</f>
        <v>2023</v>
      </c>
      <c r="AC42" s="124"/>
      <c r="AD42" s="159">
        <f t="shared" si="2"/>
        <v>17202</v>
      </c>
      <c r="AE42" s="3"/>
      <c r="AF42" s="162">
        <f t="shared" si="14"/>
        <v>133.90575256878432</v>
      </c>
      <c r="AG42" s="3"/>
      <c r="AH42" s="162">
        <f t="shared" si="15"/>
        <v>10.063695017429465</v>
      </c>
      <c r="AI42" s="3"/>
      <c r="AJ42" s="162">
        <f t="shared" si="16"/>
        <v>3.7885586813279839</v>
      </c>
      <c r="AK42" s="3"/>
      <c r="AL42" s="161">
        <f t="shared" si="7"/>
        <v>645.79643264932224</v>
      </c>
      <c r="AM42" s="3"/>
      <c r="AN42" s="162">
        <f>INDEX('(2.2)_Forward_Price_Curve'!$L:$L,MATCH($AB42,'(2.2)_Forward_Price_Curve'!$C:$C,0),1)</f>
        <v>12.139166666666668</v>
      </c>
      <c r="AO42" s="3"/>
      <c r="AP42" s="162">
        <f t="shared" si="20"/>
        <v>94.458912586964303</v>
      </c>
      <c r="AQ42" s="3"/>
      <c r="AR42" s="162">
        <f t="shared" si="17"/>
        <v>3.0564852153728626</v>
      </c>
      <c r="AS42" s="162"/>
      <c r="AT42" s="161">
        <f t="shared" si="3"/>
        <v>457.26702338353738</v>
      </c>
      <c r="AU42" s="3"/>
      <c r="AV42" s="161">
        <f t="shared" si="4"/>
        <v>1677.4598729958038</v>
      </c>
      <c r="AW42" s="299"/>
      <c r="AX42" s="163">
        <f t="shared" si="8"/>
        <v>2134.7268963793413</v>
      </c>
      <c r="AZ42" s="154">
        <f>+IF(AZ41&gt;$G$13+$G$14,XX,AZ41+1)</f>
        <v>2023</v>
      </c>
      <c r="BA42" s="124"/>
      <c r="BB42" s="162">
        <f t="shared" si="18"/>
        <v>85.480084437795142</v>
      </c>
      <c r="BC42" s="3"/>
      <c r="BD42" s="162">
        <f t="shared" si="19"/>
        <v>5.6286329854025752</v>
      </c>
      <c r="BE42" s="3"/>
      <c r="BF42" s="161">
        <f t="shared" si="9"/>
        <v>188.52940926578486</v>
      </c>
      <c r="BG42" s="3"/>
      <c r="BH42" s="165"/>
    </row>
    <row r="43" spans="2:60" ht="12">
      <c r="B43" s="2"/>
      <c r="C43" s="6">
        <f>+IF(C42&gt;$G$13+$G$14,XX,C42+1)</f>
        <v>2024</v>
      </c>
      <c r="D43" s="6"/>
      <c r="E43" s="292">
        <f>+INDEX('(2.2)_Forward_Price_Curve'!$R:$R,MATCH($C43,'(2.2)_Forward_Price_Curve'!C:C,0))</f>
        <v>1.9E-2</v>
      </c>
      <c r="F43" s="6"/>
      <c r="G43" s="20">
        <f t="shared" si="10"/>
        <v>17202</v>
      </c>
      <c r="H43" s="6"/>
      <c r="I43" s="30">
        <f t="shared" si="11"/>
        <v>232.25700222652299</v>
      </c>
      <c r="J43" s="6"/>
      <c r="K43" s="30">
        <f t="shared" si="12"/>
        <v>0</v>
      </c>
      <c r="L43" s="6"/>
      <c r="M43" s="30">
        <f t="shared" si="13"/>
        <v>0</v>
      </c>
      <c r="N43" s="6"/>
      <c r="O43" s="295"/>
      <c r="P43" s="6"/>
      <c r="Q43" s="30"/>
      <c r="R43" s="6"/>
      <c r="S43" s="20">
        <f t="shared" si="5"/>
        <v>975.47940935139661</v>
      </c>
      <c r="T43" s="6"/>
      <c r="U43" s="20">
        <f t="shared" si="0"/>
        <v>2173.4677894292599</v>
      </c>
      <c r="V43" s="6"/>
      <c r="W43" s="20">
        <f t="shared" si="1"/>
        <v>-1197.9883800778634</v>
      </c>
      <c r="X43" s="6"/>
      <c r="Y43" s="296">
        <f t="shared" si="6"/>
        <v>-69.642389261589543</v>
      </c>
      <c r="Z43" s="255"/>
      <c r="AB43" s="154">
        <f>+IF(AB42&gt;$G$13+$G$14,XX,AB42+1)</f>
        <v>2024</v>
      </c>
      <c r="AC43" s="124"/>
      <c r="AD43" s="159">
        <f t="shared" si="2"/>
        <v>17202</v>
      </c>
      <c r="AE43" s="3"/>
      <c r="AF43" s="162">
        <f t="shared" si="14"/>
        <v>136.44996186759121</v>
      </c>
      <c r="AG43" s="3"/>
      <c r="AH43" s="162">
        <f t="shared" si="15"/>
        <v>10.254905222760623</v>
      </c>
      <c r="AI43" s="3"/>
      <c r="AJ43" s="162">
        <f t="shared" si="16"/>
        <v>3.8605412962732153</v>
      </c>
      <c r="AK43" s="3"/>
      <c r="AL43" s="161">
        <f t="shared" si="7"/>
        <v>658.06656486965926</v>
      </c>
      <c r="AM43" s="3"/>
      <c r="AN43" s="162">
        <f>INDEX('(2.2)_Forward_Price_Curve'!$L:$L,MATCH($AB43,'(2.2)_Forward_Price_Curve'!$C:$C,0),1)</f>
        <v>12.371250000000002</v>
      </c>
      <c r="AO43" s="3"/>
      <c r="AP43" s="162">
        <f t="shared" si="20"/>
        <v>96.147893175896371</v>
      </c>
      <c r="AQ43" s="3"/>
      <c r="AR43" s="162">
        <f t="shared" si="17"/>
        <v>3.1145584344649468</v>
      </c>
      <c r="AS43" s="162"/>
      <c r="AT43" s="161">
        <f t="shared" si="3"/>
        <v>465.95509682782449</v>
      </c>
      <c r="AU43" s="3"/>
      <c r="AV43" s="161">
        <f t="shared" si="4"/>
        <v>1707.5126926014357</v>
      </c>
      <c r="AW43" s="299"/>
      <c r="AX43" s="163">
        <f t="shared" si="8"/>
        <v>2173.4677894292599</v>
      </c>
      <c r="AZ43" s="154">
        <f>+IF(AZ42&gt;$G$13+$G$14,XX,AZ42+1)</f>
        <v>2024</v>
      </c>
      <c r="BA43" s="124"/>
      <c r="BB43" s="162">
        <f t="shared" si="18"/>
        <v>87.104206042113248</v>
      </c>
      <c r="BC43" s="3"/>
      <c r="BD43" s="162">
        <f t="shared" si="19"/>
        <v>5.7355770121252236</v>
      </c>
      <c r="BE43" s="3"/>
      <c r="BF43" s="161">
        <f t="shared" si="9"/>
        <v>192.11146804183474</v>
      </c>
      <c r="BG43" s="3"/>
      <c r="BH43" s="165"/>
    </row>
    <row r="44" spans="2:60" ht="12">
      <c r="B44" s="2"/>
      <c r="C44" s="6">
        <f>+IF(C43&gt;$G$13+$G$14,XX,C43+1)</f>
        <v>2025</v>
      </c>
      <c r="D44" s="6"/>
      <c r="E44" s="292">
        <f>+INDEX('(2.2)_Forward_Price_Curve'!$R:$R,MATCH($C44,'(2.2)_Forward_Price_Curve'!C:C,0))</f>
        <v>1.9E-2</v>
      </c>
      <c r="F44" s="6"/>
      <c r="G44" s="20">
        <f t="shared" si="10"/>
        <v>17202</v>
      </c>
      <c r="H44" s="6"/>
      <c r="I44" s="30">
        <f t="shared" si="11"/>
        <v>236.6698852688269</v>
      </c>
      <c r="J44" s="6"/>
      <c r="K44" s="30">
        <f t="shared" si="12"/>
        <v>0</v>
      </c>
      <c r="L44" s="6"/>
      <c r="M44" s="30">
        <f t="shared" si="13"/>
        <v>0</v>
      </c>
      <c r="N44" s="6"/>
      <c r="O44" s="295"/>
      <c r="P44" s="6"/>
      <c r="Q44" s="30"/>
      <c r="R44" s="6"/>
      <c r="S44" s="20">
        <f t="shared" si="5"/>
        <v>994.01351812907308</v>
      </c>
      <c r="T44" s="6"/>
      <c r="U44" s="20">
        <f t="shared" si="0"/>
        <v>2211.0887039098143</v>
      </c>
      <c r="V44" s="6"/>
      <c r="W44" s="20">
        <f t="shared" si="1"/>
        <v>-1217.0751857807413</v>
      </c>
      <c r="X44" s="6"/>
      <c r="Y44" s="296">
        <f t="shared" si="6"/>
        <v>-70.751958247921252</v>
      </c>
      <c r="Z44" s="255"/>
      <c r="AB44" s="154">
        <f>+IF(AB43&gt;$G$13+$G$14,XX,AB43+1)</f>
        <v>2025</v>
      </c>
      <c r="AC44" s="124"/>
      <c r="AD44" s="159">
        <f t="shared" si="2"/>
        <v>17202</v>
      </c>
      <c r="AE44" s="3"/>
      <c r="AF44" s="162">
        <f t="shared" si="14"/>
        <v>139.04251114307544</v>
      </c>
      <c r="AG44" s="3"/>
      <c r="AH44" s="162">
        <f t="shared" si="15"/>
        <v>10.449748421993075</v>
      </c>
      <c r="AI44" s="3"/>
      <c r="AJ44" s="162">
        <f t="shared" si="16"/>
        <v>3.9338915809024062</v>
      </c>
      <c r="AK44" s="3"/>
      <c r="AL44" s="161">
        <f t="shared" si="7"/>
        <v>670.56982960218272</v>
      </c>
      <c r="AM44" s="3"/>
      <c r="AN44" s="162">
        <f>INDEX('(2.2)_Forward_Price_Curve'!$L:$L,MATCH($AB44,'(2.2)_Forward_Price_Curve'!$C:$C,0),1)</f>
        <v>12.592916666666667</v>
      </c>
      <c r="AO44" s="3"/>
      <c r="AP44" s="162">
        <f t="shared" si="20"/>
        <v>97.761066736599886</v>
      </c>
      <c r="AQ44" s="3"/>
      <c r="AR44" s="162">
        <f t="shared" si="17"/>
        <v>3.1737350447197805</v>
      </c>
      <c r="AS44" s="162"/>
      <c r="AT44" s="161">
        <f t="shared" si="3"/>
        <v>474.80824366755314</v>
      </c>
      <c r="AU44" s="3"/>
      <c r="AV44" s="161">
        <f t="shared" si="4"/>
        <v>1736.2804602422609</v>
      </c>
      <c r="AW44" s="299"/>
      <c r="AX44" s="163">
        <f t="shared" si="8"/>
        <v>2211.0887039098143</v>
      </c>
      <c r="AZ44" s="154">
        <f>+IF(AZ43&gt;$G$13+$G$14,XX,AZ43+1)</f>
        <v>2025</v>
      </c>
      <c r="BA44" s="124"/>
      <c r="BB44" s="162">
        <f t="shared" si="18"/>
        <v>88.759185956913385</v>
      </c>
      <c r="BC44" s="3"/>
      <c r="BD44" s="162">
        <f t="shared" si="19"/>
        <v>5.8445529753556027</v>
      </c>
      <c r="BE44" s="3"/>
      <c r="BF44" s="161">
        <f t="shared" si="9"/>
        <v>195.76158593462958</v>
      </c>
      <c r="BG44" s="3"/>
      <c r="BH44" s="165"/>
    </row>
    <row r="45" spans="2:60" ht="12">
      <c r="B45" s="2"/>
      <c r="C45" s="6">
        <f>+IF(C44&gt;$G$13+$G$14,XX,C44+1)</f>
        <v>2026</v>
      </c>
      <c r="D45" s="6"/>
      <c r="E45" s="292">
        <f>+INDEX('(2.2)_Forward_Price_Curve'!$R:$R,MATCH($C45,'(2.2)_Forward_Price_Curve'!C:C,0))</f>
        <v>1.9E-2</v>
      </c>
      <c r="F45" s="6"/>
      <c r="G45" s="20">
        <f t="shared" si="10"/>
        <v>17202</v>
      </c>
      <c r="H45" s="6"/>
      <c r="I45" s="30">
        <f t="shared" si="11"/>
        <v>241.16661308893458</v>
      </c>
      <c r="J45" s="6"/>
      <c r="K45" s="30">
        <f t="shared" si="12"/>
        <v>0</v>
      </c>
      <c r="L45" s="6"/>
      <c r="M45" s="30">
        <f t="shared" si="13"/>
        <v>0</v>
      </c>
      <c r="N45" s="6"/>
      <c r="O45" s="295"/>
      <c r="P45" s="6"/>
      <c r="Q45" s="30"/>
      <c r="R45" s="6"/>
      <c r="S45" s="20">
        <f t="shared" si="5"/>
        <v>1012.8997749735253</v>
      </c>
      <c r="T45" s="6"/>
      <c r="U45" s="20">
        <f t="shared" si="0"/>
        <v>2249.4709436450844</v>
      </c>
      <c r="V45" s="6"/>
      <c r="W45" s="20">
        <f t="shared" si="1"/>
        <v>-1236.571168671559</v>
      </c>
      <c r="X45" s="6"/>
      <c r="Y45" s="296">
        <f t="shared" si="6"/>
        <v>-71.885313839760443</v>
      </c>
      <c r="Z45" s="255"/>
      <c r="AB45" s="154">
        <f>+IF(AB44&gt;$G$13+$G$14,XX,AB44+1)</f>
        <v>2026</v>
      </c>
      <c r="AC45" s="124"/>
      <c r="AD45" s="159">
        <f t="shared" si="2"/>
        <v>17202</v>
      </c>
      <c r="AE45" s="3"/>
      <c r="AF45" s="162">
        <f t="shared" si="14"/>
        <v>141.68431885479387</v>
      </c>
      <c r="AG45" s="3"/>
      <c r="AH45" s="162">
        <f t="shared" si="15"/>
        <v>10.648293642010943</v>
      </c>
      <c r="AI45" s="3"/>
      <c r="AJ45" s="162">
        <f t="shared" si="16"/>
        <v>4.0086355209395519</v>
      </c>
      <c r="AK45" s="3"/>
      <c r="AL45" s="161">
        <f t="shared" si="7"/>
        <v>683.31065636462415</v>
      </c>
      <c r="AM45" s="3"/>
      <c r="AN45" s="162">
        <f>INDEX('(2.2)_Forward_Price_Curve'!$L:$L,MATCH($AB45,'(2.2)_Forward_Price_Curve'!$C:$C,0),1)</f>
        <v>12.819166666666668</v>
      </c>
      <c r="AO45" s="3"/>
      <c r="AP45" s="162">
        <f t="shared" si="20"/>
        <v>99.40759538972398</v>
      </c>
      <c r="AQ45" s="3"/>
      <c r="AR45" s="162">
        <f t="shared" si="17"/>
        <v>3.2340360105694561</v>
      </c>
      <c r="AS45" s="162"/>
      <c r="AT45" s="161">
        <f t="shared" si="3"/>
        <v>483.8296002972366</v>
      </c>
      <c r="AU45" s="3"/>
      <c r="AV45" s="161">
        <f t="shared" si="4"/>
        <v>1765.6413433478476</v>
      </c>
      <c r="AW45" s="299"/>
      <c r="AX45" s="163">
        <f t="shared" si="8"/>
        <v>2249.4709436450844</v>
      </c>
      <c r="AZ45" s="154">
        <f>+IF(AZ44&gt;$G$13+$G$14,XX,AZ44+1)</f>
        <v>2026</v>
      </c>
      <c r="BA45" s="124"/>
      <c r="BB45" s="162">
        <f t="shared" si="18"/>
        <v>90.445610490094737</v>
      </c>
      <c r="BC45" s="3"/>
      <c r="BD45" s="162">
        <f t="shared" si="19"/>
        <v>5.9555994818873588</v>
      </c>
      <c r="BE45" s="3"/>
      <c r="BF45" s="161">
        <f t="shared" si="9"/>
        <v>199.48105606738756</v>
      </c>
      <c r="BG45" s="3"/>
      <c r="BH45" s="165"/>
    </row>
    <row r="46" spans="2:60" ht="12">
      <c r="B46" s="2"/>
      <c r="C46" s="6">
        <f>+IF(C45&gt;$G$13+$G$14,XX,C45+1)</f>
        <v>2027</v>
      </c>
      <c r="D46" s="6"/>
      <c r="E46" s="292">
        <f>+INDEX('(2.2)_Forward_Price_Curve'!$R:$R,MATCH($C46,'(2.2)_Forward_Price_Curve'!C:C,0))</f>
        <v>1.9E-2</v>
      </c>
      <c r="F46" s="6"/>
      <c r="G46" s="20">
        <f t="shared" si="10"/>
        <v>17202</v>
      </c>
      <c r="H46" s="6"/>
      <c r="I46" s="30">
        <f t="shared" si="11"/>
        <v>245.74877873762432</v>
      </c>
      <c r="J46" s="6"/>
      <c r="K46" s="30">
        <f t="shared" si="12"/>
        <v>0</v>
      </c>
      <c r="L46" s="6"/>
      <c r="M46" s="30">
        <f t="shared" si="13"/>
        <v>0</v>
      </c>
      <c r="N46" s="6"/>
      <c r="O46" s="295"/>
      <c r="P46" s="6"/>
      <c r="Q46" s="30"/>
      <c r="R46" s="6"/>
      <c r="S46" s="20">
        <f t="shared" si="5"/>
        <v>1032.1448706980223</v>
      </c>
      <c r="T46" s="6"/>
      <c r="U46" s="20">
        <f t="shared" si="0"/>
        <v>2290.339395002668</v>
      </c>
      <c r="V46" s="6"/>
      <c r="W46" s="20">
        <f t="shared" si="1"/>
        <v>-1258.1945243046457</v>
      </c>
      <c r="X46" s="6"/>
      <c r="Y46" s="296">
        <f t="shared" si="6"/>
        <v>-73.142339513117406</v>
      </c>
      <c r="Z46" s="255"/>
      <c r="AB46" s="154">
        <f>+IF(AB45&gt;$G$13+$G$14,XX,AB45+1)</f>
        <v>2027</v>
      </c>
      <c r="AC46" s="124"/>
      <c r="AD46" s="159">
        <f t="shared" si="2"/>
        <v>17202</v>
      </c>
      <c r="AE46" s="3"/>
      <c r="AF46" s="162">
        <f t="shared" si="14"/>
        <v>144.37632091303493</v>
      </c>
      <c r="AG46" s="3"/>
      <c r="AH46" s="162">
        <f t="shared" si="15"/>
        <v>10.850611221209149</v>
      </c>
      <c r="AI46" s="3"/>
      <c r="AJ46" s="162">
        <f t="shared" si="16"/>
        <v>4.0847995958374028</v>
      </c>
      <c r="AK46" s="3"/>
      <c r="AL46" s="161">
        <f t="shared" si="7"/>
        <v>696.29355883555183</v>
      </c>
      <c r="AM46" s="3"/>
      <c r="AN46" s="162">
        <f>INDEX('(2.2)_Forward_Price_Curve'!$L:$L,MATCH($AB46,'(2.2)_Forward_Price_Curve'!$C:$C,0),1)</f>
        <v>13.063749999999999</v>
      </c>
      <c r="AO46" s="3"/>
      <c r="AP46" s="162">
        <f t="shared" si="20"/>
        <v>101.18754441253029</v>
      </c>
      <c r="AQ46" s="3"/>
      <c r="AR46" s="162">
        <f t="shared" si="17"/>
        <v>3.2954826947702753</v>
      </c>
      <c r="AS46" s="162"/>
      <c r="AT46" s="161">
        <f t="shared" si="3"/>
        <v>493.02236270288392</v>
      </c>
      <c r="AU46" s="3"/>
      <c r="AV46" s="161">
        <f t="shared" si="4"/>
        <v>1797.3170322997842</v>
      </c>
      <c r="AW46" s="299"/>
      <c r="AX46" s="163">
        <f t="shared" si="8"/>
        <v>2290.339395002668</v>
      </c>
      <c r="AZ46" s="154">
        <f>+IF(AZ45&gt;$G$13+$G$14,XX,AZ45+1)</f>
        <v>2027</v>
      </c>
      <c r="BA46" s="124"/>
      <c r="BB46" s="162">
        <f t="shared" si="18"/>
        <v>92.164077089406533</v>
      </c>
      <c r="BC46" s="3"/>
      <c r="BD46" s="162">
        <f t="shared" si="19"/>
        <v>6.0687558720432184</v>
      </c>
      <c r="BE46" s="3"/>
      <c r="BF46" s="161">
        <f t="shared" si="9"/>
        <v>203.27119613266788</v>
      </c>
      <c r="BG46" s="3"/>
      <c r="BH46" s="165"/>
    </row>
    <row r="47" spans="2:60" ht="12">
      <c r="B47" s="2"/>
      <c r="C47" s="6">
        <f>+IF(C46&gt;$G$13+$G$14,XX,C46+1)</f>
        <v>2028</v>
      </c>
      <c r="D47" s="6"/>
      <c r="E47" s="292">
        <f>+INDEX('(2.2)_Forward_Price_Curve'!$R:$R,MATCH($C47,'(2.2)_Forward_Price_Curve'!C:C,0))</f>
        <v>1.9E-2</v>
      </c>
      <c r="F47" s="6"/>
      <c r="G47" s="20">
        <f t="shared" si="10"/>
        <v>17202</v>
      </c>
      <c r="H47" s="6"/>
      <c r="I47" s="30">
        <f t="shared" si="11"/>
        <v>250.41800553363916</v>
      </c>
      <c r="J47" s="6"/>
      <c r="K47" s="30">
        <f t="shared" si="12"/>
        <v>0</v>
      </c>
      <c r="L47" s="6"/>
      <c r="M47" s="30">
        <f t="shared" si="13"/>
        <v>0</v>
      </c>
      <c r="N47" s="6"/>
      <c r="O47" s="295"/>
      <c r="P47" s="6"/>
      <c r="Q47" s="30"/>
      <c r="R47" s="6"/>
      <c r="S47" s="20">
        <f t="shared" si="5"/>
        <v>1051.7556232412844</v>
      </c>
      <c r="T47" s="6"/>
      <c r="U47" s="20">
        <f t="shared" si="0"/>
        <v>2331.8198823571993</v>
      </c>
      <c r="V47" s="6"/>
      <c r="W47" s="20">
        <f t="shared" si="1"/>
        <v>-1280.0642591159149</v>
      </c>
      <c r="X47" s="6"/>
      <c r="Y47" s="296">
        <f t="shared" si="6"/>
        <v>-74.413687891868079</v>
      </c>
      <c r="Z47" s="255"/>
      <c r="AB47" s="154">
        <f>+IF(AB46&gt;$G$13+$G$14,XX,AB46+1)</f>
        <v>2028</v>
      </c>
      <c r="AC47" s="124"/>
      <c r="AD47" s="159">
        <f t="shared" si="2"/>
        <v>17202</v>
      </c>
      <c r="AE47" s="3"/>
      <c r="AF47" s="162">
        <f t="shared" si="14"/>
        <v>147.11947101038257</v>
      </c>
      <c r="AG47" s="3"/>
      <c r="AH47" s="162">
        <f t="shared" si="15"/>
        <v>11.056772834412122</v>
      </c>
      <c r="AI47" s="3"/>
      <c r="AJ47" s="162">
        <f t="shared" si="16"/>
        <v>4.1624107881583132</v>
      </c>
      <c r="AK47" s="3"/>
      <c r="AL47" s="161">
        <f t="shared" si="7"/>
        <v>709.52313645342736</v>
      </c>
      <c r="AM47" s="3"/>
      <c r="AN47" s="162">
        <f>INDEX('(2.2)_Forward_Price_Curve'!$L:$L,MATCH($AB47,'(2.2)_Forward_Price_Curve'!$C:$C,0),1)</f>
        <v>13.311666666666667</v>
      </c>
      <c r="AO47" s="3"/>
      <c r="AP47" s="162">
        <f t="shared" si="20"/>
        <v>102.99175168436977</v>
      </c>
      <c r="AQ47" s="3"/>
      <c r="AR47" s="162">
        <f t="shared" si="17"/>
        <v>3.3580968659709103</v>
      </c>
      <c r="AS47" s="162"/>
      <c r="AT47" s="161">
        <f t="shared" si="3"/>
        <v>502.38978759423878</v>
      </c>
      <c r="AU47" s="3"/>
      <c r="AV47" s="161">
        <f t="shared" si="4"/>
        <v>1829.4300947629604</v>
      </c>
      <c r="AW47" s="299"/>
      <c r="AX47" s="163">
        <f t="shared" si="8"/>
        <v>2331.8198823571993</v>
      </c>
      <c r="AZ47" s="154">
        <f>+IF(AZ46&gt;$G$13+$G$14,XX,AZ46+1)</f>
        <v>2028</v>
      </c>
      <c r="BA47" s="124"/>
      <c r="BB47" s="162">
        <f t="shared" si="18"/>
        <v>93.915194554105241</v>
      </c>
      <c r="BC47" s="3"/>
      <c r="BD47" s="162">
        <f t="shared" si="19"/>
        <v>6.184062233612039</v>
      </c>
      <c r="BE47" s="3"/>
      <c r="BF47" s="161">
        <f t="shared" si="9"/>
        <v>207.13334885918854</v>
      </c>
      <c r="BG47" s="3"/>
      <c r="BH47" s="165"/>
    </row>
    <row r="48" spans="2:60" ht="12">
      <c r="B48" s="2"/>
      <c r="C48" s="6">
        <f>+IF(C47&gt;$G$13+$G$14,XX,C47+1)</f>
        <v>2029</v>
      </c>
      <c r="D48" s="6"/>
      <c r="E48" s="292">
        <f>+INDEX('(2.2)_Forward_Price_Curve'!$R:$R,MATCH($C48,'(2.2)_Forward_Price_Curve'!C:C,0))</f>
        <v>1.7999999999999999E-2</v>
      </c>
      <c r="F48" s="6"/>
      <c r="G48" s="20">
        <f t="shared" si="10"/>
        <v>17202</v>
      </c>
      <c r="H48" s="6"/>
      <c r="I48" s="30">
        <f t="shared" si="11"/>
        <v>254.92552963324468</v>
      </c>
      <c r="J48" s="6"/>
      <c r="K48" s="30">
        <f t="shared" si="12"/>
        <v>0</v>
      </c>
      <c r="L48" s="6"/>
      <c r="M48" s="30">
        <f t="shared" si="13"/>
        <v>0</v>
      </c>
      <c r="N48" s="6"/>
      <c r="O48" s="295"/>
      <c r="P48" s="6"/>
      <c r="Q48" s="30"/>
      <c r="R48" s="6"/>
      <c r="S48" s="20">
        <f t="shared" si="5"/>
        <v>1070.6872244596277</v>
      </c>
      <c r="T48" s="6"/>
      <c r="U48" s="20">
        <f t="shared" si="0"/>
        <v>2373.6178261131663</v>
      </c>
      <c r="V48" s="6"/>
      <c r="W48" s="20">
        <f t="shared" si="1"/>
        <v>-1302.9306016535386</v>
      </c>
      <c r="X48" s="6"/>
      <c r="Y48" s="296">
        <f t="shared" si="6"/>
        <v>-75.74297184359601</v>
      </c>
      <c r="Z48" s="255"/>
      <c r="AB48" s="154">
        <f>+IF(AB47&gt;$G$13+$G$14,XX,AB47+1)</f>
        <v>2029</v>
      </c>
      <c r="AC48" s="124"/>
      <c r="AD48" s="159">
        <f t="shared" si="2"/>
        <v>17202</v>
      </c>
      <c r="AE48" s="3"/>
      <c r="AF48" s="162">
        <f t="shared" si="14"/>
        <v>149.76762148856946</v>
      </c>
      <c r="AG48" s="3"/>
      <c r="AH48" s="162">
        <f t="shared" si="15"/>
        <v>11.25579474543154</v>
      </c>
      <c r="AI48" s="3"/>
      <c r="AJ48" s="162">
        <f t="shared" si="16"/>
        <v>4.2373341823451627</v>
      </c>
      <c r="AK48" s="3"/>
      <c r="AL48" s="161">
        <f t="shared" si="7"/>
        <v>722.2945529095889</v>
      </c>
      <c r="AM48" s="3"/>
      <c r="AN48" s="162">
        <f>INDEX('(2.2)_Forward_Price_Curve'!$L:$L,MATCH($AB48,'(2.2)_Forward_Price_Curve'!$C:$C,0),1)</f>
        <v>13.565833333333336</v>
      </c>
      <c r="AO48" s="3"/>
      <c r="AP48" s="162">
        <f t="shared" si="20"/>
        <v>104.83544078436273</v>
      </c>
      <c r="AQ48" s="3"/>
      <c r="AR48" s="162">
        <f t="shared" si="17"/>
        <v>3.4185426095583868</v>
      </c>
      <c r="AS48" s="162"/>
      <c r="AT48" s="161">
        <f t="shared" si="3"/>
        <v>511.43280377093492</v>
      </c>
      <c r="AU48" s="3"/>
      <c r="AV48" s="161">
        <f t="shared" si="4"/>
        <v>1862.1850223422312</v>
      </c>
      <c r="AW48" s="299"/>
      <c r="AX48" s="163">
        <f t="shared" si="8"/>
        <v>2373.6178261131663</v>
      </c>
      <c r="AZ48" s="154">
        <f>+IF(AZ47&gt;$G$13+$G$14,XX,AZ47+1)</f>
        <v>2029</v>
      </c>
      <c r="BA48" s="124"/>
      <c r="BB48" s="162">
        <f t="shared" si="18"/>
        <v>95.605668056079139</v>
      </c>
      <c r="BC48" s="3"/>
      <c r="BD48" s="162">
        <f t="shared" si="19"/>
        <v>6.2953753538170556</v>
      </c>
      <c r="BE48" s="3"/>
      <c r="BF48" s="161">
        <f t="shared" si="9"/>
        <v>210.86174913865395</v>
      </c>
      <c r="BG48" s="3"/>
      <c r="BH48" s="165"/>
    </row>
    <row r="49" spans="2:60" ht="12">
      <c r="B49" s="2"/>
      <c r="C49" s="6">
        <f>+IF(C48&gt;$G$13+$G$14,XX,C48+1)</f>
        <v>2030</v>
      </c>
      <c r="D49" s="6"/>
      <c r="E49" s="292">
        <f>+INDEX('(2.2)_Forward_Price_Curve'!$R:$R,MATCH($C49,'(2.2)_Forward_Price_Curve'!C:C,0))</f>
        <v>1.7999999999999999E-2</v>
      </c>
      <c r="F49" s="6"/>
      <c r="G49" s="20">
        <f t="shared" si="10"/>
        <v>17202</v>
      </c>
      <c r="H49" s="6"/>
      <c r="I49" s="30">
        <f t="shared" si="11"/>
        <v>259.51418916664306</v>
      </c>
      <c r="J49" s="6"/>
      <c r="K49" s="30">
        <f t="shared" si="12"/>
        <v>0</v>
      </c>
      <c r="L49" s="6"/>
      <c r="M49" s="30">
        <f t="shared" si="13"/>
        <v>0</v>
      </c>
      <c r="N49" s="6"/>
      <c r="O49" s="295"/>
      <c r="P49" s="6"/>
      <c r="Q49" s="30"/>
      <c r="R49" s="6"/>
      <c r="S49" s="20">
        <f t="shared" si="5"/>
        <v>1089.959594499901</v>
      </c>
      <c r="T49" s="6"/>
      <c r="U49" s="20">
        <f t="shared" si="0"/>
        <v>2415.9613199303485</v>
      </c>
      <c r="V49" s="6"/>
      <c r="W49" s="20">
        <f t="shared" si="1"/>
        <v>-1326.0017254304476</v>
      </c>
      <c r="X49" s="6"/>
      <c r="Y49" s="296">
        <f t="shared" si="6"/>
        <v>-77.084160297084509</v>
      </c>
      <c r="Z49" s="255"/>
      <c r="AB49" s="154">
        <f>+IF(AB48&gt;$G$13+$G$14,XX,AB48+1)</f>
        <v>2030</v>
      </c>
      <c r="AC49" s="124"/>
      <c r="AD49" s="159">
        <f t="shared" si="2"/>
        <v>17202</v>
      </c>
      <c r="AE49" s="3"/>
      <c r="AF49" s="162">
        <f t="shared" si="14"/>
        <v>152.4634386753637</v>
      </c>
      <c r="AG49" s="3"/>
      <c r="AH49" s="162">
        <f t="shared" si="15"/>
        <v>11.458399050849309</v>
      </c>
      <c r="AI49" s="3"/>
      <c r="AJ49" s="162">
        <f t="shared" si="16"/>
        <v>4.3136061976273758</v>
      </c>
      <c r="AK49" s="3"/>
      <c r="AL49" s="161">
        <f t="shared" si="7"/>
        <v>735.29585486196163</v>
      </c>
      <c r="AM49" s="3"/>
      <c r="AN49" s="162">
        <f>INDEX('(2.2)_Forward_Price_Curve'!$L:$L,MATCH($AB49,'(2.2)_Forward_Price_Curve'!$C:$C,0),1)</f>
        <v>13.822083333333332</v>
      </c>
      <c r="AO49" s="3"/>
      <c r="AP49" s="162">
        <f t="shared" si="20"/>
        <v>106.70029367878502</v>
      </c>
      <c r="AQ49" s="3"/>
      <c r="AR49" s="162">
        <f t="shared" si="17"/>
        <v>3.4800763765304379</v>
      </c>
      <c r="AS49" s="162"/>
      <c r="AT49" s="161">
        <f t="shared" si="3"/>
        <v>520.63859423881195</v>
      </c>
      <c r="AU49" s="3"/>
      <c r="AV49" s="161">
        <f t="shared" si="4"/>
        <v>1895.3227256915363</v>
      </c>
      <c r="AW49" s="299"/>
      <c r="AX49" s="163">
        <f t="shared" si="8"/>
        <v>2415.9613199303485</v>
      </c>
      <c r="AZ49" s="154">
        <f>+IF(AZ48&gt;$G$13+$G$14,XX,AZ48+1)</f>
        <v>2030</v>
      </c>
      <c r="BA49" s="124"/>
      <c r="BB49" s="162">
        <f t="shared" si="18"/>
        <v>97.326570081088562</v>
      </c>
      <c r="BC49" s="3"/>
      <c r="BD49" s="162">
        <f t="shared" si="19"/>
        <v>6.408692110185763</v>
      </c>
      <c r="BE49" s="3"/>
      <c r="BF49" s="161">
        <f t="shared" si="9"/>
        <v>214.65726062314974</v>
      </c>
      <c r="BG49" s="3"/>
      <c r="BH49" s="165"/>
    </row>
    <row r="50" spans="2:60" ht="12">
      <c r="B50" s="2"/>
      <c r="C50" s="6">
        <f>+IF(C49&gt;$G$13+$G$14,XX,C49+1)</f>
        <v>2031</v>
      </c>
      <c r="D50" s="6"/>
      <c r="E50" s="292">
        <f>+INDEX('(2.2)_Forward_Price_Curve'!$R:$R,MATCH($C50,'(2.2)_Forward_Price_Curve'!C:C,0))</f>
        <v>1.7999999999999999E-2</v>
      </c>
      <c r="F50" s="6"/>
      <c r="G50" s="20">
        <f t="shared" si="10"/>
        <v>17202</v>
      </c>
      <c r="H50" s="6"/>
      <c r="I50" s="30">
        <f t="shared" si="11"/>
        <v>264.18544457164262</v>
      </c>
      <c r="J50" s="6"/>
      <c r="K50" s="30">
        <f t="shared" si="12"/>
        <v>0</v>
      </c>
      <c r="L50" s="6"/>
      <c r="M50" s="30">
        <f t="shared" si="13"/>
        <v>0</v>
      </c>
      <c r="N50" s="6"/>
      <c r="O50" s="295"/>
      <c r="P50" s="6"/>
      <c r="Q50" s="30"/>
      <c r="R50" s="6"/>
      <c r="S50" s="20">
        <f t="shared" si="5"/>
        <v>1109.5788672008991</v>
      </c>
      <c r="T50" s="6"/>
      <c r="U50" s="20">
        <f t="shared" si="0"/>
        <v>2459.3241518451587</v>
      </c>
      <c r="V50" s="6"/>
      <c r="W50" s="20">
        <f t="shared" si="1"/>
        <v>-1349.7452846442595</v>
      </c>
      <c r="X50" s="6"/>
      <c r="Y50" s="296">
        <f t="shared" si="6"/>
        <v>-78.464439288702451</v>
      </c>
      <c r="Z50" s="255"/>
      <c r="AB50" s="154">
        <f>+IF(AB49&gt;$G$13+$G$14,XX,AB49+1)</f>
        <v>2031</v>
      </c>
      <c r="AC50" s="124"/>
      <c r="AD50" s="159">
        <f t="shared" si="2"/>
        <v>17202</v>
      </c>
      <c r="AE50" s="3"/>
      <c r="AF50" s="162">
        <f t="shared" si="14"/>
        <v>155.20778057152026</v>
      </c>
      <c r="AG50" s="3"/>
      <c r="AH50" s="162">
        <f t="shared" si="15"/>
        <v>11.664650233764597</v>
      </c>
      <c r="AI50" s="3"/>
      <c r="AJ50" s="162">
        <f t="shared" si="16"/>
        <v>4.3912511091846689</v>
      </c>
      <c r="AK50" s="3"/>
      <c r="AL50" s="161">
        <f t="shared" si="7"/>
        <v>748.53118024947707</v>
      </c>
      <c r="AM50" s="3"/>
      <c r="AN50" s="162">
        <f>INDEX('(2.2)_Forward_Price_Curve'!$L:$L,MATCH($AB50,'(2.2)_Forward_Price_Curve'!$C:$C,0),1)</f>
        <v>14.084999999999999</v>
      </c>
      <c r="AO50" s="3"/>
      <c r="AP50" s="162">
        <f t="shared" si="20"/>
        <v>108.61366307127358</v>
      </c>
      <c r="AQ50" s="3"/>
      <c r="AR50" s="162">
        <f t="shared" si="17"/>
        <v>3.5427177513079857</v>
      </c>
      <c r="AS50" s="162"/>
      <c r="AT50" s="161">
        <f t="shared" si="3"/>
        <v>530.01008893511062</v>
      </c>
      <c r="AU50" s="3"/>
      <c r="AV50" s="161">
        <f t="shared" si="4"/>
        <v>1929.3140629100481</v>
      </c>
      <c r="AW50" s="299"/>
      <c r="AX50" s="163">
        <f t="shared" si="8"/>
        <v>2459.3241518451587</v>
      </c>
      <c r="AZ50" s="154">
        <f>+IF(AZ49&gt;$G$13+$G$14,XX,AZ49+1)</f>
        <v>2031</v>
      </c>
      <c r="BA50" s="124"/>
      <c r="BB50" s="162">
        <f t="shared" si="18"/>
        <v>99.078448342548157</v>
      </c>
      <c r="BC50" s="3"/>
      <c r="BD50" s="162">
        <f t="shared" si="19"/>
        <v>6.5240485681691069</v>
      </c>
      <c r="BE50" s="3"/>
      <c r="BF50" s="161">
        <f t="shared" si="9"/>
        <v>218.52109131436643</v>
      </c>
      <c r="BG50" s="3"/>
      <c r="BH50" s="165"/>
    </row>
    <row r="51" spans="2:60" ht="12">
      <c r="B51" s="2"/>
      <c r="C51" s="6">
        <f>+IF(C50&gt;$G$13+$G$14,XX,C50+1)</f>
        <v>2032</v>
      </c>
      <c r="D51" s="6"/>
      <c r="E51" s="292">
        <f>+INDEX('(2.2)_Forward_Price_Curve'!$R:$R,MATCH($C51,'(2.2)_Forward_Price_Curve'!C:C,0))</f>
        <v>1.7999999999999999E-2</v>
      </c>
      <c r="F51" s="6"/>
      <c r="G51" s="20">
        <f t="shared" si="10"/>
        <v>17202</v>
      </c>
      <c r="H51" s="6"/>
      <c r="I51" s="30">
        <f t="shared" si="11"/>
        <v>268.94078257393221</v>
      </c>
      <c r="J51" s="6"/>
      <c r="K51" s="30">
        <f t="shared" si="12"/>
        <v>0</v>
      </c>
      <c r="L51" s="6"/>
      <c r="M51" s="30">
        <f t="shared" si="13"/>
        <v>0</v>
      </c>
      <c r="N51" s="6"/>
      <c r="O51" s="295"/>
      <c r="P51" s="6"/>
      <c r="Q51" s="30"/>
      <c r="R51" s="6"/>
      <c r="S51" s="20">
        <f t="shared" si="5"/>
        <v>1129.5512868105154</v>
      </c>
      <c r="T51" s="6"/>
      <c r="U51" s="20">
        <f t="shared" si="0"/>
        <v>2503.3445183890749</v>
      </c>
      <c r="V51" s="6"/>
      <c r="W51" s="20">
        <f t="shared" si="1"/>
        <v>-1373.7932315785595</v>
      </c>
      <c r="X51" s="6"/>
      <c r="Y51" s="296">
        <f t="shared" si="6"/>
        <v>-79.862413183267023</v>
      </c>
      <c r="Z51" s="255"/>
      <c r="AB51" s="154">
        <f>+IF(AB50&gt;$G$13+$G$14,XX,AB50+1)</f>
        <v>2032</v>
      </c>
      <c r="AC51" s="124"/>
      <c r="AD51" s="159">
        <f t="shared" si="2"/>
        <v>17202</v>
      </c>
      <c r="AE51" s="3"/>
      <c r="AF51" s="162">
        <f t="shared" si="14"/>
        <v>158.00152062180763</v>
      </c>
      <c r="AG51" s="3"/>
      <c r="AH51" s="162">
        <f t="shared" si="15"/>
        <v>11.874613937972359</v>
      </c>
      <c r="AI51" s="3"/>
      <c r="AJ51" s="162">
        <f t="shared" si="16"/>
        <v>4.4702936291499933</v>
      </c>
      <c r="AK51" s="3"/>
      <c r="AL51" s="161">
        <f t="shared" si="7"/>
        <v>762.00474149396757</v>
      </c>
      <c r="AM51" s="3"/>
      <c r="AN51" s="162">
        <f>INDEX('(2.2)_Forward_Price_Curve'!$L:$L,MATCH($AB51,'(2.2)_Forward_Price_Curve'!$C:$C,0),1)</f>
        <v>14.351666666666667</v>
      </c>
      <c r="AO51" s="3"/>
      <c r="AP51" s="162">
        <f t="shared" si="20"/>
        <v>110.55432299392444</v>
      </c>
      <c r="AQ51" s="3"/>
      <c r="AR51" s="162">
        <f t="shared" si="17"/>
        <v>3.6064866708315297</v>
      </c>
      <c r="AS51" s="162"/>
      <c r="AT51" s="161">
        <f t="shared" si="3"/>
        <v>539.55027053594256</v>
      </c>
      <c r="AU51" s="3"/>
      <c r="AV51" s="161">
        <f t="shared" si="4"/>
        <v>1963.7942478531322</v>
      </c>
      <c r="AW51" s="299"/>
      <c r="AX51" s="163">
        <f t="shared" si="8"/>
        <v>2503.3445183890749</v>
      </c>
      <c r="AZ51" s="154">
        <f>+IF(AZ50&gt;$G$13+$G$14,XX,AZ50+1)</f>
        <v>2032</v>
      </c>
      <c r="BA51" s="124"/>
      <c r="BB51" s="162">
        <f t="shared" si="18"/>
        <v>100.86186041271402</v>
      </c>
      <c r="BC51" s="3"/>
      <c r="BD51" s="162">
        <f t="shared" si="19"/>
        <v>6.6414814423961506</v>
      </c>
      <c r="BE51" s="3"/>
      <c r="BF51" s="161">
        <f t="shared" si="9"/>
        <v>222.45447095802501</v>
      </c>
      <c r="BG51" s="3"/>
      <c r="BH51" s="165"/>
    </row>
    <row r="52" spans="2:60" ht="12">
      <c r="B52" s="2"/>
      <c r="C52" s="6">
        <f>+IF(C51&gt;$G$13+$G$14,XX,C51+1)</f>
        <v>2033</v>
      </c>
      <c r="D52" s="6"/>
      <c r="E52" s="292">
        <f>+INDEX('(2.2)_Forward_Price_Curve'!$R:$R,MATCH($C52,'(2.2)_Forward_Price_Curve'!C:C,0))</f>
        <v>1.9E-2</v>
      </c>
      <c r="F52" s="6"/>
      <c r="G52" s="20">
        <f t="shared" si="10"/>
        <v>17202</v>
      </c>
      <c r="H52" s="6"/>
      <c r="I52" s="30">
        <f t="shared" si="11"/>
        <v>274.05065744283689</v>
      </c>
      <c r="J52" s="6"/>
      <c r="K52" s="30">
        <f t="shared" si="12"/>
        <v>0</v>
      </c>
      <c r="L52" s="6"/>
      <c r="M52" s="30">
        <f t="shared" si="13"/>
        <v>0</v>
      </c>
      <c r="N52" s="6"/>
      <c r="O52" s="295"/>
      <c r="P52" s="6"/>
      <c r="Q52" s="30"/>
      <c r="R52" s="6"/>
      <c r="S52" s="20">
        <f t="shared" si="5"/>
        <v>1151.0127612599149</v>
      </c>
      <c r="T52" s="6"/>
      <c r="U52" s="20">
        <f t="shared" si="0"/>
        <v>2547.3222921013721</v>
      </c>
      <c r="V52" s="6"/>
      <c r="W52" s="20">
        <f t="shared" si="1"/>
        <v>-1396.3095308414572</v>
      </c>
      <c r="X52" s="6"/>
      <c r="Y52" s="296">
        <f t="shared" si="6"/>
        <v>-81.171348147974484</v>
      </c>
      <c r="Z52" s="255"/>
      <c r="AB52" s="154">
        <f>+IF(AB51&gt;$G$13+$G$14,XX,AB51+1)</f>
        <v>2033</v>
      </c>
      <c r="AC52" s="124"/>
      <c r="AD52" s="159">
        <f t="shared" si="2"/>
        <v>17202</v>
      </c>
      <c r="AE52" s="3"/>
      <c r="AF52" s="162">
        <f t="shared" si="14"/>
        <v>161.00354951362195</v>
      </c>
      <c r="AG52" s="3"/>
      <c r="AH52" s="162">
        <f t="shared" si="15"/>
        <v>12.100231602793833</v>
      </c>
      <c r="AI52" s="3"/>
      <c r="AJ52" s="162">
        <f t="shared" si="16"/>
        <v>4.5552292081038424</v>
      </c>
      <c r="AK52" s="3"/>
      <c r="AL52" s="161">
        <f t="shared" si="7"/>
        <v>776.48283158235279</v>
      </c>
      <c r="AM52" s="3"/>
      <c r="AN52" s="162">
        <f>INDEX('(2.2)_Forward_Price_Curve'!$L:$L,MATCH($AB52,'(2.2)_Forward_Price_Curve'!$C:$C,0),1)</f>
        <v>14.610833333333332</v>
      </c>
      <c r="AO52" s="3"/>
      <c r="AP52" s="162">
        <f t="shared" si="20"/>
        <v>112.44640424503439</v>
      </c>
      <c r="AQ52" s="3"/>
      <c r="AR52" s="162">
        <f t="shared" si="17"/>
        <v>3.6750099175773285</v>
      </c>
      <c r="AS52" s="162"/>
      <c r="AT52" s="161">
        <f t="shared" si="3"/>
        <v>549.80172567612533</v>
      </c>
      <c r="AU52" s="3"/>
      <c r="AV52" s="161">
        <f t="shared" si="4"/>
        <v>1997.5205664252467</v>
      </c>
      <c r="AW52" s="299"/>
      <c r="AX52" s="163">
        <f t="shared" si="8"/>
        <v>2547.3222921013721</v>
      </c>
      <c r="AZ52" s="154">
        <f>+IF(AZ51&gt;$G$13+$G$14,XX,AZ51+1)</f>
        <v>2033</v>
      </c>
      <c r="BA52" s="124"/>
      <c r="BB52" s="162">
        <f t="shared" si="18"/>
        <v>102.77823576055557</v>
      </c>
      <c r="BC52" s="3"/>
      <c r="BD52" s="162">
        <f t="shared" si="19"/>
        <v>6.7676695898016765</v>
      </c>
      <c r="BE52" s="3"/>
      <c r="BF52" s="161">
        <f>(BB52+BD52)*$BD$11</f>
        <v>226.68110590622746</v>
      </c>
      <c r="BG52" s="3"/>
      <c r="BH52" s="165"/>
    </row>
    <row r="53" spans="2:60" ht="12">
      <c r="B53" s="2"/>
      <c r="C53" s="6">
        <f>+IF(C52&gt;$G$13+$G$14,XX,C52+1)</f>
        <v>2034</v>
      </c>
      <c r="D53" s="6"/>
      <c r="E53" s="292">
        <f>+INDEX('(2.2)_Forward_Price_Curve'!$R:$R,MATCH($C53,'(2.2)_Forward_Price_Curve'!C:C,0))</f>
        <v>1.7999999999999999E-2</v>
      </c>
      <c r="F53" s="6"/>
      <c r="G53" s="20">
        <f t="shared" si="10"/>
        <v>17202</v>
      </c>
      <c r="H53" s="6"/>
      <c r="I53" s="30">
        <f t="shared" si="11"/>
        <v>278.98356927680794</v>
      </c>
      <c r="J53" s="6"/>
      <c r="K53" s="30">
        <f t="shared" si="12"/>
        <v>0</v>
      </c>
      <c r="L53" s="6"/>
      <c r="M53" s="30">
        <f t="shared" si="13"/>
        <v>0</v>
      </c>
      <c r="N53" s="6"/>
      <c r="O53" s="295"/>
      <c r="P53" s="6"/>
      <c r="Q53" s="30"/>
      <c r="R53" s="6"/>
      <c r="S53" s="20">
        <f t="shared" si="5"/>
        <v>1171.7309909625933</v>
      </c>
      <c r="T53" s="6"/>
      <c r="U53" s="20">
        <f t="shared" si="0"/>
        <v>2591.3236496320646</v>
      </c>
      <c r="V53" s="6"/>
      <c r="W53" s="20">
        <f t="shared" si="1"/>
        <v>-1419.5926586694713</v>
      </c>
      <c r="X53" s="6"/>
      <c r="Y53" s="296">
        <f t="shared" si="6"/>
        <v>-82.524860985319805</v>
      </c>
      <c r="Z53" s="255"/>
      <c r="AB53" s="154">
        <f>+IF(AB52&gt;$G$13+$G$14,XX,AB52+1)</f>
        <v>2034</v>
      </c>
      <c r="AC53" s="124"/>
      <c r="AD53" s="159">
        <f t="shared" si="2"/>
        <v>17202</v>
      </c>
      <c r="AE53" s="3"/>
      <c r="AF53" s="162">
        <f t="shared" si="14"/>
        <v>163.90161340486713</v>
      </c>
      <c r="AG53" s="3"/>
      <c r="AH53" s="162">
        <f t="shared" si="15"/>
        <v>12.318035771644123</v>
      </c>
      <c r="AI53" s="3"/>
      <c r="AJ53" s="162">
        <f t="shared" si="16"/>
        <v>4.637223333849712</v>
      </c>
      <c r="AK53" s="3"/>
      <c r="AL53" s="161">
        <f t="shared" si="7"/>
        <v>790.45952255083512</v>
      </c>
      <c r="AM53" s="3"/>
      <c r="AN53" s="162">
        <f>INDEX('(2.2)_Forward_Price_Curve'!$L:$L,MATCH($AB53,'(2.2)_Forward_Price_Curve'!$C:$C,0),1)</f>
        <v>14.875000000000002</v>
      </c>
      <c r="AO53" s="3"/>
      <c r="AP53" s="162">
        <f t="shared" si="20"/>
        <v>114.36286809212677</v>
      </c>
      <c r="AQ53" s="3"/>
      <c r="AR53" s="162">
        <f t="shared" si="17"/>
        <v>3.7411600960937204</v>
      </c>
      <c r="AS53" s="162"/>
      <c r="AT53" s="161">
        <f t="shared" si="3"/>
        <v>559.69815673829555</v>
      </c>
      <c r="AU53" s="3"/>
      <c r="AV53" s="161">
        <f t="shared" si="4"/>
        <v>2031.625492893769</v>
      </c>
      <c r="AW53" s="299"/>
      <c r="AX53" s="163">
        <f t="shared" si="8"/>
        <v>2591.3236496320646</v>
      </c>
      <c r="AZ53" s="154">
        <f>+IF(AZ52&gt;$G$13+$G$14,XX,AZ52+1)</f>
        <v>2034</v>
      </c>
      <c r="BA53" s="124"/>
      <c r="BB53" s="162">
        <f t="shared" si="18"/>
        <v>104.62824400424557</v>
      </c>
      <c r="BC53" s="3"/>
      <c r="BD53" s="162">
        <f t="shared" si="19"/>
        <v>6.8894876424181071</v>
      </c>
      <c r="BE53" s="3"/>
      <c r="BF53" s="161">
        <f>(BB53+BD53)*$BD$11</f>
        <v>230.76136581253954</v>
      </c>
      <c r="BG53" s="3"/>
      <c r="BH53" s="165"/>
    </row>
    <row r="54" spans="2:60" ht="12">
      <c r="B54" s="2"/>
      <c r="C54" s="6">
        <f>+IF(C53&gt;$G$13+$G$14,XX,C53+1)</f>
        <v>2035</v>
      </c>
      <c r="D54" s="6"/>
      <c r="E54" s="292">
        <f>+INDEX('(2.2)_Forward_Price_Curve'!$R:$R,MATCH($C54,'(2.2)_Forward_Price_Curve'!C:C,0))</f>
        <v>1.7999999999999999E-2</v>
      </c>
      <c r="F54" s="6"/>
      <c r="G54" s="20">
        <f t="shared" si="10"/>
        <v>17202</v>
      </c>
      <c r="H54" s="6"/>
      <c r="I54" s="30">
        <f t="shared" si="11"/>
        <v>284.00527352379049</v>
      </c>
      <c r="J54" s="6"/>
      <c r="K54" s="30">
        <f t="shared" si="12"/>
        <v>0</v>
      </c>
      <c r="L54" s="6"/>
      <c r="M54" s="30">
        <f t="shared" si="13"/>
        <v>0</v>
      </c>
      <c r="N54" s="6"/>
      <c r="O54" s="295"/>
      <c r="P54" s="6"/>
      <c r="Q54" s="30"/>
      <c r="R54" s="6"/>
      <c r="S54" s="20">
        <f t="shared" si="5"/>
        <v>1192.8221487999201</v>
      </c>
      <c r="T54" s="6"/>
      <c r="U54" s="20">
        <f t="shared" si="0"/>
        <v>2635.8355236903403</v>
      </c>
      <c r="V54" s="6"/>
      <c r="W54" s="20">
        <f t="shared" si="1"/>
        <v>-1443.0133748904202</v>
      </c>
      <c r="X54" s="6"/>
      <c r="Y54" s="296">
        <f t="shared" si="6"/>
        <v>-83.886372217789798</v>
      </c>
      <c r="Z54" s="255"/>
      <c r="AB54" s="154">
        <f>+IF(AB53&gt;$G$13+$G$14,XX,AB53+1)</f>
        <v>2035</v>
      </c>
      <c r="AC54" s="124"/>
      <c r="AD54" s="159">
        <f t="shared" si="2"/>
        <v>17202</v>
      </c>
      <c r="AE54" s="3"/>
      <c r="AF54" s="162">
        <f t="shared" si="14"/>
        <v>166.85184244615473</v>
      </c>
      <c r="AG54" s="3"/>
      <c r="AH54" s="162">
        <f t="shared" si="15"/>
        <v>12.539760415533717</v>
      </c>
      <c r="AI54" s="3"/>
      <c r="AJ54" s="162">
        <f t="shared" si="16"/>
        <v>4.7206933538590068</v>
      </c>
      <c r="AK54" s="3"/>
      <c r="AL54" s="161">
        <f t="shared" si="7"/>
        <v>804.68779395675006</v>
      </c>
      <c r="AM54" s="3"/>
      <c r="AN54" s="162">
        <f>INDEX('(2.2)_Forward_Price_Curve'!$L:$L,MATCH($AB54,'(2.2)_Forward_Price_Curve'!$C:$C,0),1)</f>
        <v>15.140833333333333</v>
      </c>
      <c r="AO54" s="3"/>
      <c r="AP54" s="162">
        <f t="shared" si="20"/>
        <v>116.29746345251931</v>
      </c>
      <c r="AQ54" s="3"/>
      <c r="AR54" s="162">
        <f t="shared" si="17"/>
        <v>3.8085009778234076</v>
      </c>
      <c r="AS54" s="162"/>
      <c r="AT54" s="161">
        <f t="shared" si="3"/>
        <v>569.77272355958485</v>
      </c>
      <c r="AU54" s="3"/>
      <c r="AV54" s="161">
        <f t="shared" si="4"/>
        <v>2066.0628001307555</v>
      </c>
      <c r="AW54" s="299"/>
      <c r="AX54" s="163">
        <f t="shared" si="8"/>
        <v>2635.8355236903403</v>
      </c>
      <c r="AZ54" s="154">
        <f>+IF(AZ53&gt;$G$13+$G$14,XX,AZ53+1)</f>
        <v>2035</v>
      </c>
      <c r="BA54" s="124"/>
      <c r="BB54" s="162">
        <f t="shared" si="18"/>
        <v>106.51155239632199</v>
      </c>
      <c r="BC54" s="3"/>
      <c r="BD54" s="162">
        <f t="shared" si="19"/>
        <v>7.0134984199816328</v>
      </c>
      <c r="BE54" s="3"/>
      <c r="BF54" s="161">
        <f>(BB54+BD54)*$BD$11</f>
        <v>234.91507039716524</v>
      </c>
      <c r="BG54" s="3"/>
      <c r="BH54" s="165"/>
    </row>
    <row r="55" spans="2:60" ht="12">
      <c r="B55" s="2"/>
      <c r="C55" s="6">
        <f>+IF(C54&gt;$G$13+$G$14,XX,C54+1)</f>
        <v>2036</v>
      </c>
      <c r="D55" s="6"/>
      <c r="E55" s="292">
        <f>+INDEX('(2.2)_Forward_Price_Curve'!$R:$R,MATCH($C55,'(2.2)_Forward_Price_Curve'!C:C,0))</f>
        <v>1.7999999999999999E-2</v>
      </c>
      <c r="F55" s="6"/>
      <c r="G55" s="20">
        <f t="shared" si="10"/>
        <v>17202</v>
      </c>
      <c r="H55" s="6"/>
      <c r="I55" s="30">
        <f t="shared" si="11"/>
        <v>289.11736844721872</v>
      </c>
      <c r="J55" s="6"/>
      <c r="K55" s="30">
        <f t="shared" si="12"/>
        <v>0</v>
      </c>
      <c r="L55" s="6"/>
      <c r="M55" s="30">
        <f t="shared" si="13"/>
        <v>0</v>
      </c>
      <c r="N55" s="6"/>
      <c r="O55" s="295"/>
      <c r="P55" s="6"/>
      <c r="Q55" s="30"/>
      <c r="R55" s="6"/>
      <c r="S55" s="20">
        <f t="shared" si="5"/>
        <v>1214.2929474783186</v>
      </c>
      <c r="T55" s="6"/>
      <c r="U55" s="20">
        <f t="shared" si="0"/>
        <v>2681.4363332123753</v>
      </c>
      <c r="V55" s="6"/>
      <c r="W55" s="20">
        <f t="shared" si="1"/>
        <v>-1467.1433857340567</v>
      </c>
      <c r="X55" s="6"/>
      <c r="Y55" s="296">
        <f t="shared" si="6"/>
        <v>-85.289116715152687</v>
      </c>
      <c r="Z55" s="255"/>
      <c r="AB55" s="154">
        <f>+IF(AB54&gt;$G$13+$G$14,XX,AB54+1)</f>
        <v>2036</v>
      </c>
      <c r="AC55" s="124"/>
      <c r="AD55" s="159">
        <f t="shared" si="2"/>
        <v>17202</v>
      </c>
      <c r="AE55" s="3"/>
      <c r="AF55" s="162">
        <f t="shared" si="14"/>
        <v>169.85517561018551</v>
      </c>
      <c r="AG55" s="3"/>
      <c r="AH55" s="162">
        <f t="shared" si="15"/>
        <v>12.765476103013324</v>
      </c>
      <c r="AI55" s="3"/>
      <c r="AJ55" s="162">
        <f t="shared" si="16"/>
        <v>4.8056658342284688</v>
      </c>
      <c r="AK55" s="3"/>
      <c r="AL55" s="161">
        <f t="shared" si="7"/>
        <v>819.17217424797172</v>
      </c>
      <c r="AM55" s="3"/>
      <c r="AN55" s="162">
        <f>INDEX('(2.2)_Forward_Price_Curve'!$L:$L,MATCH($AB55,'(2.2)_Forward_Price_Curve'!$C:$C,0),1)</f>
        <v>15.413750000000002</v>
      </c>
      <c r="AO55" s="3"/>
      <c r="AP55" s="162">
        <f t="shared" si="20"/>
        <v>118.28360759210733</v>
      </c>
      <c r="AQ55" s="3"/>
      <c r="AR55" s="162">
        <f t="shared" si="17"/>
        <v>3.8770539954242289</v>
      </c>
      <c r="AS55" s="162"/>
      <c r="AT55" s="161">
        <f t="shared" si="3"/>
        <v>580.02863258365744</v>
      </c>
      <c r="AU55" s="3"/>
      <c r="AV55" s="161">
        <f t="shared" si="4"/>
        <v>2101.407700628718</v>
      </c>
      <c r="AW55" s="299"/>
      <c r="AX55" s="163">
        <f t="shared" si="8"/>
        <v>2681.4363332123753</v>
      </c>
      <c r="AZ55" s="154">
        <f>+IF(AZ54&gt;$G$13+$G$14,XX,AZ54+1)</f>
        <v>2036</v>
      </c>
      <c r="BA55" s="124"/>
      <c r="BB55" s="162">
        <f t="shared" si="18"/>
        <v>108.42876033945579</v>
      </c>
      <c r="BC55" s="3"/>
      <c r="BD55" s="162">
        <f t="shared" si="19"/>
        <v>7.1397413915413024</v>
      </c>
      <c r="BE55" s="3"/>
      <c r="BF55" s="161">
        <f>(BB55+BD55)*$BD$11</f>
        <v>239.14354166431426</v>
      </c>
      <c r="BG55" s="3"/>
      <c r="BH55" s="165"/>
    </row>
    <row r="56" spans="2:60" ht="12">
      <c r="B56" s="2"/>
      <c r="C56" s="6">
        <f>+IF(C55&gt;$G$13+$G$14,XX,C55+1)</f>
        <v>2037</v>
      </c>
      <c r="D56" s="6"/>
      <c r="E56" s="292">
        <f>+INDEX('(2.2)_Forward_Price_Curve'!$R:$R,MATCH($C56,'(2.2)_Forward_Price_Curve'!C:C,0))</f>
        <v>1.7999999999999999E-2</v>
      </c>
      <c r="F56" s="6"/>
      <c r="G56" s="20">
        <f t="shared" si="10"/>
        <v>17202</v>
      </c>
      <c r="H56" s="6"/>
      <c r="I56" s="30">
        <f t="shared" si="11"/>
        <v>294.32148107926866</v>
      </c>
      <c r="J56" s="6"/>
      <c r="K56" s="30">
        <f t="shared" si="12"/>
        <v>0</v>
      </c>
      <c r="L56" s="6"/>
      <c r="M56" s="30">
        <f t="shared" si="13"/>
        <v>0</v>
      </c>
      <c r="N56" s="6"/>
      <c r="O56" s="295"/>
      <c r="P56" s="6"/>
      <c r="Q56" s="30"/>
      <c r="R56" s="6"/>
      <c r="S56" s="20">
        <f t="shared" si="5"/>
        <v>1236.1502205329284</v>
      </c>
      <c r="T56" s="6"/>
      <c r="U56" s="20">
        <f t="shared" si="0"/>
        <v>2729.7988792781925</v>
      </c>
      <c r="V56" s="6"/>
      <c r="W56" s="20">
        <f t="shared" si="1"/>
        <v>-1493.6486587452641</v>
      </c>
      <c r="X56" s="6"/>
      <c r="Y56" s="296">
        <f t="shared" si="6"/>
        <v>-86.829941794283471</v>
      </c>
      <c r="Z56" s="255"/>
      <c r="AB56" s="154">
        <f>+IF(AB55&gt;$G$13+$G$14,XX,AB55+1)</f>
        <v>2037</v>
      </c>
      <c r="AC56" s="124"/>
      <c r="AD56" s="159">
        <f t="shared" si="2"/>
        <v>17202</v>
      </c>
      <c r="AE56" s="3"/>
      <c r="AF56" s="162">
        <f t="shared" si="14"/>
        <v>172.91256877116885</v>
      </c>
      <c r="AG56" s="3"/>
      <c r="AH56" s="162">
        <f t="shared" si="15"/>
        <v>12.995254672867564</v>
      </c>
      <c r="AI56" s="3"/>
      <c r="AJ56" s="162">
        <f t="shared" si="16"/>
        <v>4.8921678192445812</v>
      </c>
      <c r="AK56" s="3"/>
      <c r="AL56" s="161">
        <f t="shared" si="7"/>
        <v>833.91727338443513</v>
      </c>
      <c r="AM56" s="3"/>
      <c r="AN56" s="162">
        <f>INDEX('(2.2)_Forward_Price_Curve'!$L:$L,MATCH($AB56,'(2.2)_Forward_Price_Curve'!$C:$C,0),1)</f>
        <v>15.707083333333335</v>
      </c>
      <c r="AO56" s="3"/>
      <c r="AP56" s="162">
        <f t="shared" si="20"/>
        <v>120.41833350702328</v>
      </c>
      <c r="AQ56" s="3"/>
      <c r="AR56" s="162">
        <f t="shared" si="17"/>
        <v>3.9468409673418652</v>
      </c>
      <c r="AS56" s="162"/>
      <c r="AT56" s="161">
        <f t="shared" si="3"/>
        <v>590.46914797016325</v>
      </c>
      <c r="AU56" s="3"/>
      <c r="AV56" s="161">
        <f t="shared" si="4"/>
        <v>2139.3297313080293</v>
      </c>
      <c r="AW56" s="299"/>
      <c r="AX56" s="163">
        <f t="shared" si="8"/>
        <v>2729.7988792781925</v>
      </c>
      <c r="AZ56" s="154">
        <f>+IF(AZ55&gt;$G$13+$G$14,XX,AZ55+1)</f>
        <v>2037</v>
      </c>
      <c r="BA56" s="124"/>
      <c r="BB56" s="162">
        <f t="shared" si="18"/>
        <v>110.38047802556599</v>
      </c>
      <c r="BC56" s="3"/>
      <c r="BD56" s="162">
        <f t="shared" si="19"/>
        <v>7.2682567365890458</v>
      </c>
      <c r="BE56" s="3"/>
      <c r="BF56" s="161">
        <f>(BB56+BD56)*$BD$11</f>
        <v>243.44812541427191</v>
      </c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29-year Nominal Levelized at 7.36%</v>
      </c>
      <c r="E58" s="178"/>
      <c r="F58" s="3"/>
      <c r="G58" s="20">
        <f>+-PMT($G$18,$G$14,NPV($G$18,G28:G56))</f>
        <v>17202.000000000022</v>
      </c>
      <c r="H58" s="6"/>
      <c r="I58" s="30">
        <f>+-PMT($G$18,$G$14,NPV($G$18,I28:I56))</f>
        <v>210.84084894148145</v>
      </c>
      <c r="J58" s="30"/>
      <c r="K58" s="30">
        <f>+-PMT($G$18,$G$14,NPV($G$18,K28:K56))</f>
        <v>0</v>
      </c>
      <c r="L58" s="6"/>
      <c r="M58" s="30">
        <f>+-PMT($G$18,$G$14,NPV($G$18,M28:M56))</f>
        <v>0</v>
      </c>
      <c r="N58" s="6"/>
      <c r="O58" s="30">
        <f>+-PMT($G$18,$G$14,NPV($G$18,O28:O56))</f>
        <v>0</v>
      </c>
      <c r="P58" s="6"/>
      <c r="Q58" s="30">
        <f>+-PMT($G$18,$G$14,NPV($G$18,Q28:Q56))</f>
        <v>0</v>
      </c>
      <c r="R58" s="6"/>
      <c r="S58" s="20">
        <f>+-PMT($G$18,$G$14,NPV($G$18,S28:S56))</f>
        <v>885.53156555422208</v>
      </c>
      <c r="T58" s="6"/>
      <c r="U58" s="20">
        <f>+-PMT($G$18,$G$14,NPV($G$18,U28:U56))</f>
        <v>2014.8542606002784</v>
      </c>
      <c r="V58" s="3"/>
      <c r="W58" s="20">
        <f>+-PMT($G$18,$G$14,NPV($G$18,W28:W56))</f>
        <v>-1129.3226950460569</v>
      </c>
      <c r="X58" s="3"/>
      <c r="Y58" s="296">
        <f>+-PMT($G$18,$G$14,NPV($G$18,Y28:Y56))</f>
        <v>-65.650662425651461</v>
      </c>
      <c r="Z58" s="255"/>
      <c r="AB58" s="2"/>
      <c r="AC58" s="3"/>
      <c r="AD58" s="159">
        <f>+-PMT($G$18,$G$14,NPV($G$18,AD28:AD56))</f>
        <v>17202.000000000022</v>
      </c>
      <c r="AE58" s="3"/>
      <c r="AF58" s="162">
        <f>+-PMT($G$18,$G$14,NPV($G$18,AF28:AF56))</f>
        <v>123.86806650564077</v>
      </c>
      <c r="AG58" s="3"/>
      <c r="AH58" s="162">
        <f>+-PMT($G$18,$G$14,NPV($G$18,AH28:AH56))</f>
        <v>9.3093121079402756</v>
      </c>
      <c r="AI58" s="3"/>
      <c r="AJ58" s="162">
        <f>+-PMT($G$18,$G$14,NPV($G$18,AJ28:AJ56))</f>
        <v>3.504565186310411</v>
      </c>
      <c r="AK58" s="3"/>
      <c r="AL58" s="161">
        <f>+-PMT($G$18,$G$14,NPV($G$18,AL28:AL56))</f>
        <v>597.38699745121812</v>
      </c>
      <c r="AM58" s="3"/>
      <c r="AN58" s="162">
        <f>+-PMT($G$18,$G$14,NPV($G$18,AN28:AN56))</f>
        <v>11.490354307318551</v>
      </c>
      <c r="AO58" s="3"/>
      <c r="AP58" s="162">
        <f>+-PMT($G$18,$G$14,NPV($G$18,AP28:AP56))</f>
        <v>89.712124053679105</v>
      </c>
      <c r="AQ58" s="3"/>
      <c r="AR58" s="162">
        <f>+-PMT($G$18,$G$14,NPV($G$18,AR28:AR56))</f>
        <v>2.8273685533923181</v>
      </c>
      <c r="AS58" s="162"/>
      <c r="AT58" s="161">
        <f>+-PMT($G$18,$G$14,NPV($G$18,AT28:AT56))</f>
        <v>422.98990877343618</v>
      </c>
      <c r="AU58" s="3"/>
      <c r="AV58" s="161">
        <f>+-PMT($G$18,$G$14,NPV($G$18,AV28:AV56))</f>
        <v>1591.8643518268429</v>
      </c>
      <c r="AW58" s="299"/>
      <c r="AX58" s="163">
        <f>+-PMT($G$18,$G$14,NPV($G$18,AX28:AX56))</f>
        <v>2014.8542606002784</v>
      </c>
      <c r="AZ58" s="2"/>
      <c r="BA58" s="3"/>
      <c r="BB58" s="162">
        <f>+-PMT($G$18,$G$14,NPV($G$18,BB28:BB56))</f>
        <v>79.072426545750176</v>
      </c>
      <c r="BC58" s="3"/>
      <c r="BD58" s="162">
        <f>+-PMT($G$18,$G$14,NPV($G$18,BD28:BD56))</f>
        <v>5.206705997291265</v>
      </c>
      <c r="BE58" s="3"/>
      <c r="BF58" s="161">
        <f>+-PMT($G$18,$G$14,NPV($G$18,BF28:BF56))</f>
        <v>174.39708867778191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03BC-145E-41F4-B626-ACC91B76DE1E}">
  <sheetPr codeName="Sheet26">
    <tabColor theme="4" tint="0.59999389629810485"/>
    <pageSetUpPr fitToPage="1"/>
  </sheetPr>
  <dimension ref="A1:BL99"/>
  <sheetViews>
    <sheetView topLeftCell="A71" workbookViewId="0">
      <selection activeCell="O65" sqref="O65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26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140.4</v>
      </c>
      <c r="H11" s="510"/>
      <c r="I11" s="621">
        <v>156</v>
      </c>
      <c r="AB11" s="511" t="s">
        <v>99</v>
      </c>
      <c r="AC11" s="512"/>
      <c r="AD11" s="512"/>
      <c r="AE11" s="512"/>
      <c r="AF11" s="518">
        <f>+G11*(G12/AJ16)</f>
        <v>92.238999866869378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75.306444198308256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518">
        <f>(AF11*AF13-G11*G19)</f>
        <v>85.686999866869371</v>
      </c>
      <c r="BE11" s="519"/>
      <c r="BG11" s="586" t="s">
        <v>99</v>
      </c>
      <c r="BH11" s="587"/>
      <c r="BI11" s="587"/>
      <c r="BJ11" s="587"/>
      <c r="BK11" s="591">
        <f>(AR11*AR13-I11*I19)</f>
        <v>56.898444198308255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0.3198868874996067</v>
      </c>
      <c r="H12" s="510"/>
      <c r="I12" s="593">
        <v>0.33929209109003633</v>
      </c>
      <c r="AB12" s="511" t="s">
        <v>32</v>
      </c>
      <c r="AC12" s="512"/>
      <c r="AD12" s="512"/>
      <c r="AE12" s="512"/>
      <c r="AF12" s="520">
        <f>+AD39/8760/AF11</f>
        <v>0.48653826666249955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AD72/8760/AR11</f>
        <v>0.63730394013726599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520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2007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522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31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106</v>
      </c>
      <c r="B15" s="508"/>
      <c r="C15" s="491" t="s">
        <v>107</v>
      </c>
      <c r="D15" s="491"/>
      <c r="E15" s="491"/>
      <c r="F15" s="491"/>
      <c r="G15" s="523">
        <v>181.53437359001532</v>
      </c>
      <c r="H15" s="510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/>
      <c r="AW15" s="516"/>
      <c r="AZ15" s="511" t="s">
        <v>108</v>
      </c>
      <c r="BA15" s="512"/>
      <c r="BB15" s="512"/>
      <c r="BC15" s="512"/>
      <c r="BD15" s="524">
        <v>8.3299999999999999E-2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106</v>
      </c>
      <c r="B16" s="508"/>
      <c r="C16" s="491" t="s">
        <v>109</v>
      </c>
      <c r="D16" s="491"/>
      <c r="E16" s="491"/>
      <c r="F16" s="491"/>
      <c r="G16" s="523">
        <v>16.892584357750504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106</v>
      </c>
      <c r="B17" s="508"/>
      <c r="C17" s="491" t="s">
        <v>111</v>
      </c>
      <c r="D17" s="491"/>
      <c r="E17" s="491"/>
      <c r="F17" s="491"/>
      <c r="G17" s="523">
        <v>0</v>
      </c>
      <c r="H17" s="510"/>
      <c r="I17" s="523">
        <v>0</v>
      </c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503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7.125514275E-2</v>
      </c>
      <c r="H18" s="510"/>
      <c r="I18" s="622"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22">
        <v>0.11799999999999999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1" spans="1:64">
      <c r="G21" s="549"/>
    </row>
    <row r="23" spans="1:64">
      <c r="B23" s="496"/>
      <c r="C23" s="534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  <c r="BK24" s="623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f>+G13</f>
        <v>2007</v>
      </c>
      <c r="E28" s="549">
        <v>1.9E-2</v>
      </c>
      <c r="G28" s="475">
        <f>G30</f>
        <v>393129.55527784419</v>
      </c>
      <c r="I28" s="550">
        <f>$G$15</f>
        <v>181.53437359001532</v>
      </c>
      <c r="J28" s="550"/>
      <c r="K28" s="550">
        <f>$G$16</f>
        <v>16.892584357750504</v>
      </c>
      <c r="L28" s="551"/>
      <c r="M28" s="550">
        <f>$G$17</f>
        <v>0</v>
      </c>
      <c r="O28" s="552">
        <v>5.0999999999999996</v>
      </c>
      <c r="Q28" s="553">
        <v>-31.863781128122483</v>
      </c>
      <c r="S28" s="475">
        <f t="shared" ref="S28:S70" si="0">(I28*$G$11*1000+(K28+M28+O28+Q28)*G28)/1000</f>
        <v>21606.766855641723</v>
      </c>
      <c r="U28" s="475">
        <f t="shared" ref="U28:U70" si="1">AX28</f>
        <v>26955.432246399381</v>
      </c>
      <c r="W28" s="475">
        <f t="shared" ref="W28:W70" si="2">S28-U28</f>
        <v>-5348.6653907576583</v>
      </c>
      <c r="Y28" s="554">
        <f t="shared" ref="Y28:Y30" si="3">+W28*1000/G28</f>
        <v>-13.605350498202789</v>
      </c>
      <c r="Z28" s="516"/>
      <c r="AB28" s="544">
        <f>$C$28</f>
        <v>2007</v>
      </c>
      <c r="AC28" s="503"/>
      <c r="AD28" s="488">
        <f t="shared" ref="AD28:AD39" si="4">G28</f>
        <v>393129.55527784419</v>
      </c>
      <c r="AF28" s="559">
        <v>57.078912815282386</v>
      </c>
      <c r="AG28" s="557"/>
      <c r="AH28" s="559">
        <v>8.047206777408638</v>
      </c>
      <c r="AI28" s="557"/>
      <c r="AJ28" s="559">
        <v>2.26211443231441</v>
      </c>
      <c r="AK28" s="557"/>
      <c r="AL28" s="558">
        <f t="shared" ref="AL28:AL70" si="5">((AF28+AH28)*$AF$11*1000+AJ28*AD28)/1000</f>
        <v>6896.4721772033035</v>
      </c>
      <c r="AN28" s="724">
        <f>INDEX('(2.2)_Forward_Price_Curve'!$K:$K,MATCH($AB28,'(2.2)_Forward_Price_Curve'!$C:$C,0),1)</f>
        <v>8.0291312655031408</v>
      </c>
      <c r="AO28" s="556"/>
      <c r="AP28" s="555">
        <f t="shared" ref="AP28:AP70" si="6">AN28*$AF$14/1000</f>
        <v>58.339839041680825</v>
      </c>
      <c r="AQ28" s="557"/>
      <c r="AR28" s="559">
        <v>2.3415647816593883</v>
      </c>
      <c r="AS28" s="559"/>
      <c r="AT28" s="558">
        <f t="shared" ref="AT28:AT70" si="7">AL28-BF28</f>
        <v>3099.7789476943708</v>
      </c>
      <c r="AU28" s="557"/>
      <c r="AV28" s="558">
        <f t="shared" ref="AV28:AV70" si="8">(AP28+AR28)*AD28/1000</f>
        <v>23855.653298705012</v>
      </c>
      <c r="AW28" s="560"/>
      <c r="AX28" s="561">
        <f t="shared" ref="AX28:AX70" si="9">AT28+AV28</f>
        <v>26955.432246399381</v>
      </c>
      <c r="AZ28" s="544">
        <f>$C$28</f>
        <v>2007</v>
      </c>
      <c r="BA28" s="503"/>
      <c r="BB28" s="559">
        <v>38.461109399999991</v>
      </c>
      <c r="BD28" s="559">
        <v>5.8477499999999996</v>
      </c>
      <c r="BE28" s="557"/>
      <c r="BF28" s="558">
        <f t="shared" ref="BF28:BF70" si="10">(BB28+BD28)*$BD$11</f>
        <v>3796.6932295089327</v>
      </c>
      <c r="BG28" s="557"/>
      <c r="BH28" s="562"/>
    </row>
    <row r="29" spans="1:64" ht="12">
      <c r="B29" s="526"/>
      <c r="C29">
        <f>+IF(C28&gt;$G$13+$G$14,XX,C28+1)</f>
        <v>2008</v>
      </c>
      <c r="E29" s="549">
        <v>1.7000000000000001E-2</v>
      </c>
      <c r="G29" s="475">
        <v>394331.98409973102</v>
      </c>
      <c r="I29" s="553">
        <f t="shared" ref="I29:I39" si="11">I28*(1+$E29)</f>
        <v>184.62045794104557</v>
      </c>
      <c r="K29" s="553">
        <f t="shared" ref="K29:K39" si="12">K28*(1+$E29)</f>
        <v>17.179758291832261</v>
      </c>
      <c r="M29" s="553">
        <f t="shared" ref="M29:M68" si="13">M28*(1+$E29)</f>
        <v>0</v>
      </c>
      <c r="O29" s="552">
        <v>5.1866999999999992</v>
      </c>
      <c r="Q29" s="553">
        <v>-32.504243128797739</v>
      </c>
      <c r="S29" s="475">
        <f t="shared" si="0"/>
        <v>21923.059485786031</v>
      </c>
      <c r="U29" s="475">
        <f t="shared" si="1"/>
        <v>26932.197107201151</v>
      </c>
      <c r="W29" s="475">
        <f t="shared" si="2"/>
        <v>-5009.1376214151205</v>
      </c>
      <c r="Y29" s="554">
        <f t="shared" si="3"/>
        <v>-12.702843855922813</v>
      </c>
      <c r="Z29" s="516"/>
      <c r="AB29" s="544">
        <f>+IF(AB28&gt;$G$13+$G$14,XX,AB28+1)</f>
        <v>2008</v>
      </c>
      <c r="AC29" s="503"/>
      <c r="AD29" s="488">
        <f t="shared" si="4"/>
        <v>394331.98409973102</v>
      </c>
      <c r="AF29" s="555">
        <f>AF28*(1+$E29)</f>
        <v>58.04925433314218</v>
      </c>
      <c r="AH29" s="555">
        <f t="shared" ref="AH29:AH39" si="14">AH28*(1+$E29)</f>
        <v>8.1840092926245838</v>
      </c>
      <c r="AJ29" s="555">
        <f t="shared" ref="AJ29:AJ39" si="15">AJ28*(1+$E29)</f>
        <v>2.3005703776637549</v>
      </c>
      <c r="AL29" s="558">
        <f t="shared" si="5"/>
        <v>7016.4784763446414</v>
      </c>
      <c r="AN29" s="724">
        <f>INDEX('(2.2)_Forward_Price_Curve'!$K:$K,MATCH($AB29,'(2.2)_Forward_Price_Curve'!$C:$C,0),1)</f>
        <v>7.9707205782722266</v>
      </c>
      <c r="AP29" s="555">
        <f t="shared" si="6"/>
        <v>57.915425742323464</v>
      </c>
      <c r="AR29" s="555">
        <f t="shared" ref="AR29:AR70" si="16">AR28*(1+$E29)</f>
        <v>2.3813713829475978</v>
      </c>
      <c r="AS29" s="555"/>
      <c r="AT29" s="558">
        <f t="shared" si="7"/>
        <v>3155.241461934057</v>
      </c>
      <c r="AV29" s="558">
        <f t="shared" si="8"/>
        <v>23776.955645267095</v>
      </c>
      <c r="AW29" s="560"/>
      <c r="AX29" s="561">
        <f t="shared" si="9"/>
        <v>26932.197107201151</v>
      </c>
      <c r="AZ29" s="544">
        <f>+IF(AZ28&gt;$G$13+$G$14,XX,AZ28+1)</f>
        <v>2008</v>
      </c>
      <c r="BA29" s="503"/>
      <c r="BB29" s="555">
        <f t="shared" ref="BB29:BB39" si="17">BB28*(1+$E29)</f>
        <v>39.114948259799988</v>
      </c>
      <c r="BD29" s="555">
        <f t="shared" ref="BD29:BD39" si="18">BD28*(1+$E29)</f>
        <v>5.9471617499999994</v>
      </c>
      <c r="BF29" s="558">
        <f t="shared" si="10"/>
        <v>3861.2370144105844</v>
      </c>
      <c r="BH29" s="563"/>
    </row>
    <row r="30" spans="1:64" ht="12">
      <c r="B30" s="526"/>
      <c r="C30">
        <f>+IF(C29&gt;$G$13+$G$14,XX,C29+1)</f>
        <v>2009</v>
      </c>
      <c r="E30" s="549">
        <v>1.7000000000000001E-2</v>
      </c>
      <c r="G30" s="475">
        <v>393129.55527784419</v>
      </c>
      <c r="I30" s="553">
        <f t="shared" si="11"/>
        <v>187.75900572604334</v>
      </c>
      <c r="K30" s="553">
        <f t="shared" si="12"/>
        <v>17.471814182793409</v>
      </c>
      <c r="M30" s="553">
        <f t="shared" si="13"/>
        <v>0</v>
      </c>
      <c r="O30" s="552">
        <v>5.2748738999999985</v>
      </c>
      <c r="Q30" s="553">
        <v>-33.157578415686572</v>
      </c>
      <c r="S30" s="475">
        <f t="shared" si="0"/>
        <v>22268.535717319788</v>
      </c>
      <c r="U30" s="475">
        <f t="shared" si="1"/>
        <v>26369.726244492471</v>
      </c>
      <c r="W30" s="475">
        <f t="shared" si="2"/>
        <v>-4101.1905271726828</v>
      </c>
      <c r="Y30" s="554">
        <f t="shared" si="3"/>
        <v>-10.432160269085259</v>
      </c>
      <c r="Z30" s="516"/>
      <c r="AB30" s="544">
        <f>+IF(AB29&gt;$G$13+$G$14,XX,AB29+1)</f>
        <v>2009</v>
      </c>
      <c r="AC30" s="503"/>
      <c r="AD30" s="488">
        <f t="shared" si="4"/>
        <v>393129.55527784419</v>
      </c>
      <c r="AF30" s="555">
        <f t="shared" ref="AF30:AF39" si="19">AF29*(1+$E30)</f>
        <v>59.036091656805588</v>
      </c>
      <c r="AH30" s="555">
        <f t="shared" si="14"/>
        <v>8.3231374505992015</v>
      </c>
      <c r="AJ30" s="555">
        <f t="shared" si="15"/>
        <v>2.3396800740840384</v>
      </c>
      <c r="AL30" s="558">
        <f t="shared" si="5"/>
        <v>7132.9453116874256</v>
      </c>
      <c r="AN30" s="724">
        <f>INDEX('(2.2)_Forward_Price_Curve'!$K:$K,MATCH($AB30,'(2.2)_Forward_Price_Curve'!$C:$C,0),1)</f>
        <v>7.7758276535043622</v>
      </c>
      <c r="AP30" s="555">
        <f t="shared" si="6"/>
        <v>56.499329593768707</v>
      </c>
      <c r="AR30" s="555">
        <f t="shared" si="16"/>
        <v>2.4218546964577068</v>
      </c>
      <c r="AS30" s="555"/>
      <c r="AT30" s="558">
        <f t="shared" si="7"/>
        <v>3206.0672680318617</v>
      </c>
      <c r="AV30" s="558">
        <f t="shared" si="8"/>
        <v>23163.658976460611</v>
      </c>
      <c r="AW30" s="560"/>
      <c r="AX30" s="561">
        <f t="shared" si="9"/>
        <v>26369.726244492471</v>
      </c>
      <c r="AZ30" s="544">
        <f>+IF(AZ29&gt;$G$13+$G$14,XX,AZ29+1)</f>
        <v>2009</v>
      </c>
      <c r="BA30" s="503"/>
      <c r="BB30" s="555">
        <f t="shared" si="17"/>
        <v>39.779902380216583</v>
      </c>
      <c r="BD30" s="555">
        <f t="shared" si="18"/>
        <v>6.0482634997499991</v>
      </c>
      <c r="BF30" s="558">
        <f t="shared" si="10"/>
        <v>3926.8780436555639</v>
      </c>
      <c r="BH30" s="563"/>
    </row>
    <row r="31" spans="1:64" ht="12">
      <c r="B31" s="526"/>
      <c r="C31">
        <f>+IF(C30&gt;$G$13+$G$14,XX,C30+1)</f>
        <v>2010</v>
      </c>
      <c r="E31" s="549">
        <v>1.9E-2</v>
      </c>
      <c r="G31" s="475">
        <v>393129.55527784419</v>
      </c>
      <c r="I31" s="553">
        <f t="shared" si="11"/>
        <v>191.32642683483814</v>
      </c>
      <c r="K31" s="553">
        <f t="shared" si="12"/>
        <v>17.803778652266484</v>
      </c>
      <c r="M31" s="553">
        <f t="shared" si="13"/>
        <v>0</v>
      </c>
      <c r="O31" s="552">
        <v>5.3750965040999983</v>
      </c>
      <c r="Q31" s="553">
        <v>-33.824045741841871</v>
      </c>
      <c r="S31" s="475">
        <f t="shared" si="0"/>
        <v>22677.299149486546</v>
      </c>
      <c r="U31" s="475">
        <f t="shared" si="1"/>
        <v>25596.40723411271</v>
      </c>
      <c r="W31" s="475">
        <f t="shared" si="2"/>
        <v>-2919.1080846261648</v>
      </c>
      <c r="Y31" s="554">
        <f>+W31*1000/G31</f>
        <v>-7.4253081342690859</v>
      </c>
      <c r="Z31" s="516"/>
      <c r="AB31" s="544">
        <f>+IF(AB30&gt;$G$13+$G$14,XX,AB30+1)</f>
        <v>2010</v>
      </c>
      <c r="AC31" s="503"/>
      <c r="AD31" s="488">
        <f t="shared" si="4"/>
        <v>393129.55527784419</v>
      </c>
      <c r="AF31" s="555">
        <f t="shared" si="19"/>
        <v>60.157777398284892</v>
      </c>
      <c r="AH31" s="555">
        <f t="shared" si="14"/>
        <v>8.4812770621605864</v>
      </c>
      <c r="AJ31" s="555">
        <f t="shared" si="15"/>
        <v>2.3841339954916347</v>
      </c>
      <c r="AL31" s="558">
        <f t="shared" si="5"/>
        <v>7268.4712726094867</v>
      </c>
      <c r="AN31" s="724">
        <f>INDEX('(2.2)_Forward_Price_Curve'!$K:$K,MATCH($AB31,'(2.2)_Forward_Price_Curve'!$C:$C,0),1)</f>
        <v>7.4774457529777205</v>
      </c>
      <c r="AP31" s="555">
        <f t="shared" si="6"/>
        <v>54.331280339864243</v>
      </c>
      <c r="AR31" s="555">
        <f t="shared" si="16"/>
        <v>2.4678699356904028</v>
      </c>
      <c r="AS31" s="555"/>
      <c r="AT31" s="558">
        <f t="shared" si="7"/>
        <v>3266.9825461244673</v>
      </c>
      <c r="AV31" s="558">
        <f t="shared" si="8"/>
        <v>22329.424687988241</v>
      </c>
      <c r="AW31" s="560"/>
      <c r="AX31" s="561">
        <f t="shared" si="9"/>
        <v>25596.40723411271</v>
      </c>
      <c r="AZ31" s="544">
        <f>+IF(AZ30&gt;$G$13+$G$14,XX,AZ30+1)</f>
        <v>2010</v>
      </c>
      <c r="BA31" s="503"/>
      <c r="BB31" s="555">
        <f t="shared" si="17"/>
        <v>40.535720525440695</v>
      </c>
      <c r="BD31" s="555">
        <f t="shared" si="18"/>
        <v>6.1631805062452489</v>
      </c>
      <c r="BF31" s="558">
        <f t="shared" si="10"/>
        <v>4001.4887264850195</v>
      </c>
      <c r="BH31" s="563"/>
    </row>
    <row r="32" spans="1:64" ht="12">
      <c r="B32" s="526"/>
      <c r="C32">
        <f>+IF(C31&gt;$G$13+$G$14,XX,C31+1)</f>
        <v>2011</v>
      </c>
      <c r="E32" s="549">
        <v>1.9E-2</v>
      </c>
      <c r="G32" s="475">
        <v>393129.55527784419</v>
      </c>
      <c r="I32" s="553">
        <f t="shared" si="11"/>
        <v>194.96162894470004</v>
      </c>
      <c r="K32" s="553">
        <f t="shared" si="12"/>
        <v>18.142050446659546</v>
      </c>
      <c r="M32" s="553">
        <f t="shared" si="13"/>
        <v>0</v>
      </c>
      <c r="O32" s="552">
        <v>5.4772233376778976</v>
      </c>
      <c r="Q32" s="553">
        <v>-34.503909061252898</v>
      </c>
      <c r="S32" s="475">
        <f t="shared" si="0"/>
        <v>23093.540878060579</v>
      </c>
      <c r="U32" s="475">
        <f t="shared" si="1"/>
        <v>24547.73787735646</v>
      </c>
      <c r="W32" s="475">
        <f t="shared" si="2"/>
        <v>-1454.1969992958802</v>
      </c>
      <c r="Y32" s="554">
        <f t="shared" ref="Y32:Y70" si="20">+W32*1000/G32</f>
        <v>-3.6990274065457305</v>
      </c>
      <c r="Z32" s="516"/>
      <c r="AB32" s="544">
        <f>+IF(AB31&gt;$G$13+$G$14,XX,AB31+1)</f>
        <v>2011</v>
      </c>
      <c r="AC32" s="503"/>
      <c r="AD32" s="488">
        <f t="shared" si="4"/>
        <v>393129.55527784419</v>
      </c>
      <c r="AF32" s="555">
        <f t="shared" si="19"/>
        <v>61.300775168852297</v>
      </c>
      <c r="AH32" s="555">
        <f t="shared" si="14"/>
        <v>8.642421326341637</v>
      </c>
      <c r="AJ32" s="555">
        <f t="shared" si="15"/>
        <v>2.4294325414059754</v>
      </c>
      <c r="AL32" s="558">
        <f t="shared" si="5"/>
        <v>7406.5722267890651</v>
      </c>
      <c r="AN32" s="724">
        <f>INDEX('(2.2)_Forward_Price_Curve'!$K:$K,MATCH($AB32,'(2.2)_Forward_Price_Curve'!$C:$C,0),1)</f>
        <v>7.0821436233211914</v>
      </c>
      <c r="AP32" s="555">
        <f t="shared" si="6"/>
        <v>51.459006633731178</v>
      </c>
      <c r="AR32" s="555">
        <f t="shared" si="16"/>
        <v>2.5147594644685203</v>
      </c>
      <c r="AS32" s="555"/>
      <c r="AT32" s="558">
        <f t="shared" si="7"/>
        <v>3329.055214500831</v>
      </c>
      <c r="AV32" s="558">
        <f t="shared" si="8"/>
        <v>21218.68266285563</v>
      </c>
      <c r="AW32" s="560"/>
      <c r="AX32" s="561">
        <f t="shared" si="9"/>
        <v>24547.73787735646</v>
      </c>
      <c r="AZ32" s="544">
        <f>+IF(AZ31&gt;$G$13+$G$14,XX,AZ31+1)</f>
        <v>2011</v>
      </c>
      <c r="BA32" s="503"/>
      <c r="BB32" s="555">
        <f t="shared" si="17"/>
        <v>41.305899215424063</v>
      </c>
      <c r="BD32" s="555">
        <f t="shared" si="18"/>
        <v>6.2802809358639085</v>
      </c>
      <c r="BF32" s="558">
        <f t="shared" si="10"/>
        <v>4077.5170122882341</v>
      </c>
      <c r="BH32" s="563"/>
    </row>
    <row r="33" spans="2:60" ht="12">
      <c r="B33" s="526"/>
      <c r="C33">
        <f>+IF(C32&gt;$G$13+$G$14,XX,C32+1)</f>
        <v>2012</v>
      </c>
      <c r="E33" s="549">
        <v>0.02</v>
      </c>
      <c r="G33" s="475">
        <v>394331.98409973102</v>
      </c>
      <c r="I33" s="553">
        <f t="shared" si="11"/>
        <v>198.86086152359405</v>
      </c>
      <c r="K33" s="553">
        <f t="shared" si="12"/>
        <v>18.504891455592738</v>
      </c>
      <c r="M33" s="553">
        <f t="shared" si="13"/>
        <v>0</v>
      </c>
      <c r="O33" s="552">
        <v>5.5867678044314557</v>
      </c>
      <c r="Q33" s="553">
        <v>-35.197437633384084</v>
      </c>
      <c r="S33" s="475">
        <f t="shared" si="0"/>
        <v>23540.701336973718</v>
      </c>
      <c r="U33" s="475">
        <f t="shared" si="1"/>
        <v>23614.180755349575</v>
      </c>
      <c r="W33" s="475">
        <f t="shared" si="2"/>
        <v>-73.479418375856767</v>
      </c>
      <c r="Y33" s="554">
        <f t="shared" si="20"/>
        <v>-0.1863389766458127</v>
      </c>
      <c r="Z33" s="516"/>
      <c r="AB33" s="544">
        <f>+IF(AB32&gt;$G$13+$G$14,XX,AB32+1)</f>
        <v>2012</v>
      </c>
      <c r="AC33" s="503"/>
      <c r="AD33" s="488">
        <f t="shared" si="4"/>
        <v>394331.98409973102</v>
      </c>
      <c r="AF33" s="555">
        <f t="shared" si="19"/>
        <v>62.526790672229346</v>
      </c>
      <c r="AH33" s="555">
        <f t="shared" si="14"/>
        <v>8.8152697528684705</v>
      </c>
      <c r="AJ33" s="555">
        <f t="shared" si="15"/>
        <v>2.4780211922340949</v>
      </c>
      <c r="AL33" s="558">
        <f t="shared" si="5"/>
        <v>7557.6833154276364</v>
      </c>
      <c r="AN33" s="724">
        <f>INDEX('(2.2)_Forward_Price_Curve'!$K:$K,MATCH($AB33,'(2.2)_Forward_Price_Curve'!$C:$C,0),1)</f>
        <v>6.7024699037828679</v>
      </c>
      <c r="AP33" s="555">
        <f t="shared" si="6"/>
        <v>48.700289288881038</v>
      </c>
      <c r="AR33" s="555">
        <f t="shared" si="16"/>
        <v>2.5650546537578909</v>
      </c>
      <c r="AS33" s="555"/>
      <c r="AT33" s="558">
        <f t="shared" si="7"/>
        <v>3398.6159628936375</v>
      </c>
      <c r="AV33" s="558">
        <f t="shared" si="8"/>
        <v>20215.564792455938</v>
      </c>
      <c r="AW33" s="560"/>
      <c r="AX33" s="561">
        <f t="shared" si="9"/>
        <v>23614.180755349575</v>
      </c>
      <c r="AZ33" s="544">
        <f>+IF(AZ32&gt;$G$13+$G$14,XX,AZ32+1)</f>
        <v>2012</v>
      </c>
      <c r="BA33" s="503"/>
      <c r="BB33" s="555">
        <f t="shared" si="17"/>
        <v>42.132017199732545</v>
      </c>
      <c r="BD33" s="555">
        <f t="shared" si="18"/>
        <v>6.4058865545811869</v>
      </c>
      <c r="BF33" s="558">
        <f t="shared" si="10"/>
        <v>4159.0673525339989</v>
      </c>
      <c r="BH33" s="563"/>
    </row>
    <row r="34" spans="2:60" ht="12">
      <c r="B34" s="526"/>
      <c r="C34">
        <f>+IF(C33&gt;$G$13+$G$14,XX,C33+1)</f>
        <v>2013</v>
      </c>
      <c r="E34" s="549">
        <v>1.9E-2</v>
      </c>
      <c r="G34" s="475">
        <v>393129.55527784419</v>
      </c>
      <c r="I34" s="553">
        <f t="shared" si="11"/>
        <v>202.63921789254232</v>
      </c>
      <c r="K34" s="553">
        <f t="shared" si="12"/>
        <v>18.856484393248998</v>
      </c>
      <c r="M34" s="553">
        <f t="shared" si="13"/>
        <v>0</v>
      </c>
      <c r="O34" s="552">
        <v>5.6929163927156532</v>
      </c>
      <c r="Q34" s="553">
        <v>-35.904906129815103</v>
      </c>
      <c r="S34" s="475">
        <f t="shared" si="0"/>
        <v>23986.36142632983</v>
      </c>
      <c r="U34" s="475">
        <f t="shared" si="1"/>
        <v>23624.736734229424</v>
      </c>
      <c r="W34" s="475">
        <f t="shared" si="2"/>
        <v>361.62469210040581</v>
      </c>
      <c r="Y34" s="554">
        <f t="shared" si="20"/>
        <v>0.91986137202232909</v>
      </c>
      <c r="Z34" s="516"/>
      <c r="AB34" s="544">
        <f>+IF(AB33&gt;$G$13+$G$14,XX,AB33+1)</f>
        <v>2013</v>
      </c>
      <c r="AC34" s="503"/>
      <c r="AD34" s="488">
        <f t="shared" si="4"/>
        <v>393129.55527784419</v>
      </c>
      <c r="AF34" s="555">
        <f t="shared" si="19"/>
        <v>63.714799695001695</v>
      </c>
      <c r="AH34" s="555">
        <f t="shared" si="14"/>
        <v>8.9827598781729705</v>
      </c>
      <c r="AJ34" s="555">
        <f t="shared" si="15"/>
        <v>2.5251035948865423</v>
      </c>
      <c r="AL34" s="558">
        <f t="shared" si="5"/>
        <v>7698.2430410800189</v>
      </c>
      <c r="AN34" s="724">
        <f>INDEX('(2.2)_Forward_Price_Curve'!$K:$K,MATCH($AB34,'(2.2)_Forward_Price_Curve'!$C:$C,0),1)</f>
        <v>6.6994948806584134</v>
      </c>
      <c r="AP34" s="555">
        <f t="shared" si="6"/>
        <v>48.678672707399592</v>
      </c>
      <c r="AR34" s="555">
        <f t="shared" si="16"/>
        <v>2.6137906921792906</v>
      </c>
      <c r="AS34" s="555"/>
      <c r="AT34" s="558">
        <f t="shared" si="7"/>
        <v>3460.1534088478747</v>
      </c>
      <c r="AV34" s="558">
        <f t="shared" si="8"/>
        <v>20164.583325381547</v>
      </c>
      <c r="AW34" s="560"/>
      <c r="AX34" s="561">
        <f t="shared" si="9"/>
        <v>23624.736734229424</v>
      </c>
      <c r="AZ34" s="544">
        <f>+IF(AZ33&gt;$G$13+$G$14,XX,AZ33+1)</f>
        <v>2013</v>
      </c>
      <c r="BA34" s="503"/>
      <c r="BB34" s="555">
        <f t="shared" si="17"/>
        <v>42.932525526527456</v>
      </c>
      <c r="BD34" s="555">
        <f t="shared" si="18"/>
        <v>6.5275983991182285</v>
      </c>
      <c r="BF34" s="558">
        <f t="shared" si="10"/>
        <v>4238.0896322321441</v>
      </c>
      <c r="BH34" s="563"/>
    </row>
    <row r="35" spans="2:60" ht="12">
      <c r="B35" s="526"/>
      <c r="C35">
        <f>+IF(C34&gt;$G$13+$G$14,XX,C34+1)</f>
        <v>2014</v>
      </c>
      <c r="E35" s="549">
        <v>1.7999999999999999E-2</v>
      </c>
      <c r="G35" s="475">
        <v>393129.55527784419</v>
      </c>
      <c r="I35" s="553">
        <f t="shared" si="11"/>
        <v>206.28672381460808</v>
      </c>
      <c r="K35" s="553">
        <f t="shared" si="12"/>
        <v>19.19590111232748</v>
      </c>
      <c r="M35" s="553">
        <f t="shared" si="13"/>
        <v>0</v>
      </c>
      <c r="O35" s="552">
        <v>5.7953888877845348</v>
      </c>
      <c r="Q35" s="553">
        <v>-36.626594743024391</v>
      </c>
      <c r="S35" s="475">
        <f t="shared" si="0"/>
        <v>24388.473844467644</v>
      </c>
      <c r="U35" s="475">
        <f t="shared" si="1"/>
        <v>24318.271300732576</v>
      </c>
      <c r="W35" s="475">
        <f t="shared" si="2"/>
        <v>70.202543735067593</v>
      </c>
      <c r="Y35" s="554">
        <f t="shared" si="20"/>
        <v>0.17857355874821462</v>
      </c>
      <c r="Z35" s="516"/>
      <c r="AB35" s="544">
        <f>+IF(AB34&gt;$G$13+$G$14,XX,AB34+1)</f>
        <v>2014</v>
      </c>
      <c r="AC35" s="503"/>
      <c r="AD35" s="488">
        <f t="shared" si="4"/>
        <v>393129.55527784419</v>
      </c>
      <c r="AF35" s="555">
        <f t="shared" si="19"/>
        <v>64.861666089511729</v>
      </c>
      <c r="AH35" s="555">
        <f t="shared" si="14"/>
        <v>9.1444495559800849</v>
      </c>
      <c r="AJ35" s="555">
        <f t="shared" si="15"/>
        <v>2.5705554595944999</v>
      </c>
      <c r="AL35" s="558">
        <f t="shared" si="5"/>
        <v>7836.8114158194594</v>
      </c>
      <c r="AN35" s="724">
        <f>INDEX('(2.2)_Forward_Price_Curve'!$K:$K,MATCH($AB35,'(2.2)_Forward_Price_Curve'!$C:$C,0),1)</f>
        <v>6.9140085811973453</v>
      </c>
      <c r="AP35" s="555">
        <f t="shared" si="6"/>
        <v>50.2373338312307</v>
      </c>
      <c r="AR35" s="555">
        <f t="shared" si="16"/>
        <v>2.6608389246385178</v>
      </c>
      <c r="AS35" s="555"/>
      <c r="AT35" s="558">
        <f t="shared" si="7"/>
        <v>3522.4361702071365</v>
      </c>
      <c r="AV35" s="558">
        <f t="shared" si="8"/>
        <v>20795.83513052544</v>
      </c>
      <c r="AW35" s="560"/>
      <c r="AX35" s="561">
        <f t="shared" si="9"/>
        <v>24318.271300732576</v>
      </c>
      <c r="AZ35" s="544">
        <f>+IF(AZ34&gt;$G$13+$G$14,XX,AZ34+1)</f>
        <v>2014</v>
      </c>
      <c r="BA35" s="503"/>
      <c r="BB35" s="555">
        <f>BB34*(1+$E35)</f>
        <v>43.705310986004953</v>
      </c>
      <c r="BD35" s="555">
        <f t="shared" si="18"/>
        <v>6.6450951703023566</v>
      </c>
      <c r="BF35" s="558">
        <f t="shared" si="10"/>
        <v>4314.3752456123229</v>
      </c>
      <c r="BH35" s="563"/>
    </row>
    <row r="36" spans="2:60" ht="12">
      <c r="B36" s="526"/>
      <c r="C36">
        <f>+IF(C35&gt;$G$13+$G$14,XX,C35+1)</f>
        <v>2015</v>
      </c>
      <c r="E36" s="549">
        <v>1.7999999999999999E-2</v>
      </c>
      <c r="G36" s="475">
        <v>393129.55527784419</v>
      </c>
      <c r="I36" s="553">
        <f t="shared" si="11"/>
        <v>209.99988484327102</v>
      </c>
      <c r="K36" s="553">
        <f t="shared" si="12"/>
        <v>19.541427332349375</v>
      </c>
      <c r="M36" s="553">
        <f t="shared" si="13"/>
        <v>0</v>
      </c>
      <c r="O36" s="552">
        <v>5.8997058877646564</v>
      </c>
      <c r="Q36" s="553">
        <v>-37.362789297359178</v>
      </c>
      <c r="S36" s="475">
        <f t="shared" si="0"/>
        <v>24797.228480172456</v>
      </c>
      <c r="U36" s="475">
        <f t="shared" si="1"/>
        <v>25549.933671065781</v>
      </c>
      <c r="W36" s="475">
        <f t="shared" si="2"/>
        <v>-752.70519089332447</v>
      </c>
      <c r="Y36" s="554">
        <f t="shared" si="20"/>
        <v>-1.91464920606478</v>
      </c>
      <c r="Z36" s="516"/>
      <c r="AB36" s="544">
        <f>+IF(AB35&gt;$G$13+$G$14,XX,AB35+1)</f>
        <v>2015</v>
      </c>
      <c r="AC36" s="503"/>
      <c r="AD36" s="488">
        <f t="shared" si="4"/>
        <v>393129.55527784419</v>
      </c>
      <c r="AF36" s="555">
        <f t="shared" si="19"/>
        <v>66.029176079122948</v>
      </c>
      <c r="AH36" s="555">
        <f t="shared" si="14"/>
        <v>9.3090496479877274</v>
      </c>
      <c r="AJ36" s="555">
        <f t="shared" si="15"/>
        <v>2.616825457867201</v>
      </c>
      <c r="AL36" s="558">
        <f t="shared" si="5"/>
        <v>7977.8740213042111</v>
      </c>
      <c r="AN36" s="724">
        <f>INDEX('(2.2)_Forward_Price_Curve'!$K:$K,MATCH($AB36,'(2.2)_Forward_Price_Curve'!$C:$C,0),1)</f>
        <v>7.3164011858738007</v>
      </c>
      <c r="AP36" s="555">
        <f t="shared" si="6"/>
        <v>53.161127080102943</v>
      </c>
      <c r="AR36" s="555">
        <f t="shared" si="16"/>
        <v>2.7087340252820113</v>
      </c>
      <c r="AS36" s="555"/>
      <c r="AT36" s="558">
        <f t="shared" si="7"/>
        <v>3585.8400212708657</v>
      </c>
      <c r="AV36" s="558">
        <f t="shared" si="8"/>
        <v>21964.093649794915</v>
      </c>
      <c r="AW36" s="560"/>
      <c r="AX36" s="561">
        <f t="shared" si="9"/>
        <v>25549.933671065781</v>
      </c>
      <c r="AZ36" s="544">
        <f>+IF(AZ35&gt;$G$13+$G$14,XX,AZ35+1)</f>
        <v>2015</v>
      </c>
      <c r="BA36" s="503"/>
      <c r="BB36" s="555">
        <f t="shared" si="17"/>
        <v>44.492006583753046</v>
      </c>
      <c r="BD36" s="555">
        <f t="shared" si="18"/>
        <v>6.7647068833677988</v>
      </c>
      <c r="BF36" s="558">
        <f t="shared" si="10"/>
        <v>4392.0340000333454</v>
      </c>
      <c r="BH36" s="563"/>
    </row>
    <row r="37" spans="2:60" ht="12">
      <c r="B37" s="526"/>
      <c r="C37">
        <f>+IF(C36&gt;$G$13+$G$14,XX,C36+1)</f>
        <v>2016</v>
      </c>
      <c r="E37" s="549">
        <v>1.7999999999999999E-2</v>
      </c>
      <c r="G37" s="475">
        <v>394331.98409973102</v>
      </c>
      <c r="I37" s="553">
        <f t="shared" si="11"/>
        <v>213.77988277044989</v>
      </c>
      <c r="K37" s="553">
        <f t="shared" si="12"/>
        <v>19.893173024331663</v>
      </c>
      <c r="M37" s="553">
        <f t="shared" si="13"/>
        <v>0</v>
      </c>
      <c r="O37" s="552">
        <v>6.0059005937444203</v>
      </c>
      <c r="Q37" s="553">
        <v>-38.113781362236097</v>
      </c>
      <c r="S37" s="475">
        <f>(I37*$G$11*1000+(K37+M37+O37+Q37)*G37)/1000</f>
        <v>25198.045601018199</v>
      </c>
      <c r="U37" s="475">
        <f t="shared" si="1"/>
        <v>27436.923317887282</v>
      </c>
      <c r="W37" s="475">
        <f t="shared" si="2"/>
        <v>-2238.8777168690831</v>
      </c>
      <c r="Y37" s="554">
        <f t="shared" si="20"/>
        <v>-5.677646772631169</v>
      </c>
      <c r="Z37" s="516"/>
      <c r="AB37" s="544">
        <f>+IF(AB36&gt;$G$13+$G$14,XX,AB36+1)</f>
        <v>2016</v>
      </c>
      <c r="AC37" s="503"/>
      <c r="AD37" s="488">
        <f t="shared" si="4"/>
        <v>394331.98409973102</v>
      </c>
      <c r="AF37" s="555">
        <f t="shared" si="19"/>
        <v>67.217701248547158</v>
      </c>
      <c r="AH37" s="555">
        <f t="shared" si="14"/>
        <v>9.476612541651507</v>
      </c>
      <c r="AJ37" s="555">
        <f t="shared" si="15"/>
        <v>2.6639283161088105</v>
      </c>
      <c r="AL37" s="558">
        <f t="shared" si="5"/>
        <v>8124.6789378744152</v>
      </c>
      <c r="AN37" s="724">
        <f>INDEX('(2.2)_Forward_Price_Curve'!$K:$K,MATCH($AB37,'(2.2)_Forward_Price_Curve'!$C:$C,0),1)</f>
        <v>7.9211828417083421</v>
      </c>
      <c r="AP37" s="555">
        <f t="shared" si="6"/>
        <v>57.555483491778489</v>
      </c>
      <c r="AR37" s="555">
        <f t="shared" si="16"/>
        <v>2.7574912377370877</v>
      </c>
      <c r="AS37" s="555"/>
      <c r="AT37" s="558">
        <f t="shared" si="7"/>
        <v>3653.5883258404701</v>
      </c>
      <c r="AV37" s="558">
        <f t="shared" si="8"/>
        <v>23783.334992046814</v>
      </c>
      <c r="AW37" s="560"/>
      <c r="AX37" s="561">
        <f t="shared" si="9"/>
        <v>27436.923317887282</v>
      </c>
      <c r="AZ37" s="544">
        <f>+IF(AZ36&gt;$G$13+$G$14,XX,AZ36+1)</f>
        <v>2016</v>
      </c>
      <c r="BA37" s="503"/>
      <c r="BB37" s="555">
        <f t="shared" si="17"/>
        <v>45.292862702260599</v>
      </c>
      <c r="BD37" s="555">
        <f t="shared" si="18"/>
        <v>6.8864716072684189</v>
      </c>
      <c r="BF37" s="558">
        <f t="shared" si="10"/>
        <v>4471.090612033945</v>
      </c>
      <c r="BH37" s="563"/>
    </row>
    <row r="38" spans="2:60" ht="12">
      <c r="B38" s="526"/>
      <c r="C38">
        <f>+IF(C37&gt;$G$13+$G$14,XX,C37+1)</f>
        <v>2017</v>
      </c>
      <c r="E38" s="549">
        <v>1.7999999999999999E-2</v>
      </c>
      <c r="G38" s="475">
        <v>393129.55527784419</v>
      </c>
      <c r="I38" s="553">
        <f t="shared" si="11"/>
        <v>217.62792066031798</v>
      </c>
      <c r="K38" s="553">
        <f t="shared" si="12"/>
        <v>20.251250138769635</v>
      </c>
      <c r="M38" s="553">
        <f t="shared" si="13"/>
        <v>0</v>
      </c>
      <c r="O38" s="552">
        <v>6.1140068044318197</v>
      </c>
      <c r="Q38" s="553">
        <v>0</v>
      </c>
      <c r="S38" s="475">
        <f t="shared" si="0"/>
        <v>40919.921797575524</v>
      </c>
      <c r="U38" s="475">
        <f t="shared" si="1"/>
        <v>29233.3558832524</v>
      </c>
      <c r="W38" s="475">
        <f t="shared" si="2"/>
        <v>11686.565914323124</v>
      </c>
      <c r="Y38" s="554">
        <f t="shared" si="20"/>
        <v>29.727009219807062</v>
      </c>
      <c r="Z38" s="516"/>
      <c r="AB38" s="544">
        <f>+IF(AB37&gt;$G$13+$G$14,XX,AB37+1)</f>
        <v>2017</v>
      </c>
      <c r="AC38" s="503"/>
      <c r="AD38" s="488">
        <f t="shared" si="4"/>
        <v>393129.55527784419</v>
      </c>
      <c r="AF38" s="555">
        <f t="shared" si="19"/>
        <v>68.427619871021008</v>
      </c>
      <c r="AH38" s="555">
        <f t="shared" si="14"/>
        <v>9.6471915674012347</v>
      </c>
      <c r="AJ38" s="555">
        <f t="shared" si="15"/>
        <v>2.711879025798769</v>
      </c>
      <c r="AL38" s="558">
        <f t="shared" si="5"/>
        <v>8267.662317254064</v>
      </c>
      <c r="AN38" s="724">
        <f>INDEX('(2.2)_Forward_Price_Curve'!$K:$K,MATCH($AB38,'(2.2)_Forward_Price_Curve'!$C:$C,0),1)</f>
        <v>8.5467545643478058</v>
      </c>
      <c r="AP38" s="555">
        <f t="shared" si="6"/>
        <v>62.100900972324112</v>
      </c>
      <c r="AR38" s="555">
        <f t="shared" si="16"/>
        <v>2.8071260800163556</v>
      </c>
      <c r="AS38" s="555"/>
      <c r="AT38" s="558">
        <f t="shared" si="7"/>
        <v>3716.0920742035078</v>
      </c>
      <c r="AV38" s="558">
        <f t="shared" si="8"/>
        <v>25517.263809048891</v>
      </c>
      <c r="AW38" s="560"/>
      <c r="AX38" s="561">
        <f t="shared" si="9"/>
        <v>29233.3558832524</v>
      </c>
      <c r="AZ38" s="544">
        <f>+IF(AZ37&gt;$G$13+$G$14,XX,AZ37+1)</f>
        <v>2017</v>
      </c>
      <c r="BA38" s="503"/>
      <c r="BB38" s="555">
        <f t="shared" si="17"/>
        <v>46.108134230901292</v>
      </c>
      <c r="BD38" s="555">
        <f t="shared" si="18"/>
        <v>7.0104280961992504</v>
      </c>
      <c r="BF38" s="558">
        <f t="shared" si="10"/>
        <v>4551.5702430505562</v>
      </c>
      <c r="BH38" s="563"/>
    </row>
    <row r="39" spans="2:60" ht="12">
      <c r="B39" s="526"/>
      <c r="C39">
        <f>+IF(C38&gt;$G$13+$G$14,XX,C38+1)</f>
        <v>2018</v>
      </c>
      <c r="E39" s="549">
        <v>1.7999999999999999E-2</v>
      </c>
      <c r="G39" s="475">
        <v>393129.55527784419</v>
      </c>
      <c r="I39" s="553">
        <f t="shared" si="11"/>
        <v>221.54522323220371</v>
      </c>
      <c r="K39" s="553">
        <f t="shared" si="12"/>
        <v>20.615772641267487</v>
      </c>
      <c r="M39" s="553">
        <f t="shared" si="13"/>
        <v>0</v>
      </c>
      <c r="O39" s="552">
        <v>6.2240589269115922</v>
      </c>
      <c r="Q39" s="553">
        <v>0</v>
      </c>
      <c r="S39" s="475">
        <f t="shared" si="0"/>
        <v>41656.480389931887</v>
      </c>
      <c r="U39" s="475">
        <f t="shared" si="1"/>
        <v>30920.869064602433</v>
      </c>
      <c r="W39" s="475">
        <f t="shared" si="2"/>
        <v>10735.611325329453</v>
      </c>
      <c r="Y39" s="554">
        <f t="shared" si="20"/>
        <v>27.308074860314338</v>
      </c>
      <c r="Z39" s="516"/>
      <c r="AB39" s="544">
        <f>+IF(AB38&gt;$G$13+$G$14,XX,AB38+1)</f>
        <v>2018</v>
      </c>
      <c r="AC39" s="503"/>
      <c r="AD39" s="488">
        <f t="shared" si="4"/>
        <v>393129.55527784419</v>
      </c>
      <c r="AF39" s="555">
        <f t="shared" si="19"/>
        <v>69.659317028699391</v>
      </c>
      <c r="AH39" s="555">
        <f t="shared" si="14"/>
        <v>9.820841015614457</v>
      </c>
      <c r="AJ39" s="555">
        <f t="shared" si="15"/>
        <v>2.760692848263147</v>
      </c>
      <c r="AL39" s="558">
        <f t="shared" si="5"/>
        <v>8416.4802389646375</v>
      </c>
      <c r="AN39" s="724">
        <f>INDEX('(2.2)_Forward_Price_Curve'!$K:$K,MATCH($AB39,'(2.2)_Forward_Price_Curve'!$C:$C,0),1)</f>
        <v>9.1071488375904099</v>
      </c>
      <c r="AP39" s="555">
        <f t="shared" si="6"/>
        <v>66.172737715275218</v>
      </c>
      <c r="AR39" s="555">
        <f t="shared" si="16"/>
        <v>2.85765434945665</v>
      </c>
      <c r="AS39" s="555"/>
      <c r="AT39" s="558">
        <f t="shared" si="7"/>
        <v>3782.9817315391711</v>
      </c>
      <c r="AV39" s="558">
        <f t="shared" si="8"/>
        <v>27137.887333063263</v>
      </c>
      <c r="AW39" s="560"/>
      <c r="AX39" s="561">
        <f t="shared" si="9"/>
        <v>30920.869064602433</v>
      </c>
      <c r="AZ39" s="544">
        <f>+IF(AZ38&gt;$G$13+$G$14,XX,AZ38+1)</f>
        <v>2018</v>
      </c>
      <c r="BA39" s="503"/>
      <c r="BB39" s="555">
        <f t="shared" si="17"/>
        <v>46.938080647057518</v>
      </c>
      <c r="BD39" s="555">
        <f t="shared" si="18"/>
        <v>7.1366158019308372</v>
      </c>
      <c r="BF39" s="558">
        <f t="shared" si="10"/>
        <v>4633.4985074254664</v>
      </c>
      <c r="BH39" s="563"/>
    </row>
    <row r="40" spans="2:60" ht="12">
      <c r="B40" s="526"/>
      <c r="C40" s="610">
        <f>+IF(C39&gt;$G$13+$G$14,XX,C39+1)</f>
        <v>2019</v>
      </c>
      <c r="E40" s="399">
        <f>'(2.2)_Forward_Price_Curve'!O31</f>
        <v>2.3E-2</v>
      </c>
      <c r="G40" s="611">
        <v>378735</v>
      </c>
      <c r="I40" s="612">
        <v>241.06168013233008</v>
      </c>
      <c r="K40" s="613">
        <v>40.582033593180896</v>
      </c>
      <c r="M40" s="553">
        <f t="shared" si="13"/>
        <v>0</v>
      </c>
      <c r="O40" s="613">
        <f>'(2.2)_Forward_Price_Curve'!Y31</f>
        <v>1.1100000000000001</v>
      </c>
      <c r="Q40" s="613">
        <v>-12.744310678308612</v>
      </c>
      <c r="S40" s="475">
        <f t="shared" si="0"/>
        <v>44808.575728743301</v>
      </c>
      <c r="U40" s="475">
        <f t="shared" si="1"/>
        <v>13110.678890876006</v>
      </c>
      <c r="W40" s="475">
        <f t="shared" si="2"/>
        <v>31697.896837867294</v>
      </c>
      <c r="Y40" s="554">
        <f t="shared" si="20"/>
        <v>83.694131352706492</v>
      </c>
      <c r="Z40" s="516"/>
      <c r="AB40" s="429">
        <f>+IF(AB39&gt;$G$13+$G$14,XX,AB39+1)</f>
        <v>2019</v>
      </c>
      <c r="AC40" s="503"/>
      <c r="AD40" s="488">
        <f>G40</f>
        <v>378735</v>
      </c>
      <c r="AF40" s="445">
        <f>AR15*AR16</f>
        <v>98.875745606933918</v>
      </c>
      <c r="AH40" s="445">
        <f>AV11</f>
        <v>19.805241420865066</v>
      </c>
      <c r="AJ40" s="445">
        <f>AV13</f>
        <v>2.02116486562735</v>
      </c>
      <c r="AL40" s="558">
        <f>((AF40+AH40)*$AF$11*1000+AJ40*AD40)/1000</f>
        <v>11712.501422040452</v>
      </c>
      <c r="AN40" s="445">
        <f>INDEX('(2.2)_Forward_Price_Curve'!$G:$G,MATCH($AB40,'(2.2)_Forward_Price_Curve'!$C:$C,0),1)</f>
        <v>2.6163124999999998</v>
      </c>
      <c r="AP40" s="555">
        <f t="shared" si="6"/>
        <v>19.010182432628689</v>
      </c>
      <c r="AR40" s="445">
        <f>AV15</f>
        <v>0</v>
      </c>
      <c r="AS40" s="555"/>
      <c r="AT40" s="558">
        <f>AL40-BF40</f>
        <v>5910.8574472543796</v>
      </c>
      <c r="AV40" s="558">
        <f t="shared" si="8"/>
        <v>7199.8214436216258</v>
      </c>
      <c r="AW40" s="560"/>
      <c r="AX40" s="561">
        <f t="shared" si="9"/>
        <v>13110.678890876006</v>
      </c>
      <c r="AZ40" s="429">
        <f>+IF(AZ39&gt;$G$13+$G$14,XX,AZ39+1)</f>
        <v>2019</v>
      </c>
      <c r="BA40" s="503"/>
      <c r="BB40" s="445">
        <f>BK14*BK15</f>
        <v>51.737400000000001</v>
      </c>
      <c r="BD40" s="445">
        <f>BI16</f>
        <v>15.97</v>
      </c>
      <c r="BF40" s="558">
        <f>(BB40+BD40)*$BD$11</f>
        <v>5801.6439747860722</v>
      </c>
      <c r="BH40" s="563"/>
    </row>
    <row r="41" spans="2:60" ht="12">
      <c r="B41" s="526"/>
      <c r="C41" s="614">
        <f>+IF(C40&gt;$I$13+$I$14,XX,C40+1)</f>
        <v>2020</v>
      </c>
      <c r="E41" s="400">
        <f>'(2.2)_Forward_Price_Curve'!O32</f>
        <v>2.5999999999999999E-2</v>
      </c>
      <c r="G41" s="624">
        <v>463645</v>
      </c>
      <c r="I41" s="625">
        <v>292.88738030770497</v>
      </c>
      <c r="K41" s="625">
        <v>54.098797552361106</v>
      </c>
      <c r="M41" s="553">
        <f t="shared" si="13"/>
        <v>0</v>
      </c>
      <c r="O41" s="625">
        <v>0.63</v>
      </c>
      <c r="Q41" s="625">
        <v>-40.290737965156573</v>
      </c>
      <c r="S41" s="475">
        <f>(I41*$G$11*1000+(K41+M41+O41+Q41)*G41)/1000</f>
        <v>47815.522332511224</v>
      </c>
      <c r="U41" s="475">
        <f t="shared" si="1"/>
        <v>15317.730535527939</v>
      </c>
      <c r="W41" s="475">
        <f t="shared" si="2"/>
        <v>32497.791796983285</v>
      </c>
      <c r="Y41" s="554">
        <f t="shared" si="20"/>
        <v>70.091970790115894</v>
      </c>
      <c r="Z41" s="516"/>
      <c r="AB41" s="430">
        <f>+IF(AB40&gt;$I$13+$I$14,XX,AB40+1)</f>
        <v>2020</v>
      </c>
      <c r="AC41" s="503"/>
      <c r="AD41" s="488">
        <f t="shared" ref="AD41:AD70" si="21">G41</f>
        <v>463645</v>
      </c>
      <c r="AF41" s="555">
        <f>AF40*(1+$E41)</f>
        <v>101.4465149927142</v>
      </c>
      <c r="AH41" s="555">
        <f>AH40*(1+$E41)</f>
        <v>20.320177697807559</v>
      </c>
      <c r="AJ41" s="555">
        <f>AJ40*(1+$E41)</f>
        <v>2.0737151521336612</v>
      </c>
      <c r="AL41" s="558">
        <f t="shared" si="5"/>
        <v>12193.105612581172</v>
      </c>
      <c r="AN41" s="724">
        <f>INDEX('(2.2)_Forward_Price_Curve'!$G:$G,MATCH($AB41,'(2.2)_Forward_Price_Curve'!$C:$C,0),1)</f>
        <v>2.6944208333333339</v>
      </c>
      <c r="AP41" s="555">
        <f t="shared" si="6"/>
        <v>19.577719248729689</v>
      </c>
      <c r="AR41" s="555">
        <f>AR40*(1+$E41)</f>
        <v>0</v>
      </c>
      <c r="AS41" s="555"/>
      <c r="AT41" s="558">
        <f t="shared" ref="AT41" si="22">AL41-BF41</f>
        <v>6240.6188944506621</v>
      </c>
      <c r="AV41" s="558">
        <f>(AP41+AR41)*AD41/1000</f>
        <v>9077.1116410772756</v>
      </c>
      <c r="AW41" s="560"/>
      <c r="AX41" s="561">
        <f t="shared" si="9"/>
        <v>15317.730535527939</v>
      </c>
      <c r="AZ41" s="430">
        <f>+IF(AZ40&gt;$I$13+$I$14,XX,AZ40+1)</f>
        <v>2020</v>
      </c>
      <c r="BA41" s="503"/>
      <c r="BB41" s="555">
        <f>BB40*(1+$E41)</f>
        <v>53.082572400000004</v>
      </c>
      <c r="BD41" s="555">
        <f>BD40*(1+$E41)</f>
        <v>16.38522</v>
      </c>
      <c r="BF41" s="558">
        <f t="shared" si="10"/>
        <v>5952.4867181305099</v>
      </c>
      <c r="BH41" s="563"/>
    </row>
    <row r="42" spans="2:60" ht="12">
      <c r="B42" s="526"/>
      <c r="C42" s="614">
        <f>+IF(C41&gt;$I$13+$I$14,XX,C41+1)</f>
        <v>2021</v>
      </c>
      <c r="E42" s="400">
        <f>'(2.2)_Forward_Price_Curve'!O33</f>
        <v>2.4E-2</v>
      </c>
      <c r="G42" s="624">
        <v>463663.00000000006</v>
      </c>
      <c r="I42" s="625">
        <v>298.22264790163047</v>
      </c>
      <c r="K42" s="625">
        <v>51.339463855099709</v>
      </c>
      <c r="M42" s="553">
        <f t="shared" si="13"/>
        <v>0</v>
      </c>
      <c r="O42" s="625">
        <v>0.6399999999999999</v>
      </c>
      <c r="Q42" s="625">
        <v>-41.902367483762823</v>
      </c>
      <c r="S42" s="475">
        <f t="shared" si="0"/>
        <v>46542.836500212099</v>
      </c>
      <c r="U42" s="475">
        <f t="shared" si="1"/>
        <v>16082.202395796601</v>
      </c>
      <c r="W42" s="475">
        <f t="shared" si="2"/>
        <v>30460.634104415498</v>
      </c>
      <c r="Y42" s="554">
        <f t="shared" si="20"/>
        <v>65.695632613375437</v>
      </c>
      <c r="Z42" s="516"/>
      <c r="AB42" s="430">
        <f>+IF(AB41&gt;$I$13+$I$14,XX,AB41+1)</f>
        <v>2021</v>
      </c>
      <c r="AC42" s="503"/>
      <c r="AD42" s="488">
        <f t="shared" si="21"/>
        <v>463663.00000000006</v>
      </c>
      <c r="AF42" s="555">
        <f t="shared" ref="AF42:AF70" si="23">AF41*(1+$E42)</f>
        <v>103.88123135253934</v>
      </c>
      <c r="AH42" s="555">
        <f t="shared" ref="AH42:AH70" si="24">AH41*(1+$E42)</f>
        <v>20.807861962554941</v>
      </c>
      <c r="AJ42" s="555">
        <f t="shared" ref="AJ42:AJ70" si="25">AJ41*(1+$E42)</f>
        <v>2.1234843157848693</v>
      </c>
      <c r="AL42" s="558">
        <f t="shared" si="5"/>
        <v>12485.778370000806</v>
      </c>
      <c r="AN42" s="724">
        <f>INDEX('(2.2)_Forward_Price_Curve'!$G:$G,MATCH($AB42,'(2.2)_Forward_Price_Curve'!$C:$C,0),1)</f>
        <v>2.8767624999999999</v>
      </c>
      <c r="AP42" s="555">
        <f t="shared" si="6"/>
        <v>20.902617688194734</v>
      </c>
      <c r="AR42" s="555">
        <f t="shared" si="16"/>
        <v>0</v>
      </c>
      <c r="AS42" s="555"/>
      <c r="AT42" s="558">
        <f t="shared" si="7"/>
        <v>6390.4319706351644</v>
      </c>
      <c r="AV42" s="558">
        <f t="shared" si="8"/>
        <v>9691.7704251614359</v>
      </c>
      <c r="AW42" s="560"/>
      <c r="AX42" s="561">
        <f t="shared" si="9"/>
        <v>16082.202395796601</v>
      </c>
      <c r="AZ42" s="430">
        <f>+IF(AZ41&gt;$I$13+$I$14,XX,AZ41+1)</f>
        <v>2021</v>
      </c>
      <c r="BA42" s="503"/>
      <c r="BB42" s="555">
        <f t="shared" ref="BB42:BB70" si="26">BB41*(1+$E42)</f>
        <v>54.356554137600007</v>
      </c>
      <c r="BD42" s="555">
        <f t="shared" ref="BD42:BD70" si="27">BD41*(1+$E42)</f>
        <v>16.778465279999999</v>
      </c>
      <c r="BF42" s="558">
        <f t="shared" si="10"/>
        <v>6095.3463993656414</v>
      </c>
      <c r="BH42" s="563"/>
    </row>
    <row r="43" spans="2:60" ht="12">
      <c r="B43" s="526"/>
      <c r="C43" s="614">
        <f>+IF(C42&gt;$I$13+$I$14,XX,C42+1)</f>
        <v>2022</v>
      </c>
      <c r="E43" s="400">
        <f>'(2.2)_Forward_Price_Curve'!O34</f>
        <v>2.3E-2</v>
      </c>
      <c r="G43" s="624">
        <v>463663.00000000006</v>
      </c>
      <c r="I43" s="625">
        <v>303.88887821176144</v>
      </c>
      <c r="K43" s="625">
        <v>40.373586753917238</v>
      </c>
      <c r="M43" s="553">
        <f t="shared" si="13"/>
        <v>0</v>
      </c>
      <c r="O43" s="625">
        <v>0.66</v>
      </c>
      <c r="Q43" s="625">
        <v>-41.902367483762823</v>
      </c>
      <c r="S43" s="475">
        <f t="shared" si="0"/>
        <v>42263.17702138891</v>
      </c>
      <c r="U43" s="475">
        <f t="shared" si="1"/>
        <v>16677.566192783561</v>
      </c>
      <c r="W43" s="475">
        <f t="shared" si="2"/>
        <v>25585.61082860535</v>
      </c>
      <c r="Y43" s="554">
        <f t="shared" si="20"/>
        <v>55.181480576637227</v>
      </c>
      <c r="Z43" s="516"/>
      <c r="AB43" s="430">
        <f>+IF(AB42&gt;$I$13+$I$14,XX,AB42+1)</f>
        <v>2022</v>
      </c>
      <c r="AC43" s="503"/>
      <c r="AD43" s="488">
        <f t="shared" si="21"/>
        <v>463663.00000000006</v>
      </c>
      <c r="AF43" s="555">
        <f t="shared" si="23"/>
        <v>106.27049967364773</v>
      </c>
      <c r="AH43" s="555">
        <f t="shared" si="24"/>
        <v>21.286442787693705</v>
      </c>
      <c r="AJ43" s="555">
        <f t="shared" si="25"/>
        <v>2.1723244550479213</v>
      </c>
      <c r="AL43" s="558">
        <f t="shared" si="5"/>
        <v>12772.951272510823</v>
      </c>
      <c r="AN43" s="724">
        <f>INDEX('(2.2)_Forward_Price_Curve'!$G:$G,MATCH($AB43,'(2.2)_Forward_Price_Curve'!$C:$C,0),1)</f>
        <v>3.0098541666666665</v>
      </c>
      <c r="AP43" s="555">
        <f t="shared" si="6"/>
        <v>21.869664577125601</v>
      </c>
      <c r="AR43" s="555">
        <f t="shared" si="16"/>
        <v>0</v>
      </c>
      <c r="AS43" s="555"/>
      <c r="AT43" s="558">
        <f t="shared" si="7"/>
        <v>6537.4119059597715</v>
      </c>
      <c r="AV43" s="558">
        <f t="shared" si="8"/>
        <v>10140.154286823788</v>
      </c>
      <c r="AW43" s="560"/>
      <c r="AX43" s="561">
        <f t="shared" si="9"/>
        <v>16677.566192783561</v>
      </c>
      <c r="AZ43" s="430">
        <f>+IF(AZ42&gt;$I$13+$I$14,XX,AZ42+1)</f>
        <v>2022</v>
      </c>
      <c r="BA43" s="503"/>
      <c r="BB43" s="555">
        <f t="shared" si="26"/>
        <v>55.606754882764804</v>
      </c>
      <c r="BD43" s="555">
        <f t="shared" si="27"/>
        <v>17.164369981439997</v>
      </c>
      <c r="BF43" s="558">
        <f t="shared" si="10"/>
        <v>6235.5393665510519</v>
      </c>
      <c r="BH43" s="563"/>
    </row>
    <row r="44" spans="2:60" ht="12">
      <c r="B44" s="526"/>
      <c r="C44" s="614">
        <f>+IF(C43&gt;$I$13+$I$14,XX,C43+1)</f>
        <v>2023</v>
      </c>
      <c r="E44" s="400">
        <f>'(2.2)_Forward_Price_Curve'!O35</f>
        <v>2.3E-2</v>
      </c>
      <c r="G44" s="624">
        <v>463663.00000000006</v>
      </c>
      <c r="I44" s="625">
        <v>309.66276689778488</v>
      </c>
      <c r="K44" s="625">
        <v>41.213529578835384</v>
      </c>
      <c r="M44" s="553">
        <f t="shared" si="13"/>
        <v>0</v>
      </c>
      <c r="O44" s="625">
        <v>0.67</v>
      </c>
      <c r="Q44" s="625">
        <v>-43.513997002369095</v>
      </c>
      <c r="S44" s="475">
        <f t="shared" si="0"/>
        <v>42720.665055451092</v>
      </c>
      <c r="U44" s="475">
        <f t="shared" si="1"/>
        <v>18402.070986417599</v>
      </c>
      <c r="W44" s="475">
        <f t="shared" si="2"/>
        <v>24318.594069033494</v>
      </c>
      <c r="Y44" s="554">
        <f t="shared" si="20"/>
        <v>52.448856322444293</v>
      </c>
      <c r="Z44" s="516"/>
      <c r="AB44" s="430">
        <f>+IF(AB43&gt;$I$13+$I$14,XX,AB43+1)</f>
        <v>2023</v>
      </c>
      <c r="AC44" s="503"/>
      <c r="AD44" s="488">
        <f t="shared" si="21"/>
        <v>463663.00000000006</v>
      </c>
      <c r="AF44" s="555">
        <f t="shared" si="23"/>
        <v>108.71472116614163</v>
      </c>
      <c r="AH44" s="555">
        <f t="shared" si="24"/>
        <v>21.776030971810659</v>
      </c>
      <c r="AJ44" s="555">
        <f t="shared" si="25"/>
        <v>2.2222879175140231</v>
      </c>
      <c r="AL44" s="558">
        <f t="shared" si="5"/>
        <v>13066.729151778569</v>
      </c>
      <c r="AN44" s="724">
        <f>INDEX('(2.2)_Forward_Price_Curve'!$G:$G,MATCH($AB44,'(2.2)_Forward_Price_Curve'!$C:$C,0),1)</f>
        <v>3.4771000000000001</v>
      </c>
      <c r="AP44" s="555">
        <f t="shared" si="6"/>
        <v>25.264682768779807</v>
      </c>
      <c r="AR44" s="555">
        <f t="shared" si="16"/>
        <v>0</v>
      </c>
      <c r="AS44" s="555"/>
      <c r="AT44" s="558">
        <f t="shared" si="7"/>
        <v>6687.7723797968447</v>
      </c>
      <c r="AV44" s="558">
        <f t="shared" si="8"/>
        <v>11714.298606620754</v>
      </c>
      <c r="AW44" s="560"/>
      <c r="AX44" s="561">
        <f t="shared" si="9"/>
        <v>18402.070986417599</v>
      </c>
      <c r="AZ44" s="430">
        <f>+IF(AZ43&gt;$I$13+$I$14,XX,AZ43+1)</f>
        <v>2023</v>
      </c>
      <c r="BA44" s="503"/>
      <c r="BB44" s="555">
        <f t="shared" si="26"/>
        <v>56.885710245068388</v>
      </c>
      <c r="BD44" s="555">
        <f t="shared" si="27"/>
        <v>17.559150491013114</v>
      </c>
      <c r="BF44" s="558">
        <f t="shared" si="10"/>
        <v>6378.9567719817242</v>
      </c>
      <c r="BH44" s="563"/>
    </row>
    <row r="45" spans="2:60" ht="12">
      <c r="B45" s="526"/>
      <c r="C45" s="614">
        <f>+IF(C44&gt;$I$13+$I$14,XX,C44+1)</f>
        <v>2024</v>
      </c>
      <c r="E45" s="400">
        <f>'(2.2)_Forward_Price_Curve'!O36</f>
        <v>2.3E-2</v>
      </c>
      <c r="G45" s="624">
        <v>463645</v>
      </c>
      <c r="I45" s="625">
        <v>315.54635946884275</v>
      </c>
      <c r="K45" s="625">
        <v>42.07110674498864</v>
      </c>
      <c r="M45" s="553">
        <f t="shared" si="13"/>
        <v>0</v>
      </c>
      <c r="O45" s="625">
        <v>0.69</v>
      </c>
      <c r="Q45" s="625">
        <v>-43.513997002369095</v>
      </c>
      <c r="S45" s="475">
        <f t="shared" si="0"/>
        <v>43953.635066042356</v>
      </c>
      <c r="U45" s="475">
        <f t="shared" si="1"/>
        <v>20161.27083908768</v>
      </c>
      <c r="W45" s="475">
        <f t="shared" si="2"/>
        <v>23792.364226954676</v>
      </c>
      <c r="Y45" s="554">
        <f t="shared" si="20"/>
        <v>51.315908134358565</v>
      </c>
      <c r="Z45" s="516"/>
      <c r="AB45" s="430">
        <f>+IF(AB44&gt;$I$13+$I$14,XX,AB44+1)</f>
        <v>2024</v>
      </c>
      <c r="AC45" s="503"/>
      <c r="AD45" s="488">
        <f t="shared" si="21"/>
        <v>463645</v>
      </c>
      <c r="AF45" s="555">
        <f t="shared" si="23"/>
        <v>111.21515975296288</v>
      </c>
      <c r="AH45" s="555">
        <f t="shared" si="24"/>
        <v>22.276879684162303</v>
      </c>
      <c r="AJ45" s="555">
        <f t="shared" si="25"/>
        <v>2.2734005396168455</v>
      </c>
      <c r="AL45" s="558">
        <f t="shared" si="5"/>
        <v>13367.223001059763</v>
      </c>
      <c r="AN45" s="724">
        <f>INDEX('(2.2)_Forward_Price_Curve'!$G:$G,MATCH($AB45,'(2.2)_Forward_Price_Curve'!$C:$C,0),1)</f>
        <v>3.9537833333333325</v>
      </c>
      <c r="AP45" s="555">
        <f t="shared" si="6"/>
        <v>28.728274036741947</v>
      </c>
      <c r="AR45" s="555">
        <f t="shared" si="16"/>
        <v>0</v>
      </c>
      <c r="AS45" s="555"/>
      <c r="AT45" s="558">
        <f t="shared" si="7"/>
        <v>6841.5502233224597</v>
      </c>
      <c r="AV45" s="558">
        <f t="shared" si="8"/>
        <v>13319.72061576522</v>
      </c>
      <c r="AW45" s="560"/>
      <c r="AX45" s="561">
        <f t="shared" si="9"/>
        <v>20161.27083908768</v>
      </c>
      <c r="AZ45" s="430">
        <f>+IF(AZ44&gt;$I$13+$I$14,XX,AZ44+1)</f>
        <v>2024</v>
      </c>
      <c r="BA45" s="503"/>
      <c r="BB45" s="555">
        <f t="shared" si="26"/>
        <v>58.194081580704953</v>
      </c>
      <c r="BD45" s="555">
        <f t="shared" si="27"/>
        <v>17.963010952306412</v>
      </c>
      <c r="BF45" s="558">
        <f t="shared" si="10"/>
        <v>6525.6727777373035</v>
      </c>
      <c r="BH45" s="563"/>
    </row>
    <row r="46" spans="2:60" ht="12">
      <c r="B46" s="526"/>
      <c r="C46" s="614">
        <f>+IF(C45&gt;$I$13+$I$14,XX,C45+1)</f>
        <v>2025</v>
      </c>
      <c r="E46" s="400">
        <f>'(2.2)_Forward_Price_Curve'!O37</f>
        <v>2.3E-2</v>
      </c>
      <c r="G46" s="624">
        <v>463663.00000000006</v>
      </c>
      <c r="I46" s="625">
        <v>321.54174029875071</v>
      </c>
      <c r="K46" s="625">
        <v>42.927633323056639</v>
      </c>
      <c r="M46" s="553">
        <f t="shared" si="13"/>
        <v>0</v>
      </c>
      <c r="O46" s="625">
        <v>0.69999999999999984</v>
      </c>
      <c r="Q46" s="625">
        <v>-45.125626520975352</v>
      </c>
      <c r="S46" s="475">
        <f t="shared" si="0"/>
        <v>44449.896317818013</v>
      </c>
      <c r="U46" s="475">
        <f t="shared" si="1"/>
        <v>20840.999168189534</v>
      </c>
      <c r="W46" s="475">
        <f t="shared" si="2"/>
        <v>23608.897149628479</v>
      </c>
      <c r="Y46" s="554">
        <f t="shared" si="20"/>
        <v>50.918225412915149</v>
      </c>
      <c r="Z46" s="516"/>
      <c r="AB46" s="430">
        <f>+IF(AB45&gt;$I$13+$I$14,XX,AB45+1)</f>
        <v>2025</v>
      </c>
      <c r="AC46" s="503"/>
      <c r="AD46" s="488">
        <f t="shared" si="21"/>
        <v>463663.00000000006</v>
      </c>
      <c r="AF46" s="555">
        <f t="shared" si="23"/>
        <v>113.77310842728102</v>
      </c>
      <c r="AH46" s="555">
        <f t="shared" si="24"/>
        <v>22.789247916898034</v>
      </c>
      <c r="AJ46" s="555">
        <f t="shared" si="25"/>
        <v>2.3256887520280327</v>
      </c>
      <c r="AL46" s="558">
        <f t="shared" si="5"/>
        <v>13674.710992481672</v>
      </c>
      <c r="AN46" s="724">
        <f>INDEX('(2.2)_Forward_Price_Curve'!$G:$G,MATCH($AB46,'(2.2)_Forward_Price_Curve'!$C:$C,0),1)</f>
        <v>4.1086708333333339</v>
      </c>
      <c r="AP46" s="555">
        <f t="shared" si="6"/>
        <v>29.853689915591971</v>
      </c>
      <c r="AR46" s="555">
        <f t="shared" si="16"/>
        <v>0</v>
      </c>
      <c r="AS46" s="555"/>
      <c r="AT46" s="558">
        <f t="shared" si="7"/>
        <v>6998.9477408564117</v>
      </c>
      <c r="AV46" s="558">
        <f t="shared" si="8"/>
        <v>13842.051427333123</v>
      </c>
      <c r="AW46" s="560"/>
      <c r="AX46" s="561">
        <f t="shared" si="9"/>
        <v>20840.999168189534</v>
      </c>
      <c r="AZ46" s="430">
        <f>+IF(AZ45&gt;$I$13+$I$14,XX,AZ45+1)</f>
        <v>2025</v>
      </c>
      <c r="BA46" s="503"/>
      <c r="BB46" s="555">
        <f t="shared" si="26"/>
        <v>59.532545457061161</v>
      </c>
      <c r="BD46" s="555">
        <f t="shared" si="27"/>
        <v>18.376160204209459</v>
      </c>
      <c r="BF46" s="558">
        <f t="shared" si="10"/>
        <v>6675.7632516252606</v>
      </c>
      <c r="BH46" s="563"/>
    </row>
    <row r="47" spans="2:60" ht="12">
      <c r="B47" s="526"/>
      <c r="C47" s="614">
        <f>+IF(C46&gt;$I$13+$I$14,XX,C46+1)</f>
        <v>2026</v>
      </c>
      <c r="E47" s="400">
        <f>'(2.2)_Forward_Price_Curve'!O38</f>
        <v>2.1999999999999999E-2</v>
      </c>
      <c r="G47" s="624">
        <v>463663.00000000006</v>
      </c>
      <c r="I47" s="625">
        <v>327.65103336442701</v>
      </c>
      <c r="K47" s="625">
        <v>43.801691768206013</v>
      </c>
      <c r="M47" s="553">
        <f t="shared" si="13"/>
        <v>0</v>
      </c>
      <c r="O47" s="625">
        <v>0.72</v>
      </c>
      <c r="Q47" s="625">
        <v>-46.737256039581631</v>
      </c>
      <c r="S47" s="475">
        <f t="shared" si="0"/>
        <v>44974.929907606718</v>
      </c>
      <c r="U47" s="475">
        <f t="shared" si="1"/>
        <v>21257.181332870412</v>
      </c>
      <c r="W47" s="475">
        <f t="shared" si="2"/>
        <v>23717.748574736306</v>
      </c>
      <c r="Y47" s="554">
        <f t="shared" si="20"/>
        <v>51.152989509053562</v>
      </c>
      <c r="Z47" s="516"/>
      <c r="AB47" s="430">
        <f>+IF(AB46&gt;$I$13+$I$14,XX,AB46+1)</f>
        <v>2026</v>
      </c>
      <c r="AC47" s="503"/>
      <c r="AD47" s="488">
        <f t="shared" si="21"/>
        <v>463663.00000000006</v>
      </c>
      <c r="AF47" s="555">
        <f t="shared" si="23"/>
        <v>116.2761168126812</v>
      </c>
      <c r="AH47" s="555">
        <f t="shared" si="24"/>
        <v>23.29061137106979</v>
      </c>
      <c r="AJ47" s="555">
        <f t="shared" si="25"/>
        <v>2.3768539045726493</v>
      </c>
      <c r="AL47" s="558">
        <f t="shared" si="5"/>
        <v>13975.554634316271</v>
      </c>
      <c r="AN47" s="724">
        <f>INDEX('(2.2)_Forward_Price_Curve'!$G:$G,MATCH($AB47,'(2.2)_Forward_Price_Curve'!$C:$C,0),1)</f>
        <v>4.1864999999999997</v>
      </c>
      <c r="AP47" s="555">
        <f t="shared" si="6"/>
        <v>30.419198300738156</v>
      </c>
      <c r="AR47" s="555">
        <f t="shared" si="16"/>
        <v>0</v>
      </c>
      <c r="AS47" s="555"/>
      <c r="AT47" s="558">
        <f t="shared" si="7"/>
        <v>7152.9245911552553</v>
      </c>
      <c r="AV47" s="558">
        <f t="shared" si="8"/>
        <v>14104.256741715157</v>
      </c>
      <c r="AW47" s="560"/>
      <c r="AX47" s="561">
        <f t="shared" si="9"/>
        <v>21257.181332870412</v>
      </c>
      <c r="AZ47" s="430">
        <f>+IF(AZ46&gt;$I$13+$I$14,XX,AZ46+1)</f>
        <v>2026</v>
      </c>
      <c r="BA47" s="503"/>
      <c r="BB47" s="555">
        <f t="shared" si="26"/>
        <v>60.842261457116507</v>
      </c>
      <c r="BD47" s="555">
        <f t="shared" si="27"/>
        <v>18.780435728702066</v>
      </c>
      <c r="BF47" s="558">
        <f t="shared" si="10"/>
        <v>6822.6300431610161</v>
      </c>
      <c r="BH47" s="563"/>
    </row>
    <row r="48" spans="2:60" ht="12">
      <c r="B48" s="526"/>
      <c r="C48" s="614">
        <f>+IF(C47&gt;$I$13+$I$14,XX,C47+1)</f>
        <v>2027</v>
      </c>
      <c r="E48" s="400">
        <f>'(2.2)_Forward_Price_Curve'!O39</f>
        <v>2.1999999999999999E-2</v>
      </c>
      <c r="G48" s="624">
        <v>463663.00000000006</v>
      </c>
      <c r="I48" s="625">
        <v>333.87640299835107</v>
      </c>
      <c r="K48" s="625">
        <v>44.693642858877489</v>
      </c>
      <c r="M48" s="553">
        <f t="shared" si="13"/>
        <v>0</v>
      </c>
      <c r="O48" s="625">
        <v>0.74</v>
      </c>
      <c r="Q48" s="625">
        <v>-46.737256039581631</v>
      </c>
      <c r="S48" s="475">
        <f t="shared" si="0"/>
        <v>46271.809782763667</v>
      </c>
      <c r="U48" s="475">
        <f t="shared" si="1"/>
        <v>22326.908991412136</v>
      </c>
      <c r="W48" s="475">
        <f t="shared" si="2"/>
        <v>23944.900791351531</v>
      </c>
      <c r="Y48" s="554">
        <f t="shared" si="20"/>
        <v>51.642897516842034</v>
      </c>
      <c r="Z48" s="516"/>
      <c r="AB48" s="430">
        <f>+IF(AB47&gt;$I$13+$I$14,XX,AB47+1)</f>
        <v>2027</v>
      </c>
      <c r="AC48" s="503"/>
      <c r="AD48" s="488">
        <f t="shared" si="21"/>
        <v>463663.00000000006</v>
      </c>
      <c r="AF48" s="555">
        <f t="shared" si="23"/>
        <v>118.83419138256018</v>
      </c>
      <c r="AH48" s="555">
        <f t="shared" si="24"/>
        <v>23.803004821233326</v>
      </c>
      <c r="AJ48" s="555">
        <f t="shared" si="25"/>
        <v>2.4291446904732479</v>
      </c>
      <c r="AL48" s="558">
        <f t="shared" si="5"/>
        <v>14283.016836271228</v>
      </c>
      <c r="AN48" s="724">
        <f>INDEX('(2.2)_Forward_Price_Curve'!$G:$G,MATCH($AB48,'(2.2)_Forward_Price_Curve'!$C:$C,0),1)</f>
        <v>4.4573125000000005</v>
      </c>
      <c r="AP48" s="555">
        <f t="shared" si="6"/>
        <v>32.386927702343002</v>
      </c>
      <c r="AR48" s="555">
        <f t="shared" si="16"/>
        <v>0</v>
      </c>
      <c r="AS48" s="555"/>
      <c r="AT48" s="558">
        <f t="shared" si="7"/>
        <v>7310.2889321606699</v>
      </c>
      <c r="AV48" s="558">
        <f t="shared" si="8"/>
        <v>15016.620059251465</v>
      </c>
      <c r="AW48" s="560"/>
      <c r="AX48" s="561">
        <f t="shared" si="9"/>
        <v>22326.908991412136</v>
      </c>
      <c r="AZ48" s="430">
        <f>+IF(AZ47&gt;$I$13+$I$14,XX,AZ47+1)</f>
        <v>2027</v>
      </c>
      <c r="BA48" s="503"/>
      <c r="BB48" s="555">
        <f t="shared" si="26"/>
        <v>62.180791209173073</v>
      </c>
      <c r="BD48" s="555">
        <f t="shared" si="27"/>
        <v>19.193605314733514</v>
      </c>
      <c r="BF48" s="558">
        <f t="shared" si="10"/>
        <v>6972.7279041105585</v>
      </c>
      <c r="BH48" s="563"/>
    </row>
    <row r="49" spans="2:60" ht="12">
      <c r="B49" s="526"/>
      <c r="C49" s="614">
        <f>+IF(C48&gt;$I$13+$I$14,XX,C48+1)</f>
        <v>2028</v>
      </c>
      <c r="E49" s="400">
        <f>'(2.2)_Forward_Price_Curve'!O40</f>
        <v>2.1999999999999999E-2</v>
      </c>
      <c r="G49" s="624">
        <v>463645</v>
      </c>
      <c r="I49" s="625">
        <v>340.2200546553197</v>
      </c>
      <c r="K49" s="625">
        <v>45.603854837107377</v>
      </c>
      <c r="M49" s="553">
        <f t="shared" si="13"/>
        <v>0</v>
      </c>
      <c r="O49" s="625">
        <v>0.75000000000000011</v>
      </c>
      <c r="Q49" s="625">
        <v>-48.348885558187895</v>
      </c>
      <c r="S49" s="475">
        <f t="shared" si="0"/>
        <v>46841.909654931507</v>
      </c>
      <c r="U49" s="475">
        <f t="shared" si="1"/>
        <v>23013.631574962084</v>
      </c>
      <c r="W49" s="475">
        <f t="shared" si="2"/>
        <v>23828.278079969423</v>
      </c>
      <c r="Y49" s="554">
        <f t="shared" si="20"/>
        <v>51.3933679430802</v>
      </c>
      <c r="Z49" s="516"/>
      <c r="AB49" s="430">
        <f>+IF(AB48&gt;$I$13+$I$14,XX,AB48+1)</f>
        <v>2028</v>
      </c>
      <c r="AC49" s="503"/>
      <c r="AD49" s="488">
        <f t="shared" si="21"/>
        <v>463645</v>
      </c>
      <c r="AF49" s="555">
        <f t="shared" si="23"/>
        <v>121.44854359297651</v>
      </c>
      <c r="AH49" s="555">
        <f t="shared" si="24"/>
        <v>24.326670927300459</v>
      </c>
      <c r="AJ49" s="555">
        <f t="shared" si="25"/>
        <v>2.4825858736636595</v>
      </c>
      <c r="AL49" s="558">
        <f t="shared" si="5"/>
        <v>14597.198520123471</v>
      </c>
      <c r="AN49" s="724">
        <f>INDEX('(2.2)_Forward_Price_Curve'!$G:$G,MATCH($AB49,'(2.2)_Forward_Price_Curve'!$C:$C,0),1)</f>
        <v>4.6136041666666676</v>
      </c>
      <c r="AP49" s="555">
        <f t="shared" si="6"/>
        <v>33.522546286144795</v>
      </c>
      <c r="AR49" s="555">
        <f t="shared" si="16"/>
        <v>0</v>
      </c>
      <c r="AS49" s="555"/>
      <c r="AT49" s="558">
        <f t="shared" si="7"/>
        <v>7471.0706021224796</v>
      </c>
      <c r="AV49" s="558">
        <f t="shared" si="8"/>
        <v>15542.560972839603</v>
      </c>
      <c r="AW49" s="560"/>
      <c r="AX49" s="561">
        <f t="shared" si="9"/>
        <v>23013.631574962084</v>
      </c>
      <c r="AZ49" s="430">
        <f>+IF(AZ48&gt;$I$13+$I$14,XX,AZ48+1)</f>
        <v>2028</v>
      </c>
      <c r="BA49" s="503"/>
      <c r="BB49" s="555">
        <f t="shared" si="26"/>
        <v>63.548768615774883</v>
      </c>
      <c r="BD49" s="555">
        <f t="shared" si="27"/>
        <v>19.615864631657651</v>
      </c>
      <c r="BF49" s="558">
        <f t="shared" si="10"/>
        <v>7126.1279180009915</v>
      </c>
      <c r="BH49" s="563"/>
    </row>
    <row r="50" spans="2:60" ht="12">
      <c r="B50" s="526"/>
      <c r="C50" s="614">
        <f>+IF(C49&gt;$I$13+$I$14,XX,C49+1)</f>
        <v>2029</v>
      </c>
      <c r="E50" s="400">
        <f>'(2.2)_Forward_Price_Curve'!O41</f>
        <v>2.1999999999999999E-2</v>
      </c>
      <c r="G50" s="624">
        <v>463663.00000000006</v>
      </c>
      <c r="I50" s="625">
        <v>346.68423569377069</v>
      </c>
      <c r="K50" s="625">
        <v>46.5119117354906</v>
      </c>
      <c r="M50" s="553">
        <f t="shared" si="13"/>
        <v>0</v>
      </c>
      <c r="O50" s="625">
        <v>0.76999999999999991</v>
      </c>
      <c r="Q50" s="625">
        <v>-48.348885558187895</v>
      </c>
      <c r="S50" s="475">
        <f t="shared" si="0"/>
        <v>48179.750407852109</v>
      </c>
      <c r="U50" s="475">
        <f t="shared" si="1"/>
        <v>23652.197192645996</v>
      </c>
      <c r="W50" s="475">
        <f t="shared" si="2"/>
        <v>24527.553215206113</v>
      </c>
      <c r="Y50" s="554">
        <f t="shared" si="20"/>
        <v>52.899526628620592</v>
      </c>
      <c r="Z50" s="516"/>
      <c r="AB50" s="430">
        <f>+IF(AB49&gt;$I$13+$I$14,XX,AB49+1)</f>
        <v>2029</v>
      </c>
      <c r="AC50" s="503"/>
      <c r="AD50" s="488">
        <f t="shared" si="21"/>
        <v>463663.00000000006</v>
      </c>
      <c r="AF50" s="555">
        <f t="shared" si="23"/>
        <v>124.12041155202199</v>
      </c>
      <c r="AH50" s="555">
        <f t="shared" si="24"/>
        <v>24.861857687701068</v>
      </c>
      <c r="AJ50" s="555">
        <f t="shared" si="25"/>
        <v>2.5372027628842599</v>
      </c>
      <c r="AL50" s="558">
        <f t="shared" si="5"/>
        <v>14918.382557215918</v>
      </c>
      <c r="AN50" s="724">
        <f>INDEX('(2.2)_Forward_Price_Curve'!$G:$G,MATCH($AB50,'(2.2)_Forward_Price_Curve'!$C:$C,0),1)</f>
        <v>4.7541666666666673</v>
      </c>
      <c r="AP50" s="555">
        <f t="shared" si="6"/>
        <v>34.543876409433338</v>
      </c>
      <c r="AR50" s="555">
        <f t="shared" si="16"/>
        <v>0</v>
      </c>
      <c r="AS50" s="555"/>
      <c r="AT50" s="558">
        <f t="shared" si="7"/>
        <v>7635.4798250189051</v>
      </c>
      <c r="AV50" s="558">
        <f t="shared" si="8"/>
        <v>16016.717367627092</v>
      </c>
      <c r="AW50" s="560"/>
      <c r="AX50" s="561">
        <f t="shared" si="9"/>
        <v>23652.197192645996</v>
      </c>
      <c r="AZ50" s="430">
        <f>+IF(AZ49&gt;$I$13+$I$14,XX,AZ49+1)</f>
        <v>2029</v>
      </c>
      <c r="BA50" s="503"/>
      <c r="BB50" s="555">
        <f t="shared" si="26"/>
        <v>64.946841525321929</v>
      </c>
      <c r="BD50" s="555">
        <f t="shared" si="27"/>
        <v>20.04741365355412</v>
      </c>
      <c r="BF50" s="558">
        <f t="shared" si="10"/>
        <v>7282.9027321970134</v>
      </c>
      <c r="BH50" s="563"/>
    </row>
    <row r="51" spans="2:60" ht="12">
      <c r="B51" s="526"/>
      <c r="C51" s="614">
        <f>+IF(C50&gt;$I$13+$I$14,XX,C50+1)</f>
        <v>2030</v>
      </c>
      <c r="E51" s="400">
        <f>'(2.2)_Forward_Price_Curve'!O42</f>
        <v>2.1999999999999999E-2</v>
      </c>
      <c r="G51" s="624">
        <v>463663.00000000006</v>
      </c>
      <c r="I51" s="625">
        <v>353.54294215175867</v>
      </c>
      <c r="K51" s="625">
        <v>47.484606883464636</v>
      </c>
      <c r="M51" s="553">
        <f t="shared" si="13"/>
        <v>0</v>
      </c>
      <c r="O51" s="625">
        <v>0.78</v>
      </c>
      <c r="Q51" s="625">
        <v>0</v>
      </c>
      <c r="S51" s="475">
        <f t="shared" si="0"/>
        <v>72015.941499514782</v>
      </c>
      <c r="U51" s="475">
        <f t="shared" si="1"/>
        <v>24825.356609921451</v>
      </c>
      <c r="W51" s="475">
        <f t="shared" si="2"/>
        <v>47190.58488959333</v>
      </c>
      <c r="Y51" s="554">
        <f t="shared" si="20"/>
        <v>101.77776723524052</v>
      </c>
      <c r="Z51" s="516"/>
      <c r="AB51" s="430">
        <f>+IF(AB50&gt;$I$13+$I$14,XX,AB50+1)</f>
        <v>2030</v>
      </c>
      <c r="AC51" s="503"/>
      <c r="AD51" s="488">
        <f t="shared" si="21"/>
        <v>463663.00000000006</v>
      </c>
      <c r="AF51" s="555">
        <f t="shared" si="23"/>
        <v>126.85106060616648</v>
      </c>
      <c r="AH51" s="555">
        <f t="shared" si="24"/>
        <v>25.408818556830493</v>
      </c>
      <c r="AJ51" s="555">
        <f t="shared" si="25"/>
        <v>2.5930212236677139</v>
      </c>
      <c r="AL51" s="558">
        <f t="shared" si="5"/>
        <v>15246.586973474668</v>
      </c>
      <c r="AN51" s="724">
        <f>INDEX('(2.2)_Forward_Price_Curve'!$G:$G,MATCH($AB51,'(2.2)_Forward_Price_Curve'!$C:$C,0),1)</f>
        <v>5.052529166666667</v>
      </c>
      <c r="AP51" s="555">
        <f t="shared" si="6"/>
        <v>36.711784698697393</v>
      </c>
      <c r="AR51" s="555">
        <f t="shared" si="16"/>
        <v>0</v>
      </c>
      <c r="AS51" s="555"/>
      <c r="AT51" s="558">
        <f t="shared" si="7"/>
        <v>7803.4603811693205</v>
      </c>
      <c r="AV51" s="558">
        <f t="shared" si="8"/>
        <v>17021.896228752132</v>
      </c>
      <c r="AW51" s="560"/>
      <c r="AX51" s="561">
        <f t="shared" si="9"/>
        <v>24825.356609921451</v>
      </c>
      <c r="AZ51" s="430">
        <f>+IF(AZ50&gt;$I$13+$I$14,XX,AZ50+1)</f>
        <v>2030</v>
      </c>
      <c r="BA51" s="503"/>
      <c r="BB51" s="555">
        <f t="shared" si="26"/>
        <v>66.375672038879017</v>
      </c>
      <c r="BD51" s="555">
        <f t="shared" si="27"/>
        <v>20.488456753932311</v>
      </c>
      <c r="BF51" s="558">
        <f t="shared" si="10"/>
        <v>7443.1265923053479</v>
      </c>
      <c r="BH51" s="563"/>
    </row>
    <row r="52" spans="2:60" ht="12">
      <c r="B52" s="526"/>
      <c r="C52" s="614">
        <f>+IF(C51&gt;$I$13+$I$14,XX,C51+1)</f>
        <v>2031</v>
      </c>
      <c r="E52" s="400">
        <f>'(2.2)_Forward_Price_Curve'!O43</f>
        <v>2.1999999999999999E-2</v>
      </c>
      <c r="G52" s="624">
        <v>463663.00000000006</v>
      </c>
      <c r="I52" s="625">
        <v>360.53739815204449</v>
      </c>
      <c r="K52" s="625">
        <v>48.477689986489963</v>
      </c>
      <c r="M52" s="553">
        <f t="shared" si="13"/>
        <v>0</v>
      </c>
      <c r="O52" s="625">
        <v>0.8</v>
      </c>
      <c r="Q52" s="625">
        <v>0</v>
      </c>
      <c r="S52" s="475">
        <f t="shared" si="0"/>
        <v>73467.69227275296</v>
      </c>
      <c r="U52" s="475">
        <f t="shared" si="1"/>
        <v>25459.76286215158</v>
      </c>
      <c r="W52" s="475">
        <f t="shared" si="2"/>
        <v>48007.929410601384</v>
      </c>
      <c r="Y52" s="554">
        <f t="shared" si="20"/>
        <v>103.54056590800081</v>
      </c>
      <c r="Z52" s="516"/>
      <c r="AB52" s="430">
        <f>+IF(AB51&gt;$I$13+$I$14,XX,AB51+1)</f>
        <v>2031</v>
      </c>
      <c r="AC52" s="503"/>
      <c r="AD52" s="488">
        <f t="shared" si="21"/>
        <v>463663.00000000006</v>
      </c>
      <c r="AF52" s="555">
        <f t="shared" si="23"/>
        <v>129.64178393950215</v>
      </c>
      <c r="AH52" s="555">
        <f t="shared" si="24"/>
        <v>25.967812565080763</v>
      </c>
      <c r="AJ52" s="555">
        <f t="shared" si="25"/>
        <v>2.6500676905884037</v>
      </c>
      <c r="AL52" s="558">
        <f t="shared" si="5"/>
        <v>15582.011886891112</v>
      </c>
      <c r="AN52" s="724">
        <f>INDEX('(2.2)_Forward_Price_Curve'!$G:$G,MATCH($AB52,'(2.2)_Forward_Price_Curve'!$C:$C,0),1)</f>
        <v>5.1898791666666666</v>
      </c>
      <c r="AP52" s="555">
        <f t="shared" si="6"/>
        <v>37.709772728461253</v>
      </c>
      <c r="AR52" s="555">
        <f t="shared" si="16"/>
        <v>0</v>
      </c>
      <c r="AS52" s="555"/>
      <c r="AT52" s="558">
        <f t="shared" si="7"/>
        <v>7975.1365095550464</v>
      </c>
      <c r="AV52" s="558">
        <f t="shared" si="8"/>
        <v>17484.626352596533</v>
      </c>
      <c r="AW52" s="560"/>
      <c r="AX52" s="561">
        <f t="shared" si="9"/>
        <v>25459.76286215158</v>
      </c>
      <c r="AZ52" s="430">
        <f>+IF(AZ51&gt;$I$13+$I$14,XX,AZ51+1)</f>
        <v>2031</v>
      </c>
      <c r="BA52" s="503"/>
      <c r="BB52" s="555">
        <f t="shared" si="26"/>
        <v>67.835936823734357</v>
      </c>
      <c r="BD52" s="555">
        <f t="shared" si="27"/>
        <v>20.939202802518821</v>
      </c>
      <c r="BF52" s="558">
        <f t="shared" si="10"/>
        <v>7606.8753773360659</v>
      </c>
      <c r="BH52" s="563"/>
    </row>
    <row r="53" spans="2:60" ht="12">
      <c r="B53" s="526"/>
      <c r="C53" s="614">
        <f>+IF(C52&gt;$I$13+$I$14,XX,C52+1)</f>
        <v>2032</v>
      </c>
      <c r="E53" s="400">
        <f>'(2.2)_Forward_Price_Curve'!O44</f>
        <v>2.1999999999999999E-2</v>
      </c>
      <c r="G53" s="624">
        <v>463645</v>
      </c>
      <c r="I53" s="625">
        <v>79.333732200022737</v>
      </c>
      <c r="K53" s="625">
        <v>22.660584529465428</v>
      </c>
      <c r="M53" s="553">
        <f t="shared" si="13"/>
        <v>0</v>
      </c>
      <c r="O53" s="625">
        <v>0.82</v>
      </c>
      <c r="Q53" s="625">
        <v>0</v>
      </c>
      <c r="S53" s="475">
        <f t="shared" si="0"/>
        <v>22025.11161504719</v>
      </c>
      <c r="U53" s="475">
        <f t="shared" si="1"/>
        <v>26115.588829460627</v>
      </c>
      <c r="W53" s="475">
        <f t="shared" si="2"/>
        <v>-4090.4772144134367</v>
      </c>
      <c r="Y53" s="554">
        <f t="shared" si="20"/>
        <v>-8.8224335739918178</v>
      </c>
      <c r="Z53" s="516"/>
      <c r="AB53" s="430">
        <f>+IF(AB52&gt;$I$13+$I$14,XX,AB52+1)</f>
        <v>2032</v>
      </c>
      <c r="AC53" s="503"/>
      <c r="AD53" s="488">
        <f t="shared" si="21"/>
        <v>463645</v>
      </c>
      <c r="AF53" s="555">
        <f t="shared" si="23"/>
        <v>132.4939031861712</v>
      </c>
      <c r="AH53" s="555">
        <f t="shared" si="24"/>
        <v>26.539104441512539</v>
      </c>
      <c r="AJ53" s="555">
        <f t="shared" si="25"/>
        <v>2.7083691797813487</v>
      </c>
      <c r="AL53" s="558">
        <f t="shared" si="5"/>
        <v>15924.76739775748</v>
      </c>
      <c r="AN53" s="724">
        <f>INDEX('(2.2)_Forward_Price_Curve'!$G:$G,MATCH($AB53,'(2.2)_Forward_Price_Curve'!$C:$C,0),1)</f>
        <v>5.3326874999999996</v>
      </c>
      <c r="AP53" s="555">
        <f t="shared" si="6"/>
        <v>38.747421124654863</v>
      </c>
      <c r="AR53" s="555">
        <f t="shared" si="16"/>
        <v>0</v>
      </c>
      <c r="AS53" s="555"/>
      <c r="AT53" s="558">
        <f t="shared" si="7"/>
        <v>8150.5407621200202</v>
      </c>
      <c r="AV53" s="558">
        <f t="shared" si="8"/>
        <v>17965.048067340605</v>
      </c>
      <c r="AW53" s="560"/>
      <c r="AX53" s="561">
        <f t="shared" si="9"/>
        <v>26115.588829460627</v>
      </c>
      <c r="AZ53" s="430">
        <f>+IF(AZ52&gt;$I$13+$I$14,XX,AZ52+1)</f>
        <v>2032</v>
      </c>
      <c r="BA53" s="503"/>
      <c r="BB53" s="555">
        <f t="shared" si="26"/>
        <v>69.328327433856515</v>
      </c>
      <c r="BD53" s="555">
        <f t="shared" si="27"/>
        <v>21.399865264174235</v>
      </c>
      <c r="BF53" s="558">
        <f t="shared" si="10"/>
        <v>7774.2266356374594</v>
      </c>
      <c r="BH53" s="563"/>
    </row>
    <row r="54" spans="2:60" ht="12">
      <c r="B54" s="526"/>
      <c r="C54" s="614">
        <f>+IF(C53&gt;$I$13+$I$14,XX,C53+1)</f>
        <v>2033</v>
      </c>
      <c r="E54" s="400">
        <f>'(2.2)_Forward_Price_Curve'!O45</f>
        <v>2.1999999999999999E-2</v>
      </c>
      <c r="G54" s="624">
        <v>463663.00000000006</v>
      </c>
      <c r="I54" s="625">
        <v>80.841073111823164</v>
      </c>
      <c r="K54" s="625">
        <v>23.159117389113675</v>
      </c>
      <c r="M54" s="553">
        <f t="shared" si="13"/>
        <v>0</v>
      </c>
      <c r="O54" s="625">
        <v>0.84000000000000008</v>
      </c>
      <c r="Q54" s="625">
        <v>0</v>
      </c>
      <c r="S54" s="475">
        <f t="shared" si="0"/>
        <v>22477.589430888587</v>
      </c>
      <c r="U54" s="475">
        <f t="shared" si="1"/>
        <v>26916.060673867047</v>
      </c>
      <c r="W54" s="475">
        <f t="shared" si="2"/>
        <v>-4438.4712429784595</v>
      </c>
      <c r="Y54" s="554">
        <f t="shared" si="20"/>
        <v>-9.5726233125749918</v>
      </c>
      <c r="Z54" s="516"/>
      <c r="AB54" s="430">
        <f>+IF(AB53&gt;$I$13+$I$14,XX,AB53+1)</f>
        <v>2033</v>
      </c>
      <c r="AC54" s="503"/>
      <c r="AD54" s="488">
        <f t="shared" si="21"/>
        <v>463663.00000000006</v>
      </c>
      <c r="AF54" s="555">
        <f t="shared" si="23"/>
        <v>135.40876905626698</v>
      </c>
      <c r="AH54" s="555">
        <f t="shared" si="24"/>
        <v>27.122964739225814</v>
      </c>
      <c r="AJ54" s="555">
        <f t="shared" si="25"/>
        <v>2.7679533017365383</v>
      </c>
      <c r="AL54" s="558">
        <f t="shared" si="5"/>
        <v>16275.162103667575</v>
      </c>
      <c r="AN54" s="724">
        <f>INDEX('(2.2)_Forward_Price_Curve'!$G:$G,MATCH($AB54,'(2.2)_Forward_Price_Curve'!$C:$C,0),1)</f>
        <v>5.5168416666666671</v>
      </c>
      <c r="AP54" s="555">
        <f t="shared" si="6"/>
        <v>40.085489227781714</v>
      </c>
      <c r="AR54" s="555">
        <f t="shared" si="16"/>
        <v>0</v>
      </c>
      <c r="AS54" s="555"/>
      <c r="AT54" s="558">
        <f t="shared" si="7"/>
        <v>8329.9024820460909</v>
      </c>
      <c r="AV54" s="558">
        <f t="shared" si="8"/>
        <v>18586.158191820956</v>
      </c>
      <c r="AW54" s="560"/>
      <c r="AX54" s="561">
        <f t="shared" si="9"/>
        <v>26916.060673867047</v>
      </c>
      <c r="AZ54" s="430">
        <f>+IF(AZ53&gt;$I$13+$I$14,XX,AZ53+1)</f>
        <v>2033</v>
      </c>
      <c r="BA54" s="503"/>
      <c r="BB54" s="555">
        <f t="shared" si="26"/>
        <v>70.853550637401355</v>
      </c>
      <c r="BD54" s="555">
        <f t="shared" si="27"/>
        <v>21.870662299986069</v>
      </c>
      <c r="BF54" s="558">
        <f t="shared" si="10"/>
        <v>7945.2596216214833</v>
      </c>
      <c r="BH54" s="563"/>
    </row>
    <row r="55" spans="2:60" ht="12">
      <c r="B55" s="526"/>
      <c r="C55" s="614">
        <f>+IF(C54&gt;$I$13+$I$14,XX,C54+1)</f>
        <v>2034</v>
      </c>
      <c r="E55" s="400">
        <f>'(2.2)_Forward_Price_Curve'!O46</f>
        <v>2.1999999999999999E-2</v>
      </c>
      <c r="G55" s="624">
        <v>463663.00000000006</v>
      </c>
      <c r="I55" s="625">
        <v>82.377053500947795</v>
      </c>
      <c r="K55" s="625">
        <v>23.66861797167417</v>
      </c>
      <c r="M55" s="553">
        <f t="shared" si="13"/>
        <v>0</v>
      </c>
      <c r="O55" s="625">
        <v>0.85999999999999988</v>
      </c>
      <c r="Q55" s="625">
        <v>0</v>
      </c>
      <c r="S55" s="475">
        <f t="shared" si="0"/>
        <v>22938.750906133431</v>
      </c>
      <c r="U55" s="475">
        <f t="shared" si="1"/>
        <v>27676.945086719643</v>
      </c>
      <c r="W55" s="475">
        <f t="shared" si="2"/>
        <v>-4738.1941805862116</v>
      </c>
      <c r="Y55" s="554">
        <f t="shared" si="20"/>
        <v>-10.219047412854186</v>
      </c>
      <c r="Z55" s="516"/>
      <c r="AB55" s="430">
        <f>+IF(AB54&gt;$I$13+$I$14,XX,AB54+1)</f>
        <v>2034</v>
      </c>
      <c r="AC55" s="503"/>
      <c r="AD55" s="488">
        <f t="shared" si="21"/>
        <v>463663.00000000006</v>
      </c>
      <c r="AF55" s="555">
        <f t="shared" si="23"/>
        <v>138.38776197550484</v>
      </c>
      <c r="AH55" s="555">
        <f t="shared" si="24"/>
        <v>27.719669963488784</v>
      </c>
      <c r="AJ55" s="555">
        <f t="shared" si="25"/>
        <v>2.8288482743747423</v>
      </c>
      <c r="AL55" s="558">
        <f t="shared" si="5"/>
        <v>16633.215669948262</v>
      </c>
      <c r="AN55" s="724">
        <f>INDEX('(2.2)_Forward_Price_Curve'!$G:$G,MATCH($AB55,'(2.2)_Forward_Price_Curve'!$C:$C,0),1)</f>
        <v>5.688295833333334</v>
      </c>
      <c r="AP55" s="555">
        <f t="shared" si="6"/>
        <v>41.331278860009391</v>
      </c>
      <c r="AR55" s="555">
        <f t="shared" si="16"/>
        <v>0</v>
      </c>
      <c r="AS55" s="555"/>
      <c r="AT55" s="558">
        <f t="shared" si="7"/>
        <v>8513.1603366511063</v>
      </c>
      <c r="AV55" s="558">
        <f t="shared" si="8"/>
        <v>19163.784750068538</v>
      </c>
      <c r="AW55" s="560"/>
      <c r="AX55" s="561">
        <f t="shared" si="9"/>
        <v>27676.945086719643</v>
      </c>
      <c r="AZ55" s="430">
        <f>+IF(AZ54&gt;$I$13+$I$14,XX,AZ54+1)</f>
        <v>2034</v>
      </c>
      <c r="BA55" s="503"/>
      <c r="BB55" s="555">
        <f t="shared" si="26"/>
        <v>72.412328751424184</v>
      </c>
      <c r="BD55" s="555">
        <f t="shared" si="27"/>
        <v>22.351816870585765</v>
      </c>
      <c r="BF55" s="558">
        <f t="shared" si="10"/>
        <v>8120.0553332971558</v>
      </c>
      <c r="BH55" s="563"/>
    </row>
    <row r="56" spans="2:60" ht="12">
      <c r="B56" s="526"/>
      <c r="C56" s="614">
        <f>+IF(C55&gt;$I$13+$I$14,XX,C55+1)</f>
        <v>2035</v>
      </c>
      <c r="E56" s="400">
        <f>'(2.2)_Forward_Price_Curve'!O47</f>
        <v>2.1999999999999999E-2</v>
      </c>
      <c r="G56" s="624">
        <v>463663.00000000006</v>
      </c>
      <c r="I56" s="625">
        <v>83.942217517465807</v>
      </c>
      <c r="K56" s="625">
        <v>24.189327567051002</v>
      </c>
      <c r="M56" s="553">
        <f t="shared" si="13"/>
        <v>0</v>
      </c>
      <c r="O56" s="625">
        <v>0.86999999999999988</v>
      </c>
      <c r="Q56" s="625">
        <v>0</v>
      </c>
      <c r="S56" s="475">
        <f t="shared" si="0"/>
        <v>23404.570337173773</v>
      </c>
      <c r="U56" s="475">
        <f t="shared" si="1"/>
        <v>28395.537625210382</v>
      </c>
      <c r="W56" s="475">
        <f t="shared" si="2"/>
        <v>-4990.9672880366088</v>
      </c>
      <c r="Y56" s="554">
        <f t="shared" si="20"/>
        <v>-10.764212990979674</v>
      </c>
      <c r="Z56" s="516"/>
      <c r="AB56" s="430">
        <f>+IF(AB55&gt;$I$13+$I$14,XX,AB55+1)</f>
        <v>2035</v>
      </c>
      <c r="AC56" s="503"/>
      <c r="AD56" s="488">
        <f t="shared" si="21"/>
        <v>463663.00000000006</v>
      </c>
      <c r="AF56" s="555">
        <f t="shared" si="23"/>
        <v>141.43229273896594</v>
      </c>
      <c r="AH56" s="555">
        <f t="shared" si="24"/>
        <v>28.329502702685538</v>
      </c>
      <c r="AJ56" s="555">
        <f t="shared" si="25"/>
        <v>2.8910829364109865</v>
      </c>
      <c r="AL56" s="558">
        <f t="shared" si="5"/>
        <v>16999.146414687122</v>
      </c>
      <c r="AN56" s="724">
        <f>INDEX('(2.2)_Forward_Price_Curve'!$G:$G,MATCH($AB56,'(2.2)_Forward_Price_Curve'!$C:$C,0),1)</f>
        <v>5.846000000000001</v>
      </c>
      <c r="AP56" s="555">
        <f t="shared" si="6"/>
        <v>42.477160698940715</v>
      </c>
      <c r="AR56" s="555">
        <f t="shared" si="16"/>
        <v>0</v>
      </c>
      <c r="AS56" s="555"/>
      <c r="AT56" s="558">
        <f t="shared" si="7"/>
        <v>8700.4498640574293</v>
      </c>
      <c r="AV56" s="558">
        <f t="shared" si="8"/>
        <v>19695.087761152954</v>
      </c>
      <c r="AW56" s="560"/>
      <c r="AX56" s="561">
        <f t="shared" si="9"/>
        <v>28395.537625210382</v>
      </c>
      <c r="AZ56" s="430">
        <f>+IF(AZ55&gt;$I$13+$I$14,XX,AZ55+1)</f>
        <v>2035</v>
      </c>
      <c r="BA56" s="503"/>
      <c r="BB56" s="555">
        <f t="shared" si="26"/>
        <v>74.005399983955513</v>
      </c>
      <c r="BD56" s="555">
        <f t="shared" si="27"/>
        <v>22.843556841738653</v>
      </c>
      <c r="BF56" s="558">
        <f t="shared" si="10"/>
        <v>8298.6965506296929</v>
      </c>
      <c r="BH56" s="563"/>
    </row>
    <row r="57" spans="2:60" ht="12">
      <c r="B57" s="526"/>
      <c r="C57" s="614">
        <f>+IF(C56&gt;$I$13+$I$14,XX,C56+1)</f>
        <v>2036</v>
      </c>
      <c r="E57" s="400">
        <f>'(2.2)_Forward_Price_Curve'!O48</f>
        <v>2.1999999999999999E-2</v>
      </c>
      <c r="G57" s="624">
        <v>463645</v>
      </c>
      <c r="I57" s="625">
        <v>85.537119650297655</v>
      </c>
      <c r="K57" s="625">
        <v>24.721492773526126</v>
      </c>
      <c r="M57" s="553">
        <f t="shared" si="13"/>
        <v>0</v>
      </c>
      <c r="O57" s="625">
        <v>0.89000000000000024</v>
      </c>
      <c r="Q57" s="625">
        <v>0</v>
      </c>
      <c r="S57" s="475">
        <f t="shared" si="0"/>
        <v>23884.052165883309</v>
      </c>
      <c r="U57" s="475">
        <f t="shared" si="1"/>
        <v>29346.662680169204</v>
      </c>
      <c r="W57" s="475">
        <f t="shared" si="2"/>
        <v>-5462.6105142858942</v>
      </c>
      <c r="Y57" s="554">
        <f t="shared" si="20"/>
        <v>-11.781881642821327</v>
      </c>
      <c r="Z57" s="516"/>
      <c r="AB57" s="430">
        <f>+IF(AB56&gt;$I$13+$I$14,XX,AB56+1)</f>
        <v>2036</v>
      </c>
      <c r="AC57" s="503"/>
      <c r="AD57" s="488">
        <f t="shared" si="21"/>
        <v>463645</v>
      </c>
      <c r="AF57" s="555">
        <f t="shared" si="23"/>
        <v>144.5438031792232</v>
      </c>
      <c r="AH57" s="555">
        <f t="shared" si="24"/>
        <v>28.952751762144619</v>
      </c>
      <c r="AJ57" s="555">
        <f t="shared" si="25"/>
        <v>2.9546867610120282</v>
      </c>
      <c r="AL57" s="558">
        <f t="shared" si="5"/>
        <v>17373.074451448545</v>
      </c>
      <c r="AN57" s="724">
        <f>INDEX('(2.2)_Forward_Price_Curve'!$G:$G,MATCH($AB57,'(2.2)_Forward_Price_Curve'!$C:$C,0),1)</f>
        <v>6.0717541666666675</v>
      </c>
      <c r="AP57" s="555">
        <f t="shared" si="6"/>
        <v>44.117495289422315</v>
      </c>
      <c r="AR57" s="555">
        <f t="shared" si="16"/>
        <v>0</v>
      </c>
      <c r="AS57" s="555"/>
      <c r="AT57" s="558">
        <f t="shared" si="7"/>
        <v>8891.8065767049975</v>
      </c>
      <c r="AV57" s="558">
        <f t="shared" si="8"/>
        <v>20454.856103464208</v>
      </c>
      <c r="AW57" s="560"/>
      <c r="AX57" s="561">
        <f t="shared" si="9"/>
        <v>29346.662680169204</v>
      </c>
      <c r="AZ57" s="430">
        <f>+IF(AZ56&gt;$I$13+$I$14,XX,AZ56+1)</f>
        <v>2036</v>
      </c>
      <c r="BA57" s="503"/>
      <c r="BB57" s="555">
        <f t="shared" si="26"/>
        <v>75.63351878360254</v>
      </c>
      <c r="BD57" s="555">
        <f t="shared" si="27"/>
        <v>23.346115092256905</v>
      </c>
      <c r="BF57" s="558">
        <f t="shared" si="10"/>
        <v>8481.2678747435475</v>
      </c>
      <c r="BH57" s="563"/>
    </row>
    <row r="58" spans="2:60" ht="12">
      <c r="B58" s="526"/>
      <c r="C58" s="614">
        <f>+IF(C57&gt;$I$13+$I$14,XX,C57+1)</f>
        <v>2037</v>
      </c>
      <c r="E58" s="400">
        <f>'(2.2)_Forward_Price_Curve'!O49</f>
        <v>2.1999999999999999E-2</v>
      </c>
      <c r="G58" s="624">
        <v>463645</v>
      </c>
      <c r="I58" s="625">
        <v>87.162324923653316</v>
      </c>
      <c r="K58" s="625">
        <v>25.2653656145437</v>
      </c>
      <c r="M58" s="553">
        <f t="shared" si="13"/>
        <v>0</v>
      </c>
      <c r="O58" s="625">
        <v>0.91000000000000025</v>
      </c>
      <c r="Q58" s="625">
        <v>0</v>
      </c>
      <c r="S58" s="475">
        <f t="shared" si="0"/>
        <v>24373.667809636041</v>
      </c>
      <c r="U58" s="475">
        <f t="shared" si="1"/>
        <v>30109.260630448811</v>
      </c>
      <c r="W58" s="475">
        <f t="shared" si="2"/>
        <v>-5735.5928208127698</v>
      </c>
      <c r="Y58" s="554">
        <f t="shared" si="20"/>
        <v>-12.370656042473811</v>
      </c>
      <c r="Z58" s="516"/>
      <c r="AB58" s="430">
        <f>+IF(AB57&gt;$I$13+$I$14,XX,AB57+1)</f>
        <v>2037</v>
      </c>
      <c r="AC58" s="503"/>
      <c r="AD58" s="488">
        <f t="shared" si="21"/>
        <v>463645</v>
      </c>
      <c r="AF58" s="555">
        <f t="shared" si="23"/>
        <v>147.72376684916611</v>
      </c>
      <c r="AH58" s="555">
        <f t="shared" si="24"/>
        <v>29.589712300911803</v>
      </c>
      <c r="AJ58" s="555">
        <f t="shared" si="25"/>
        <v>3.0196898697542931</v>
      </c>
      <c r="AL58" s="558">
        <f t="shared" si="5"/>
        <v>17755.282089380413</v>
      </c>
      <c r="AN58" s="724">
        <f>INDEX('(2.2)_Forward_Price_Curve'!$G:$G,MATCH($AB58,'(2.2)_Forward_Price_Curve'!$C:$C,0),1)</f>
        <v>6.240054166666666</v>
      </c>
      <c r="AP58" s="555">
        <f t="shared" si="6"/>
        <v>45.340366679369573</v>
      </c>
      <c r="AR58" s="555">
        <f t="shared" si="16"/>
        <v>0</v>
      </c>
      <c r="AS58" s="555"/>
      <c r="AT58" s="558">
        <f t="shared" si="7"/>
        <v>9087.4263213925078</v>
      </c>
      <c r="AV58" s="558">
        <f t="shared" si="8"/>
        <v>21021.834309056303</v>
      </c>
      <c r="AW58" s="560"/>
      <c r="AX58" s="561">
        <f t="shared" si="9"/>
        <v>30109.260630448811</v>
      </c>
      <c r="AZ58" s="430">
        <f>+IF(AZ57&gt;$I$13+$I$14,XX,AZ57+1)</f>
        <v>2037</v>
      </c>
      <c r="BA58" s="503"/>
      <c r="BB58" s="555">
        <f t="shared" si="26"/>
        <v>77.297456196841793</v>
      </c>
      <c r="BD58" s="555">
        <f t="shared" si="27"/>
        <v>23.859729624286558</v>
      </c>
      <c r="BF58" s="558">
        <f t="shared" si="10"/>
        <v>8667.855767987905</v>
      </c>
      <c r="BH58" s="563"/>
    </row>
    <row r="59" spans="2:60" ht="12">
      <c r="B59" s="526"/>
      <c r="C59" s="614">
        <f>+IF(C58&gt;$I$13+$I$14,XX,C58+1)</f>
        <v>2038</v>
      </c>
      <c r="E59" s="400">
        <f>'(2.2)_Forward_Price_Curve'!O50</f>
        <v>2.1999999999999999E-2</v>
      </c>
      <c r="G59" s="624">
        <v>463645</v>
      </c>
      <c r="I59" s="625">
        <v>88.818409097202718</v>
      </c>
      <c r="K59" s="625">
        <v>25.846469023678203</v>
      </c>
      <c r="M59" s="553">
        <f t="shared" si="13"/>
        <v>0</v>
      </c>
      <c r="O59" s="625">
        <v>0.92999999999999994</v>
      </c>
      <c r="Q59" s="625">
        <v>0</v>
      </c>
      <c r="S59" s="475">
        <f t="shared" si="0"/>
        <v>24884.880617730541</v>
      </c>
      <c r="U59" s="475">
        <f t="shared" si="1"/>
        <v>31388.396535731154</v>
      </c>
      <c r="W59" s="475">
        <f t="shared" si="2"/>
        <v>-6503.5159180006121</v>
      </c>
      <c r="Y59" s="554">
        <f t="shared" si="20"/>
        <v>-14.026929909738296</v>
      </c>
      <c r="Z59" s="516"/>
      <c r="AB59" s="430">
        <f>+IF(AB58&gt;$I$13+$I$14,XX,AB58+1)</f>
        <v>2038</v>
      </c>
      <c r="AC59" s="503"/>
      <c r="AD59" s="488">
        <f t="shared" si="21"/>
        <v>463645</v>
      </c>
      <c r="AF59" s="555">
        <f t="shared" si="23"/>
        <v>150.97368971984775</v>
      </c>
      <c r="AH59" s="555">
        <f t="shared" si="24"/>
        <v>30.240685971531864</v>
      </c>
      <c r="AJ59" s="555">
        <f t="shared" si="25"/>
        <v>3.0861230468888876</v>
      </c>
      <c r="AL59" s="558">
        <f t="shared" si="5"/>
        <v>18145.898295346782</v>
      </c>
      <c r="AN59" s="724">
        <f>INDEX('(2.2)_Forward_Price_Curve'!$G:$G,MATCH($AB59,'(2.2)_Forward_Price_Curve'!$C:$C,0),1)</f>
        <v>6.5604041666666673</v>
      </c>
      <c r="AP59" s="555">
        <f t="shared" si="6"/>
        <v>47.66803661264116</v>
      </c>
      <c r="AR59" s="555">
        <f t="shared" si="16"/>
        <v>0</v>
      </c>
      <c r="AS59" s="555"/>
      <c r="AT59" s="558">
        <f t="shared" si="7"/>
        <v>9287.3497004631427</v>
      </c>
      <c r="AV59" s="558">
        <f t="shared" si="8"/>
        <v>22101.046835268011</v>
      </c>
      <c r="AW59" s="560"/>
      <c r="AX59" s="561">
        <f t="shared" si="9"/>
        <v>31388.396535731154</v>
      </c>
      <c r="AZ59" s="430">
        <f>+IF(AZ58&gt;$I$13+$I$14,XX,AZ58+1)</f>
        <v>2038</v>
      </c>
      <c r="BA59" s="503"/>
      <c r="BB59" s="555">
        <f t="shared" si="26"/>
        <v>78.99800023317232</v>
      </c>
      <c r="BD59" s="555">
        <f t="shared" si="27"/>
        <v>24.384643676020865</v>
      </c>
      <c r="BF59" s="558">
        <f t="shared" si="10"/>
        <v>8858.5485948836395</v>
      </c>
      <c r="BH59" s="563"/>
    </row>
    <row r="60" spans="2:60" ht="12">
      <c r="B60" s="526"/>
      <c r="C60" s="614">
        <f>+IF(C59&gt;$I$13+$I$14,XX,C59+1)</f>
        <v>2039</v>
      </c>
      <c r="E60" s="400">
        <f>'(2.2)_Forward_Price_Curve'!O51</f>
        <v>2.1999999999999999E-2</v>
      </c>
      <c r="G60" s="624">
        <v>463645</v>
      </c>
      <c r="I60" s="625">
        <v>90.505958870049554</v>
      </c>
      <c r="K60" s="625">
        <v>26.440937811222796</v>
      </c>
      <c r="M60" s="553">
        <f t="shared" si="13"/>
        <v>0</v>
      </c>
      <c r="O60" s="625">
        <v>0.95999999999999985</v>
      </c>
      <c r="Q60" s="625">
        <v>0</v>
      </c>
      <c r="S60" s="475">
        <f t="shared" si="0"/>
        <v>25411.34443683935</v>
      </c>
      <c r="U60" s="475">
        <f t="shared" si="1"/>
        <v>32306.396009566153</v>
      </c>
      <c r="W60" s="475">
        <f t="shared" si="2"/>
        <v>-6895.051572726803</v>
      </c>
      <c r="Y60" s="554">
        <f t="shared" si="20"/>
        <v>-14.871402846416553</v>
      </c>
      <c r="Z60" s="516"/>
      <c r="AB60" s="430">
        <f>+IF(AB59&gt;$I$13+$I$14,XX,AB59+1)</f>
        <v>2039</v>
      </c>
      <c r="AC60" s="503"/>
      <c r="AD60" s="488">
        <f t="shared" si="21"/>
        <v>463645</v>
      </c>
      <c r="AF60" s="555">
        <f t="shared" si="23"/>
        <v>154.29511089368441</v>
      </c>
      <c r="AH60" s="555">
        <f t="shared" si="24"/>
        <v>30.905981062905564</v>
      </c>
      <c r="AJ60" s="555">
        <f t="shared" si="25"/>
        <v>3.154017753920443</v>
      </c>
      <c r="AL60" s="558">
        <f t="shared" si="5"/>
        <v>18545.108057844413</v>
      </c>
      <c r="AN60" s="724">
        <f>INDEX('(2.2)_Forward_Price_Curve'!$G:$G,MATCH($AB60,'(2.2)_Forward_Price_Curve'!$C:$C,0),1)</f>
        <v>6.7722499999999988</v>
      </c>
      <c r="AP60" s="555">
        <f t="shared" si="6"/>
        <v>49.207312956449051</v>
      </c>
      <c r="AR60" s="555">
        <f t="shared" si="16"/>
        <v>0</v>
      </c>
      <c r="AS60" s="555"/>
      <c r="AT60" s="558">
        <f t="shared" si="7"/>
        <v>9491.6713938733337</v>
      </c>
      <c r="AV60" s="558">
        <f t="shared" si="8"/>
        <v>22814.724615692819</v>
      </c>
      <c r="AW60" s="560"/>
      <c r="AX60" s="561">
        <f t="shared" si="9"/>
        <v>32306.396009566153</v>
      </c>
      <c r="AZ60" s="430">
        <f>+IF(AZ59&gt;$I$13+$I$14,XX,AZ59+1)</f>
        <v>2039</v>
      </c>
      <c r="BA60" s="503"/>
      <c r="BB60" s="555">
        <f t="shared" si="26"/>
        <v>80.735956238302109</v>
      </c>
      <c r="BD60" s="555">
        <f t="shared" si="27"/>
        <v>24.921105836893325</v>
      </c>
      <c r="BF60" s="558">
        <f t="shared" si="10"/>
        <v>9053.4366639710788</v>
      </c>
      <c r="BH60" s="563"/>
    </row>
    <row r="61" spans="2:60" ht="12">
      <c r="B61" s="526"/>
      <c r="C61" s="614">
        <f>+IF(C60&gt;$I$13+$I$14,XX,C60+1)</f>
        <v>2040</v>
      </c>
      <c r="E61" s="400">
        <f>'(2.2)_Forward_Price_Curve'!O52</f>
        <v>2.1999999999999999E-2</v>
      </c>
      <c r="G61" s="624">
        <v>463645</v>
      </c>
      <c r="I61" s="625">
        <v>92.22557208858052</v>
      </c>
      <c r="K61" s="625">
        <v>27.049079380880915</v>
      </c>
      <c r="M61" s="553">
        <f t="shared" si="13"/>
        <v>0</v>
      </c>
      <c r="O61" s="625">
        <v>0.9800000000000002</v>
      </c>
      <c r="Q61" s="625">
        <v>0</v>
      </c>
      <c r="S61" s="475">
        <f t="shared" si="0"/>
        <v>25944.012830785236</v>
      </c>
      <c r="U61" s="475">
        <f t="shared" si="1"/>
        <v>33537.758367049741</v>
      </c>
      <c r="W61" s="475">
        <f t="shared" si="2"/>
        <v>-7593.7455362645051</v>
      </c>
      <c r="Y61" s="554">
        <f t="shared" si="20"/>
        <v>-16.378361755792696</v>
      </c>
      <c r="Z61" s="516"/>
      <c r="AB61" s="430">
        <f>+IF(AB60&gt;$I$13+$I$14,XX,AB60+1)</f>
        <v>2040</v>
      </c>
      <c r="AC61" s="503"/>
      <c r="AD61" s="488">
        <f t="shared" si="21"/>
        <v>463645</v>
      </c>
      <c r="AF61" s="555">
        <f t="shared" si="23"/>
        <v>157.68960333334547</v>
      </c>
      <c r="AH61" s="555">
        <f t="shared" si="24"/>
        <v>31.585912646289486</v>
      </c>
      <c r="AJ61" s="555">
        <f t="shared" si="25"/>
        <v>3.223406144506693</v>
      </c>
      <c r="AL61" s="558">
        <f t="shared" si="5"/>
        <v>18953.100435116987</v>
      </c>
      <c r="AN61" s="724">
        <f>INDEX('(2.2)_Forward_Price_Curve'!$G:$G,MATCH($AB61,'(2.2)_Forward_Price_Curve'!$C:$C,0),1)</f>
        <v>7.075779166666667</v>
      </c>
      <c r="AP61" s="555">
        <f t="shared" si="6"/>
        <v>51.412762355921451</v>
      </c>
      <c r="AR61" s="555">
        <f t="shared" si="16"/>
        <v>0</v>
      </c>
      <c r="AS61" s="555"/>
      <c r="AT61" s="558">
        <f t="shared" si="7"/>
        <v>9700.4881645385431</v>
      </c>
      <c r="AV61" s="558">
        <f t="shared" si="8"/>
        <v>23837.270202511201</v>
      </c>
      <c r="AW61" s="560"/>
      <c r="AX61" s="561">
        <f t="shared" si="9"/>
        <v>33537.758367049741</v>
      </c>
      <c r="AZ61" s="430">
        <f>+IF(AZ60&gt;$I$13+$I$14,XX,AZ60+1)</f>
        <v>2040</v>
      </c>
      <c r="BA61" s="503"/>
      <c r="BB61" s="555">
        <f t="shared" si="26"/>
        <v>82.512147275544763</v>
      </c>
      <c r="BD61" s="555">
        <f t="shared" si="27"/>
        <v>25.46937016530498</v>
      </c>
      <c r="BF61" s="558">
        <f t="shared" si="10"/>
        <v>9252.6122705784437</v>
      </c>
      <c r="BH61" s="563"/>
    </row>
    <row r="62" spans="2:60" ht="12">
      <c r="B62" s="526"/>
      <c r="C62" s="614">
        <f>+IF(C61&gt;$I$13+$I$14,XX,C61+1)</f>
        <v>2041</v>
      </c>
      <c r="E62" s="400">
        <f>'(2.2)_Forward_Price_Curve'!O53</f>
        <v>2.1999999999999999E-2</v>
      </c>
      <c r="G62" s="624">
        <v>463645</v>
      </c>
      <c r="I62" s="625">
        <v>93.977857958263527</v>
      </c>
      <c r="K62" s="625">
        <v>27.671208206641182</v>
      </c>
      <c r="M62" s="553">
        <f t="shared" si="13"/>
        <v>0</v>
      </c>
      <c r="O62" s="625">
        <v>1</v>
      </c>
      <c r="Q62" s="625">
        <v>0</v>
      </c>
      <c r="S62" s="475">
        <f t="shared" si="0"/>
        <v>26487.753586308354</v>
      </c>
      <c r="U62" s="475">
        <f t="shared" si="1"/>
        <v>34299.450170009557</v>
      </c>
      <c r="W62" s="475">
        <f t="shared" si="2"/>
        <v>-7811.6965837012031</v>
      </c>
      <c r="Y62" s="554">
        <f t="shared" si="20"/>
        <v>-16.848443493839472</v>
      </c>
      <c r="Z62" s="516"/>
      <c r="AB62" s="430">
        <f>+IF(AB61&gt;$I$13+$I$14,XX,AB61+1)</f>
        <v>2041</v>
      </c>
      <c r="AC62" s="503"/>
      <c r="AD62" s="488">
        <f t="shared" si="21"/>
        <v>463645</v>
      </c>
      <c r="AF62" s="555">
        <f t="shared" si="23"/>
        <v>161.15877460667909</v>
      </c>
      <c r="AH62" s="555">
        <f t="shared" si="24"/>
        <v>32.280802724507858</v>
      </c>
      <c r="AJ62" s="555">
        <f t="shared" si="25"/>
        <v>3.2943210796858402</v>
      </c>
      <c r="AL62" s="558">
        <f t="shared" si="5"/>
        <v>19370.068644689563</v>
      </c>
      <c r="AN62" s="724">
        <f>INDEX('(2.2)_Forward_Price_Curve'!$G:$G,MATCH($AB62,'(2.2)_Forward_Price_Curve'!$C:$C,0),1)</f>
        <v>7.2385291666666687</v>
      </c>
      <c r="AP62" s="555">
        <f t="shared" si="6"/>
        <v>52.59530732748366</v>
      </c>
      <c r="AR62" s="555">
        <f t="shared" si="16"/>
        <v>0</v>
      </c>
      <c r="AS62" s="555"/>
      <c r="AT62" s="558">
        <f t="shared" si="7"/>
        <v>9913.8989041583918</v>
      </c>
      <c r="AV62" s="558">
        <f t="shared" si="8"/>
        <v>24385.551265851162</v>
      </c>
      <c r="AW62" s="560"/>
      <c r="AX62" s="561">
        <f t="shared" si="9"/>
        <v>34299.450170009557</v>
      </c>
      <c r="AZ62" s="430">
        <f>+IF(AZ61&gt;$I$13+$I$14,XX,AZ61+1)</f>
        <v>2041</v>
      </c>
      <c r="BA62" s="503"/>
      <c r="BB62" s="555">
        <f t="shared" si="26"/>
        <v>84.327414515606748</v>
      </c>
      <c r="BD62" s="555">
        <f t="shared" si="27"/>
        <v>26.029696308941691</v>
      </c>
      <c r="BF62" s="558">
        <f t="shared" si="10"/>
        <v>9456.1697405311716</v>
      </c>
      <c r="BH62" s="563"/>
    </row>
    <row r="63" spans="2:60" ht="12">
      <c r="B63" s="526"/>
      <c r="C63" s="614">
        <f>+IF(C62&gt;$I$13+$I$14,XX,C62+1)</f>
        <v>2042</v>
      </c>
      <c r="E63" s="400">
        <f>'(2.2)_Forward_Price_Curve'!O54</f>
        <v>2.1999999999999999E-2</v>
      </c>
      <c r="G63" s="624">
        <v>463645</v>
      </c>
      <c r="I63" s="625">
        <v>95.763437259470535</v>
      </c>
      <c r="K63" s="625">
        <v>28.307645995393926</v>
      </c>
      <c r="M63" s="553">
        <f t="shared" si="13"/>
        <v>0</v>
      </c>
      <c r="O63" s="625">
        <v>1.0199999999999998</v>
      </c>
      <c r="Q63" s="625">
        <v>0</v>
      </c>
      <c r="S63" s="475">
        <f t="shared" si="0"/>
        <v>27042.80301876408</v>
      </c>
      <c r="U63" s="475">
        <f t="shared" si="1"/>
        <v>35078.371955210328</v>
      </c>
      <c r="W63" s="475">
        <f t="shared" si="2"/>
        <v>-8035.5689364462487</v>
      </c>
      <c r="Y63" s="554">
        <f t="shared" si="20"/>
        <v>-17.331296436813183</v>
      </c>
      <c r="Z63" s="516"/>
      <c r="AB63" s="430">
        <f>+IF(AB62&gt;$I$13+$I$14,XX,AB62+1)</f>
        <v>2042</v>
      </c>
      <c r="AC63" s="503"/>
      <c r="AD63" s="488">
        <f t="shared" si="21"/>
        <v>463645</v>
      </c>
      <c r="AF63" s="555">
        <f t="shared" si="23"/>
        <v>164.70426764802602</v>
      </c>
      <c r="AH63" s="555">
        <f t="shared" si="24"/>
        <v>32.990980384447035</v>
      </c>
      <c r="AJ63" s="555">
        <f t="shared" si="25"/>
        <v>3.3667961434389286</v>
      </c>
      <c r="AL63" s="558">
        <f t="shared" si="5"/>
        <v>19796.21015487273</v>
      </c>
      <c r="AN63" s="724">
        <f>INDEX('(2.2)_Forward_Price_Curve'!$G:$G,MATCH($AB63,'(2.2)_Forward_Price_Curve'!$C:$C,0),1)</f>
        <v>7.4050000000000002</v>
      </c>
      <c r="AP63" s="555">
        <f t="shared" si="6"/>
        <v>53.804887953413605</v>
      </c>
      <c r="AR63" s="555">
        <f t="shared" si="16"/>
        <v>0</v>
      </c>
      <c r="AS63" s="555"/>
      <c r="AT63" s="558">
        <f t="shared" si="7"/>
        <v>10132.004680049875</v>
      </c>
      <c r="AV63" s="558">
        <f t="shared" si="8"/>
        <v>24946.36727516045</v>
      </c>
      <c r="AW63" s="560"/>
      <c r="AX63" s="561">
        <f t="shared" si="9"/>
        <v>35078.371955210328</v>
      </c>
      <c r="AZ63" s="430">
        <f>+IF(AZ62&gt;$I$13+$I$14,XX,AZ62+1)</f>
        <v>2042</v>
      </c>
      <c r="BA63" s="503"/>
      <c r="BB63" s="555">
        <f t="shared" si="26"/>
        <v>86.182617634950091</v>
      </c>
      <c r="BD63" s="555">
        <f t="shared" si="27"/>
        <v>26.602349627738409</v>
      </c>
      <c r="BF63" s="558">
        <f t="shared" si="10"/>
        <v>9664.2054748228547</v>
      </c>
      <c r="BH63" s="563"/>
    </row>
    <row r="64" spans="2:60" ht="12">
      <c r="B64" s="526"/>
      <c r="C64" s="614">
        <f>+IF(C63&gt;$I$13+$I$14,XX,C63+1)</f>
        <v>2043</v>
      </c>
      <c r="E64" s="400">
        <f>'(2.2)_Forward_Price_Curve'!O55</f>
        <v>2.3E-2</v>
      </c>
      <c r="G64" s="624">
        <v>463645</v>
      </c>
      <c r="I64" s="625">
        <v>97.582942567400465</v>
      </c>
      <c r="K64" s="625">
        <v>28.958721853287983</v>
      </c>
      <c r="M64" s="553">
        <f t="shared" si="13"/>
        <v>0</v>
      </c>
      <c r="O64" s="625">
        <v>1.05</v>
      </c>
      <c r="Q64" s="625">
        <v>0</v>
      </c>
      <c r="S64" s="475">
        <f t="shared" si="0"/>
        <v>27614.038980130732</v>
      </c>
      <c r="U64" s="475">
        <f t="shared" si="1"/>
        <v>35860.228142905013</v>
      </c>
      <c r="W64" s="475">
        <f t="shared" si="2"/>
        <v>-8246.1891627742807</v>
      </c>
      <c r="Y64" s="554">
        <f t="shared" si="20"/>
        <v>-17.785566894443551</v>
      </c>
      <c r="Z64" s="516"/>
      <c r="AB64" s="430">
        <f>+IF(AB63&gt;$I$13+$I$14,XX,AB63+1)</f>
        <v>2043</v>
      </c>
      <c r="AC64" s="503"/>
      <c r="AD64" s="488">
        <f t="shared" si="21"/>
        <v>463645</v>
      </c>
      <c r="AF64" s="555">
        <f t="shared" si="23"/>
        <v>168.4924658039306</v>
      </c>
      <c r="AH64" s="555">
        <f t="shared" si="24"/>
        <v>33.749772933289314</v>
      </c>
      <c r="AJ64" s="555">
        <f t="shared" si="25"/>
        <v>3.4442324547380236</v>
      </c>
      <c r="AL64" s="558">
        <f t="shared" si="5"/>
        <v>20251.522988434808</v>
      </c>
      <c r="AN64" s="724">
        <f>INDEX('(2.2)_Forward_Price_Curve'!$G:$G,MATCH($AB64,'(2.2)_Forward_Price_Curve'!$C:$C,0),1)</f>
        <v>7.5679100000000004</v>
      </c>
      <c r="AP64" s="555">
        <f t="shared" si="6"/>
        <v>54.988595488388711</v>
      </c>
      <c r="AR64" s="555">
        <f t="shared" si="16"/>
        <v>0</v>
      </c>
      <c r="AS64" s="555"/>
      <c r="AT64" s="558">
        <f t="shared" si="7"/>
        <v>10365.040787691029</v>
      </c>
      <c r="AV64" s="558">
        <f t="shared" si="8"/>
        <v>25495.187355213984</v>
      </c>
      <c r="AW64" s="560"/>
      <c r="AX64" s="561">
        <f t="shared" si="9"/>
        <v>35860.228142905013</v>
      </c>
      <c r="AZ64" s="430">
        <f>+IF(AZ63&gt;$I$13+$I$14,XX,AZ63+1)</f>
        <v>2043</v>
      </c>
      <c r="BA64" s="503"/>
      <c r="BB64" s="555">
        <f t="shared" si="26"/>
        <v>88.164817840553937</v>
      </c>
      <c r="BD64" s="555">
        <f t="shared" si="27"/>
        <v>27.214203669176388</v>
      </c>
      <c r="BF64" s="558">
        <f t="shared" si="10"/>
        <v>9886.4822007437797</v>
      </c>
      <c r="BH64" s="563"/>
    </row>
    <row r="65" spans="2:60" ht="12">
      <c r="B65" s="526"/>
      <c r="C65" s="614">
        <f>+IF(C64&gt;$I$13+$I$14,XX,C64+1)</f>
        <v>2044</v>
      </c>
      <c r="E65" s="400">
        <f>'(2.2)_Forward_Price_Curve'!O56</f>
        <v>2.3E-2</v>
      </c>
      <c r="G65" s="624">
        <v>463645</v>
      </c>
      <c r="I65" s="625">
        <v>99.437018476181066</v>
      </c>
      <c r="K65" s="625">
        <v>29.624772455913604</v>
      </c>
      <c r="M65" s="553">
        <f t="shared" si="13"/>
        <v>0</v>
      </c>
      <c r="O65" s="625">
        <v>1.0700000000000003</v>
      </c>
      <c r="Q65" s="625">
        <v>0</v>
      </c>
      <c r="S65" s="475">
        <f t="shared" si="0"/>
        <v>28192.435169377884</v>
      </c>
      <c r="U65" s="475">
        <f t="shared" si="1"/>
        <v>36659.518202836603</v>
      </c>
      <c r="W65" s="475">
        <f t="shared" si="2"/>
        <v>-8467.083033458719</v>
      </c>
      <c r="Y65" s="554">
        <f t="shared" si="20"/>
        <v>-18.261995780087609</v>
      </c>
      <c r="Z65" s="516"/>
      <c r="AB65" s="430">
        <f>+IF(AB64&gt;$I$13+$I$14,XX,AB64+1)</f>
        <v>2044</v>
      </c>
      <c r="AC65" s="503"/>
      <c r="AD65" s="488">
        <f t="shared" si="21"/>
        <v>463645</v>
      </c>
      <c r="AF65" s="555">
        <f t="shared" si="23"/>
        <v>172.36779251742098</v>
      </c>
      <c r="AH65" s="555">
        <f t="shared" si="24"/>
        <v>34.526017710754964</v>
      </c>
      <c r="AJ65" s="555">
        <f t="shared" si="25"/>
        <v>3.5234498011969979</v>
      </c>
      <c r="AL65" s="558">
        <f t="shared" si="5"/>
        <v>20717.308017168802</v>
      </c>
      <c r="AN65" s="724">
        <f>INDEX('(2.2)_Forward_Price_Curve'!$G:$G,MATCH($AB65,'(2.2)_Forward_Price_Curve'!$C:$C,0),1)</f>
        <v>7.7344040200000004</v>
      </c>
      <c r="AP65" s="555">
        <f t="shared" si="6"/>
        <v>56.198344589133256</v>
      </c>
      <c r="AR65" s="555">
        <f t="shared" si="16"/>
        <v>0</v>
      </c>
      <c r="AS65" s="555"/>
      <c r="AT65" s="558">
        <f t="shared" si="7"/>
        <v>10603.436725807915</v>
      </c>
      <c r="AV65" s="558">
        <f t="shared" si="8"/>
        <v>26056.081477028689</v>
      </c>
      <c r="AW65" s="560"/>
      <c r="AX65" s="561">
        <f t="shared" si="9"/>
        <v>36659.518202836603</v>
      </c>
      <c r="AZ65" s="430">
        <f>+IF(AZ64&gt;$I$13+$I$14,XX,AZ64+1)</f>
        <v>2044</v>
      </c>
      <c r="BA65" s="503"/>
      <c r="BB65" s="555">
        <f t="shared" si="26"/>
        <v>90.192608650886669</v>
      </c>
      <c r="BD65" s="555">
        <f t="shared" si="27"/>
        <v>27.840130353567442</v>
      </c>
      <c r="BF65" s="558">
        <f t="shared" si="10"/>
        <v>10113.871291360887</v>
      </c>
      <c r="BH65" s="563"/>
    </row>
    <row r="66" spans="2:60" ht="12">
      <c r="B66" s="526"/>
      <c r="C66" s="614">
        <f>+IF(C65&gt;$I$13+$I$14,XX,C65+1)</f>
        <v>2045</v>
      </c>
      <c r="E66" s="400">
        <f>'(2.2)_Forward_Price_Curve'!O57</f>
        <v>2.3E-2</v>
      </c>
      <c r="G66" s="624">
        <v>463645</v>
      </c>
      <c r="I66" s="625">
        <v>101.3263218272285</v>
      </c>
      <c r="K66" s="625">
        <v>30.306142222399608</v>
      </c>
      <c r="M66" s="553">
        <f t="shared" si="13"/>
        <v>0</v>
      </c>
      <c r="O66" s="625">
        <v>1.1000000000000001</v>
      </c>
      <c r="Q66" s="625">
        <v>0</v>
      </c>
      <c r="S66" s="475">
        <f t="shared" si="0"/>
        <v>28787.516395247349</v>
      </c>
      <c r="U66" s="475">
        <f t="shared" si="1"/>
        <v>37476.631040024819</v>
      </c>
      <c r="W66" s="475">
        <f t="shared" si="2"/>
        <v>-8689.1146447774699</v>
      </c>
      <c r="Y66" s="554">
        <f t="shared" si="20"/>
        <v>-18.740878570409407</v>
      </c>
      <c r="Z66" s="516"/>
      <c r="AB66" s="430">
        <f>+IF(AB65&gt;$I$13+$I$14,XX,AB65+1)</f>
        <v>2045</v>
      </c>
      <c r="AC66" s="503"/>
      <c r="AD66" s="488">
        <f t="shared" si="21"/>
        <v>463645</v>
      </c>
      <c r="AF66" s="555">
        <f t="shared" si="23"/>
        <v>176.33225174532166</v>
      </c>
      <c r="AH66" s="555">
        <f t="shared" si="24"/>
        <v>35.320116118102327</v>
      </c>
      <c r="AJ66" s="555">
        <f t="shared" si="25"/>
        <v>3.6044891466245286</v>
      </c>
      <c r="AL66" s="558">
        <f t="shared" si="5"/>
        <v>21193.806101563685</v>
      </c>
      <c r="AN66" s="724">
        <f>INDEX('(2.2)_Forward_Price_Curve'!$G:$G,MATCH($AB66,'(2.2)_Forward_Price_Curve'!$C:$C,0),1)</f>
        <v>7.9045609084400006</v>
      </c>
      <c r="AP66" s="555">
        <f t="shared" si="6"/>
        <v>57.43470817009419</v>
      </c>
      <c r="AR66" s="555">
        <f t="shared" si="16"/>
        <v>0</v>
      </c>
      <c r="AS66" s="555"/>
      <c r="AT66" s="558">
        <f t="shared" si="7"/>
        <v>10847.315770501498</v>
      </c>
      <c r="AV66" s="558">
        <f t="shared" si="8"/>
        <v>26629.315269523318</v>
      </c>
      <c r="AW66" s="560"/>
      <c r="AX66" s="561">
        <f t="shared" si="9"/>
        <v>37476.631040024819</v>
      </c>
      <c r="AZ66" s="430">
        <f>+IF(AZ65&gt;$I$13+$I$14,XX,AZ65+1)</f>
        <v>2045</v>
      </c>
      <c r="BA66" s="503"/>
      <c r="BB66" s="555">
        <f t="shared" si="26"/>
        <v>92.267038649857056</v>
      </c>
      <c r="BD66" s="555">
        <f t="shared" si="27"/>
        <v>28.480453351699492</v>
      </c>
      <c r="BF66" s="558">
        <f t="shared" si="10"/>
        <v>10346.490331062187</v>
      </c>
      <c r="BH66" s="563"/>
    </row>
    <row r="67" spans="2:60" ht="12">
      <c r="B67" s="526"/>
      <c r="C67" s="614">
        <f>+IF(C66&gt;$I$13+$I$14,XX,C66+1)</f>
        <v>2046</v>
      </c>
      <c r="E67" s="400">
        <f>'(2.2)_Forward_Price_Curve'!O58</f>
        <v>2.3E-2</v>
      </c>
      <c r="G67" s="624">
        <v>463645</v>
      </c>
      <c r="I67" s="625">
        <v>103.25152194194582</v>
      </c>
      <c r="K67" s="625">
        <v>31.003183493514797</v>
      </c>
      <c r="M67" s="553">
        <f t="shared" si="13"/>
        <v>0</v>
      </c>
      <c r="O67" s="625">
        <v>1.1200000000000001</v>
      </c>
      <c r="Q67" s="625">
        <v>0</v>
      </c>
      <c r="S67" s="475">
        <f t="shared" si="0"/>
        <v>29390.267091499856</v>
      </c>
      <c r="U67" s="475">
        <f t="shared" si="1"/>
        <v>38311.964238675864</v>
      </c>
      <c r="W67" s="475">
        <f t="shared" si="2"/>
        <v>-8921.697147176008</v>
      </c>
      <c r="Y67" s="554">
        <f t="shared" si="20"/>
        <v>-19.242517760735065</v>
      </c>
      <c r="Z67" s="516"/>
      <c r="AB67" s="430">
        <f>+IF(AB66&gt;$I$13+$I$14,XX,AB66+1)</f>
        <v>2046</v>
      </c>
      <c r="AC67" s="503"/>
      <c r="AD67" s="488">
        <f t="shared" si="21"/>
        <v>463645</v>
      </c>
      <c r="AF67" s="555">
        <f t="shared" si="23"/>
        <v>180.38789353546403</v>
      </c>
      <c r="AH67" s="555">
        <f t="shared" si="24"/>
        <v>36.13247878881868</v>
      </c>
      <c r="AJ67" s="555">
        <f t="shared" si="25"/>
        <v>3.6873923969968923</v>
      </c>
      <c r="AL67" s="558">
        <f t="shared" si="5"/>
        <v>21681.263641899644</v>
      </c>
      <c r="AN67" s="724">
        <f>INDEX('(2.2)_Forward_Price_Curve'!$G:$G,MATCH($AB67,'(2.2)_Forward_Price_Curve'!$C:$C,0),1)</f>
        <v>8.0784612484256808</v>
      </c>
      <c r="AP67" s="555">
        <f t="shared" si="6"/>
        <v>58.698271749836266</v>
      </c>
      <c r="AR67" s="555">
        <f t="shared" si="16"/>
        <v>0</v>
      </c>
      <c r="AS67" s="555"/>
      <c r="AT67" s="558">
        <f t="shared" si="7"/>
        <v>11096.804033223028</v>
      </c>
      <c r="AV67" s="558">
        <f t="shared" si="8"/>
        <v>27215.160205452838</v>
      </c>
      <c r="AW67" s="560"/>
      <c r="AX67" s="561">
        <f t="shared" si="9"/>
        <v>38311.964238675864</v>
      </c>
      <c r="AZ67" s="430">
        <f>+IF(AZ66&gt;$I$13+$I$14,XX,AZ66+1)</f>
        <v>2046</v>
      </c>
      <c r="BA67" s="503"/>
      <c r="BB67" s="555">
        <f t="shared" si="26"/>
        <v>94.389180538803757</v>
      </c>
      <c r="BD67" s="555">
        <f t="shared" si="27"/>
        <v>29.135503778788578</v>
      </c>
      <c r="BF67" s="558">
        <f t="shared" si="10"/>
        <v>10584.459608676616</v>
      </c>
      <c r="BH67" s="563"/>
    </row>
    <row r="68" spans="2:60" ht="12">
      <c r="B68" s="526"/>
      <c r="C68" s="614">
        <f>+IF(C67&gt;$I$13+$I$14,XX,C67+1)</f>
        <v>2047</v>
      </c>
      <c r="E68" s="400">
        <f>'(2.2)_Forward_Price_Curve'!O59</f>
        <v>2.1999999999999999E-2</v>
      </c>
      <c r="G68" s="624">
        <v>463645</v>
      </c>
      <c r="I68" s="625">
        <v>105.21330085884279</v>
      </c>
      <c r="K68" s="625">
        <v>31.716256713865636</v>
      </c>
      <c r="M68" s="553">
        <f t="shared" si="13"/>
        <v>0</v>
      </c>
      <c r="O68" s="625">
        <v>1.1499999999999997</v>
      </c>
      <c r="Q68" s="625">
        <v>0</v>
      </c>
      <c r="S68" s="475">
        <f t="shared" si="0"/>
        <v>30010.22303468176</v>
      </c>
      <c r="U68" s="475">
        <f t="shared" si="1"/>
        <v>39154.827451926736</v>
      </c>
      <c r="W68" s="475">
        <f t="shared" si="2"/>
        <v>-9144.6044172449765</v>
      </c>
      <c r="Y68" s="554">
        <f t="shared" si="20"/>
        <v>-19.723289191612068</v>
      </c>
      <c r="Z68" s="516"/>
      <c r="AB68" s="430">
        <f>+IF(AB67&gt;$I$13+$I$14,XX,AB67+1)</f>
        <v>2047</v>
      </c>
      <c r="AC68" s="503"/>
      <c r="AD68" s="488">
        <f t="shared" si="21"/>
        <v>463645</v>
      </c>
      <c r="AF68" s="555">
        <f t="shared" si="23"/>
        <v>184.35642719324423</v>
      </c>
      <c r="AH68" s="555">
        <f t="shared" si="24"/>
        <v>36.927393322172691</v>
      </c>
      <c r="AJ68" s="555">
        <f t="shared" si="25"/>
        <v>3.7685150297308239</v>
      </c>
      <c r="AL68" s="558">
        <f t="shared" si="5"/>
        <v>22158.251442021436</v>
      </c>
      <c r="AN68" s="724">
        <f>INDEX('(2.2)_Forward_Price_Curve'!$G:$G,MATCH($AB68,'(2.2)_Forward_Price_Curve'!$C:$C,0),1)</f>
        <v>8.2561873958910468</v>
      </c>
      <c r="AP68" s="555">
        <f t="shared" si="6"/>
        <v>59.98963372833267</v>
      </c>
      <c r="AR68" s="555">
        <f t="shared" si="16"/>
        <v>0</v>
      </c>
      <c r="AS68" s="555"/>
      <c r="AT68" s="558">
        <f t="shared" si="7"/>
        <v>11340.933721953936</v>
      </c>
      <c r="AV68" s="558">
        <f t="shared" si="8"/>
        <v>27813.893729972802</v>
      </c>
      <c r="AW68" s="560"/>
      <c r="AX68" s="561">
        <f t="shared" si="9"/>
        <v>39154.827451926736</v>
      </c>
      <c r="AZ68" s="430">
        <f>+IF(AZ67&gt;$I$13+$I$14,XX,AZ67+1)</f>
        <v>2047</v>
      </c>
      <c r="BA68" s="503"/>
      <c r="BB68" s="555">
        <f t="shared" si="26"/>
        <v>96.465742510657435</v>
      </c>
      <c r="BD68" s="555">
        <f t="shared" si="27"/>
        <v>29.776484861921929</v>
      </c>
      <c r="BF68" s="558">
        <f t="shared" si="10"/>
        <v>10817.3177200675</v>
      </c>
      <c r="BH68" s="563"/>
    </row>
    <row r="69" spans="2:60" ht="12">
      <c r="B69" s="526"/>
      <c r="C69" s="614">
        <f>+IF(C68&gt;$I$13+$I$14,XX,C68+1)</f>
        <v>2048</v>
      </c>
      <c r="E69" s="400">
        <f>'(2.2)_Forward_Price_Curve'!O60</f>
        <v>2.1999999999999999E-2</v>
      </c>
      <c r="G69" s="624">
        <v>463645</v>
      </c>
      <c r="I69" s="625">
        <v>107.21235357516082</v>
      </c>
      <c r="K69" s="625">
        <v>32.445730618284543</v>
      </c>
      <c r="M69" s="553"/>
      <c r="O69" s="625">
        <v>1.17</v>
      </c>
      <c r="Q69" s="625">
        <v>0</v>
      </c>
      <c r="S69" s="475">
        <f t="shared" si="0"/>
        <v>30638.379864467115</v>
      </c>
      <c r="U69" s="475">
        <f t="shared" si="1"/>
        <v>40016.233655869131</v>
      </c>
      <c r="W69" s="475">
        <f t="shared" si="2"/>
        <v>-9377.8537914020162</v>
      </c>
      <c r="Y69" s="554">
        <f t="shared" si="20"/>
        <v>-20.22636670599708</v>
      </c>
      <c r="Z69" s="516"/>
      <c r="AB69" s="430">
        <f>+IF(AB68&gt;$I$13+$I$14,XX,AB68+1)</f>
        <v>2048</v>
      </c>
      <c r="AC69" s="503"/>
      <c r="AD69" s="488">
        <f t="shared" si="21"/>
        <v>463645</v>
      </c>
      <c r="AF69" s="555">
        <f t="shared" si="23"/>
        <v>188.4122685914956</v>
      </c>
      <c r="AH69" s="555">
        <f t="shared" si="24"/>
        <v>37.739795975260492</v>
      </c>
      <c r="AJ69" s="555">
        <f t="shared" si="25"/>
        <v>3.8514223603849023</v>
      </c>
      <c r="AL69" s="558">
        <f t="shared" si="5"/>
        <v>22645.732973745911</v>
      </c>
      <c r="AN69" s="724">
        <f>INDEX('(2.2)_Forward_Price_Curve'!$G:$G,MATCH($AB69,'(2.2)_Forward_Price_Curve'!$C:$C,0),1)</f>
        <v>8.4378235186006503</v>
      </c>
      <c r="AP69" s="555">
        <f t="shared" si="6"/>
        <v>61.309405670356</v>
      </c>
      <c r="AR69" s="555">
        <f t="shared" si="16"/>
        <v>0</v>
      </c>
      <c r="AS69" s="555"/>
      <c r="AT69" s="558">
        <f t="shared" si="7"/>
        <v>11590.434263836925</v>
      </c>
      <c r="AV69" s="558">
        <f t="shared" si="8"/>
        <v>28425.799392032208</v>
      </c>
      <c r="AW69" s="560"/>
      <c r="AX69" s="561">
        <f t="shared" si="9"/>
        <v>40016.233655869131</v>
      </c>
      <c r="AZ69" s="430">
        <f>+IF(AZ68&gt;$I$13+$I$14,XX,AZ68+1)</f>
        <v>2048</v>
      </c>
      <c r="BA69" s="503"/>
      <c r="BB69" s="555">
        <f t="shared" si="26"/>
        <v>98.5879888458919</v>
      </c>
      <c r="BD69" s="555">
        <f t="shared" si="27"/>
        <v>30.431567528884212</v>
      </c>
      <c r="BF69" s="558">
        <f t="shared" si="10"/>
        <v>11055.298709908986</v>
      </c>
      <c r="BH69" s="563"/>
    </row>
    <row r="70" spans="2:60" ht="12">
      <c r="B70" s="526"/>
      <c r="C70" s="614">
        <f>+IF(C69&gt;$I$13+$I$14,XX,C69+1)</f>
        <v>2049</v>
      </c>
      <c r="E70" s="400">
        <f>'(2.2)_Forward_Price_Curve'!O61</f>
        <v>2.1999999999999999E-2</v>
      </c>
      <c r="G70" s="624">
        <v>346783.65778688522</v>
      </c>
      <c r="I70" s="625">
        <v>81.937041219816663</v>
      </c>
      <c r="K70" s="625">
        <v>24.893986816878815</v>
      </c>
      <c r="M70" s="553"/>
      <c r="O70" s="625">
        <v>1.2000000000000002</v>
      </c>
      <c r="Q70" s="625">
        <v>0</v>
      </c>
      <c r="S70" s="475">
        <f t="shared" si="0"/>
        <v>20552.928781862258</v>
      </c>
      <c r="U70" s="475">
        <f t="shared" si="1"/>
        <v>33114.283772793329</v>
      </c>
      <c r="W70" s="475">
        <f t="shared" si="2"/>
        <v>-12561.354990931071</v>
      </c>
      <c r="Y70" s="554">
        <f t="shared" si="20"/>
        <v>-36.222453708157758</v>
      </c>
      <c r="Z70" s="516"/>
      <c r="AB70" s="430">
        <f>+IF(AB69&gt;$I$13+$I$14,XX,AB69+1)</f>
        <v>2049</v>
      </c>
      <c r="AC70" s="503"/>
      <c r="AD70" s="488">
        <f t="shared" si="21"/>
        <v>346783.65778688522</v>
      </c>
      <c r="AF70" s="555">
        <f t="shared" si="23"/>
        <v>192.55733850050851</v>
      </c>
      <c r="AH70" s="555">
        <f t="shared" si="24"/>
        <v>38.570071486716223</v>
      </c>
      <c r="AJ70" s="555">
        <f t="shared" si="25"/>
        <v>3.93615365231337</v>
      </c>
      <c r="AL70" s="558">
        <f t="shared" si="5"/>
        <v>22683.954900201923</v>
      </c>
      <c r="AN70" s="724">
        <f>INDEX('(2.2)_Forward_Price_Curve'!$G:$G,MATCH($AB70,'(2.2)_Forward_Price_Curve'!$C:$C,0),1)</f>
        <v>8.6234556360098651</v>
      </c>
      <c r="AP70" s="555">
        <f t="shared" si="6"/>
        <v>62.658212595103834</v>
      </c>
      <c r="AR70" s="555">
        <f t="shared" si="16"/>
        <v>0</v>
      </c>
      <c r="AS70" s="555"/>
      <c r="AT70" s="558">
        <f t="shared" si="7"/>
        <v>11385.439618674938</v>
      </c>
      <c r="AV70" s="558">
        <f t="shared" si="8"/>
        <v>21728.844154118389</v>
      </c>
      <c r="AW70" s="560"/>
      <c r="AX70" s="561">
        <f t="shared" si="9"/>
        <v>33114.283772793329</v>
      </c>
      <c r="AZ70" s="430">
        <f>+IF(AZ69&gt;$I$13+$I$14,XX,AZ69+1)</f>
        <v>2049</v>
      </c>
      <c r="BA70" s="503"/>
      <c r="BB70" s="555">
        <f t="shared" si="26"/>
        <v>100.75692460050152</v>
      </c>
      <c r="BD70" s="555">
        <f t="shared" si="27"/>
        <v>31.101062014519666</v>
      </c>
      <c r="BF70" s="558">
        <f t="shared" si="10"/>
        <v>11298.515281526985</v>
      </c>
      <c r="BH70" s="563"/>
    </row>
    <row r="71" spans="2:60">
      <c r="B71" s="526"/>
      <c r="E71" s="549"/>
      <c r="G71" s="546"/>
      <c r="H71" s="546"/>
      <c r="I71" s="546"/>
      <c r="K71" s="546"/>
      <c r="M71" s="546"/>
      <c r="O71" s="546"/>
      <c r="Q71" s="546"/>
      <c r="S71" s="546"/>
      <c r="U71" s="546"/>
      <c r="W71" s="546"/>
      <c r="Y71" s="546"/>
      <c r="Z71" s="516"/>
      <c r="AB71" s="526"/>
      <c r="AF71" s="564"/>
      <c r="AH71" s="564"/>
      <c r="AJ71" s="564"/>
      <c r="AL71" s="560"/>
      <c r="AN71" s="564"/>
      <c r="AP71" s="564"/>
      <c r="AR71" s="564"/>
      <c r="AS71" s="564"/>
      <c r="AT71" s="564"/>
      <c r="AV71" s="560"/>
      <c r="AW71" s="560"/>
      <c r="AX71" s="565"/>
      <c r="AZ71" s="526"/>
      <c r="BB71" s="564"/>
      <c r="BF71" s="560"/>
      <c r="BH71" s="516"/>
    </row>
    <row r="72" spans="2:60" ht="12">
      <c r="B72" s="526"/>
      <c r="C72" s="5" t="s">
        <v>271</v>
      </c>
      <c r="E72" s="549"/>
      <c r="G72" s="618">
        <f>+-PMT($I$18,43,NPV($I$18,G28:G70))</f>
        <v>420419.49998250691</v>
      </c>
      <c r="I72" s="617">
        <f>+-PMT($I$18,43,NPV($I$18,I28:I70))</f>
        <v>213.98697644541878</v>
      </c>
      <c r="J72" s="553"/>
      <c r="K72" s="617">
        <f>+-PMT($I$18,43,NPV($I$18,K28:K70))</f>
        <v>27.127853000926724</v>
      </c>
      <c r="M72" s="553">
        <f>+-PMT($G$18,$G$14,NPV($G$18,M28:M52))</f>
        <v>0</v>
      </c>
      <c r="O72" s="617">
        <f>+-PMT($I$18,43,NPV($I$18,O28:O70))</f>
        <v>3.5305239065537526</v>
      </c>
      <c r="Q72" s="617">
        <f>+-PMT($I$18,43,NPV($I$18,Q28:Q70))</f>
        <v>-27.500830507925127</v>
      </c>
      <c r="S72" s="617">
        <f>+-PMT($I$18,43,NPV($I$18,S28:S70))</f>
        <v>31676.043010066885</v>
      </c>
      <c r="U72" s="626">
        <f>+-PMT($I$18,43,NPV($I$18,U28:U70))</f>
        <v>25020.675635753447</v>
      </c>
      <c r="W72" s="626">
        <f>+-PMT($I$18,43,NPV($I$18,W28:W70))</f>
        <v>6655.367374313445</v>
      </c>
      <c r="Y72" s="626">
        <f>+-PMT($I$18,43,NPV($I$18,Y28:Y70))</f>
        <v>14.603774424903307</v>
      </c>
      <c r="Z72" s="516"/>
      <c r="AB72" s="526"/>
      <c r="AD72" s="558">
        <f>+-PMT($I$18,43,NPV($I$18,AD28:AD70))</f>
        <v>420419.49998250691</v>
      </c>
      <c r="AF72" s="555">
        <f>+-PMT($I$18,43,NPV($I$18,AF28:AF70))</f>
        <v>89.899044221829399</v>
      </c>
      <c r="AH72" s="555">
        <f>+-PMT($I$18,43,NPV($I$18,AH28:AH70))</f>
        <v>15.896657552141757</v>
      </c>
      <c r="AJ72" s="555">
        <f>+-PMT($I$18,43,NPV($I$18,AJ28:AJ70))</f>
        <v>2.5204084618368094</v>
      </c>
      <c r="AL72" s="558">
        <f>+-PMT($I$18,43,NPV($I$18,AL28:AL70))</f>
        <v>10820.712970440043</v>
      </c>
      <c r="AN72" s="555">
        <f>+-PMT($I$18,43,NPV($I$18,AN28:AN70))</f>
        <v>6.3747667045847942</v>
      </c>
      <c r="AP72" s="555">
        <f>+-PMT($I$18,43,NPV($I$18,AP28:AP70))</f>
        <v>46.319190853387781</v>
      </c>
      <c r="AR72" s="555">
        <f>+-PMT($I$18,43,NPV($I$18,AR28:AR70))</f>
        <v>1.4595322787246061</v>
      </c>
      <c r="AS72" s="555"/>
      <c r="AT72" s="558">
        <f>+-PMT($I$18,43,NPV($I$18,AT28:AT70))</f>
        <v>5266.8380437213063</v>
      </c>
      <c r="AV72" s="558">
        <f>+-PMT($I$18,43,NPV($I$18,AV28:AV70))</f>
        <v>19753.837592032134</v>
      </c>
      <c r="AW72" s="560"/>
      <c r="AX72" s="558">
        <f>+-PMT($I$18,43,NPV($I$18,AX28:AX70))</f>
        <v>25020.675635753447</v>
      </c>
      <c r="AY72" s="620"/>
      <c r="AZ72" s="526"/>
      <c r="BB72" s="555">
        <f>+-PMT($I$18,43,NPV($I$18,BB28:BB70))</f>
        <v>52.397163526211884</v>
      </c>
      <c r="BD72" s="555">
        <f>+-PMT($I$18,43,NPV($I$18,BD28:BD70))</f>
        <v>12.418677095442678</v>
      </c>
      <c r="BF72" s="558">
        <f>+-PMT($I$18,43,NPV($I$18,BF28:BF70))</f>
        <v>5553.8749267187404</v>
      </c>
      <c r="BH72" s="563"/>
    </row>
    <row r="73" spans="2:60" ht="12">
      <c r="B73" s="526"/>
      <c r="E73" s="549"/>
      <c r="G73" s="617"/>
      <c r="I73" s="617"/>
      <c r="J73" s="553"/>
      <c r="K73" s="617"/>
      <c r="M73" s="553"/>
      <c r="O73" s="553"/>
      <c r="Q73" s="617"/>
      <c r="S73" s="475"/>
      <c r="U73" s="475"/>
      <c r="W73" s="475"/>
      <c r="Y73" s="554"/>
      <c r="Z73" s="516"/>
      <c r="AB73" s="526"/>
      <c r="AD73" s="488"/>
      <c r="AF73" s="555"/>
      <c r="AH73" s="555"/>
      <c r="AJ73" s="555"/>
      <c r="AL73" s="558"/>
      <c r="AN73" s="555"/>
      <c r="AP73" s="555"/>
      <c r="AR73" s="555"/>
      <c r="AS73" s="555"/>
      <c r="AT73" s="558"/>
      <c r="AV73" s="558"/>
      <c r="AW73" s="560"/>
      <c r="AX73" s="561"/>
      <c r="AZ73" s="526"/>
      <c r="BB73" s="555"/>
      <c r="BD73" s="555"/>
      <c r="BF73" s="558"/>
      <c r="BH73" s="563"/>
    </row>
    <row r="74" spans="2:60" ht="12">
      <c r="B74" s="526"/>
      <c r="E74" s="549"/>
      <c r="I74" s="617"/>
      <c r="W74" s="475"/>
      <c r="Y74" s="554"/>
      <c r="Z74" s="516"/>
      <c r="AB74" s="526"/>
      <c r="AX74" s="516"/>
      <c r="AZ74" s="526"/>
      <c r="BH74" s="516"/>
    </row>
    <row r="75" spans="2:60">
      <c r="B75" s="566"/>
      <c r="C75" s="567"/>
      <c r="D75" s="567"/>
      <c r="E75" s="568"/>
      <c r="G75" s="567"/>
      <c r="H75" s="567"/>
      <c r="I75" s="567"/>
      <c r="J75" s="567"/>
      <c r="K75" s="567"/>
      <c r="L75" s="567"/>
      <c r="M75" s="567"/>
      <c r="N75" s="567"/>
      <c r="O75" s="567"/>
      <c r="P75" s="567"/>
      <c r="Q75" s="567"/>
      <c r="R75" s="567"/>
      <c r="S75" s="567"/>
      <c r="T75" s="567"/>
      <c r="U75" s="567"/>
      <c r="V75" s="567"/>
      <c r="W75" s="567"/>
      <c r="X75" s="567"/>
      <c r="Y75" s="567"/>
      <c r="Z75" s="569"/>
      <c r="AB75" s="566"/>
      <c r="AC75" s="567"/>
      <c r="AD75" s="567"/>
      <c r="AE75" s="567"/>
      <c r="AF75" s="567"/>
      <c r="AG75" s="567"/>
      <c r="AH75" s="567"/>
      <c r="AI75" s="567"/>
      <c r="AJ75" s="567"/>
      <c r="AK75" s="567"/>
      <c r="AL75" s="567"/>
      <c r="AM75" s="567"/>
      <c r="AN75" s="567"/>
      <c r="AO75" s="567"/>
      <c r="AP75" s="567"/>
      <c r="AQ75" s="567"/>
      <c r="AR75" s="567"/>
      <c r="AS75" s="567"/>
      <c r="AT75" s="567"/>
      <c r="AU75" s="567"/>
      <c r="AV75" s="567"/>
      <c r="AW75" s="567"/>
      <c r="AX75" s="569"/>
      <c r="AZ75" s="566"/>
      <c r="BA75" s="567"/>
      <c r="BB75" s="567"/>
      <c r="BC75" s="567"/>
      <c r="BD75" s="567"/>
      <c r="BE75" s="567"/>
      <c r="BF75" s="567"/>
      <c r="BG75" s="567"/>
      <c r="BH75" s="569"/>
    </row>
    <row r="76" spans="2:60">
      <c r="E76" s="549"/>
    </row>
    <row r="77" spans="2:60">
      <c r="E77" s="549"/>
      <c r="G77" s="475"/>
      <c r="I77" s="475"/>
      <c r="K77" s="475"/>
      <c r="O77" s="475"/>
      <c r="Q77" s="475"/>
      <c r="S77" s="475"/>
      <c r="U77" s="475"/>
      <c r="W77" s="475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  <row r="82" spans="5:5">
      <c r="E82" s="549"/>
    </row>
    <row r="83" spans="5:5">
      <c r="E83" s="549"/>
    </row>
    <row r="84" spans="5:5">
      <c r="E84" s="549"/>
    </row>
    <row r="85" spans="5:5">
      <c r="E85" s="549"/>
    </row>
    <row r="86" spans="5:5">
      <c r="E86" s="549"/>
    </row>
    <row r="87" spans="5:5">
      <c r="E87" s="549"/>
    </row>
    <row r="88" spans="5:5">
      <c r="E88" s="549"/>
    </row>
    <row r="89" spans="5:5">
      <c r="E89" s="549"/>
    </row>
    <row r="90" spans="5:5">
      <c r="E90" s="549"/>
    </row>
    <row r="91" spans="5:5">
      <c r="E91" s="549"/>
    </row>
    <row r="92" spans="5:5">
      <c r="E92" s="549"/>
    </row>
    <row r="93" spans="5:5">
      <c r="E93" s="549"/>
    </row>
    <row r="94" spans="5:5">
      <c r="E94" s="549"/>
    </row>
    <row r="95" spans="5:5">
      <c r="E95" s="549"/>
    </row>
    <row r="96" spans="5:5">
      <c r="E96" s="549"/>
    </row>
    <row r="97" spans="5:5">
      <c r="E97" s="549"/>
    </row>
    <row r="98" spans="5:5">
      <c r="E98" s="549"/>
    </row>
    <row r="99" spans="5:5">
      <c r="E99" s="549"/>
    </row>
  </sheetData>
  <pageMargins left="0.25" right="0.25" top="0.25" bottom="0.75" header="0.3" footer="0.3"/>
  <pageSetup paperSize="5" scale="48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711EC-3311-4F61-B8F2-6E02AA5B08FA}">
  <sheetPr codeName="Sheet28">
    <tabColor theme="4" tint="0.59999389629810485"/>
    <pageSetUpPr fitToPage="1"/>
  </sheetPr>
  <dimension ref="A1:BL82"/>
  <sheetViews>
    <sheetView topLeftCell="A60" workbookViewId="0">
      <selection activeCell="M65" sqref="M65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16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70.2</v>
      </c>
      <c r="H11" s="510"/>
      <c r="I11" s="621">
        <v>78</v>
      </c>
      <c r="AB11" s="511" t="s">
        <v>99</v>
      </c>
      <c r="AC11" s="512"/>
      <c r="AD11" s="512"/>
      <c r="AE11" s="512"/>
      <c r="AF11" s="518">
        <f>+G11*(G12/AJ16)</f>
        <v>43.932659859016866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35.807116850341799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518">
        <f>(AF11*AF13-G11*G19)</f>
        <v>40.656659859016862</v>
      </c>
      <c r="BE11" s="519"/>
      <c r="BG11" s="586" t="s">
        <v>99</v>
      </c>
      <c r="BH11" s="587"/>
      <c r="BI11" s="587"/>
      <c r="BJ11" s="587"/>
      <c r="BK11" s="591">
        <f>(AR11*AR13-I11*I19)</f>
        <v>26.603116850341799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0.30471886820463195</v>
      </c>
      <c r="H12" s="510"/>
      <c r="I12" s="593">
        <v>0.32265689029387662</v>
      </c>
      <c r="AB12" s="511" t="s">
        <v>32</v>
      </c>
      <c r="AC12" s="512"/>
      <c r="AD12" s="512"/>
      <c r="AE12" s="512"/>
      <c r="AF12" s="520">
        <f>+AD38/8760/AF11</f>
        <v>0.4864827223184533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AD71/8760/AR11</f>
        <v>0.64083522284496341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520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2008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522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31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180.81600157565364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524">
        <v>8.3299999999999999E-2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19.612798811178333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503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'(2.2)_Forward_Price_Curve'!E81</f>
        <v>0.11799999999999999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f>+G13</f>
        <v>2008</v>
      </c>
      <c r="E28" s="549">
        <v>1.7000000000000001E-2</v>
      </c>
      <c r="G28" s="475">
        <f>G32</f>
        <v>187887.18509575512</v>
      </c>
      <c r="I28" s="550">
        <f>$G$15</f>
        <v>180.81600157565364</v>
      </c>
      <c r="J28" s="550"/>
      <c r="K28" s="550">
        <f>$G$16</f>
        <v>19.612798811178333</v>
      </c>
      <c r="L28" s="551"/>
      <c r="M28" s="550">
        <f>$G$17</f>
        <v>0</v>
      </c>
      <c r="O28" s="552">
        <v>5.1866999999999992</v>
      </c>
      <c r="Q28" s="553">
        <v>-31.863781128122483</v>
      </c>
      <c r="S28" s="475">
        <f t="shared" ref="S28:S69" si="0">(I28*$G$11*1000+(K28+M28+O28+Q28)*G28)/1000</f>
        <v>11365.99519135853</v>
      </c>
      <c r="U28" s="475">
        <f t="shared" ref="U28:U69" si="1">AX28</f>
        <v>12842.821109082755</v>
      </c>
      <c r="W28" s="475">
        <f t="shared" ref="W28:W69" si="2">S28-U28</f>
        <v>-1476.8259177242253</v>
      </c>
      <c r="Y28" s="554">
        <f t="shared" ref="Y28:Y69" si="3">+W28*1000/G28</f>
        <v>-7.8601737365513955</v>
      </c>
      <c r="Z28" s="516"/>
      <c r="AB28" s="544">
        <f>$C$28</f>
        <v>2008</v>
      </c>
      <c r="AC28" s="503"/>
      <c r="AD28" s="488">
        <f t="shared" ref="AD28:AD69" si="4">G28</f>
        <v>187887.18509575512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 t="shared" ref="AL28:AL69" si="5">((AF28+AH28)*$AF$11*1000+AJ28*AD28)/1000</f>
        <v>3348.6235065434375</v>
      </c>
      <c r="AN28" s="162">
        <f>INDEX('(2.2)_Forward_Price_Curve'!$K:$K,MATCH($AB28,'(2.2)_Forward_Price_Curve'!$C:$C,0),1)</f>
        <v>7.9707205782722266</v>
      </c>
      <c r="AO28" s="556"/>
      <c r="AP28" s="555">
        <f t="shared" ref="AP28:AP38" si="6">AN28*$AF$14/1000</f>
        <v>57.915425742323464</v>
      </c>
      <c r="AQ28" s="557"/>
      <c r="AR28" s="160">
        <v>2.3860545125109165</v>
      </c>
      <c r="AS28" s="559"/>
      <c r="AT28" s="558">
        <f t="shared" ref="AT28:AT69" si="7">AL28-BF28</f>
        <v>1512.9457268946667</v>
      </c>
      <c r="AU28" s="557"/>
      <c r="AV28" s="558">
        <f t="shared" ref="AV28:AV69" si="8">(AP28+AR28)*AD28/1000</f>
        <v>11329.875382188089</v>
      </c>
      <c r="AW28" s="560"/>
      <c r="AX28" s="561">
        <f t="shared" ref="AX28:AX69" si="9">AT28+AV28</f>
        <v>12842.821109082755</v>
      </c>
      <c r="AZ28" s="544">
        <f>$C$28</f>
        <v>2008</v>
      </c>
      <c r="BA28" s="503"/>
      <c r="BB28" s="559">
        <v>39.191870478599988</v>
      </c>
      <c r="BD28" s="559">
        <v>5.9588572499999986</v>
      </c>
      <c r="BE28" s="557"/>
      <c r="BF28" s="558">
        <f t="shared" ref="BF28:BF69" si="10">(BB28+BD28)*$BD$11</f>
        <v>1835.6777796487709</v>
      </c>
      <c r="BG28" s="557"/>
      <c r="BH28" s="562"/>
    </row>
    <row r="29" spans="1:64" ht="12">
      <c r="B29" s="526"/>
      <c r="C29">
        <f>+IF(C28&gt;$G$13+$G$14,XX,C28+1)</f>
        <v>2009</v>
      </c>
      <c r="E29" s="549">
        <v>1.7000000000000001E-2</v>
      </c>
      <c r="G29" s="475">
        <v>187222.92451008921</v>
      </c>
      <c r="I29" s="553">
        <f t="shared" ref="I29:I38" si="11">I28*(1+$E29)</f>
        <v>183.88987360243974</v>
      </c>
      <c r="K29" s="553">
        <f t="shared" ref="K29:K38" si="12">K28*(1+$E29)</f>
        <v>19.946216390968363</v>
      </c>
      <c r="M29" s="553">
        <f t="shared" ref="M29:M69" si="13">M28*(1+$E29)</f>
        <v>0</v>
      </c>
      <c r="O29" s="552">
        <v>5.2748738999999985</v>
      </c>
      <c r="Q29" s="553">
        <v>-32.504243128797739</v>
      </c>
      <c r="S29" s="475">
        <f t="shared" si="0"/>
        <v>11545.4959529389</v>
      </c>
      <c r="U29" s="475">
        <f t="shared" si="1"/>
        <v>12569.396723682576</v>
      </c>
      <c r="W29" s="475">
        <f t="shared" si="2"/>
        <v>-1023.9007707436758</v>
      </c>
      <c r="Y29" s="554">
        <f t="shared" si="3"/>
        <v>-5.468885679587272</v>
      </c>
      <c r="Z29" s="516"/>
      <c r="AB29" s="544">
        <f>+IF(AB28&gt;$G$13+$G$14,XX,AB28+1)</f>
        <v>2009</v>
      </c>
      <c r="AC29" s="503"/>
      <c r="AD29" s="488">
        <f t="shared" si="4"/>
        <v>187222.92451008921</v>
      </c>
      <c r="AF29" s="555">
        <f t="shared" ref="AF29:AF38" si="14">AF28*(1+$E29)</f>
        <v>59.152190165471872</v>
      </c>
      <c r="AH29" s="555">
        <f t="shared" ref="AH29:AH38" si="15">AH28*(1+$E29)</f>
        <v>8.3395054691844503</v>
      </c>
      <c r="AJ29" s="555">
        <f t="shared" ref="AJ29:AJ38" si="16">AJ28*(1+$E29)</f>
        <v>2.3442812148393659</v>
      </c>
      <c r="AL29" s="558">
        <f t="shared" si="5"/>
        <v>3403.9928925419408</v>
      </c>
      <c r="AN29" s="162">
        <f>INDEX('(2.2)_Forward_Price_Curve'!$K:$K,MATCH($AB29,'(2.2)_Forward_Price_Curve'!$C:$C,0),1)</f>
        <v>7.7758276535043622</v>
      </c>
      <c r="AP29" s="555">
        <f t="shared" si="6"/>
        <v>56.499329593768707</v>
      </c>
      <c r="AR29" s="162">
        <f>AR28*(1+$E29)</f>
        <v>2.4266174392236017</v>
      </c>
      <c r="AS29" s="555"/>
      <c r="AT29" s="558">
        <f t="shared" si="7"/>
        <v>1537.1085906391413</v>
      </c>
      <c r="AV29" s="558">
        <f t="shared" si="8"/>
        <v>11032.288133043434</v>
      </c>
      <c r="AW29" s="560"/>
      <c r="AX29" s="561">
        <f t="shared" si="9"/>
        <v>12569.396723682576</v>
      </c>
      <c r="AZ29" s="544">
        <f>+IF(AZ28&gt;$G$13+$G$14,XX,AZ28+1)</f>
        <v>2009</v>
      </c>
      <c r="BA29" s="503"/>
      <c r="BB29" s="555">
        <f t="shared" ref="BB29:BB38" si="17">BB28*(1+$E29)</f>
        <v>39.858132276736185</v>
      </c>
      <c r="BD29" s="555">
        <f t="shared" ref="BD29:BD38" si="18">BD28*(1+$E29)</f>
        <v>6.0601578232499982</v>
      </c>
      <c r="BF29" s="558">
        <f t="shared" si="10"/>
        <v>1866.8843019027995</v>
      </c>
      <c r="BH29" s="563"/>
    </row>
    <row r="30" spans="1:64" ht="12">
      <c r="B30" s="526"/>
      <c r="C30">
        <f>+IF(C29&gt;$G$13+$G$14,XX,C29+1)</f>
        <v>2010</v>
      </c>
      <c r="E30" s="549">
        <v>1.9E-2</v>
      </c>
      <c r="G30" s="475">
        <v>187222.92451008921</v>
      </c>
      <c r="I30" s="553">
        <f t="shared" si="11"/>
        <v>187.38378120088606</v>
      </c>
      <c r="K30" s="553">
        <f t="shared" si="12"/>
        <v>20.325194502396759</v>
      </c>
      <c r="M30" s="553">
        <f t="shared" si="13"/>
        <v>0</v>
      </c>
      <c r="O30" s="552">
        <v>5.3750965040999983</v>
      </c>
      <c r="Q30" s="553">
        <v>-33.157578415686572</v>
      </c>
      <c r="S30" s="475">
        <f t="shared" si="0"/>
        <v>11758.166282641418</v>
      </c>
      <c r="U30" s="475">
        <f t="shared" si="1"/>
        <v>12201.325314965939</v>
      </c>
      <c r="W30" s="475">
        <f>S30-U30</f>
        <v>-443.15903232452183</v>
      </c>
      <c r="Y30" s="554">
        <f t="shared" si="3"/>
        <v>-2.3670126587550473</v>
      </c>
      <c r="Z30" s="516"/>
      <c r="AB30" s="544">
        <f>+IF(AB29&gt;$G$13+$G$14,XX,AB29+1)</f>
        <v>2010</v>
      </c>
      <c r="AC30" s="503"/>
      <c r="AD30" s="488">
        <f t="shared" si="4"/>
        <v>187222.92451008921</v>
      </c>
      <c r="AF30" s="555">
        <f t="shared" si="14"/>
        <v>60.276081778615833</v>
      </c>
      <c r="AH30" s="555">
        <f t="shared" si="15"/>
        <v>8.4979560730989547</v>
      </c>
      <c r="AJ30" s="555">
        <f t="shared" si="16"/>
        <v>2.3888225579213138</v>
      </c>
      <c r="AL30" s="558">
        <f t="shared" si="5"/>
        <v>3468.668757500237</v>
      </c>
      <c r="AN30" s="162">
        <f>INDEX('(2.2)_Forward_Price_Curve'!$K:$K,MATCH($AB30,'(2.2)_Forward_Price_Curve'!$C:$C,0),1)</f>
        <v>7.4774457529777205</v>
      </c>
      <c r="AP30" s="555">
        <f t="shared" si="6"/>
        <v>54.331280339864243</v>
      </c>
      <c r="AR30" s="162">
        <f t="shared" ref="AR30:AR42" si="19">AR29*(1+$E30)</f>
        <v>2.4727231705688499</v>
      </c>
      <c r="AS30" s="555"/>
      <c r="AT30" s="558">
        <f t="shared" si="7"/>
        <v>1566.3136538612844</v>
      </c>
      <c r="AV30" s="558">
        <f t="shared" si="8"/>
        <v>10635.011661104656</v>
      </c>
      <c r="AW30" s="560"/>
      <c r="AX30" s="561">
        <f t="shared" si="9"/>
        <v>12201.325314965939</v>
      </c>
      <c r="AZ30" s="544">
        <f>+IF(AZ29&gt;$G$13+$G$14,XX,AZ29+1)</f>
        <v>2010</v>
      </c>
      <c r="BA30" s="503"/>
      <c r="BB30" s="555">
        <f t="shared" si="17"/>
        <v>40.61543678999417</v>
      </c>
      <c r="BD30" s="555">
        <f t="shared" si="18"/>
        <v>6.1753008218917476</v>
      </c>
      <c r="BF30" s="558">
        <f t="shared" si="10"/>
        <v>1902.3551036389526</v>
      </c>
      <c r="BH30" s="563"/>
    </row>
    <row r="31" spans="1:64" ht="12">
      <c r="B31" s="526"/>
      <c r="C31">
        <f>+IF(C30&gt;$G$13+$G$14,XX,C30+1)</f>
        <v>2011</v>
      </c>
      <c r="E31" s="549">
        <v>1.9E-2</v>
      </c>
      <c r="G31" s="475">
        <v>187222.92451008921</v>
      </c>
      <c r="I31" s="553">
        <f t="shared" si="11"/>
        <v>190.94407304370287</v>
      </c>
      <c r="K31" s="553">
        <f t="shared" si="12"/>
        <v>20.711373197942294</v>
      </c>
      <c r="M31" s="553">
        <f t="shared" si="13"/>
        <v>0</v>
      </c>
      <c r="O31" s="552">
        <v>5.4772233376778976</v>
      </c>
      <c r="Q31" s="553">
        <v>-33.824045741841871</v>
      </c>
      <c r="S31" s="475">
        <f t="shared" si="0"/>
        <v>11974.74279733088</v>
      </c>
      <c r="U31" s="475">
        <f t="shared" si="1"/>
        <v>11702.125849940097</v>
      </c>
      <c r="W31" s="475">
        <f t="shared" si="2"/>
        <v>272.61694739078303</v>
      </c>
      <c r="Y31" s="554">
        <f t="shared" si="3"/>
        <v>1.4561087970618256</v>
      </c>
      <c r="Z31" s="516"/>
      <c r="AB31" s="544">
        <f>+IF(AB30&gt;$G$13+$G$14,XX,AB30+1)</f>
        <v>2011</v>
      </c>
      <c r="AC31" s="503"/>
      <c r="AD31" s="488">
        <f t="shared" si="4"/>
        <v>187222.92451008921</v>
      </c>
      <c r="AF31" s="555">
        <f t="shared" si="14"/>
        <v>61.421327332409525</v>
      </c>
      <c r="AH31" s="555">
        <f t="shared" si="15"/>
        <v>8.6594172384878334</v>
      </c>
      <c r="AJ31" s="555">
        <f t="shared" si="16"/>
        <v>2.4342101865218186</v>
      </c>
      <c r="AL31" s="558">
        <f t="shared" si="5"/>
        <v>3534.5734638927411</v>
      </c>
      <c r="AN31" s="162">
        <f>INDEX('(2.2)_Forward_Price_Curve'!$K:$K,MATCH($AB31,'(2.2)_Forward_Price_Curve'!$C:$C,0),1)</f>
        <v>7.0821436233211914</v>
      </c>
      <c r="AP31" s="555">
        <f t="shared" si="6"/>
        <v>51.459006633731178</v>
      </c>
      <c r="AR31" s="162">
        <f t="shared" si="19"/>
        <v>2.5197049108096579</v>
      </c>
      <c r="AS31" s="555"/>
      <c r="AT31" s="558">
        <f t="shared" si="7"/>
        <v>1596.0736132846487</v>
      </c>
      <c r="AV31" s="558">
        <f t="shared" si="8"/>
        <v>10106.052236655449</v>
      </c>
      <c r="AW31" s="560"/>
      <c r="AX31" s="561">
        <f t="shared" si="9"/>
        <v>11702.125849940097</v>
      </c>
      <c r="AZ31" s="544">
        <f>+IF(AZ30&gt;$G$13+$G$14,XX,AZ30+1)</f>
        <v>2011</v>
      </c>
      <c r="BA31" s="503"/>
      <c r="BB31" s="555">
        <f t="shared" si="17"/>
        <v>41.387130089004053</v>
      </c>
      <c r="BD31" s="555">
        <f t="shared" si="18"/>
        <v>6.29263153750769</v>
      </c>
      <c r="BF31" s="558">
        <f t="shared" si="10"/>
        <v>1938.4998506080924</v>
      </c>
      <c r="BH31" s="563"/>
    </row>
    <row r="32" spans="1:64" ht="12">
      <c r="B32" s="526"/>
      <c r="C32">
        <f>+IF(C31&gt;$G$13+$G$14,XX,C31+1)</f>
        <v>2012</v>
      </c>
      <c r="E32" s="549">
        <v>0.02</v>
      </c>
      <c r="G32" s="475">
        <v>187887.18509575512</v>
      </c>
      <c r="I32" s="553">
        <f t="shared" si="11"/>
        <v>194.76295450457692</v>
      </c>
      <c r="K32" s="553">
        <f t="shared" si="12"/>
        <v>21.125600661901139</v>
      </c>
      <c r="M32" s="553">
        <f t="shared" si="13"/>
        <v>0</v>
      </c>
      <c r="O32" s="552">
        <v>5.5867678044314557</v>
      </c>
      <c r="Q32" s="553">
        <v>-34.503909061252898</v>
      </c>
      <c r="S32" s="475">
        <f t="shared" si="0"/>
        <v>12208.428776282422</v>
      </c>
      <c r="U32" s="475">
        <f t="shared" si="1"/>
        <v>11262.693310492226</v>
      </c>
      <c r="W32" s="475">
        <f t="shared" si="2"/>
        <v>945.73546579019603</v>
      </c>
      <c r="Y32" s="554">
        <f t="shared" si="3"/>
        <v>5.0335283127915824</v>
      </c>
      <c r="Z32" s="516"/>
      <c r="AB32" s="544">
        <f>+IF(AB31&gt;$G$13+$G$14,XX,AB31+1)</f>
        <v>2012</v>
      </c>
      <c r="AC32" s="503"/>
      <c r="AD32" s="488">
        <f t="shared" si="4"/>
        <v>187887.18509575512</v>
      </c>
      <c r="AF32" s="555">
        <f t="shared" si="14"/>
        <v>62.64975387905772</v>
      </c>
      <c r="AH32" s="555">
        <f t="shared" si="15"/>
        <v>8.8326055832575907</v>
      </c>
      <c r="AJ32" s="555">
        <f t="shared" si="16"/>
        <v>2.4828943902522549</v>
      </c>
      <c r="AL32" s="558">
        <f t="shared" si="5"/>
        <v>3606.9142220524118</v>
      </c>
      <c r="AN32" s="162">
        <f>INDEX('(2.2)_Forward_Price_Curve'!$K:$K,MATCH($AB32,'(2.2)_Forward_Price_Curve'!$C:$C,0),1)</f>
        <v>6.7024699037828679</v>
      </c>
      <c r="AP32" s="555">
        <f t="shared" si="6"/>
        <v>48.700289288881038</v>
      </c>
      <c r="AR32" s="162">
        <f t="shared" si="19"/>
        <v>2.5700990090258511</v>
      </c>
      <c r="AS32" s="555"/>
      <c r="AT32" s="558">
        <f t="shared" si="7"/>
        <v>1629.6443744321575</v>
      </c>
      <c r="AV32" s="558">
        <f t="shared" si="8"/>
        <v>9633.0489360600695</v>
      </c>
      <c r="AW32" s="560"/>
      <c r="AX32" s="561">
        <f t="shared" si="9"/>
        <v>11262.693310492226</v>
      </c>
      <c r="AZ32" s="544">
        <f>+IF(AZ31&gt;$G$13+$G$14,XX,AZ31+1)</f>
        <v>2012</v>
      </c>
      <c r="BA32" s="503"/>
      <c r="BB32" s="555">
        <f t="shared" si="17"/>
        <v>42.214872690784134</v>
      </c>
      <c r="BD32" s="555">
        <f t="shared" si="18"/>
        <v>6.4184841682578435</v>
      </c>
      <c r="BF32" s="558">
        <f t="shared" si="10"/>
        <v>1977.2698476202543</v>
      </c>
      <c r="BH32" s="563"/>
    </row>
    <row r="33" spans="2:60" ht="12">
      <c r="B33" s="526"/>
      <c r="C33">
        <f>+IF(C32&gt;$G$13+$G$14,XX,C32+1)</f>
        <v>2013</v>
      </c>
      <c r="E33" s="549">
        <v>1.9E-2</v>
      </c>
      <c r="G33" s="475">
        <v>187222.92451008921</v>
      </c>
      <c r="I33" s="553">
        <f t="shared" si="11"/>
        <v>198.46345064016387</v>
      </c>
      <c r="K33" s="553">
        <f t="shared" si="12"/>
        <v>21.526987074477258</v>
      </c>
      <c r="M33" s="553">
        <f t="shared" si="13"/>
        <v>0</v>
      </c>
      <c r="O33" s="552">
        <v>5.6929163927156532</v>
      </c>
      <c r="Q33" s="553">
        <v>-35.197437633384084</v>
      </c>
      <c r="S33" s="475">
        <f t="shared" si="0"/>
        <v>12438.556957966037</v>
      </c>
      <c r="U33" s="475">
        <f t="shared" si="1"/>
        <v>11263.014358077171</v>
      </c>
      <c r="W33" s="475">
        <f t="shared" si="2"/>
        <v>1175.5425998888659</v>
      </c>
      <c r="Y33" s="554">
        <f t="shared" si="3"/>
        <v>6.2788389988295332</v>
      </c>
      <c r="Z33" s="516"/>
      <c r="AB33" s="544">
        <f>+IF(AB32&gt;$G$13+$G$14,XX,AB32+1)</f>
        <v>2013</v>
      </c>
      <c r="AC33" s="503"/>
      <c r="AD33" s="488">
        <f t="shared" si="4"/>
        <v>187222.92451008921</v>
      </c>
      <c r="AF33" s="555">
        <f t="shared" si="14"/>
        <v>63.840099202759809</v>
      </c>
      <c r="AH33" s="555">
        <f t="shared" si="15"/>
        <v>9.0004250893394833</v>
      </c>
      <c r="AJ33" s="555">
        <f t="shared" si="16"/>
        <v>2.5300693836670476</v>
      </c>
      <c r="AL33" s="558">
        <f t="shared" si="5"/>
        <v>3673.764966900837</v>
      </c>
      <c r="AN33" s="162">
        <f>INDEX('(2.2)_Forward_Price_Curve'!$K:$K,MATCH($AB33,'(2.2)_Forward_Price_Curve'!$C:$C,0),1)</f>
        <v>6.6994948806584134</v>
      </c>
      <c r="AP33" s="555">
        <f t="shared" si="6"/>
        <v>48.678672707399592</v>
      </c>
      <c r="AR33" s="162">
        <f t="shared" si="19"/>
        <v>2.6189308901973418</v>
      </c>
      <c r="AS33" s="555"/>
      <c r="AT33" s="558">
        <f t="shared" si="7"/>
        <v>1658.926992175798</v>
      </c>
      <c r="AV33" s="558">
        <f t="shared" si="8"/>
        <v>9604.0873659013723</v>
      </c>
      <c r="AW33" s="560"/>
      <c r="AX33" s="561">
        <f t="shared" si="9"/>
        <v>11263.014358077171</v>
      </c>
      <c r="AZ33" s="544">
        <f>+IF(AZ32&gt;$G$13+$G$14,XX,AZ32+1)</f>
        <v>2013</v>
      </c>
      <c r="BA33" s="503"/>
      <c r="BB33" s="555">
        <f t="shared" si="17"/>
        <v>43.016955271909026</v>
      </c>
      <c r="BD33" s="555">
        <f t="shared" si="18"/>
        <v>6.5404353674547417</v>
      </c>
      <c r="BF33" s="558">
        <f t="shared" si="10"/>
        <v>2014.837974725039</v>
      </c>
      <c r="BH33" s="563"/>
    </row>
    <row r="34" spans="2:60" ht="12">
      <c r="B34" s="526"/>
      <c r="C34">
        <f>+IF(C33&gt;$G$13+$G$14,XX,C33+1)</f>
        <v>2014</v>
      </c>
      <c r="E34" s="549">
        <v>1.7999999999999999E-2</v>
      </c>
      <c r="G34" s="475">
        <v>187222.92451008921</v>
      </c>
      <c r="I34" s="553">
        <f t="shared" si="11"/>
        <v>202.03579275168681</v>
      </c>
      <c r="K34" s="553">
        <f t="shared" si="12"/>
        <v>21.914472841817851</v>
      </c>
      <c r="M34" s="553">
        <f t="shared" si="13"/>
        <v>0</v>
      </c>
      <c r="O34" s="552">
        <v>5.7953888877845348</v>
      </c>
      <c r="Q34" s="553">
        <v>-35.904906129815103</v>
      </c>
      <c r="S34" s="475">
        <f t="shared" si="0"/>
        <v>12648.612472070559</v>
      </c>
      <c r="U34" s="475">
        <f t="shared" si="1"/>
        <v>11593.517968066521</v>
      </c>
      <c r="W34" s="475">
        <f t="shared" si="2"/>
        <v>1055.0945040040388</v>
      </c>
      <c r="Y34" s="554">
        <f t="shared" si="3"/>
        <v>5.635498466680458</v>
      </c>
      <c r="Z34" s="516"/>
      <c r="AB34" s="544">
        <f>+IF(AB33&gt;$G$13+$G$14,XX,AB33+1)</f>
        <v>2014</v>
      </c>
      <c r="AC34" s="503"/>
      <c r="AD34" s="488">
        <f t="shared" si="4"/>
        <v>187222.92451008921</v>
      </c>
      <c r="AF34" s="555">
        <f t="shared" si="14"/>
        <v>64.989220988409485</v>
      </c>
      <c r="AH34" s="555">
        <f t="shared" si="15"/>
        <v>9.1624327409475939</v>
      </c>
      <c r="AJ34" s="555">
        <f t="shared" si="16"/>
        <v>2.5756106325730546</v>
      </c>
      <c r="AL34" s="558">
        <f t="shared" si="5"/>
        <v>3739.892736305052</v>
      </c>
      <c r="AN34" s="162">
        <f>INDEX('(2.2)_Forward_Price_Curve'!$K:$K,MATCH($AB34,'(2.2)_Forward_Price_Curve'!$C:$C,0),1)</f>
        <v>6.9140085811973453</v>
      </c>
      <c r="AP34" s="555">
        <f t="shared" si="6"/>
        <v>50.2373338312307</v>
      </c>
      <c r="AR34" s="162">
        <f t="shared" si="19"/>
        <v>2.6660716462208942</v>
      </c>
      <c r="AS34" s="555"/>
      <c r="AT34" s="558">
        <f t="shared" si="7"/>
        <v>1688.7876780349625</v>
      </c>
      <c r="AV34" s="558">
        <f t="shared" si="8"/>
        <v>9904.730290031559</v>
      </c>
      <c r="AW34" s="560"/>
      <c r="AX34" s="561">
        <f t="shared" si="9"/>
        <v>11593.517968066521</v>
      </c>
      <c r="AZ34" s="544">
        <f>+IF(AZ33&gt;$G$13+$G$14,XX,AZ33+1)</f>
        <v>2014</v>
      </c>
      <c r="BA34" s="503"/>
      <c r="BB34" s="555">
        <f t="shared" si="17"/>
        <v>43.791260466803386</v>
      </c>
      <c r="BD34" s="555">
        <f t="shared" si="18"/>
        <v>6.6581632040689271</v>
      </c>
      <c r="BF34" s="558">
        <f t="shared" si="10"/>
        <v>2051.1050582700896</v>
      </c>
      <c r="BH34" s="563"/>
    </row>
    <row r="35" spans="2:60" ht="12">
      <c r="B35" s="526"/>
      <c r="C35">
        <f>+IF(C34&gt;$G$13+$G$14,XX,C34+1)</f>
        <v>2015</v>
      </c>
      <c r="E35" s="549">
        <v>1.7999999999999999E-2</v>
      </c>
      <c r="G35" s="475">
        <v>187222.92451008921</v>
      </c>
      <c r="I35" s="553">
        <f t="shared" si="11"/>
        <v>205.67243702121718</v>
      </c>
      <c r="K35" s="553">
        <f t="shared" si="12"/>
        <v>22.308933352970573</v>
      </c>
      <c r="M35" s="553">
        <f t="shared" si="13"/>
        <v>0</v>
      </c>
      <c r="O35" s="552">
        <v>5.8997058877646564</v>
      </c>
      <c r="Q35" s="553">
        <v>-36.626594743024391</v>
      </c>
      <c r="S35" s="475">
        <f t="shared" si="0"/>
        <v>12862.170831355073</v>
      </c>
      <c r="U35" s="475">
        <f t="shared" si="1"/>
        <v>12180.301964137931</v>
      </c>
      <c r="W35" s="475">
        <f t="shared" si="2"/>
        <v>681.86886721714291</v>
      </c>
      <c r="Y35" s="554">
        <f t="shared" si="3"/>
        <v>3.6420158962979872</v>
      </c>
      <c r="Z35" s="516"/>
      <c r="AB35" s="544">
        <f>+IF(AB34&gt;$G$13+$G$14,XX,AB34+1)</f>
        <v>2015</v>
      </c>
      <c r="AC35" s="503"/>
      <c r="AD35" s="488">
        <f t="shared" si="4"/>
        <v>187222.92451008921</v>
      </c>
      <c r="AF35" s="555">
        <f t="shared" si="14"/>
        <v>66.159026966200855</v>
      </c>
      <c r="AH35" s="555">
        <f t="shared" si="15"/>
        <v>9.3273565302846499</v>
      </c>
      <c r="AJ35" s="555">
        <f t="shared" si="16"/>
        <v>2.6219716239593698</v>
      </c>
      <c r="AL35" s="558">
        <f t="shared" si="5"/>
        <v>3807.2108055585427</v>
      </c>
      <c r="AN35" s="162">
        <f>INDEX('(2.2)_Forward_Price_Curve'!$K:$K,MATCH($AB35,'(2.2)_Forward_Price_Curve'!$C:$C,0),1)</f>
        <v>7.3164011858738007</v>
      </c>
      <c r="AP35" s="555">
        <f t="shared" si="6"/>
        <v>53.161127080102943</v>
      </c>
      <c r="AR35" s="162">
        <f t="shared" si="19"/>
        <v>2.7140609358528702</v>
      </c>
      <c r="AS35" s="555"/>
      <c r="AT35" s="558">
        <f t="shared" si="7"/>
        <v>1719.1858562395914</v>
      </c>
      <c r="AV35" s="558">
        <f t="shared" si="8"/>
        <v>10461.116107898339</v>
      </c>
      <c r="AW35" s="560"/>
      <c r="AX35" s="561">
        <f t="shared" si="9"/>
        <v>12180.301964137931</v>
      </c>
      <c r="AZ35" s="544">
        <f>+IF(AZ34&gt;$G$13+$G$14,XX,AZ34+1)</f>
        <v>2015</v>
      </c>
      <c r="BA35" s="503"/>
      <c r="BB35" s="555">
        <f t="shared" si="17"/>
        <v>44.579503155205849</v>
      </c>
      <c r="BD35" s="555">
        <f t="shared" si="18"/>
        <v>6.7780101417421683</v>
      </c>
      <c r="BF35" s="558">
        <f t="shared" si="10"/>
        <v>2088.0249493189513</v>
      </c>
      <c r="BH35" s="563"/>
    </row>
    <row r="36" spans="2:60" ht="12">
      <c r="B36" s="526"/>
      <c r="C36">
        <f>+IF(C35&gt;$G$13+$G$14,XX,C35+1)</f>
        <v>2016</v>
      </c>
      <c r="E36" s="549">
        <v>1.7999999999999999E-2</v>
      </c>
      <c r="G36" s="475">
        <v>187887.18509575512</v>
      </c>
      <c r="I36" s="553">
        <f t="shared" si="11"/>
        <v>209.3745408875991</v>
      </c>
      <c r="K36" s="553">
        <f t="shared" si="12"/>
        <v>22.710494153324046</v>
      </c>
      <c r="M36" s="553">
        <f t="shared" si="13"/>
        <v>0</v>
      </c>
      <c r="O36" s="552">
        <v>6.0059005937444203</v>
      </c>
      <c r="Q36" s="553">
        <v>-37.362789297359178</v>
      </c>
      <c r="S36" s="475">
        <f t="shared" si="0"/>
        <v>13073.546037028058</v>
      </c>
      <c r="U36" s="475">
        <f t="shared" si="1"/>
        <v>13084.958144522447</v>
      </c>
      <c r="W36" s="475">
        <f t="shared" si="2"/>
        <v>-11.412107494388692</v>
      </c>
      <c r="Y36" s="554">
        <f t="shared" si="3"/>
        <v>-6.0739147742154997E-2</v>
      </c>
      <c r="Z36" s="516"/>
      <c r="AB36" s="544">
        <f>+IF(AB35&gt;$G$13+$G$14,XX,AB35+1)</f>
        <v>2016</v>
      </c>
      <c r="AC36" s="503"/>
      <c r="AD36" s="488">
        <f t="shared" si="4"/>
        <v>187887.18509575512</v>
      </c>
      <c r="AF36" s="555">
        <f t="shared" si="14"/>
        <v>67.349889451592475</v>
      </c>
      <c r="AH36" s="555">
        <f t="shared" si="15"/>
        <v>9.4952489478297739</v>
      </c>
      <c r="AJ36" s="555">
        <f t="shared" si="16"/>
        <v>2.6691671131906385</v>
      </c>
      <c r="AL36" s="558">
        <f t="shared" si="5"/>
        <v>3877.5136225684455</v>
      </c>
      <c r="AN36" s="162">
        <f>INDEX('(2.2)_Forward_Price_Curve'!$K:$K,MATCH($AB36,'(2.2)_Forward_Price_Curve'!$C:$C,0),1)</f>
        <v>7.9211828417083421</v>
      </c>
      <c r="AP36" s="555">
        <f t="shared" si="6"/>
        <v>57.555483491778489</v>
      </c>
      <c r="AR36" s="162">
        <f t="shared" si="19"/>
        <v>2.7629140326982218</v>
      </c>
      <c r="AS36" s="555"/>
      <c r="AT36" s="558">
        <f t="shared" si="7"/>
        <v>1751.9042241617531</v>
      </c>
      <c r="AV36" s="558">
        <f t="shared" si="8"/>
        <v>11333.053920360693</v>
      </c>
      <c r="AW36" s="560"/>
      <c r="AX36" s="561">
        <f t="shared" si="9"/>
        <v>13084.958144522447</v>
      </c>
      <c r="AZ36" s="544">
        <f>+IF(AZ35&gt;$G$13+$G$14,XX,AZ35+1)</f>
        <v>2016</v>
      </c>
      <c r="BA36" s="503"/>
      <c r="BB36" s="555">
        <f t="shared" si="17"/>
        <v>45.381934211999557</v>
      </c>
      <c r="BD36" s="555">
        <f t="shared" si="18"/>
        <v>6.9000143242935277</v>
      </c>
      <c r="BF36" s="558">
        <f t="shared" si="10"/>
        <v>2125.6093984066924</v>
      </c>
      <c r="BH36" s="563"/>
    </row>
    <row r="37" spans="2:60" ht="12">
      <c r="B37" s="526"/>
      <c r="C37">
        <f>+IF(C36&gt;$G$13+$G$14,XX,C36+1)</f>
        <v>2017</v>
      </c>
      <c r="E37" s="549">
        <v>1.7999999999999999E-2</v>
      </c>
      <c r="G37" s="475">
        <v>187222.92451008921</v>
      </c>
      <c r="I37" s="553">
        <f t="shared" si="11"/>
        <v>213.14328262357589</v>
      </c>
      <c r="K37" s="553">
        <f t="shared" si="12"/>
        <v>23.119283048083879</v>
      </c>
      <c r="M37" s="553">
        <f t="shared" si="13"/>
        <v>0</v>
      </c>
      <c r="O37" s="552">
        <v>6.1140068044318197</v>
      </c>
      <c r="Q37" s="553">
        <v>-38.113781362236097</v>
      </c>
      <c r="S37" s="475">
        <f t="shared" si="0"/>
        <v>13300.026848638157</v>
      </c>
      <c r="U37" s="475">
        <f t="shared" si="1"/>
        <v>13934.937758620019</v>
      </c>
      <c r="W37" s="475">
        <f t="shared" si="2"/>
        <v>-634.91090998186155</v>
      </c>
      <c r="Y37" s="554">
        <f t="shared" si="3"/>
        <v>-3.3912028222144719</v>
      </c>
      <c r="Z37" s="516"/>
      <c r="AB37" s="544">
        <f>+IF(AB36&gt;$G$13+$G$14,XX,AB36+1)</f>
        <v>2017</v>
      </c>
      <c r="AC37" s="503"/>
      <c r="AD37" s="488">
        <f t="shared" si="4"/>
        <v>187222.92451008921</v>
      </c>
      <c r="AF37" s="555">
        <f t="shared" si="14"/>
        <v>68.562187461721138</v>
      </c>
      <c r="AH37" s="555">
        <f t="shared" si="15"/>
        <v>9.6661634288907106</v>
      </c>
      <c r="AJ37" s="555">
        <f t="shared" si="16"/>
        <v>2.7172121212280702</v>
      </c>
      <c r="AL37" s="558">
        <f t="shared" si="5"/>
        <v>3945.503930859652</v>
      </c>
      <c r="AN37" s="162">
        <f>INDEX('(2.2)_Forward_Price_Curve'!$K:$K,MATCH($AB37,'(2.2)_Forward_Price_Curve'!$C:$C,0),1)</f>
        <v>8.5467545643478058</v>
      </c>
      <c r="AP37" s="555">
        <f t="shared" si="6"/>
        <v>62.100900972324112</v>
      </c>
      <c r="AR37" s="162">
        <f t="shared" si="19"/>
        <v>2.8126464852867898</v>
      </c>
      <c r="AS37" s="555"/>
      <c r="AT37" s="558">
        <f t="shared" si="7"/>
        <v>1781.633563281639</v>
      </c>
      <c r="AV37" s="558">
        <f t="shared" si="8"/>
        <v>12153.30419533838</v>
      </c>
      <c r="AW37" s="560"/>
      <c r="AX37" s="561">
        <f t="shared" si="9"/>
        <v>13934.937758620019</v>
      </c>
      <c r="AZ37" s="544">
        <f>+IF(AZ36&gt;$G$13+$G$14,XX,AZ36+1)</f>
        <v>2017</v>
      </c>
      <c r="BA37" s="503"/>
      <c r="BB37" s="555">
        <f t="shared" si="17"/>
        <v>46.19880902781555</v>
      </c>
      <c r="BD37" s="555">
        <f t="shared" si="18"/>
        <v>7.0242145821308108</v>
      </c>
      <c r="BF37" s="558">
        <f t="shared" si="10"/>
        <v>2163.870367578013</v>
      </c>
      <c r="BH37" s="563"/>
    </row>
    <row r="38" spans="2:60" ht="12">
      <c r="B38" s="526"/>
      <c r="C38">
        <f>+IF(C37&gt;$G$13+$G$14,XX,C37+1)</f>
        <v>2018</v>
      </c>
      <c r="E38" s="549">
        <v>1.7999999999999999E-2</v>
      </c>
      <c r="G38" s="475">
        <v>187222.92451008921</v>
      </c>
      <c r="I38" s="553">
        <f t="shared" si="11"/>
        <v>216.97986171080026</v>
      </c>
      <c r="K38" s="553">
        <f t="shared" si="12"/>
        <v>23.535430142949391</v>
      </c>
      <c r="M38" s="553">
        <f t="shared" si="13"/>
        <v>0</v>
      </c>
      <c r="O38" s="552">
        <v>6.2240589269115922</v>
      </c>
      <c r="Q38" s="553">
        <v>0</v>
      </c>
      <c r="S38" s="475">
        <f t="shared" si="0"/>
        <v>20803.64486768359</v>
      </c>
      <c r="U38" s="475">
        <f t="shared" si="1"/>
        <v>14738.827000112622</v>
      </c>
      <c r="W38" s="475">
        <f t="shared" si="2"/>
        <v>6064.8178675709678</v>
      </c>
      <c r="Y38" s="554">
        <f t="shared" si="3"/>
        <v>32.393564428292763</v>
      </c>
      <c r="Z38" s="516"/>
      <c r="AB38" s="544">
        <f>+IF(AB37&gt;$G$13+$G$14,XX,AB37+1)</f>
        <v>2018</v>
      </c>
      <c r="AC38" s="503"/>
      <c r="AD38" s="488">
        <f t="shared" si="4"/>
        <v>187222.92451008921</v>
      </c>
      <c r="AF38" s="555">
        <f t="shared" si="14"/>
        <v>69.796306836032116</v>
      </c>
      <c r="AH38" s="555">
        <f t="shared" si="15"/>
        <v>9.8401543706107439</v>
      </c>
      <c r="AJ38" s="555">
        <f t="shared" si="16"/>
        <v>2.7661219394101755</v>
      </c>
      <c r="AL38" s="558">
        <f t="shared" si="5"/>
        <v>4016.5230016151258</v>
      </c>
      <c r="AN38" s="162">
        <f>INDEX('(2.2)_Forward_Price_Curve'!$K:$K,MATCH($AB38,'(2.2)_Forward_Price_Curve'!$C:$C,0),1)</f>
        <v>9.1071488375904099</v>
      </c>
      <c r="AP38" s="555">
        <f t="shared" si="6"/>
        <v>66.172737715275218</v>
      </c>
      <c r="AR38" s="162">
        <f t="shared" si="19"/>
        <v>2.8632741220219522</v>
      </c>
      <c r="AS38" s="555"/>
      <c r="AT38" s="558">
        <f t="shared" si="7"/>
        <v>1813.7029674207088</v>
      </c>
      <c r="AV38" s="558">
        <f t="shared" si="8"/>
        <v>12925.124032691912</v>
      </c>
      <c r="AW38" s="560"/>
      <c r="AX38" s="561">
        <f t="shared" si="9"/>
        <v>14738.827000112622</v>
      </c>
      <c r="AZ38" s="544">
        <f>+IF(AZ37&gt;$G$13+$G$14,XX,AZ37+1)</f>
        <v>2018</v>
      </c>
      <c r="BA38" s="503"/>
      <c r="BB38" s="555">
        <f t="shared" si="17"/>
        <v>47.030387590316231</v>
      </c>
      <c r="BD38" s="555">
        <f t="shared" si="18"/>
        <v>7.1506504446091652</v>
      </c>
      <c r="BF38" s="558">
        <f t="shared" si="10"/>
        <v>2202.8200341944171</v>
      </c>
      <c r="BH38" s="563"/>
    </row>
    <row r="39" spans="2:60" ht="12">
      <c r="B39" s="526"/>
      <c r="C39" s="610">
        <f>+IF(C38&gt;$G$13+$G$14,XX,C38+1)</f>
        <v>2019</v>
      </c>
      <c r="E39" s="399">
        <f>'(2.2)_Forward_Price_Curve'!O30</f>
        <v>1.7999999999999999E-2</v>
      </c>
      <c r="G39" s="611">
        <v>180559</v>
      </c>
      <c r="I39" s="612">
        <v>236.41414210354137</v>
      </c>
      <c r="K39" s="613">
        <v>43.554244929893073</v>
      </c>
      <c r="M39" s="553">
        <f t="shared" si="13"/>
        <v>0</v>
      </c>
      <c r="O39" s="613">
        <v>0.60999999999999988</v>
      </c>
      <c r="Q39" s="613">
        <v>-12.744310678308612</v>
      </c>
      <c r="S39" s="475">
        <f t="shared" si="0"/>
        <v>22269.424684200443</v>
      </c>
      <c r="U39" s="475">
        <f t="shared" si="1"/>
        <v>6670.4284227027902</v>
      </c>
      <c r="W39" s="475">
        <f t="shared" si="2"/>
        <v>15598.996261497654</v>
      </c>
      <c r="Y39" s="554">
        <f t="shared" si="3"/>
        <v>86.392792724248878</v>
      </c>
      <c r="Z39" s="516"/>
      <c r="AB39" s="422">
        <f>+IF(AB38&gt;$G$13+$G$14,XX,AB38+1)</f>
        <v>2019</v>
      </c>
      <c r="AC39" s="503"/>
      <c r="AD39" s="488">
        <f t="shared" si="4"/>
        <v>180559</v>
      </c>
      <c r="AF39" s="445">
        <f>AR15*AR16</f>
        <v>98.875745606933918</v>
      </c>
      <c r="AH39" s="445">
        <f>AV11</f>
        <v>19.805241420865066</v>
      </c>
      <c r="AJ39" s="445">
        <f>AV13</f>
        <v>2.02116486562735</v>
      </c>
      <c r="AL39" s="558">
        <f t="shared" si="5"/>
        <v>5578.9109417974942</v>
      </c>
      <c r="AN39" s="445">
        <f>INDEX('(2.2)_Forward_Price_Curve'!$G:$G,MATCH($AB39,'(2.2)_Forward_Price_Curve'!$C:$C,0),1)</f>
        <v>2.6163124999999998</v>
      </c>
      <c r="AP39" s="555">
        <f t="shared" ref="AP39" si="20">AN39*$AF$14/1000</f>
        <v>19.010182432628689</v>
      </c>
      <c r="AR39" s="445">
        <f>AV15</f>
        <v>2.2807762714164963</v>
      </c>
      <c r="AS39" s="555"/>
      <c r="AT39" s="558">
        <f t="shared" si="7"/>
        <v>2826.1542100590955</v>
      </c>
      <c r="AV39" s="558">
        <f t="shared" si="8"/>
        <v>3844.2742126436947</v>
      </c>
      <c r="AW39" s="560"/>
      <c r="AX39" s="561">
        <f t="shared" si="9"/>
        <v>6670.4284227027902</v>
      </c>
      <c r="AZ39" s="429">
        <f>+IF(AZ38&gt;$G$13+$G$14,XX,AZ38+1)</f>
        <v>2019</v>
      </c>
      <c r="BA39" s="503"/>
      <c r="BB39" s="445">
        <f>BK14*BK15</f>
        <v>51.737400000000001</v>
      </c>
      <c r="BD39" s="445">
        <f>BI16</f>
        <v>15.97</v>
      </c>
      <c r="BF39" s="558">
        <f t="shared" si="10"/>
        <v>2752.7567317383987</v>
      </c>
      <c r="BH39" s="563"/>
    </row>
    <row r="40" spans="2:60" ht="12">
      <c r="B40" s="526"/>
      <c r="C40" s="614">
        <f>+IF(C39&gt;$I$13+$I$14,XX,C39+1)</f>
        <v>2020</v>
      </c>
      <c r="E40" s="400">
        <f>'(2.2)_Forward_Price_Curve'!O31</f>
        <v>2.3E-2</v>
      </c>
      <c r="G40" s="624">
        <v>220466.00000000003</v>
      </c>
      <c r="I40" s="625">
        <v>288.15618659439809</v>
      </c>
      <c r="K40" s="625">
        <v>57.124508693134104</v>
      </c>
      <c r="M40" s="553">
        <f t="shared" si="13"/>
        <v>0</v>
      </c>
      <c r="O40" s="625">
        <v>0.63</v>
      </c>
      <c r="Q40" s="625">
        <v>-40.290737965156573</v>
      </c>
      <c r="S40" s="475">
        <f t="shared" si="0"/>
        <v>24078.731976241044</v>
      </c>
      <c r="U40" s="475">
        <f t="shared" si="1"/>
        <v>7804.2897782257696</v>
      </c>
      <c r="W40" s="475">
        <f t="shared" si="2"/>
        <v>16274.442198015275</v>
      </c>
      <c r="Y40" s="554">
        <f t="shared" si="3"/>
        <v>73.818376520711908</v>
      </c>
      <c r="Z40" s="516"/>
      <c r="AB40" s="423">
        <f>+IF(AB39&gt;$I$13+$I$14,XX,AB39+1)</f>
        <v>2020</v>
      </c>
      <c r="AC40" s="503"/>
      <c r="AD40" s="488">
        <f t="shared" si="4"/>
        <v>220466.00000000003</v>
      </c>
      <c r="AF40" s="555">
        <f t="shared" ref="AF40:AF69" si="21">AF39*(1+$E40)</f>
        <v>101.14988775589339</v>
      </c>
      <c r="AH40" s="555">
        <f t="shared" ref="AH40:AH69" si="22">AH39*(1+$E40)</f>
        <v>20.260761973544962</v>
      </c>
      <c r="AJ40" s="555">
        <f t="shared" ref="AJ40:AJ69" si="23">AJ39*(1+$E40)</f>
        <v>2.0676516575367789</v>
      </c>
      <c r="AL40" s="558">
        <f t="shared" si="5"/>
        <v>5789.7396681561568</v>
      </c>
      <c r="AN40" s="162">
        <f>INDEX('(2.2)_Forward_Price_Curve'!$G:$G,MATCH($AB40,'(2.2)_Forward_Price_Curve'!$C:$C,0),1)</f>
        <v>2.6944208333333339</v>
      </c>
      <c r="AP40" s="555">
        <f t="shared" ref="AP40:AP69" si="24">AN40*$AF$14/1000</f>
        <v>19.577719248729689</v>
      </c>
      <c r="AR40" s="162">
        <f>AR39*(1+$E40)</f>
        <v>2.3332341256590756</v>
      </c>
      <c r="AS40" s="555"/>
      <c r="AT40" s="558">
        <f t="shared" si="7"/>
        <v>2973.6695315877755</v>
      </c>
      <c r="AV40" s="558">
        <f t="shared" si="8"/>
        <v>4830.6202466379946</v>
      </c>
      <c r="AW40" s="560"/>
      <c r="AX40" s="561">
        <f t="shared" si="9"/>
        <v>7804.2897782257696</v>
      </c>
      <c r="AZ40" s="430">
        <f>+IF(AZ39&gt;$I$13+$I$14,XX,AZ39+1)</f>
        <v>2020</v>
      </c>
      <c r="BA40" s="503"/>
      <c r="BB40" s="555">
        <f t="shared" ref="BB40:BB69" si="25">BB39*(1+$E40)</f>
        <v>52.927360199999995</v>
      </c>
      <c r="BD40" s="555">
        <f t="shared" ref="BD40:BD69" si="26">BD39*(1+$E40)</f>
        <v>16.337309999999999</v>
      </c>
      <c r="BF40" s="558">
        <f t="shared" si="10"/>
        <v>2816.0701365683813</v>
      </c>
      <c r="BH40" s="563"/>
    </row>
    <row r="41" spans="2:60" ht="12">
      <c r="B41" s="526"/>
      <c r="C41" s="614">
        <f>+IF(C40&gt;$I$13+$I$14,XX,C40+1)</f>
        <v>2021</v>
      </c>
      <c r="E41" s="400">
        <f>'(2.2)_Forward_Price_Curve'!O32</f>
        <v>2.5999999999999999E-2</v>
      </c>
      <c r="G41" s="624">
        <v>220465</v>
      </c>
      <c r="I41" s="625">
        <v>293.40629270148406</v>
      </c>
      <c r="K41" s="625">
        <v>54.419637796406619</v>
      </c>
      <c r="M41" s="553">
        <f t="shared" si="13"/>
        <v>0</v>
      </c>
      <c r="O41" s="625">
        <v>0.6399999999999999</v>
      </c>
      <c r="Q41" s="625">
        <v>-41.902367483762823</v>
      </c>
      <c r="S41" s="475">
        <f t="shared" si="0"/>
        <v>23497.839347121197</v>
      </c>
      <c r="U41" s="475">
        <f t="shared" si="1"/>
        <v>8187.0491961390871</v>
      </c>
      <c r="W41" s="475">
        <f t="shared" si="2"/>
        <v>15310.790150982109</v>
      </c>
      <c r="Y41" s="554">
        <f t="shared" si="3"/>
        <v>69.447713473712881</v>
      </c>
      <c r="Z41" s="516"/>
      <c r="AB41" s="423">
        <f>+IF(AB40&gt;$I$13+$I$14,XX,AB40+1)</f>
        <v>2021</v>
      </c>
      <c r="AC41" s="503"/>
      <c r="AD41" s="488">
        <f t="shared" si="4"/>
        <v>220465</v>
      </c>
      <c r="AF41" s="555">
        <f t="shared" si="21"/>
        <v>103.77978483754661</v>
      </c>
      <c r="AH41" s="555">
        <f t="shared" si="22"/>
        <v>20.787541784857133</v>
      </c>
      <c r="AJ41" s="555">
        <f t="shared" si="23"/>
        <v>2.1214106006327351</v>
      </c>
      <c r="AL41" s="558">
        <f t="shared" si="5"/>
        <v>5940.2707781176168</v>
      </c>
      <c r="AN41" s="162">
        <f>INDEX('(2.2)_Forward_Price_Curve'!$G:$G,MATCH($AB41,'(2.2)_Forward_Price_Curve'!$C:$C,0),1)</f>
        <v>2.8767624999999999</v>
      </c>
      <c r="AP41" s="555">
        <f t="shared" si="24"/>
        <v>20.902617688194734</v>
      </c>
      <c r="AR41" s="162">
        <f t="shared" si="19"/>
        <v>2.3938982129262119</v>
      </c>
      <c r="AS41" s="555"/>
      <c r="AT41" s="558">
        <f t="shared" si="7"/>
        <v>3050.9828179984574</v>
      </c>
      <c r="AV41" s="558">
        <f t="shared" si="8"/>
        <v>5136.0663781406301</v>
      </c>
      <c r="AW41" s="560"/>
      <c r="AX41" s="561">
        <f t="shared" si="9"/>
        <v>8187.0491961390871</v>
      </c>
      <c r="AZ41" s="430">
        <f>+IF(AZ40&gt;$I$13+$I$14,XX,AZ40+1)</f>
        <v>2021</v>
      </c>
      <c r="BA41" s="503"/>
      <c r="BB41" s="555">
        <f t="shared" si="25"/>
        <v>54.303471565199999</v>
      </c>
      <c r="BD41" s="555">
        <f t="shared" si="26"/>
        <v>16.762080059999999</v>
      </c>
      <c r="BF41" s="558">
        <f t="shared" si="10"/>
        <v>2889.2879601191594</v>
      </c>
      <c r="BH41" s="563"/>
    </row>
    <row r="42" spans="2:60" ht="12">
      <c r="B42" s="526"/>
      <c r="C42" s="614">
        <f>+IF(C41&gt;$I$13+$I$14,XX,C41+1)</f>
        <v>2022</v>
      </c>
      <c r="E42" s="400">
        <f>'(2.2)_Forward_Price_Curve'!O33</f>
        <v>2.4E-2</v>
      </c>
      <c r="G42" s="624">
        <v>220465</v>
      </c>
      <c r="I42" s="625">
        <v>298.98101226281221</v>
      </c>
      <c r="K42" s="625">
        <v>43.512284000108977</v>
      </c>
      <c r="M42" s="553">
        <f t="shared" si="13"/>
        <v>0</v>
      </c>
      <c r="O42" s="625">
        <v>0.66</v>
      </c>
      <c r="Q42" s="625">
        <v>-41.902367483762823</v>
      </c>
      <c r="S42" s="475">
        <f t="shared" si="0"/>
        <v>21488.904205625677</v>
      </c>
      <c r="U42" s="475">
        <f t="shared" si="1"/>
        <v>8486.1392746074998</v>
      </c>
      <c r="W42" s="475">
        <f t="shared" si="2"/>
        <v>13002.764931018177</v>
      </c>
      <c r="Y42" s="554">
        <f t="shared" si="3"/>
        <v>58.978817186483923</v>
      </c>
      <c r="Z42" s="516"/>
      <c r="AB42" s="423">
        <f>+IF(AB41&gt;$I$13+$I$14,XX,AB41+1)</f>
        <v>2022</v>
      </c>
      <c r="AC42" s="503"/>
      <c r="AD42" s="488">
        <f t="shared" si="4"/>
        <v>220465</v>
      </c>
      <c r="AF42" s="555">
        <f t="shared" si="21"/>
        <v>106.27049967364773</v>
      </c>
      <c r="AH42" s="555">
        <f t="shared" si="22"/>
        <v>21.286442787693705</v>
      </c>
      <c r="AJ42" s="555">
        <f t="shared" si="23"/>
        <v>2.1723244550479208</v>
      </c>
      <c r="AL42" s="558">
        <f t="shared" si="5"/>
        <v>6082.8372767924384</v>
      </c>
      <c r="AN42" s="162">
        <f>INDEX('(2.2)_Forward_Price_Curve'!$G:$G,MATCH($AB42,'(2.2)_Forward_Price_Curve'!$C:$C,0),1)</f>
        <v>3.0098541666666665</v>
      </c>
      <c r="AP42" s="555">
        <f t="shared" si="24"/>
        <v>21.869664577125601</v>
      </c>
      <c r="AR42" s="162">
        <f t="shared" si="19"/>
        <v>2.4513517700364411</v>
      </c>
      <c r="AS42" s="555"/>
      <c r="AT42" s="558">
        <f t="shared" si="7"/>
        <v>3124.2064056304193</v>
      </c>
      <c r="AV42" s="558">
        <f t="shared" si="8"/>
        <v>5361.93286897708</v>
      </c>
      <c r="AW42" s="560"/>
      <c r="AX42" s="561">
        <f t="shared" si="9"/>
        <v>8486.1392746074998</v>
      </c>
      <c r="AZ42" s="430">
        <f>+IF(AZ41&gt;$I$13+$I$14,XX,AZ41+1)</f>
        <v>2022</v>
      </c>
      <c r="BA42" s="503"/>
      <c r="BB42" s="555">
        <f t="shared" si="25"/>
        <v>55.606754882764797</v>
      </c>
      <c r="BD42" s="555">
        <f t="shared" si="26"/>
        <v>17.16436998144</v>
      </c>
      <c r="BF42" s="558">
        <f t="shared" si="10"/>
        <v>2958.630871162019</v>
      </c>
      <c r="BH42" s="563"/>
    </row>
    <row r="43" spans="2:60" ht="12">
      <c r="B43" s="526"/>
      <c r="C43" s="614">
        <f>+IF(C42&gt;$I$13+$I$14,XX,C42+1)</f>
        <v>2023</v>
      </c>
      <c r="E43" s="400">
        <f>'(2.2)_Forward_Price_Curve'!O34</f>
        <v>2.3E-2</v>
      </c>
      <c r="G43" s="624">
        <v>220465</v>
      </c>
      <c r="I43" s="625">
        <v>304.66165149580559</v>
      </c>
      <c r="K43" s="625">
        <v>44.411862072704771</v>
      </c>
      <c r="M43" s="553">
        <f t="shared" si="13"/>
        <v>0</v>
      </c>
      <c r="O43" s="625">
        <v>0.67</v>
      </c>
      <c r="Q43" s="625">
        <v>-43.513997002369095</v>
      </c>
      <c r="S43" s="475">
        <f t="shared" si="0"/>
        <v>21732.907307737107</v>
      </c>
      <c r="U43" s="475">
        <f t="shared" si="1"/>
        <v>9318.9087647236083</v>
      </c>
      <c r="W43" s="475">
        <f t="shared" si="2"/>
        <v>12413.998543013498</v>
      </c>
      <c r="Y43" s="554">
        <f t="shared" si="3"/>
        <v>56.308250937851803</v>
      </c>
      <c r="Z43" s="516"/>
      <c r="AB43" s="423">
        <f>+IF(AB42&gt;$I$13+$I$14,XX,AB42+1)</f>
        <v>2023</v>
      </c>
      <c r="AC43" s="503"/>
      <c r="AD43" s="488">
        <f t="shared" si="4"/>
        <v>220465</v>
      </c>
      <c r="AF43" s="555">
        <f t="shared" si="21"/>
        <v>108.71472116614163</v>
      </c>
      <c r="AH43" s="555">
        <f t="shared" si="22"/>
        <v>21.776030971810659</v>
      </c>
      <c r="AJ43" s="555">
        <f t="shared" si="23"/>
        <v>2.2222879175140227</v>
      </c>
      <c r="AL43" s="558">
        <f t="shared" si="5"/>
        <v>6222.742534158665</v>
      </c>
      <c r="AN43" s="162">
        <f>INDEX('(2.2)_Forward_Price_Curve'!$G:$G,MATCH($AB43,'(2.2)_Forward_Price_Curve'!$C:$C,0),1)</f>
        <v>3.4771000000000001</v>
      </c>
      <c r="AP43" s="555">
        <f t="shared" si="24"/>
        <v>25.264682768779807</v>
      </c>
      <c r="AR43" s="555">
        <f t="shared" ref="AR43:AR69" si="27">AR42*(1+$E43)</f>
        <v>2.5077328607472791</v>
      </c>
      <c r="AS43" s="555"/>
      <c r="AT43" s="558">
        <f t="shared" si="7"/>
        <v>3196.06315295992</v>
      </c>
      <c r="AV43" s="558">
        <f t="shared" si="8"/>
        <v>6122.8456117636888</v>
      </c>
      <c r="AW43" s="560"/>
      <c r="AX43" s="561">
        <f t="shared" si="9"/>
        <v>9318.9087647236083</v>
      </c>
      <c r="AZ43" s="430">
        <f>+IF(AZ42&gt;$I$13+$I$14,XX,AZ42+1)</f>
        <v>2023</v>
      </c>
      <c r="BA43" s="503"/>
      <c r="BB43" s="555">
        <f t="shared" si="25"/>
        <v>56.885710245068381</v>
      </c>
      <c r="BD43" s="555">
        <f t="shared" si="26"/>
        <v>17.559150491013117</v>
      </c>
      <c r="BF43" s="558">
        <f t="shared" si="10"/>
        <v>3026.679381198745</v>
      </c>
      <c r="BH43" s="563"/>
    </row>
    <row r="44" spans="2:60" ht="12">
      <c r="B44" s="526"/>
      <c r="C44" s="614">
        <f>+IF(C43&gt;$I$13+$I$14,XX,C43+1)</f>
        <v>2024</v>
      </c>
      <c r="E44" s="400">
        <f>'(2.2)_Forward_Price_Curve'!O35</f>
        <v>2.3E-2</v>
      </c>
      <c r="G44" s="624">
        <v>220466.00000000003</v>
      </c>
      <c r="I44" s="625">
        <v>310.45022287422591</v>
      </c>
      <c r="K44" s="625">
        <v>45.330207556241547</v>
      </c>
      <c r="M44" s="553">
        <f t="shared" si="13"/>
        <v>0</v>
      </c>
      <c r="O44" s="625">
        <v>0.69</v>
      </c>
      <c r="Q44" s="625">
        <v>-43.513997002369095</v>
      </c>
      <c r="S44" s="475">
        <f t="shared" si="0"/>
        <v>22346.139861740703</v>
      </c>
      <c r="U44" s="475">
        <f t="shared" si="1"/>
        <v>10168.76838169658</v>
      </c>
      <c r="W44" s="475">
        <f t="shared" si="2"/>
        <v>12177.371480044123</v>
      </c>
      <c r="Y44" s="554">
        <f t="shared" si="3"/>
        <v>55.234691426542511</v>
      </c>
      <c r="Z44" s="516"/>
      <c r="AB44" s="423">
        <f>+IF(AB43&gt;$I$13+$I$14,XX,AB43+1)</f>
        <v>2024</v>
      </c>
      <c r="AC44" s="503"/>
      <c r="AD44" s="488">
        <f t="shared" si="4"/>
        <v>220466.00000000003</v>
      </c>
      <c r="AF44" s="555">
        <f t="shared" si="21"/>
        <v>111.21515975296288</v>
      </c>
      <c r="AH44" s="555">
        <f t="shared" si="22"/>
        <v>22.276879684162303</v>
      </c>
      <c r="AJ44" s="555">
        <f t="shared" si="23"/>
        <v>2.2734005396168451</v>
      </c>
      <c r="AL44" s="558">
        <f t="shared" si="5"/>
        <v>6365.8678858448538</v>
      </c>
      <c r="AN44" s="162">
        <f>INDEX('(2.2)_Forward_Price_Curve'!$G:$G,MATCH($AB44,'(2.2)_Forward_Price_Curve'!$C:$C,0),1)</f>
        <v>3.9537833333333325</v>
      </c>
      <c r="AP44" s="555">
        <f t="shared" si="24"/>
        <v>28.728274036741947</v>
      </c>
      <c r="AR44" s="555">
        <f t="shared" si="27"/>
        <v>2.5654107165444664</v>
      </c>
      <c r="AS44" s="555"/>
      <c r="AT44" s="558">
        <f t="shared" si="7"/>
        <v>3269.5748788785377</v>
      </c>
      <c r="AV44" s="558">
        <f t="shared" si="8"/>
        <v>6899.1935028180433</v>
      </c>
      <c r="AW44" s="560"/>
      <c r="AX44" s="561">
        <f t="shared" si="9"/>
        <v>10168.76838169658</v>
      </c>
      <c r="AZ44" s="430">
        <f>+IF(AZ43&gt;$I$13+$I$14,XX,AZ43+1)</f>
        <v>2024</v>
      </c>
      <c r="BA44" s="503"/>
      <c r="BB44" s="555">
        <f t="shared" si="25"/>
        <v>58.194081580704946</v>
      </c>
      <c r="BD44" s="555">
        <f t="shared" si="26"/>
        <v>17.963010952306416</v>
      </c>
      <c r="BF44" s="558">
        <f t="shared" si="10"/>
        <v>3096.2930069663162</v>
      </c>
      <c r="BH44" s="563"/>
    </row>
    <row r="45" spans="2:60" ht="12">
      <c r="B45" s="526"/>
      <c r="C45" s="614">
        <f>+IF(C44&gt;$I$13+$I$14,XX,C44+1)</f>
        <v>2025</v>
      </c>
      <c r="E45" s="400">
        <f>'(2.2)_Forward_Price_Curve'!O36</f>
        <v>2.3E-2</v>
      </c>
      <c r="G45" s="624">
        <v>220465</v>
      </c>
      <c r="I45" s="625">
        <v>316.3487771088362</v>
      </c>
      <c r="K45" s="625">
        <v>46.248657049723349</v>
      </c>
      <c r="M45" s="553">
        <f t="shared" si="13"/>
        <v>0</v>
      </c>
      <c r="O45" s="625">
        <v>0.69999999999999984</v>
      </c>
      <c r="Q45" s="625">
        <v>-45.125626520975352</v>
      </c>
      <c r="S45" s="475">
        <f t="shared" si="0"/>
        <v>22609.598578560734</v>
      </c>
      <c r="U45" s="475">
        <f t="shared" si="1"/>
        <v>10505.058211561281</v>
      </c>
      <c r="W45" s="475">
        <f t="shared" si="2"/>
        <v>12104.540366999452</v>
      </c>
      <c r="Y45" s="554">
        <f t="shared" si="3"/>
        <v>54.904589694506853</v>
      </c>
      <c r="Z45" s="516"/>
      <c r="AB45" s="423">
        <f>+IF(AB44&gt;$I$13+$I$14,XX,AB44+1)</f>
        <v>2025</v>
      </c>
      <c r="AC45" s="503"/>
      <c r="AD45" s="488">
        <f t="shared" si="4"/>
        <v>220465</v>
      </c>
      <c r="AF45" s="555">
        <f t="shared" si="21"/>
        <v>113.77310842728102</v>
      </c>
      <c r="AH45" s="555">
        <f t="shared" si="22"/>
        <v>22.789247916898034</v>
      </c>
      <c r="AJ45" s="555">
        <f t="shared" si="23"/>
        <v>2.3256887520280323</v>
      </c>
      <c r="AL45" s="558">
        <f t="shared" si="5"/>
        <v>6512.2805215305325</v>
      </c>
      <c r="AN45" s="162">
        <f>INDEX('(2.2)_Forward_Price_Curve'!$G:$G,MATCH($AB45,'(2.2)_Forward_Price_Curve'!$C:$C,0),1)</f>
        <v>4.1086708333333339</v>
      </c>
      <c r="AP45" s="555">
        <f t="shared" si="24"/>
        <v>29.853689915591971</v>
      </c>
      <c r="AR45" s="555">
        <f t="shared" si="27"/>
        <v>2.624415163024989</v>
      </c>
      <c r="AS45" s="555"/>
      <c r="AT45" s="558">
        <f t="shared" si="7"/>
        <v>3344.7727754039915</v>
      </c>
      <c r="AV45" s="558">
        <f t="shared" si="8"/>
        <v>7160.285436157289</v>
      </c>
      <c r="AW45" s="560"/>
      <c r="AX45" s="561">
        <f t="shared" si="9"/>
        <v>10505.058211561281</v>
      </c>
      <c r="AZ45" s="430">
        <f>+IF(AZ44&gt;$I$13+$I$14,XX,AZ44+1)</f>
        <v>2025</v>
      </c>
      <c r="BA45" s="503"/>
      <c r="BB45" s="555">
        <f t="shared" si="25"/>
        <v>59.532545457061154</v>
      </c>
      <c r="BD45" s="555">
        <f t="shared" si="26"/>
        <v>18.376160204209462</v>
      </c>
      <c r="BF45" s="558">
        <f t="shared" si="10"/>
        <v>3167.507746126541</v>
      </c>
      <c r="BH45" s="563"/>
    </row>
    <row r="46" spans="2:60" ht="12">
      <c r="B46" s="526"/>
      <c r="C46" s="614">
        <f>+IF(C45&gt;$I$13+$I$14,XX,C45+1)</f>
        <v>2026</v>
      </c>
      <c r="E46" s="400">
        <f>'(2.2)_Forward_Price_Curve'!O37</f>
        <v>2.3E-2</v>
      </c>
      <c r="G46" s="624">
        <v>220465</v>
      </c>
      <c r="I46" s="625">
        <v>322.35940387390406</v>
      </c>
      <c r="K46" s="625">
        <v>47.185814945679397</v>
      </c>
      <c r="M46" s="553">
        <f t="shared" si="13"/>
        <v>0</v>
      </c>
      <c r="O46" s="625">
        <v>0.72</v>
      </c>
      <c r="Q46" s="625">
        <v>-46.737256039581631</v>
      </c>
      <c r="S46" s="475">
        <f t="shared" si="0"/>
        <v>22887.25649118091</v>
      </c>
      <c r="U46" s="475">
        <f t="shared" si="1"/>
        <v>10719.970400371898</v>
      </c>
      <c r="W46" s="475">
        <f t="shared" si="2"/>
        <v>12167.286090809012</v>
      </c>
      <c r="Y46" s="554">
        <f t="shared" si="3"/>
        <v>55.189195975819345</v>
      </c>
      <c r="Z46" s="516"/>
      <c r="AB46" s="423">
        <f>+IF(AB45&gt;$I$13+$I$14,XX,AB45+1)</f>
        <v>2026</v>
      </c>
      <c r="AC46" s="503"/>
      <c r="AD46" s="488">
        <f t="shared" si="4"/>
        <v>220465</v>
      </c>
      <c r="AF46" s="555">
        <f t="shared" si="21"/>
        <v>116.38988992110846</v>
      </c>
      <c r="AH46" s="555">
        <f t="shared" si="22"/>
        <v>23.313400618986687</v>
      </c>
      <c r="AJ46" s="555">
        <f t="shared" si="23"/>
        <v>2.3791795933246767</v>
      </c>
      <c r="AL46" s="558">
        <f t="shared" si="5"/>
        <v>6662.0629735257326</v>
      </c>
      <c r="AN46" s="162">
        <f>INDEX('(2.2)_Forward_Price_Curve'!$G:$G,MATCH($AB46,'(2.2)_Forward_Price_Curve'!$C:$C,0),1)</f>
        <v>4.1864999999999997</v>
      </c>
      <c r="AP46" s="555">
        <f t="shared" si="24"/>
        <v>30.419198300738156</v>
      </c>
      <c r="AR46" s="555">
        <f t="shared" si="27"/>
        <v>2.6847767117745636</v>
      </c>
      <c r="AS46" s="555"/>
      <c r="AT46" s="558">
        <f t="shared" si="7"/>
        <v>3421.7025492382818</v>
      </c>
      <c r="AV46" s="558">
        <f t="shared" si="8"/>
        <v>7298.2678511336162</v>
      </c>
      <c r="AW46" s="560"/>
      <c r="AX46" s="561">
        <f t="shared" si="9"/>
        <v>10719.970400371898</v>
      </c>
      <c r="AZ46" s="430">
        <f>+IF(AZ45&gt;$I$13+$I$14,XX,AZ45+1)</f>
        <v>2026</v>
      </c>
      <c r="BA46" s="503"/>
      <c r="BB46" s="555">
        <f t="shared" si="25"/>
        <v>60.901794002573553</v>
      </c>
      <c r="BD46" s="555">
        <f t="shared" si="26"/>
        <v>18.798811888906279</v>
      </c>
      <c r="BF46" s="558">
        <f t="shared" si="10"/>
        <v>3240.3604242874508</v>
      </c>
      <c r="BH46" s="563"/>
    </row>
    <row r="47" spans="2:60" ht="12">
      <c r="B47" s="526"/>
      <c r="C47" s="614">
        <f>+IF(C46&gt;$I$13+$I$14,XX,C46+1)</f>
        <v>2027</v>
      </c>
      <c r="E47" s="400">
        <f>'(2.2)_Forward_Price_Curve'!O38</f>
        <v>2.1999999999999999E-2</v>
      </c>
      <c r="G47" s="624">
        <v>220465</v>
      </c>
      <c r="I47" s="625">
        <v>328.48423254750821</v>
      </c>
      <c r="K47" s="625">
        <v>48.142064376722864</v>
      </c>
      <c r="M47" s="553">
        <f t="shared" si="13"/>
        <v>0</v>
      </c>
      <c r="O47" s="625">
        <v>0.74</v>
      </c>
      <c r="Q47" s="625">
        <v>-46.737256039581631</v>
      </c>
      <c r="S47" s="475">
        <f t="shared" si="0"/>
        <v>23532.448294882921</v>
      </c>
      <c r="U47" s="475">
        <f t="shared" si="1"/>
        <v>11242.085103530706</v>
      </c>
      <c r="W47" s="475">
        <f t="shared" si="2"/>
        <v>12290.363191352215</v>
      </c>
      <c r="Y47" s="554">
        <f t="shared" si="3"/>
        <v>55.747457380319844</v>
      </c>
      <c r="Z47" s="516"/>
      <c r="AB47" s="423">
        <f>+IF(AB46&gt;$I$13+$I$14,XX,AB46+1)</f>
        <v>2027</v>
      </c>
      <c r="AC47" s="503"/>
      <c r="AD47" s="488">
        <f t="shared" si="4"/>
        <v>220465</v>
      </c>
      <c r="AF47" s="555">
        <f t="shared" si="21"/>
        <v>118.95046749937285</v>
      </c>
      <c r="AH47" s="555">
        <f t="shared" si="22"/>
        <v>23.826295432604393</v>
      </c>
      <c r="AJ47" s="555">
        <f t="shared" si="23"/>
        <v>2.4315215443778198</v>
      </c>
      <c r="AL47" s="558">
        <f t="shared" si="5"/>
        <v>6808.6283589433006</v>
      </c>
      <c r="AN47" s="162">
        <f>INDEX('(2.2)_Forward_Price_Curve'!$G:$G,MATCH($AB47,'(2.2)_Forward_Price_Curve'!$C:$C,0),1)</f>
        <v>4.4573125000000005</v>
      </c>
      <c r="AP47" s="555">
        <f t="shared" si="24"/>
        <v>32.386927702343002</v>
      </c>
      <c r="AR47" s="555">
        <f t="shared" si="27"/>
        <v>2.743841799433604</v>
      </c>
      <c r="AS47" s="555"/>
      <c r="AT47" s="558">
        <f t="shared" si="7"/>
        <v>3496.9800053215258</v>
      </c>
      <c r="AV47" s="558">
        <f t="shared" si="8"/>
        <v>7745.1050982091792</v>
      </c>
      <c r="AW47" s="560"/>
      <c r="AX47" s="561">
        <f t="shared" si="9"/>
        <v>11242.085103530706</v>
      </c>
      <c r="AZ47" s="430">
        <f>+IF(AZ46&gt;$I$13+$I$14,XX,AZ46+1)</f>
        <v>2027</v>
      </c>
      <c r="BA47" s="503"/>
      <c r="BB47" s="555">
        <f t="shared" si="25"/>
        <v>62.24163347063017</v>
      </c>
      <c r="BD47" s="555">
        <f t="shared" si="26"/>
        <v>19.212385750462218</v>
      </c>
      <c r="BF47" s="558">
        <f t="shared" si="10"/>
        <v>3311.6483536217747</v>
      </c>
      <c r="BH47" s="563"/>
    </row>
    <row r="48" spans="2:60" ht="12">
      <c r="B48" s="526"/>
      <c r="C48" s="614">
        <f>+IF(C47&gt;$I$13+$I$14,XX,C47+1)</f>
        <v>2028</v>
      </c>
      <c r="E48" s="400">
        <f>'(2.2)_Forward_Price_Curve'!O39</f>
        <v>2.1999999999999999E-2</v>
      </c>
      <c r="G48" s="624">
        <v>220466.00000000003</v>
      </c>
      <c r="I48" s="625">
        <v>334.72543296591084</v>
      </c>
      <c r="K48" s="625">
        <v>49.117796363791818</v>
      </c>
      <c r="M48" s="553">
        <f t="shared" si="13"/>
        <v>0</v>
      </c>
      <c r="O48" s="625">
        <v>0.75000000000000011</v>
      </c>
      <c r="Q48" s="625">
        <v>-48.348885558187895</v>
      </c>
      <c r="S48" s="475">
        <f t="shared" si="0"/>
        <v>23832.593583875219</v>
      </c>
      <c r="U48" s="475">
        <f t="shared" si="1"/>
        <v>11582.729890304132</v>
      </c>
      <c r="W48" s="475">
        <f t="shared" si="2"/>
        <v>12249.863693571087</v>
      </c>
      <c r="Y48" s="554">
        <f t="shared" si="3"/>
        <v>55.563505001093525</v>
      </c>
      <c r="Z48" s="516"/>
      <c r="AB48" s="423">
        <f>+IF(AB47&gt;$I$13+$I$14,XX,AB47+1)</f>
        <v>2028</v>
      </c>
      <c r="AC48" s="503"/>
      <c r="AD48" s="488">
        <f t="shared" si="4"/>
        <v>220466.00000000003</v>
      </c>
      <c r="AF48" s="555">
        <f t="shared" si="21"/>
        <v>121.56737778435905</v>
      </c>
      <c r="AH48" s="555">
        <f t="shared" si="22"/>
        <v>24.350473932121691</v>
      </c>
      <c r="AJ48" s="555">
        <f t="shared" si="23"/>
        <v>2.4850150183541317</v>
      </c>
      <c r="AL48" s="558">
        <f t="shared" si="5"/>
        <v>6958.4206678550709</v>
      </c>
      <c r="AN48" s="162">
        <f>INDEX('(2.2)_Forward_Price_Curve'!$G:$G,MATCH($AB48,'(2.2)_Forward_Price_Curve'!$C:$C,0),1)</f>
        <v>4.6136041666666676</v>
      </c>
      <c r="AP48" s="555">
        <f t="shared" si="24"/>
        <v>33.522546286144795</v>
      </c>
      <c r="AR48" s="555">
        <f t="shared" si="27"/>
        <v>2.8042063190211435</v>
      </c>
      <c r="AS48" s="555"/>
      <c r="AT48" s="558">
        <f t="shared" si="7"/>
        <v>3573.9160504536171</v>
      </c>
      <c r="AV48" s="558">
        <f t="shared" si="8"/>
        <v>8008.8138398505143</v>
      </c>
      <c r="AW48" s="560"/>
      <c r="AX48" s="561">
        <f t="shared" si="9"/>
        <v>11582.729890304132</v>
      </c>
      <c r="AZ48" s="430">
        <f>+IF(AZ47&gt;$I$13+$I$14,XX,AZ47+1)</f>
        <v>2028</v>
      </c>
      <c r="BA48" s="503"/>
      <c r="BB48" s="555">
        <f t="shared" si="25"/>
        <v>63.610949406984034</v>
      </c>
      <c r="BD48" s="555">
        <f t="shared" si="26"/>
        <v>19.635058236972387</v>
      </c>
      <c r="BF48" s="558">
        <f t="shared" si="10"/>
        <v>3384.5046174014537</v>
      </c>
      <c r="BH48" s="563"/>
    </row>
    <row r="49" spans="2:60" ht="12">
      <c r="B49" s="526"/>
      <c r="C49" s="614">
        <f>+IF(C48&gt;$I$13+$I$14,XX,C48+1)</f>
        <v>2029</v>
      </c>
      <c r="E49" s="400">
        <f>'(2.2)_Forward_Price_Curve'!O40</f>
        <v>2.1999999999999999E-2</v>
      </c>
      <c r="G49" s="624">
        <v>220465</v>
      </c>
      <c r="I49" s="625">
        <v>341.08521619226309</v>
      </c>
      <c r="K49" s="625">
        <v>50.092618151182037</v>
      </c>
      <c r="M49" s="553">
        <f t="shared" si="13"/>
        <v>0</v>
      </c>
      <c r="O49" s="625">
        <v>0.76999999999999991</v>
      </c>
      <c r="Q49" s="625">
        <v>-48.348885558187895</v>
      </c>
      <c r="S49" s="475">
        <f t="shared" si="0"/>
        <v>24498.372232811325</v>
      </c>
      <c r="U49" s="475">
        <f t="shared" si="1"/>
        <v>11900.08576822167</v>
      </c>
      <c r="W49" s="475">
        <f t="shared" si="2"/>
        <v>12598.286464589655</v>
      </c>
      <c r="Y49" s="554">
        <f t="shared" si="3"/>
        <v>57.144156508242375</v>
      </c>
      <c r="Z49" s="516"/>
      <c r="AB49" s="423">
        <f>+IF(AB48&gt;$I$13+$I$14,XX,AB48+1)</f>
        <v>2029</v>
      </c>
      <c r="AC49" s="503"/>
      <c r="AD49" s="488">
        <f t="shared" si="4"/>
        <v>220465</v>
      </c>
      <c r="AF49" s="555">
        <f t="shared" si="21"/>
        <v>124.24186009561495</v>
      </c>
      <c r="AH49" s="555">
        <f t="shared" si="22"/>
        <v>24.88618435862837</v>
      </c>
      <c r="AJ49" s="555">
        <f t="shared" si="23"/>
        <v>2.5396853487579225</v>
      </c>
      <c r="AL49" s="558">
        <f t="shared" si="5"/>
        <v>7111.5033828625337</v>
      </c>
      <c r="AN49" s="162">
        <f>INDEX('(2.2)_Forward_Price_Curve'!$G:$G,MATCH($AB49,'(2.2)_Forward_Price_Curve'!$C:$C,0),1)</f>
        <v>4.7541666666666673</v>
      </c>
      <c r="AP49" s="555">
        <f t="shared" si="24"/>
        <v>34.543876409433338</v>
      </c>
      <c r="AR49" s="555">
        <f t="shared" si="27"/>
        <v>2.8658988580396088</v>
      </c>
      <c r="AS49" s="555"/>
      <c r="AT49" s="558">
        <f t="shared" si="7"/>
        <v>3652.5396638782477</v>
      </c>
      <c r="AV49" s="558">
        <f t="shared" si="8"/>
        <v>8247.5461043434225</v>
      </c>
      <c r="AW49" s="560"/>
      <c r="AX49" s="561">
        <f t="shared" si="9"/>
        <v>11900.08576822167</v>
      </c>
      <c r="AZ49" s="430">
        <f>+IF(AZ48&gt;$I$13+$I$14,XX,AZ48+1)</f>
        <v>2029</v>
      </c>
      <c r="BA49" s="503"/>
      <c r="BB49" s="555">
        <f t="shared" si="25"/>
        <v>65.010390293937689</v>
      </c>
      <c r="BD49" s="555">
        <f t="shared" si="26"/>
        <v>20.06702951818578</v>
      </c>
      <c r="BF49" s="558">
        <f t="shared" si="10"/>
        <v>3458.9637189842861</v>
      </c>
      <c r="BH49" s="563"/>
    </row>
    <row r="50" spans="2:60" ht="12">
      <c r="B50" s="526"/>
      <c r="C50" s="614">
        <f>+IF(C49&gt;$I$13+$I$14,XX,C49+1)</f>
        <v>2030</v>
      </c>
      <c r="E50" s="400">
        <f>'(2.2)_Forward_Price_Curve'!O41</f>
        <v>2.1999999999999999E-2</v>
      </c>
      <c r="G50" s="624">
        <v>220465</v>
      </c>
      <c r="I50" s="625">
        <v>347.8319422602209</v>
      </c>
      <c r="K50" s="625">
        <v>51.136927427469899</v>
      </c>
      <c r="M50" s="553">
        <f t="shared" si="13"/>
        <v>0</v>
      </c>
      <c r="O50" s="625">
        <v>0.78</v>
      </c>
      <c r="Q50" s="625">
        <v>0</v>
      </c>
      <c r="S50" s="475">
        <f t="shared" si="0"/>
        <v>35863.667751964662</v>
      </c>
      <c r="U50" s="475">
        <f t="shared" si="1"/>
        <v>12472.289810437822</v>
      </c>
      <c r="W50" s="475">
        <f t="shared" si="2"/>
        <v>23391.37794152684</v>
      </c>
      <c r="Y50" s="554">
        <f t="shared" si="3"/>
        <v>106.10018797326941</v>
      </c>
      <c r="Z50" s="516"/>
      <c r="AB50" s="423">
        <f>+IF(AB49&gt;$I$13+$I$14,XX,AB49+1)</f>
        <v>2030</v>
      </c>
      <c r="AC50" s="503"/>
      <c r="AD50" s="488">
        <f t="shared" si="4"/>
        <v>220465</v>
      </c>
      <c r="AF50" s="555">
        <f t="shared" si="21"/>
        <v>126.97518101771848</v>
      </c>
      <c r="AH50" s="555">
        <f t="shared" si="22"/>
        <v>25.433680414518193</v>
      </c>
      <c r="AJ50" s="555">
        <f t="shared" si="23"/>
        <v>2.5955584264305966</v>
      </c>
      <c r="AL50" s="558">
        <f t="shared" si="5"/>
        <v>7267.9564572855106</v>
      </c>
      <c r="AN50" s="162">
        <f>INDEX('(2.2)_Forward_Price_Curve'!$G:$G,MATCH($AB50,'(2.2)_Forward_Price_Curve'!$C:$C,0),1)</f>
        <v>5.052529166666667</v>
      </c>
      <c r="AP50" s="555">
        <f t="shared" si="24"/>
        <v>36.711784698697393</v>
      </c>
      <c r="AR50" s="555">
        <f t="shared" si="27"/>
        <v>2.9289486329164802</v>
      </c>
      <c r="AS50" s="555"/>
      <c r="AT50" s="558">
        <f t="shared" si="7"/>
        <v>3732.8955364835701</v>
      </c>
      <c r="AV50" s="558">
        <f t="shared" si="8"/>
        <v>8739.3942739542526</v>
      </c>
      <c r="AW50" s="560"/>
      <c r="AX50" s="561">
        <f t="shared" si="9"/>
        <v>12472.289810437822</v>
      </c>
      <c r="AZ50" s="430">
        <f>+IF(AZ49&gt;$I$13+$I$14,XX,AZ49+1)</f>
        <v>2030</v>
      </c>
      <c r="BA50" s="503"/>
      <c r="BB50" s="555">
        <f t="shared" si="25"/>
        <v>66.440618880404315</v>
      </c>
      <c r="BD50" s="555">
        <f t="shared" si="26"/>
        <v>20.508504167585869</v>
      </c>
      <c r="BF50" s="558">
        <f t="shared" si="10"/>
        <v>3535.0609208019405</v>
      </c>
      <c r="BH50" s="563"/>
    </row>
    <row r="51" spans="2:60" ht="12">
      <c r="B51" s="526"/>
      <c r="C51" s="614">
        <f>+IF(C50&gt;$I$13+$I$14,XX,C50+1)</f>
        <v>2031</v>
      </c>
      <c r="E51" s="400">
        <f>'(2.2)_Forward_Price_Curve'!O42</f>
        <v>2.1999999999999999E-2</v>
      </c>
      <c r="G51" s="624">
        <v>220465</v>
      </c>
      <c r="I51" s="625">
        <v>354.71217826267599</v>
      </c>
      <c r="K51" s="625">
        <v>52.203056941375337</v>
      </c>
      <c r="M51" s="553">
        <f t="shared" si="13"/>
        <v>0</v>
      </c>
      <c r="O51" s="625">
        <v>0.8</v>
      </c>
      <c r="Q51" s="625">
        <v>0</v>
      </c>
      <c r="S51" s="475">
        <f t="shared" si="0"/>
        <v>36586.113862620172</v>
      </c>
      <c r="U51" s="475">
        <f t="shared" si="1"/>
        <v>12788.64101775018</v>
      </c>
      <c r="W51" s="475">
        <f t="shared" si="2"/>
        <v>23797.47284486999</v>
      </c>
      <c r="Y51" s="554">
        <f t="shared" si="3"/>
        <v>107.94218059496967</v>
      </c>
      <c r="Z51" s="516"/>
      <c r="AB51" s="423">
        <f>+IF(AB50&gt;$I$13+$I$14,XX,AB50+1)</f>
        <v>2031</v>
      </c>
      <c r="AC51" s="503"/>
      <c r="AD51" s="488">
        <f t="shared" si="4"/>
        <v>220465</v>
      </c>
      <c r="AF51" s="555">
        <f t="shared" si="21"/>
        <v>129.7686350001083</v>
      </c>
      <c r="AH51" s="555">
        <f t="shared" si="22"/>
        <v>25.993221383637593</v>
      </c>
      <c r="AJ51" s="555">
        <f t="shared" si="23"/>
        <v>2.6526607118120697</v>
      </c>
      <c r="AL51" s="558">
        <f t="shared" si="5"/>
        <v>7427.8514993457911</v>
      </c>
      <c r="AN51" s="162">
        <f>INDEX('(2.2)_Forward_Price_Curve'!$G:$G,MATCH($AB51,'(2.2)_Forward_Price_Curve'!$C:$C,0),1)</f>
        <v>5.1898791666666666</v>
      </c>
      <c r="AP51" s="555">
        <f t="shared" si="24"/>
        <v>37.709772728461253</v>
      </c>
      <c r="AR51" s="555">
        <f t="shared" si="27"/>
        <v>2.9933855028406429</v>
      </c>
      <c r="AS51" s="555"/>
      <c r="AT51" s="558">
        <f t="shared" si="7"/>
        <v>3815.0192382862078</v>
      </c>
      <c r="AV51" s="558">
        <f t="shared" si="8"/>
        <v>8973.6217794639724</v>
      </c>
      <c r="AW51" s="560"/>
      <c r="AX51" s="561">
        <f t="shared" si="9"/>
        <v>12788.64101775018</v>
      </c>
      <c r="AZ51" s="430">
        <f>+IF(AZ50&gt;$I$13+$I$14,XX,AZ50+1)</f>
        <v>2031</v>
      </c>
      <c r="BA51" s="503"/>
      <c r="BB51" s="555">
        <f t="shared" si="25"/>
        <v>67.902312495773216</v>
      </c>
      <c r="BD51" s="555">
        <f t="shared" si="26"/>
        <v>20.959691259272759</v>
      </c>
      <c r="BF51" s="558">
        <f t="shared" si="10"/>
        <v>3612.8322610595833</v>
      </c>
      <c r="BH51" s="563"/>
    </row>
    <row r="52" spans="2:60" ht="12">
      <c r="B52" s="526"/>
      <c r="C52" s="614">
        <f>+IF(C51&gt;$I$13+$I$14,XX,C51+1)</f>
        <v>2032</v>
      </c>
      <c r="E52" s="400">
        <f>'(2.2)_Forward_Price_Curve'!O43</f>
        <v>2.1999999999999999E-2</v>
      </c>
      <c r="G52" s="624">
        <v>220466.00000000003</v>
      </c>
      <c r="I52" s="625">
        <v>362.00542501266904</v>
      </c>
      <c r="K52" s="625">
        <v>53.321493920441142</v>
      </c>
      <c r="M52" s="553">
        <f t="shared" si="13"/>
        <v>0</v>
      </c>
      <c r="O52" s="625">
        <v>0.82</v>
      </c>
      <c r="Q52" s="625">
        <v>0</v>
      </c>
      <c r="S52" s="475">
        <f t="shared" si="0"/>
        <v>37349.139434553341</v>
      </c>
      <c r="U52" s="475">
        <f t="shared" si="1"/>
        <v>13115.899720507103</v>
      </c>
      <c r="W52" s="475">
        <f t="shared" si="2"/>
        <v>24233.239714046238</v>
      </c>
      <c r="Y52" s="554">
        <f t="shared" si="3"/>
        <v>109.91826274367131</v>
      </c>
      <c r="Z52" s="516"/>
      <c r="AB52" s="423">
        <f>+IF(AB51&gt;$I$13+$I$14,XX,AB51+1)</f>
        <v>2032</v>
      </c>
      <c r="AC52" s="503"/>
      <c r="AD52" s="488">
        <f t="shared" si="4"/>
        <v>220466.00000000003</v>
      </c>
      <c r="AF52" s="555">
        <f t="shared" si="21"/>
        <v>132.62354497011069</v>
      </c>
      <c r="AH52" s="555">
        <f t="shared" si="22"/>
        <v>26.56507225407762</v>
      </c>
      <c r="AJ52" s="555">
        <f t="shared" si="23"/>
        <v>2.7110192474719352</v>
      </c>
      <c r="AL52" s="558">
        <f t="shared" si="5"/>
        <v>7591.2669433506462</v>
      </c>
      <c r="AN52" s="162">
        <f>INDEX('(2.2)_Forward_Price_Curve'!$G:$G,MATCH($AB52,'(2.2)_Forward_Price_Curve'!$C:$C,0),1)</f>
        <v>5.3326874999999996</v>
      </c>
      <c r="AP52" s="555">
        <f t="shared" si="24"/>
        <v>38.747421124654863</v>
      </c>
      <c r="AR52" s="555">
        <f t="shared" si="27"/>
        <v>3.059239983903137</v>
      </c>
      <c r="AS52" s="555"/>
      <c r="AT52" s="558">
        <f t="shared" si="7"/>
        <v>3898.952372547752</v>
      </c>
      <c r="AV52" s="558">
        <f t="shared" si="8"/>
        <v>9216.9473479593507</v>
      </c>
      <c r="AW52" s="560"/>
      <c r="AX52" s="561">
        <f t="shared" si="9"/>
        <v>13115.899720507103</v>
      </c>
      <c r="AZ52" s="430">
        <f>+IF(AZ51&gt;$I$13+$I$14,XX,AZ51+1)</f>
        <v>2032</v>
      </c>
      <c r="BA52" s="503"/>
      <c r="BB52" s="555">
        <f t="shared" si="25"/>
        <v>69.396163370680227</v>
      </c>
      <c r="BD52" s="555">
        <f t="shared" si="26"/>
        <v>21.420804466976762</v>
      </c>
      <c r="BF52" s="558">
        <f t="shared" si="10"/>
        <v>3692.3145708028942</v>
      </c>
      <c r="BH52" s="563"/>
    </row>
    <row r="53" spans="2:60" ht="12">
      <c r="B53" s="526"/>
      <c r="C53" s="614">
        <f>+IF(C52&gt;$I$13+$I$14,XX,C52+1)</f>
        <v>2033</v>
      </c>
      <c r="E53" s="400">
        <f>'(2.2)_Forward_Price_Curve'!O44</f>
        <v>2.1999999999999999E-2</v>
      </c>
      <c r="G53" s="624">
        <v>220465</v>
      </c>
      <c r="I53" s="625">
        <v>80.841073111823164</v>
      </c>
      <c r="K53" s="625">
        <v>23.159117389113675</v>
      </c>
      <c r="M53" s="553">
        <f t="shared" si="13"/>
        <v>0</v>
      </c>
      <c r="O53" s="625">
        <v>0.84000000000000008</v>
      </c>
      <c r="Q53" s="625">
        <v>0</v>
      </c>
      <c r="S53" s="475">
        <f t="shared" si="0"/>
        <v>10966.008747640934</v>
      </c>
      <c r="U53" s="475">
        <f t="shared" si="1"/>
        <v>13511.467297283358</v>
      </c>
      <c r="W53" s="475">
        <f t="shared" si="2"/>
        <v>-2545.4585496424243</v>
      </c>
      <c r="Y53" s="554">
        <f t="shared" si="3"/>
        <v>-11.54586238016204</v>
      </c>
      <c r="Z53" s="516"/>
      <c r="AB53" s="423">
        <f>+IF(AB52&gt;$I$13+$I$14,XX,AB52+1)</f>
        <v>2033</v>
      </c>
      <c r="AC53" s="503"/>
      <c r="AD53" s="488">
        <f t="shared" si="4"/>
        <v>220465</v>
      </c>
      <c r="AF53" s="555">
        <f t="shared" si="21"/>
        <v>135.54126295945312</v>
      </c>
      <c r="AH53" s="555">
        <f t="shared" si="22"/>
        <v>27.149503843667329</v>
      </c>
      <c r="AJ53" s="555">
        <f t="shared" si="23"/>
        <v>2.7706616709163177</v>
      </c>
      <c r="AL53" s="558">
        <f t="shared" si="5"/>
        <v>7758.272045442689</v>
      </c>
      <c r="AN53" s="162">
        <f>INDEX('(2.2)_Forward_Price_Curve'!$G:$G,MATCH($AB53,'(2.2)_Forward_Price_Curve'!$C:$C,0),1)</f>
        <v>5.5168416666666671</v>
      </c>
      <c r="AP53" s="555">
        <f t="shared" si="24"/>
        <v>40.085489227781714</v>
      </c>
      <c r="AR53" s="555">
        <f t="shared" si="27"/>
        <v>3.126543263549006</v>
      </c>
      <c r="AS53" s="555"/>
      <c r="AT53" s="558">
        <f t="shared" si="7"/>
        <v>3984.7265540821309</v>
      </c>
      <c r="AV53" s="558">
        <f t="shared" si="8"/>
        <v>9526.740743201226</v>
      </c>
      <c r="AW53" s="560"/>
      <c r="AX53" s="561">
        <f t="shared" si="9"/>
        <v>13511.467297283358</v>
      </c>
      <c r="AZ53" s="430">
        <f>+IF(AZ52&gt;$I$13+$I$14,XX,AZ52+1)</f>
        <v>2033</v>
      </c>
      <c r="BA53" s="503"/>
      <c r="BB53" s="555">
        <f t="shared" si="25"/>
        <v>70.922878964835192</v>
      </c>
      <c r="BD53" s="555">
        <f t="shared" si="26"/>
        <v>21.892062165250252</v>
      </c>
      <c r="BF53" s="558">
        <f t="shared" si="10"/>
        <v>3773.5454913605581</v>
      </c>
      <c r="BH53" s="563"/>
    </row>
    <row r="54" spans="2:60" ht="12">
      <c r="B54" s="526"/>
      <c r="C54" s="614">
        <f>+IF(C53&gt;$I$13+$I$14,XX,C53+1)</f>
        <v>2034</v>
      </c>
      <c r="E54" s="400">
        <f>'(2.2)_Forward_Price_Curve'!O45</f>
        <v>2.1999999999999999E-2</v>
      </c>
      <c r="G54" s="624">
        <v>220465</v>
      </c>
      <c r="I54" s="625">
        <v>82.377053500947795</v>
      </c>
      <c r="K54" s="625">
        <v>23.66861797167417</v>
      </c>
      <c r="M54" s="553">
        <f t="shared" si="13"/>
        <v>0</v>
      </c>
      <c r="O54" s="625">
        <v>0.85999999999999988</v>
      </c>
      <c r="Q54" s="625">
        <v>0</v>
      </c>
      <c r="S54" s="475">
        <f t="shared" si="0"/>
        <v>11190.570916891682</v>
      </c>
      <c r="U54" s="475">
        <f t="shared" si="1"/>
        <v>13888.948746675405</v>
      </c>
      <c r="W54" s="475">
        <f t="shared" si="2"/>
        <v>-2698.3778297837234</v>
      </c>
      <c r="Y54" s="554">
        <f t="shared" si="3"/>
        <v>-12.239483953388172</v>
      </c>
      <c r="Z54" s="516"/>
      <c r="AB54" s="423">
        <f>+IF(AB53&gt;$I$13+$I$14,XX,AB53+1)</f>
        <v>2034</v>
      </c>
      <c r="AC54" s="503"/>
      <c r="AD54" s="488">
        <f t="shared" si="4"/>
        <v>220465</v>
      </c>
      <c r="AF54" s="555">
        <f t="shared" si="21"/>
        <v>138.5231707445611</v>
      </c>
      <c r="AH54" s="555">
        <f t="shared" si="22"/>
        <v>27.746792928228011</v>
      </c>
      <c r="AJ54" s="555">
        <f t="shared" si="23"/>
        <v>2.8316162276764767</v>
      </c>
      <c r="AL54" s="558">
        <f t="shared" si="5"/>
        <v>7928.954030442429</v>
      </c>
      <c r="AN54" s="162">
        <f>INDEX('(2.2)_Forward_Price_Curve'!$G:$G,MATCH($AB54,'(2.2)_Forward_Price_Curve'!$C:$C,0),1)</f>
        <v>5.688295833333334</v>
      </c>
      <c r="AP54" s="555">
        <f t="shared" si="24"/>
        <v>41.331278860009391</v>
      </c>
      <c r="AR54" s="555">
        <f t="shared" si="27"/>
        <v>3.1953272153470844</v>
      </c>
      <c r="AS54" s="555"/>
      <c r="AT54" s="558">
        <f t="shared" si="7"/>
        <v>4072.390538271939</v>
      </c>
      <c r="AV54" s="558">
        <f t="shared" si="8"/>
        <v>9816.5582084034668</v>
      </c>
      <c r="AW54" s="560"/>
      <c r="AX54" s="561">
        <f t="shared" si="9"/>
        <v>13888.948746675405</v>
      </c>
      <c r="AZ54" s="430">
        <f>+IF(AZ53&gt;$I$13+$I$14,XX,AZ53+1)</f>
        <v>2034</v>
      </c>
      <c r="BA54" s="503"/>
      <c r="BB54" s="555">
        <f t="shared" si="25"/>
        <v>72.483182302061564</v>
      </c>
      <c r="BD54" s="555">
        <f t="shared" si="26"/>
        <v>22.373687532885757</v>
      </c>
      <c r="BF54" s="558">
        <f t="shared" si="10"/>
        <v>3856.56349217049</v>
      </c>
      <c r="BH54" s="563"/>
    </row>
    <row r="55" spans="2:60" ht="12">
      <c r="B55" s="526"/>
      <c r="C55" s="614">
        <f>+IF(C54&gt;$I$13+$I$14,XX,C54+1)</f>
        <v>2035</v>
      </c>
      <c r="E55" s="400">
        <f>'(2.2)_Forward_Price_Curve'!O46</f>
        <v>2.1999999999999999E-2</v>
      </c>
      <c r="G55" s="624">
        <v>220465</v>
      </c>
      <c r="I55" s="625">
        <v>83.942217517465807</v>
      </c>
      <c r="K55" s="625">
        <v>24.189327567051002</v>
      </c>
      <c r="M55" s="553">
        <f t="shared" si="13"/>
        <v>0</v>
      </c>
      <c r="O55" s="625">
        <v>0.86999999999999988</v>
      </c>
      <c r="Q55" s="625">
        <v>0</v>
      </c>
      <c r="S55" s="475">
        <f t="shared" si="0"/>
        <v>11417.448321796001</v>
      </c>
      <c r="U55" s="475">
        <f t="shared" si="1"/>
        <v>14246.666250057075</v>
      </c>
      <c r="W55" s="475">
        <f t="shared" si="2"/>
        <v>-2829.2179282610741</v>
      </c>
      <c r="Y55" s="554">
        <f t="shared" si="3"/>
        <v>-12.832957286921163</v>
      </c>
      <c r="Z55" s="516"/>
      <c r="AB55" s="423">
        <f>+IF(AB54&gt;$I$13+$I$14,XX,AB54+1)</f>
        <v>2035</v>
      </c>
      <c r="AC55" s="503"/>
      <c r="AD55" s="488">
        <f t="shared" si="4"/>
        <v>220465</v>
      </c>
      <c r="AF55" s="555">
        <f t="shared" si="21"/>
        <v>141.57068050094145</v>
      </c>
      <c r="AH55" s="555">
        <f t="shared" si="22"/>
        <v>28.357222372649026</v>
      </c>
      <c r="AJ55" s="555">
        <f t="shared" si="23"/>
        <v>2.893911784685359</v>
      </c>
      <c r="AL55" s="558">
        <f t="shared" si="5"/>
        <v>8103.3910191121631</v>
      </c>
      <c r="AN55" s="162">
        <f>INDEX('(2.2)_Forward_Price_Curve'!$G:$G,MATCH($AB55,'(2.2)_Forward_Price_Curve'!$C:$C,0),1)</f>
        <v>5.846000000000001</v>
      </c>
      <c r="AP55" s="555">
        <f t="shared" si="24"/>
        <v>42.477160698940715</v>
      </c>
      <c r="AR55" s="555">
        <f t="shared" si="27"/>
        <v>3.2656244140847202</v>
      </c>
      <c r="AS55" s="555"/>
      <c r="AT55" s="558">
        <f t="shared" si="7"/>
        <v>4161.983130113922</v>
      </c>
      <c r="AV55" s="558">
        <f t="shared" si="8"/>
        <v>10084.683119943153</v>
      </c>
      <c r="AW55" s="560"/>
      <c r="AX55" s="561">
        <f t="shared" si="9"/>
        <v>14246.666250057075</v>
      </c>
      <c r="AZ55" s="430">
        <f>+IF(AZ54&gt;$I$13+$I$14,XX,AZ54+1)</f>
        <v>2035</v>
      </c>
      <c r="BA55" s="503"/>
      <c r="BB55" s="555">
        <f t="shared" si="25"/>
        <v>74.077812312706925</v>
      </c>
      <c r="BD55" s="555">
        <f t="shared" si="26"/>
        <v>22.865908658609243</v>
      </c>
      <c r="BF55" s="558">
        <f t="shared" si="10"/>
        <v>3941.4078889982411</v>
      </c>
      <c r="BH55" s="563"/>
    </row>
    <row r="56" spans="2:60" ht="12">
      <c r="B56" s="526"/>
      <c r="C56" s="614">
        <f>+IF(C55&gt;$I$13+$I$14,XX,C55+1)</f>
        <v>2036</v>
      </c>
      <c r="E56" s="400">
        <f>'(2.2)_Forward_Price_Curve'!O47</f>
        <v>2.1999999999999999E-2</v>
      </c>
      <c r="G56" s="624">
        <v>220466.00000000003</v>
      </c>
      <c r="I56" s="625">
        <v>85.537119650297655</v>
      </c>
      <c r="K56" s="625">
        <v>24.721492773526126</v>
      </c>
      <c r="M56" s="553">
        <f t="shared" si="13"/>
        <v>0</v>
      </c>
      <c r="O56" s="625">
        <v>0.89000000000000024</v>
      </c>
      <c r="Q56" s="625">
        <v>0</v>
      </c>
      <c r="S56" s="475">
        <f t="shared" si="0"/>
        <v>11651.169165259107</v>
      </c>
      <c r="U56" s="475">
        <f t="shared" si="1"/>
        <v>14715.755686453318</v>
      </c>
      <c r="W56" s="475">
        <f t="shared" si="2"/>
        <v>-3064.5865211942109</v>
      </c>
      <c r="Y56" s="554">
        <f t="shared" si="3"/>
        <v>-13.900494957019269</v>
      </c>
      <c r="Z56" s="516"/>
      <c r="AB56" s="423">
        <f>+IF(AB55&gt;$I$13+$I$14,XX,AB55+1)</f>
        <v>2036</v>
      </c>
      <c r="AC56" s="503"/>
      <c r="AD56" s="488">
        <f t="shared" si="4"/>
        <v>220466.00000000003</v>
      </c>
      <c r="AF56" s="555">
        <f t="shared" si="21"/>
        <v>144.68523547196216</v>
      </c>
      <c r="AH56" s="555">
        <f t="shared" si="22"/>
        <v>28.981081264847305</v>
      </c>
      <c r="AJ56" s="555">
        <f t="shared" si="23"/>
        <v>2.957577843948437</v>
      </c>
      <c r="AL56" s="558">
        <f t="shared" si="5"/>
        <v>8281.6685791104737</v>
      </c>
      <c r="AN56" s="162">
        <f>INDEX('(2.2)_Forward_Price_Curve'!$G:$G,MATCH($AB56,'(2.2)_Forward_Price_Curve'!$C:$C,0),1)</f>
        <v>6.0717541666666675</v>
      </c>
      <c r="AP56" s="555">
        <f t="shared" si="24"/>
        <v>44.117495289422315</v>
      </c>
      <c r="AR56" s="555">
        <f t="shared" si="27"/>
        <v>3.3374681511945838</v>
      </c>
      <c r="AS56" s="555"/>
      <c r="AT56" s="558">
        <f t="shared" si="7"/>
        <v>4253.5497165542711</v>
      </c>
      <c r="AV56" s="558">
        <f t="shared" si="8"/>
        <v>10462.205969899047</v>
      </c>
      <c r="AW56" s="560"/>
      <c r="AX56" s="561">
        <f t="shared" si="9"/>
        <v>14715.755686453318</v>
      </c>
      <c r="AZ56" s="430">
        <f>+IF(AZ55&gt;$I$13+$I$14,XX,AZ55+1)</f>
        <v>2036</v>
      </c>
      <c r="BA56" s="503"/>
      <c r="BB56" s="555">
        <f t="shared" si="25"/>
        <v>75.707524183586486</v>
      </c>
      <c r="BD56" s="555">
        <f t="shared" si="26"/>
        <v>23.368958649098648</v>
      </c>
      <c r="BF56" s="558">
        <f t="shared" si="10"/>
        <v>4028.1188625562027</v>
      </c>
      <c r="BH56" s="563"/>
    </row>
    <row r="57" spans="2:60" ht="12">
      <c r="B57" s="526"/>
      <c r="C57" s="614">
        <f>+IF(C56&gt;$I$13+$I$14,XX,C56+1)</f>
        <v>2037</v>
      </c>
      <c r="E57" s="400">
        <f>'(2.2)_Forward_Price_Curve'!O48</f>
        <v>2.1999999999999999E-2</v>
      </c>
      <c r="G57" s="624">
        <v>220466.00000000003</v>
      </c>
      <c r="I57" s="625">
        <v>87.162324923653316</v>
      </c>
      <c r="K57" s="625">
        <v>25.2653656145437</v>
      </c>
      <c r="M57" s="553">
        <f t="shared" si="13"/>
        <v>0</v>
      </c>
      <c r="O57" s="625">
        <v>0.91000000000000025</v>
      </c>
      <c r="Q57" s="625">
        <v>0</v>
      </c>
      <c r="S57" s="475">
        <f t="shared" si="0"/>
        <v>11889.573365216456</v>
      </c>
      <c r="U57" s="475">
        <f t="shared" si="1"/>
        <v>15095.122905648892</v>
      </c>
      <c r="W57" s="475">
        <f t="shared" si="2"/>
        <v>-3205.5495404324356</v>
      </c>
      <c r="Y57" s="554">
        <f t="shared" si="3"/>
        <v>-14.53988161636005</v>
      </c>
      <c r="Z57" s="516"/>
      <c r="AB57" s="423">
        <f>+IF(AB56&gt;$I$13+$I$14,XX,AB56+1)</f>
        <v>2037</v>
      </c>
      <c r="AC57" s="503"/>
      <c r="AD57" s="488">
        <f t="shared" si="4"/>
        <v>220466.00000000003</v>
      </c>
      <c r="AF57" s="555">
        <f t="shared" si="21"/>
        <v>147.86831065234534</v>
      </c>
      <c r="AH57" s="555">
        <f t="shared" si="22"/>
        <v>29.618665052673947</v>
      </c>
      <c r="AJ57" s="555">
        <f t="shared" si="23"/>
        <v>3.0226445565153028</v>
      </c>
      <c r="AL57" s="558">
        <f t="shared" si="5"/>
        <v>8463.8652878509056</v>
      </c>
      <c r="AN57" s="162">
        <f>INDEX('(2.2)_Forward_Price_Curve'!$G:$G,MATCH($AB57,'(2.2)_Forward_Price_Curve'!$C:$C,0),1)</f>
        <v>6.240054166666666</v>
      </c>
      <c r="AP57" s="555">
        <f t="shared" si="24"/>
        <v>45.340366679369573</v>
      </c>
      <c r="AR57" s="555">
        <f t="shared" si="27"/>
        <v>3.4108924505208646</v>
      </c>
      <c r="AS57" s="555"/>
      <c r="AT57" s="558">
        <f t="shared" si="7"/>
        <v>4347.1278103184659</v>
      </c>
      <c r="AV57" s="558">
        <f t="shared" si="8"/>
        <v>10747.995095330427</v>
      </c>
      <c r="AW57" s="560"/>
      <c r="AX57" s="561">
        <f t="shared" si="9"/>
        <v>15095.122905648892</v>
      </c>
      <c r="AZ57" s="430">
        <f>+IF(AZ56&gt;$I$13+$I$14,XX,AZ56+1)</f>
        <v>2037</v>
      </c>
      <c r="BA57" s="503"/>
      <c r="BB57" s="555">
        <f t="shared" si="25"/>
        <v>77.373089715625383</v>
      </c>
      <c r="BD57" s="555">
        <f t="shared" si="26"/>
        <v>23.883075739378818</v>
      </c>
      <c r="BF57" s="558">
        <f t="shared" si="10"/>
        <v>4116.7374775324397</v>
      </c>
      <c r="BH57" s="563"/>
    </row>
    <row r="58" spans="2:60" ht="12">
      <c r="B58" s="526"/>
      <c r="C58" s="614">
        <f>+IF(C57&gt;$I$13+$I$14,XX,C57+1)</f>
        <v>2038</v>
      </c>
      <c r="E58" s="400">
        <f>'(2.2)_Forward_Price_Curve'!O49</f>
        <v>2.1999999999999999E-2</v>
      </c>
      <c r="G58" s="624">
        <v>220466.00000000003</v>
      </c>
      <c r="I58" s="625">
        <v>88.818409097202718</v>
      </c>
      <c r="K58" s="625">
        <v>25.846469023678203</v>
      </c>
      <c r="M58" s="553">
        <f t="shared" si="13"/>
        <v>0</v>
      </c>
      <c r="O58" s="625">
        <v>0.92999999999999994</v>
      </c>
      <c r="Q58" s="625">
        <v>0</v>
      </c>
      <c r="S58" s="475">
        <f t="shared" si="0"/>
        <v>12138.353338397872</v>
      </c>
      <c r="U58" s="475">
        <f t="shared" si="1"/>
        <v>15720.475484914476</v>
      </c>
      <c r="W58" s="475">
        <f t="shared" si="2"/>
        <v>-3582.1221465166036</v>
      </c>
      <c r="Y58" s="554">
        <f t="shared" si="3"/>
        <v>-16.247957265594707</v>
      </c>
      <c r="Z58" s="516"/>
      <c r="AB58" s="423">
        <f>+IF(AB57&gt;$I$13+$I$14,XX,AB57+1)</f>
        <v>2038</v>
      </c>
      <c r="AC58" s="503"/>
      <c r="AD58" s="488">
        <f t="shared" si="4"/>
        <v>220466.00000000003</v>
      </c>
      <c r="AF58" s="555">
        <f t="shared" si="21"/>
        <v>151.12141348669695</v>
      </c>
      <c r="AH58" s="555">
        <f t="shared" si="22"/>
        <v>30.270275683832775</v>
      </c>
      <c r="AJ58" s="555">
        <f t="shared" si="23"/>
        <v>3.0891427367586397</v>
      </c>
      <c r="AL58" s="558">
        <f t="shared" si="5"/>
        <v>8650.0703241836254</v>
      </c>
      <c r="AN58" s="162">
        <f>INDEX('(2.2)_Forward_Price_Curve'!$G:$G,MATCH($AB58,'(2.2)_Forward_Price_Curve'!$C:$C,0),1)</f>
        <v>6.5604041666666673</v>
      </c>
      <c r="AP58" s="555">
        <f t="shared" si="24"/>
        <v>47.66803661264116</v>
      </c>
      <c r="AR58" s="555">
        <f t="shared" si="27"/>
        <v>3.4859320844323238</v>
      </c>
      <c r="AS58" s="555"/>
      <c r="AT58" s="558">
        <f t="shared" si="7"/>
        <v>4442.7646221454725</v>
      </c>
      <c r="AV58" s="558">
        <f t="shared" si="8"/>
        <v>11277.710862769003</v>
      </c>
      <c r="AW58" s="560"/>
      <c r="AX58" s="561">
        <f t="shared" si="9"/>
        <v>15720.475484914476</v>
      </c>
      <c r="AZ58" s="430">
        <f>+IF(AZ57&gt;$I$13+$I$14,XX,AZ57+1)</f>
        <v>2038</v>
      </c>
      <c r="BA58" s="503"/>
      <c r="BB58" s="555">
        <f t="shared" si="25"/>
        <v>79.075297689369137</v>
      </c>
      <c r="BD58" s="555">
        <f t="shared" si="26"/>
        <v>24.408503405645153</v>
      </c>
      <c r="BF58" s="558">
        <f t="shared" si="10"/>
        <v>4207.305702038153</v>
      </c>
      <c r="BH58" s="563"/>
    </row>
    <row r="59" spans="2:60" ht="12">
      <c r="B59" s="526"/>
      <c r="C59" s="614">
        <f>+IF(C58&gt;$I$13+$I$14,XX,C58+1)</f>
        <v>2039</v>
      </c>
      <c r="E59" s="400">
        <f>'(2.2)_Forward_Price_Curve'!O50</f>
        <v>2.1999999999999999E-2</v>
      </c>
      <c r="G59" s="624">
        <v>220466.00000000003</v>
      </c>
      <c r="I59" s="625">
        <v>90.505958870049554</v>
      </c>
      <c r="K59" s="625">
        <v>26.440937811222796</v>
      </c>
      <c r="M59" s="553">
        <f t="shared" si="13"/>
        <v>0</v>
      </c>
      <c r="O59" s="625">
        <v>0.95999999999999985</v>
      </c>
      <c r="Q59" s="625">
        <v>0</v>
      </c>
      <c r="S59" s="475">
        <f t="shared" si="0"/>
        <v>12394.493468166527</v>
      </c>
      <c r="U59" s="475">
        <f t="shared" si="1"/>
        <v>16174.48205408001</v>
      </c>
      <c r="W59" s="475">
        <f t="shared" si="2"/>
        <v>-3779.9885859134829</v>
      </c>
      <c r="Y59" s="554">
        <f t="shared" si="3"/>
        <v>-17.145449121014046</v>
      </c>
      <c r="Z59" s="516"/>
      <c r="AB59" s="423">
        <f>+IF(AB58&gt;$I$13+$I$14,XX,AB58+1)</f>
        <v>2039</v>
      </c>
      <c r="AC59" s="503"/>
      <c r="AD59" s="488">
        <f t="shared" si="4"/>
        <v>220466.00000000003</v>
      </c>
      <c r="AF59" s="555">
        <f t="shared" si="21"/>
        <v>154.44608458340429</v>
      </c>
      <c r="AH59" s="555">
        <f t="shared" si="22"/>
        <v>30.936221748877095</v>
      </c>
      <c r="AJ59" s="555">
        <f t="shared" si="23"/>
        <v>3.1571038769673296</v>
      </c>
      <c r="AL59" s="558">
        <f t="shared" si="5"/>
        <v>8840.3718713156668</v>
      </c>
      <c r="AN59" s="162">
        <f>INDEX('(2.2)_Forward_Price_Curve'!$G:$G,MATCH($AB59,'(2.2)_Forward_Price_Curve'!$C:$C,0),1)</f>
        <v>6.7722499999999988</v>
      </c>
      <c r="AP59" s="555">
        <f t="shared" si="24"/>
        <v>49.207312956449051</v>
      </c>
      <c r="AR59" s="555">
        <f t="shared" si="27"/>
        <v>3.562622590289835</v>
      </c>
      <c r="AS59" s="555"/>
      <c r="AT59" s="558">
        <f t="shared" si="7"/>
        <v>4540.5054438326742</v>
      </c>
      <c r="AV59" s="558">
        <f t="shared" si="8"/>
        <v>11633.976610247337</v>
      </c>
      <c r="AW59" s="560"/>
      <c r="AX59" s="561">
        <f t="shared" si="9"/>
        <v>16174.48205408001</v>
      </c>
      <c r="AZ59" s="430">
        <f>+IF(AZ58&gt;$I$13+$I$14,XX,AZ58+1)</f>
        <v>2039</v>
      </c>
      <c r="BA59" s="503"/>
      <c r="BB59" s="555">
        <f t="shared" si="25"/>
        <v>80.814954238535265</v>
      </c>
      <c r="BD59" s="555">
        <f t="shared" si="26"/>
        <v>24.945490480569347</v>
      </c>
      <c r="BF59" s="558">
        <f t="shared" si="10"/>
        <v>4299.8664274829925</v>
      </c>
      <c r="BH59" s="563"/>
    </row>
    <row r="60" spans="2:60" ht="12">
      <c r="B60" s="526"/>
      <c r="C60" s="614">
        <f>+IF(C59&gt;$I$13+$I$14,XX,C59+1)</f>
        <v>2040</v>
      </c>
      <c r="E60" s="400">
        <f>'(2.2)_Forward_Price_Curve'!O51</f>
        <v>2.1999999999999999E-2</v>
      </c>
      <c r="G60" s="624">
        <v>220466.00000000003</v>
      </c>
      <c r="I60" s="625">
        <v>92.22557208858052</v>
      </c>
      <c r="K60" s="625">
        <v>27.049079380880915</v>
      </c>
      <c r="M60" s="553">
        <f t="shared" si="13"/>
        <v>0</v>
      </c>
      <c r="O60" s="625">
        <v>0.9800000000000002</v>
      </c>
      <c r="Q60" s="625">
        <v>0</v>
      </c>
      <c r="S60" s="475">
        <f t="shared" si="0"/>
        <v>12653.694175403645</v>
      </c>
      <c r="U60" s="475">
        <f t="shared" si="1"/>
        <v>16777.879398492209</v>
      </c>
      <c r="W60" s="475">
        <f t="shared" si="2"/>
        <v>-4124.1852230885634</v>
      </c>
      <c r="Y60" s="554">
        <f t="shared" si="3"/>
        <v>-18.706672335364921</v>
      </c>
      <c r="Z60" s="516"/>
      <c r="AB60" s="423">
        <f>+IF(AB59&gt;$I$13+$I$14,XX,AB59+1)</f>
        <v>2040</v>
      </c>
      <c r="AC60" s="503"/>
      <c r="AD60" s="488">
        <f t="shared" si="4"/>
        <v>220466.00000000003</v>
      </c>
      <c r="AF60" s="555">
        <f t="shared" si="21"/>
        <v>157.84389844423919</v>
      </c>
      <c r="AH60" s="555">
        <f t="shared" si="22"/>
        <v>31.616818627352391</v>
      </c>
      <c r="AJ60" s="555">
        <f t="shared" si="23"/>
        <v>3.2265601622606108</v>
      </c>
      <c r="AL60" s="558">
        <f t="shared" si="5"/>
        <v>9034.8600524846115</v>
      </c>
      <c r="AN60" s="162">
        <f>INDEX('(2.2)_Forward_Price_Curve'!$G:$G,MATCH($AB60,'(2.2)_Forward_Price_Curve'!$C:$C,0),1)</f>
        <v>7.075779166666667</v>
      </c>
      <c r="AP60" s="555">
        <f t="shared" si="24"/>
        <v>51.412762355921451</v>
      </c>
      <c r="AR60" s="555">
        <f t="shared" si="27"/>
        <v>3.6410002872762113</v>
      </c>
      <c r="AS60" s="555"/>
      <c r="AT60" s="558">
        <f t="shared" si="7"/>
        <v>4640.3965635969926</v>
      </c>
      <c r="AV60" s="558">
        <f t="shared" si="8"/>
        <v>12137.482834895218</v>
      </c>
      <c r="AW60" s="560"/>
      <c r="AX60" s="561">
        <f t="shared" si="9"/>
        <v>16777.879398492209</v>
      </c>
      <c r="AZ60" s="430">
        <f>+IF(AZ59&gt;$I$13+$I$14,XX,AZ59+1)</f>
        <v>2040</v>
      </c>
      <c r="BA60" s="503"/>
      <c r="BB60" s="555">
        <f t="shared" si="25"/>
        <v>82.592883231783048</v>
      </c>
      <c r="BD60" s="555">
        <f t="shared" si="26"/>
        <v>25.494291271141872</v>
      </c>
      <c r="BF60" s="558">
        <f t="shared" si="10"/>
        <v>4394.463488887619</v>
      </c>
      <c r="BH60" s="563"/>
    </row>
    <row r="61" spans="2:60" ht="12">
      <c r="B61" s="526"/>
      <c r="C61" s="614">
        <f>+IF(C60&gt;$I$13+$I$14,XX,C60+1)</f>
        <v>2041</v>
      </c>
      <c r="E61" s="400">
        <f>'(2.2)_Forward_Price_Curve'!O52</f>
        <v>2.1999999999999999E-2</v>
      </c>
      <c r="G61" s="624">
        <v>220466.00000000003</v>
      </c>
      <c r="I61" s="625">
        <v>93.977857958263527</v>
      </c>
      <c r="K61" s="625">
        <v>27.671208206641182</v>
      </c>
      <c r="M61" s="553">
        <f t="shared" si="13"/>
        <v>0</v>
      </c>
      <c r="O61" s="625">
        <v>1</v>
      </c>
      <c r="Q61" s="625">
        <v>0</v>
      </c>
      <c r="S61" s="475">
        <f t="shared" si="0"/>
        <v>12918.272217155456</v>
      </c>
      <c r="U61" s="475">
        <f t="shared" si="1"/>
        <v>17158.338851517135</v>
      </c>
      <c r="W61" s="475">
        <f t="shared" si="2"/>
        <v>-4240.0666343616795</v>
      </c>
      <c r="Y61" s="554">
        <f t="shared" si="3"/>
        <v>-19.232292663547572</v>
      </c>
      <c r="Z61" s="516"/>
      <c r="AB61" s="423">
        <f>+IF(AB60&gt;$I$13+$I$14,XX,AB60+1)</f>
        <v>2041</v>
      </c>
      <c r="AC61" s="503"/>
      <c r="AD61" s="488">
        <f t="shared" si="4"/>
        <v>220466.00000000003</v>
      </c>
      <c r="AF61" s="555">
        <f t="shared" si="21"/>
        <v>161.31646421001244</v>
      </c>
      <c r="AH61" s="555">
        <f t="shared" si="22"/>
        <v>32.312388637154143</v>
      </c>
      <c r="AJ61" s="555">
        <f t="shared" si="23"/>
        <v>3.2975444858303442</v>
      </c>
      <c r="AL61" s="558">
        <f t="shared" si="5"/>
        <v>9233.6269736392696</v>
      </c>
      <c r="AN61" s="162">
        <f>INDEX('(2.2)_Forward_Price_Curve'!$G:$G,MATCH($AB61,'(2.2)_Forward_Price_Curve'!$C:$C,0),1)</f>
        <v>7.2385291666666687</v>
      </c>
      <c r="AP61" s="555">
        <f t="shared" si="24"/>
        <v>52.59530732748366</v>
      </c>
      <c r="AR61" s="555">
        <f t="shared" si="27"/>
        <v>3.7211022935962879</v>
      </c>
      <c r="AS61" s="555"/>
      <c r="AT61" s="558">
        <f t="shared" si="7"/>
        <v>4742.4852879961236</v>
      </c>
      <c r="AV61" s="558">
        <f t="shared" si="8"/>
        <v>12415.853563521012</v>
      </c>
      <c r="AW61" s="560"/>
      <c r="AX61" s="561">
        <f t="shared" si="9"/>
        <v>17158.338851517135</v>
      </c>
      <c r="AZ61" s="430">
        <f>+IF(AZ60&gt;$I$13+$I$14,XX,AZ60+1)</f>
        <v>2041</v>
      </c>
      <c r="BA61" s="503"/>
      <c r="BB61" s="555">
        <f t="shared" si="25"/>
        <v>84.40992666288227</v>
      </c>
      <c r="BD61" s="555">
        <f t="shared" si="26"/>
        <v>26.055165679106995</v>
      </c>
      <c r="BF61" s="558">
        <f t="shared" si="10"/>
        <v>4491.141685643146</v>
      </c>
      <c r="BH61" s="563"/>
    </row>
    <row r="62" spans="2:60" ht="12">
      <c r="B62" s="526"/>
      <c r="C62" s="614">
        <f>+IF(C61&gt;$I$13+$I$14,XX,C61+1)</f>
        <v>2042</v>
      </c>
      <c r="E62" s="400">
        <f>'(2.2)_Forward_Price_Curve'!O53</f>
        <v>2.1999999999999999E-2</v>
      </c>
      <c r="G62" s="624">
        <v>220466.00000000003</v>
      </c>
      <c r="I62" s="625">
        <v>95.763437259470535</v>
      </c>
      <c r="K62" s="625">
        <v>28.307645995393926</v>
      </c>
      <c r="M62" s="553">
        <f t="shared" si="13"/>
        <v>0</v>
      </c>
      <c r="O62" s="625">
        <v>1.0199999999999998</v>
      </c>
      <c r="Q62" s="625">
        <v>0</v>
      </c>
      <c r="S62" s="475">
        <f t="shared" si="0"/>
        <v>13188.342097635352</v>
      </c>
      <c r="U62" s="475">
        <f t="shared" si="1"/>
        <v>17547.393213971045</v>
      </c>
      <c r="W62" s="475">
        <f t="shared" si="2"/>
        <v>-4359.0511163356932</v>
      </c>
      <c r="Y62" s="554">
        <f t="shared" si="3"/>
        <v>-19.77198804503049</v>
      </c>
      <c r="Z62" s="516"/>
      <c r="AB62" s="423">
        <f>+IF(AB61&gt;$I$13+$I$14,XX,AB61+1)</f>
        <v>2042</v>
      </c>
      <c r="AC62" s="503"/>
      <c r="AD62" s="488">
        <f t="shared" si="4"/>
        <v>220466.00000000003</v>
      </c>
      <c r="AF62" s="555">
        <f t="shared" si="21"/>
        <v>164.86542642263271</v>
      </c>
      <c r="AH62" s="555">
        <f t="shared" si="22"/>
        <v>33.023261187171535</v>
      </c>
      <c r="AJ62" s="555">
        <f t="shared" si="23"/>
        <v>3.3700904645186118</v>
      </c>
      <c r="AL62" s="558">
        <f t="shared" si="5"/>
        <v>9436.7667670593346</v>
      </c>
      <c r="AN62" s="162">
        <f>INDEX('(2.2)_Forward_Price_Curve'!$G:$G,MATCH($AB62,'(2.2)_Forward_Price_Curve'!$C:$C,0),1)</f>
        <v>7.4050000000000002</v>
      </c>
      <c r="AP62" s="555">
        <f t="shared" si="24"/>
        <v>53.804887953413605</v>
      </c>
      <c r="AR62" s="555">
        <f t="shared" si="27"/>
        <v>3.8029665440554061</v>
      </c>
      <c r="AS62" s="555"/>
      <c r="AT62" s="558">
        <f t="shared" si="7"/>
        <v>4846.8199643320395</v>
      </c>
      <c r="AV62" s="558">
        <f t="shared" si="8"/>
        <v>12700.573249639005</v>
      </c>
      <c r="AW62" s="560"/>
      <c r="AX62" s="561">
        <f t="shared" si="9"/>
        <v>17547.393213971045</v>
      </c>
      <c r="AZ62" s="430">
        <f>+IF(AZ61&gt;$I$13+$I$14,XX,AZ61+1)</f>
        <v>2042</v>
      </c>
      <c r="BA62" s="503"/>
      <c r="BB62" s="555">
        <f t="shared" si="25"/>
        <v>86.266945049465676</v>
      </c>
      <c r="BD62" s="555">
        <f t="shared" si="26"/>
        <v>26.628379324047348</v>
      </c>
      <c r="BF62" s="558">
        <f t="shared" si="10"/>
        <v>4589.9468027272951</v>
      </c>
      <c r="BH62" s="563"/>
    </row>
    <row r="63" spans="2:60" ht="12">
      <c r="B63" s="526"/>
      <c r="C63" s="614">
        <f>+IF(C62&gt;$I$13+$I$14,XX,C62+1)</f>
        <v>2043</v>
      </c>
      <c r="E63" s="400">
        <f>'(2.2)_Forward_Price_Curve'!O54</f>
        <v>2.1999999999999999E-2</v>
      </c>
      <c r="G63" s="624">
        <v>220466.00000000003</v>
      </c>
      <c r="I63" s="625">
        <v>97.582942567400465</v>
      </c>
      <c r="K63" s="625">
        <v>28.958721853287983</v>
      </c>
      <c r="M63" s="553">
        <f t="shared" si="13"/>
        <v>0</v>
      </c>
      <c r="O63" s="625">
        <v>1.05</v>
      </c>
      <c r="Q63" s="625">
        <v>0</v>
      </c>
      <c r="S63" s="475">
        <f t="shared" si="0"/>
        <v>13466.225440338503</v>
      </c>
      <c r="U63" s="475">
        <f t="shared" si="1"/>
        <v>17933.435864678409</v>
      </c>
      <c r="W63" s="475">
        <f t="shared" si="2"/>
        <v>-4467.2104243399062</v>
      </c>
      <c r="Y63" s="554">
        <f t="shared" si="3"/>
        <v>-20.262582095832943</v>
      </c>
      <c r="Z63" s="516"/>
      <c r="AB63" s="423">
        <f>+IF(AB62&gt;$I$13+$I$14,XX,AB62+1)</f>
        <v>2043</v>
      </c>
      <c r="AC63" s="503"/>
      <c r="AD63" s="488">
        <f t="shared" si="4"/>
        <v>220466.00000000003</v>
      </c>
      <c r="AF63" s="555">
        <f t="shared" si="21"/>
        <v>168.49246580393063</v>
      </c>
      <c r="AH63" s="555">
        <f t="shared" si="22"/>
        <v>33.749772933289307</v>
      </c>
      <c r="AJ63" s="555">
        <f t="shared" si="23"/>
        <v>3.4442324547380214</v>
      </c>
      <c r="AL63" s="558">
        <f t="shared" si="5"/>
        <v>9644.3756359346389</v>
      </c>
      <c r="AN63" s="162">
        <f>INDEX('(2.2)_Forward_Price_Curve'!$G:$G,MATCH($AB63,'(2.2)_Forward_Price_Curve'!$C:$C,0),1)</f>
        <v>7.5679100000000004</v>
      </c>
      <c r="AP63" s="555">
        <f t="shared" si="24"/>
        <v>54.988595488388711</v>
      </c>
      <c r="AR63" s="555">
        <f t="shared" si="27"/>
        <v>3.8866318080246249</v>
      </c>
      <c r="AS63" s="555"/>
      <c r="AT63" s="558">
        <f t="shared" si="7"/>
        <v>4953.4500035473438</v>
      </c>
      <c r="AV63" s="558">
        <f t="shared" si="8"/>
        <v>12979.985861131065</v>
      </c>
      <c r="AW63" s="560"/>
      <c r="AX63" s="561">
        <f t="shared" si="9"/>
        <v>17933.435864678409</v>
      </c>
      <c r="AZ63" s="430">
        <f>+IF(AZ62&gt;$I$13+$I$14,XX,AZ62+1)</f>
        <v>2043</v>
      </c>
      <c r="BA63" s="503"/>
      <c r="BB63" s="555">
        <f t="shared" si="25"/>
        <v>88.164817840553923</v>
      </c>
      <c r="BD63" s="555">
        <f t="shared" si="26"/>
        <v>27.214203669176388</v>
      </c>
      <c r="BF63" s="558">
        <f t="shared" si="10"/>
        <v>4690.9256323872951</v>
      </c>
      <c r="BH63" s="563"/>
    </row>
    <row r="64" spans="2:60" ht="12">
      <c r="B64" s="526"/>
      <c r="C64" s="614">
        <f>+IF(C63&gt;$I$13+$I$14,XX,C63+1)</f>
        <v>2044</v>
      </c>
      <c r="E64" s="400">
        <f>'(2.2)_Forward_Price_Curve'!O55</f>
        <v>2.3E-2</v>
      </c>
      <c r="G64" s="624">
        <v>220466.00000000003</v>
      </c>
      <c r="I64" s="625">
        <v>99.437018476181066</v>
      </c>
      <c r="K64" s="625">
        <v>29.624772455913604</v>
      </c>
      <c r="M64" s="553">
        <f t="shared" si="13"/>
        <v>0</v>
      </c>
      <c r="O64" s="625">
        <v>1.0700000000000003</v>
      </c>
      <c r="Q64" s="625">
        <v>0</v>
      </c>
      <c r="S64" s="475">
        <f t="shared" si="0"/>
        <v>13747.63240129336</v>
      </c>
      <c r="U64" s="475">
        <f t="shared" si="1"/>
        <v>18333.781773873066</v>
      </c>
      <c r="W64" s="475">
        <f t="shared" si="2"/>
        <v>-4586.1493725797063</v>
      </c>
      <c r="Y64" s="554">
        <f t="shared" si="3"/>
        <v>-20.802070943273364</v>
      </c>
      <c r="Z64" s="516"/>
      <c r="AB64" s="423">
        <f>+IF(AB63&gt;$I$13+$I$14,XX,AB63+1)</f>
        <v>2044</v>
      </c>
      <c r="AC64" s="503"/>
      <c r="AD64" s="488">
        <f t="shared" si="4"/>
        <v>220466.00000000003</v>
      </c>
      <c r="AF64" s="555">
        <f t="shared" si="21"/>
        <v>172.36779251742101</v>
      </c>
      <c r="AH64" s="555">
        <f t="shared" si="22"/>
        <v>34.526017710754957</v>
      </c>
      <c r="AJ64" s="555">
        <f t="shared" si="23"/>
        <v>3.5234498011969957</v>
      </c>
      <c r="AL64" s="558">
        <f t="shared" si="5"/>
        <v>9866.1962755611348</v>
      </c>
      <c r="AN64" s="162">
        <f>INDEX('(2.2)_Forward_Price_Curve'!$G:$G,MATCH($AB64,'(2.2)_Forward_Price_Curve'!$C:$C,0),1)</f>
        <v>7.7344040200000004</v>
      </c>
      <c r="AP64" s="555">
        <f t="shared" si="24"/>
        <v>56.198344589133256</v>
      </c>
      <c r="AR64" s="555">
        <f t="shared" si="27"/>
        <v>3.9760243396091908</v>
      </c>
      <c r="AS64" s="555"/>
      <c r="AT64" s="558">
        <f t="shared" si="7"/>
        <v>5067.3793536289322</v>
      </c>
      <c r="AV64" s="558">
        <f t="shared" si="8"/>
        <v>13266.402420244132</v>
      </c>
      <c r="AW64" s="560"/>
      <c r="AX64" s="561">
        <f t="shared" si="9"/>
        <v>18333.781773873066</v>
      </c>
      <c r="AZ64" s="430">
        <f>+IF(AZ63&gt;$I$13+$I$14,XX,AZ63+1)</f>
        <v>2044</v>
      </c>
      <c r="BA64" s="503"/>
      <c r="BB64" s="555">
        <f t="shared" si="25"/>
        <v>90.192608650886655</v>
      </c>
      <c r="BD64" s="555">
        <f t="shared" si="26"/>
        <v>27.840130353567442</v>
      </c>
      <c r="BF64" s="558">
        <f t="shared" si="10"/>
        <v>4798.8169219322026</v>
      </c>
      <c r="BH64" s="563"/>
    </row>
    <row r="65" spans="2:60" ht="12">
      <c r="B65" s="526"/>
      <c r="C65" s="614">
        <f>+IF(C64&gt;$I$13+$I$14,XX,C64+1)</f>
        <v>2045</v>
      </c>
      <c r="E65" s="400">
        <f>'(2.2)_Forward_Price_Curve'!O56</f>
        <v>2.3E-2</v>
      </c>
      <c r="G65" s="624">
        <v>220466.00000000003</v>
      </c>
      <c r="I65" s="625">
        <v>101.3263218272285</v>
      </c>
      <c r="K65" s="625">
        <v>30.306142222399608</v>
      </c>
      <c r="M65" s="553">
        <f t="shared" si="13"/>
        <v>0</v>
      </c>
      <c r="O65" s="625">
        <v>1.1000000000000001</v>
      </c>
      <c r="Q65" s="625">
        <v>0</v>
      </c>
      <c r="S65" s="475">
        <f t="shared" si="0"/>
        <v>14037.094343474995</v>
      </c>
      <c r="U65" s="475">
        <f t="shared" si="1"/>
        <v>18743.068930433961</v>
      </c>
      <c r="W65" s="475">
        <f t="shared" si="2"/>
        <v>-4705.974586958966</v>
      </c>
      <c r="Y65" s="554">
        <f t="shared" si="3"/>
        <v>-21.345579758143955</v>
      </c>
      <c r="Z65" s="516"/>
      <c r="AB65" s="423">
        <f>+IF(AB64&gt;$I$13+$I$14,XX,AB64+1)</f>
        <v>2045</v>
      </c>
      <c r="AC65" s="503"/>
      <c r="AD65" s="488">
        <f t="shared" si="4"/>
        <v>220466.00000000003</v>
      </c>
      <c r="AF65" s="555">
        <f t="shared" si="21"/>
        <v>176.33225174532168</v>
      </c>
      <c r="AH65" s="555">
        <f t="shared" si="22"/>
        <v>35.32011611810232</v>
      </c>
      <c r="AJ65" s="555">
        <f t="shared" si="23"/>
        <v>3.6044891466245264</v>
      </c>
      <c r="AL65" s="558">
        <f t="shared" si="5"/>
        <v>10093.118789899041</v>
      </c>
      <c r="AN65" s="162">
        <f>INDEX('(2.2)_Forward_Price_Curve'!$G:$G,MATCH($AB65,'(2.2)_Forward_Price_Curve'!$C:$C,0),1)</f>
        <v>7.9045609084400006</v>
      </c>
      <c r="AP65" s="555">
        <f t="shared" si="24"/>
        <v>57.43470817009419</v>
      </c>
      <c r="AR65" s="555">
        <f t="shared" si="27"/>
        <v>4.0674728994202018</v>
      </c>
      <c r="AS65" s="555"/>
      <c r="AT65" s="558">
        <f t="shared" si="7"/>
        <v>5183.9290787623977</v>
      </c>
      <c r="AV65" s="558">
        <f t="shared" si="8"/>
        <v>13559.139851671562</v>
      </c>
      <c r="AW65" s="560"/>
      <c r="AX65" s="561">
        <f t="shared" si="9"/>
        <v>18743.068930433961</v>
      </c>
      <c r="AZ65" s="430">
        <f>+IF(AZ64&gt;$I$13+$I$14,XX,AZ64+1)</f>
        <v>2045</v>
      </c>
      <c r="BA65" s="503"/>
      <c r="BB65" s="555">
        <f t="shared" si="25"/>
        <v>92.267038649857042</v>
      </c>
      <c r="BD65" s="555">
        <f t="shared" si="26"/>
        <v>28.480453351699492</v>
      </c>
      <c r="BF65" s="558">
        <f t="shared" si="10"/>
        <v>4909.1897111366434</v>
      </c>
      <c r="BH65" s="563"/>
    </row>
    <row r="66" spans="2:60" ht="12">
      <c r="B66" s="526"/>
      <c r="C66" s="614">
        <f>+IF(C65&gt;$I$13+$I$14,XX,C65+1)</f>
        <v>2046</v>
      </c>
      <c r="E66" s="400">
        <f>'(2.2)_Forward_Price_Curve'!O57</f>
        <v>2.3E-2</v>
      </c>
      <c r="G66" s="624">
        <v>220466.00000000003</v>
      </c>
      <c r="I66" s="625">
        <v>103.25152194194582</v>
      </c>
      <c r="K66" s="625">
        <v>31.003183493514797</v>
      </c>
      <c r="M66" s="553">
        <f t="shared" si="13"/>
        <v>0</v>
      </c>
      <c r="O66" s="625">
        <v>1.1200000000000001</v>
      </c>
      <c r="Q66" s="625">
        <v>0</v>
      </c>
      <c r="S66" s="475">
        <f t="shared" si="0"/>
        <v>14330.32661240583</v>
      </c>
      <c r="U66" s="475">
        <f t="shared" si="1"/>
        <v>19161.497115462513</v>
      </c>
      <c r="W66" s="475">
        <f t="shared" si="2"/>
        <v>-4831.1705030566827</v>
      </c>
      <c r="Y66" s="554">
        <f t="shared" si="3"/>
        <v>-21.913449253203133</v>
      </c>
      <c r="Z66" s="516"/>
      <c r="AB66" s="423">
        <f>+IF(AB65&gt;$I$13+$I$14,XX,AB65+1)</f>
        <v>2046</v>
      </c>
      <c r="AC66" s="503"/>
      <c r="AD66" s="488">
        <f t="shared" si="4"/>
        <v>220466.00000000003</v>
      </c>
      <c r="AF66" s="555">
        <f t="shared" si="21"/>
        <v>180.38789353546406</v>
      </c>
      <c r="AH66" s="555">
        <f t="shared" si="22"/>
        <v>36.132478788818666</v>
      </c>
      <c r="AJ66" s="555">
        <f t="shared" si="23"/>
        <v>3.68739239699689</v>
      </c>
      <c r="AL66" s="558">
        <f t="shared" si="5"/>
        <v>10325.260522066717</v>
      </c>
      <c r="AN66" s="162">
        <f>INDEX('(2.2)_Forward_Price_Curve'!$G:$G,MATCH($AB66,'(2.2)_Forward_Price_Curve'!$C:$C,0),1)</f>
        <v>8.0784612484256808</v>
      </c>
      <c r="AP66" s="555">
        <f t="shared" si="24"/>
        <v>58.698271749836266</v>
      </c>
      <c r="AR66" s="555">
        <f t="shared" si="27"/>
        <v>4.1610247761068662</v>
      </c>
      <c r="AS66" s="555"/>
      <c r="AT66" s="558">
        <f t="shared" si="7"/>
        <v>5303.1594475739321</v>
      </c>
      <c r="AV66" s="558">
        <f t="shared" si="8"/>
        <v>13858.33766788858</v>
      </c>
      <c r="AW66" s="560"/>
      <c r="AX66" s="561">
        <f t="shared" si="9"/>
        <v>19161.497115462513</v>
      </c>
      <c r="AZ66" s="430">
        <f>+IF(AZ65&gt;$I$13+$I$14,XX,AZ65+1)</f>
        <v>2046</v>
      </c>
      <c r="BA66" s="503"/>
      <c r="BB66" s="555">
        <f t="shared" si="25"/>
        <v>94.389180538803743</v>
      </c>
      <c r="BD66" s="555">
        <f t="shared" si="26"/>
        <v>29.135503778788578</v>
      </c>
      <c r="BF66" s="558">
        <f t="shared" si="10"/>
        <v>5022.1010744927853</v>
      </c>
      <c r="BH66" s="563"/>
    </row>
    <row r="67" spans="2:60" ht="12">
      <c r="B67" s="526"/>
      <c r="C67" s="614">
        <f>+IF(C66&gt;$I$13+$I$14,XX,C66+1)</f>
        <v>2047</v>
      </c>
      <c r="E67" s="400">
        <f>'(2.2)_Forward_Price_Curve'!O58</f>
        <v>2.3E-2</v>
      </c>
      <c r="G67" s="624">
        <v>220466.00000000003</v>
      </c>
      <c r="I67" s="625">
        <v>105.21330085884279</v>
      </c>
      <c r="K67" s="625">
        <v>31.716256713865636</v>
      </c>
      <c r="M67" s="553">
        <f t="shared" si="13"/>
        <v>0</v>
      </c>
      <c r="O67" s="625">
        <v>1.1499999999999997</v>
      </c>
      <c r="Q67" s="625">
        <v>0</v>
      </c>
      <c r="S67" s="475">
        <f t="shared" si="0"/>
        <v>14631.865872969865</v>
      </c>
      <c r="U67" s="475">
        <f t="shared" si="1"/>
        <v>19589.270575938554</v>
      </c>
      <c r="W67" s="475">
        <f t="shared" si="2"/>
        <v>-4957.4047029686881</v>
      </c>
      <c r="Y67" s="554">
        <f t="shared" si="3"/>
        <v>-22.486028244575976</v>
      </c>
      <c r="Z67" s="516"/>
      <c r="AB67" s="423">
        <f>+IF(AB66&gt;$I$13+$I$14,XX,AB66+1)</f>
        <v>2047</v>
      </c>
      <c r="AC67" s="503"/>
      <c r="AD67" s="488">
        <f t="shared" si="4"/>
        <v>220466.00000000003</v>
      </c>
      <c r="AF67" s="555">
        <f t="shared" si="21"/>
        <v>184.53681508677971</v>
      </c>
      <c r="AH67" s="555">
        <f t="shared" si="22"/>
        <v>36.963525800961492</v>
      </c>
      <c r="AJ67" s="555">
        <f t="shared" si="23"/>
        <v>3.7722024221278181</v>
      </c>
      <c r="AL67" s="558">
        <f t="shared" si="5"/>
        <v>10562.741514074252</v>
      </c>
      <c r="AN67" s="162">
        <f>INDEX('(2.2)_Forward_Price_Curve'!$G:$G,MATCH($AB67,'(2.2)_Forward_Price_Curve'!$C:$C,0),1)</f>
        <v>8.2561873958910468</v>
      </c>
      <c r="AP67" s="555">
        <f t="shared" si="24"/>
        <v>59.98963372833267</v>
      </c>
      <c r="AR67" s="555">
        <f t="shared" si="27"/>
        <v>4.256728345957324</v>
      </c>
      <c r="AS67" s="555"/>
      <c r="AT67" s="558">
        <f t="shared" si="7"/>
        <v>5425.1321148681336</v>
      </c>
      <c r="AV67" s="558">
        <f t="shared" si="8"/>
        <v>14164.138461070419</v>
      </c>
      <c r="AW67" s="560"/>
      <c r="AX67" s="561">
        <f t="shared" si="9"/>
        <v>19589.270575938554</v>
      </c>
      <c r="AZ67" s="430">
        <f>+IF(AZ66&gt;$I$13+$I$14,XX,AZ66+1)</f>
        <v>2047</v>
      </c>
      <c r="BA67" s="503"/>
      <c r="BB67" s="555">
        <f t="shared" si="25"/>
        <v>96.560131691196219</v>
      </c>
      <c r="BD67" s="555">
        <f t="shared" si="26"/>
        <v>29.805620365700712</v>
      </c>
      <c r="BF67" s="558">
        <f t="shared" si="10"/>
        <v>5137.6093992061187</v>
      </c>
      <c r="BH67" s="563"/>
    </row>
    <row r="68" spans="2:60" ht="12">
      <c r="B68" s="526"/>
      <c r="C68" s="614">
        <f>+IF(C67&gt;$I$13+$I$14,XX,C67+1)</f>
        <v>2048</v>
      </c>
      <c r="E68" s="400">
        <f>'(2.2)_Forward_Price_Curve'!O59</f>
        <v>2.1999999999999999E-2</v>
      </c>
      <c r="G68" s="624">
        <v>220466.00000000003</v>
      </c>
      <c r="I68" s="625">
        <v>107.21235357516082</v>
      </c>
      <c r="K68" s="625">
        <v>32.445730618284543</v>
      </c>
      <c r="M68" s="553">
        <f t="shared" si="13"/>
        <v>0</v>
      </c>
      <c r="O68" s="625">
        <v>1.17</v>
      </c>
      <c r="Q68" s="625">
        <v>0</v>
      </c>
      <c r="S68" s="475">
        <f t="shared" si="0"/>
        <v>14937.432887467012</v>
      </c>
      <c r="U68" s="475">
        <f t="shared" si="1"/>
        <v>20020.234528609202</v>
      </c>
      <c r="W68" s="475">
        <f t="shared" si="2"/>
        <v>-5082.8016411421904</v>
      </c>
      <c r="Y68" s="554">
        <f t="shared" si="3"/>
        <v>-23.054809544973782</v>
      </c>
      <c r="Z68" s="516"/>
      <c r="AB68" s="423">
        <f>+IF(AB67&gt;$I$13+$I$14,XX,AB67+1)</f>
        <v>2048</v>
      </c>
      <c r="AC68" s="503"/>
      <c r="AD68" s="488">
        <f t="shared" si="4"/>
        <v>220466.00000000003</v>
      </c>
      <c r="AF68" s="555">
        <f t="shared" si="21"/>
        <v>188.59662501868885</v>
      </c>
      <c r="AH68" s="555">
        <f t="shared" si="22"/>
        <v>37.776723368582644</v>
      </c>
      <c r="AJ68" s="555">
        <f t="shared" si="23"/>
        <v>3.85519087541463</v>
      </c>
      <c r="AL68" s="558">
        <f t="shared" si="5"/>
        <v>10795.121827383884</v>
      </c>
      <c r="AN68" s="162">
        <f>INDEX('(2.2)_Forward_Price_Curve'!$G:$G,MATCH($AB68,'(2.2)_Forward_Price_Curve'!$C:$C,0),1)</f>
        <v>8.4378235186006503</v>
      </c>
      <c r="AP68" s="555">
        <f t="shared" si="24"/>
        <v>61.309405670356</v>
      </c>
      <c r="AR68" s="555">
        <f t="shared" si="27"/>
        <v>4.3503763695683855</v>
      </c>
      <c r="AS68" s="555"/>
      <c r="AT68" s="558">
        <f t="shared" si="7"/>
        <v>5544.4850213952304</v>
      </c>
      <c r="AV68" s="558">
        <f t="shared" si="8"/>
        <v>14475.74950721397</v>
      </c>
      <c r="AW68" s="560"/>
      <c r="AX68" s="561">
        <f t="shared" si="9"/>
        <v>20020.234528609202</v>
      </c>
      <c r="AZ68" s="430">
        <f>+IF(AZ67&gt;$I$13+$I$14,XX,AZ67+1)</f>
        <v>2048</v>
      </c>
      <c r="BA68" s="503"/>
      <c r="BB68" s="555">
        <f t="shared" si="25"/>
        <v>98.684454588402531</v>
      </c>
      <c r="BD68" s="555">
        <f t="shared" si="26"/>
        <v>30.461344013746128</v>
      </c>
      <c r="BF68" s="558">
        <f t="shared" si="10"/>
        <v>5250.6368059886536</v>
      </c>
      <c r="BH68" s="563"/>
    </row>
    <row r="69" spans="2:60" ht="12">
      <c r="B69" s="526"/>
      <c r="C69" s="614">
        <f>+IF(C68&gt;$I$13+$I$14,XX,C68+1)</f>
        <v>2049</v>
      </c>
      <c r="E69" s="400">
        <f>'(2.2)_Forward_Price_Curve'!O60</f>
        <v>2.1999999999999999E-2</v>
      </c>
      <c r="G69" s="624">
        <v>164897.72540983607</v>
      </c>
      <c r="I69" s="625">
        <v>81.937041219816663</v>
      </c>
      <c r="K69" s="625">
        <v>24.893986816878815</v>
      </c>
      <c r="M69" s="553">
        <f t="shared" si="13"/>
        <v>0</v>
      </c>
      <c r="O69" s="625">
        <v>1.2000000000000002</v>
      </c>
      <c r="Q69" s="625">
        <v>0</v>
      </c>
      <c r="S69" s="475">
        <f t="shared" si="0"/>
        <v>10054.819366608694</v>
      </c>
      <c r="U69" s="475">
        <f t="shared" si="1"/>
        <v>16512.870388883315</v>
      </c>
      <c r="W69" s="475">
        <f t="shared" si="2"/>
        <v>-6458.0510222746216</v>
      </c>
      <c r="Y69" s="554">
        <f t="shared" si="3"/>
        <v>-39.163978800943497</v>
      </c>
      <c r="Z69" s="516"/>
      <c r="AB69" s="423">
        <f>+IF(AB68&gt;$I$13+$I$14,XX,AB68+1)</f>
        <v>2049</v>
      </c>
      <c r="AC69" s="503"/>
      <c r="AD69" s="488">
        <f t="shared" si="4"/>
        <v>164897.72540983607</v>
      </c>
      <c r="AF69" s="555">
        <f t="shared" si="21"/>
        <v>192.7457507691</v>
      </c>
      <c r="AH69" s="555">
        <f t="shared" si="22"/>
        <v>38.607811282691465</v>
      </c>
      <c r="AJ69" s="555">
        <f t="shared" si="23"/>
        <v>3.9400050746737518</v>
      </c>
      <c r="AL69" s="558">
        <f t="shared" si="5"/>
        <v>10813.675223710221</v>
      </c>
      <c r="AN69" s="162">
        <f>INDEX('(2.2)_Forward_Price_Curve'!$G:$G,MATCH($AB69,'(2.2)_Forward_Price_Curve'!$C:$C,0),1)</f>
        <v>8.6234556360098651</v>
      </c>
      <c r="AP69" s="555">
        <f t="shared" si="24"/>
        <v>62.658212595103834</v>
      </c>
      <c r="AR69" s="555">
        <f t="shared" si="27"/>
        <v>4.4460846496988902</v>
      </c>
      <c r="AS69" s="555"/>
      <c r="AT69" s="558">
        <f t="shared" si="7"/>
        <v>5447.5244079898166</v>
      </c>
      <c r="AV69" s="558">
        <f t="shared" si="8"/>
        <v>11065.345980893499</v>
      </c>
      <c r="AW69" s="560"/>
      <c r="AX69" s="561">
        <f t="shared" si="9"/>
        <v>16512.870388883315</v>
      </c>
      <c r="AZ69" s="430">
        <f>+IF(AZ68&gt;$I$13+$I$14,XX,AZ68+1)</f>
        <v>2049</v>
      </c>
      <c r="BA69" s="503"/>
      <c r="BB69" s="555">
        <f t="shared" si="25"/>
        <v>100.85551258934738</v>
      </c>
      <c r="BD69" s="555">
        <f t="shared" si="26"/>
        <v>31.131493582048545</v>
      </c>
      <c r="BF69" s="558">
        <f t="shared" si="10"/>
        <v>5366.1508157204044</v>
      </c>
      <c r="BH69" s="563"/>
    </row>
    <row r="70" spans="2:60">
      <c r="B70" s="526"/>
      <c r="E70" s="549"/>
      <c r="G70" s="546"/>
      <c r="H70" s="546"/>
      <c r="I70" s="546"/>
      <c r="K70" s="546"/>
      <c r="M70" s="546"/>
      <c r="O70" s="546"/>
      <c r="Q70" s="546"/>
      <c r="S70" s="546"/>
      <c r="U70" s="546"/>
      <c r="W70" s="546"/>
      <c r="Y70" s="546"/>
      <c r="Z70" s="516"/>
      <c r="AB70" s="526"/>
      <c r="AF70" s="564"/>
      <c r="AH70" s="564"/>
      <c r="AJ70" s="564"/>
      <c r="AL70" s="560"/>
      <c r="AN70" s="564"/>
      <c r="AP70" s="564"/>
      <c r="AR70" s="564"/>
      <c r="AS70" s="564"/>
      <c r="AT70" s="564"/>
      <c r="AV70" s="560"/>
      <c r="AW70" s="560"/>
      <c r="AX70" s="565"/>
      <c r="AZ70" s="526"/>
      <c r="BB70" s="564"/>
      <c r="BF70" s="560"/>
      <c r="BH70" s="516"/>
    </row>
    <row r="71" spans="2:60" ht="12">
      <c r="B71" s="526"/>
      <c r="C71" s="5" t="s">
        <v>341</v>
      </c>
      <c r="E71" s="549"/>
      <c r="G71" s="617">
        <f>+-PMT($I$18,42,NPV($I$18,G28:G69))</f>
        <v>201011.00454652603</v>
      </c>
      <c r="I71" s="617">
        <f>+-PMT($I$18,42,NPV($I$18,I28:I69))</f>
        <v>216.57234001284448</v>
      </c>
      <c r="J71" s="553"/>
      <c r="K71" s="617">
        <f>+-PMT($I$18,42,NPV($I$18,K28:K69))</f>
        <v>30.702118411227204</v>
      </c>
      <c r="M71" s="553">
        <f>+-PMT($G$18,$G$14,NPV($G$18,M28:M52))</f>
        <v>0</v>
      </c>
      <c r="O71" s="617">
        <f>+-PMT($I$18,42,NPV($I$18,O28:O69))</f>
        <v>3.4033141972903769</v>
      </c>
      <c r="Q71" s="617">
        <f>+-PMT($I$18,42,NPV($I$18,Q28:Q69))</f>
        <v>-28.29398742130893</v>
      </c>
      <c r="S71" s="617">
        <f>+-PMT($I$18,42,NPV($I$18,S28:S69))</f>
        <v>16532.487205203957</v>
      </c>
      <c r="U71" s="617">
        <f>+-PMT($I$18,42,NPV($I$18,U28:U69))</f>
        <v>12151.199710988592</v>
      </c>
      <c r="W71" s="626">
        <f>+-PMT($I$18,42,NPV($I$18,W28:W69))</f>
        <v>4381.2874942153694</v>
      </c>
      <c r="Y71" s="617">
        <f>+-PMT($I$18,42,NPV($I$18,Y28:Y69))</f>
        <v>20.499368155733791</v>
      </c>
      <c r="Z71" s="516"/>
      <c r="AB71" s="526"/>
      <c r="AD71" s="617">
        <f>+-PMT($I$18,42,NPV($I$18,AD28:AD69))</f>
        <v>201011.00454652603</v>
      </c>
      <c r="AF71" s="617">
        <f>+-PMT($I$18,42,NPV($I$18,AF28:AF69))</f>
        <v>92.302858961411886</v>
      </c>
      <c r="AH71" s="617">
        <f>+-PMT($I$18,42,NPV($I$18,AH28:AH69))</f>
        <v>16.464192646094777</v>
      </c>
      <c r="AJ71" s="617">
        <f>+-PMT($I$18,42,NPV($I$18,AJ28:AJ69))</f>
        <v>2.5417122380805592</v>
      </c>
      <c r="AL71" s="618">
        <f>+-PMT($I$18,42,NPV($I$18,AL28:AL69))</f>
        <v>5290.3609338615724</v>
      </c>
      <c r="AN71" s="617">
        <f>+-PMT($I$18,42,NPV($I$18,AN28:AN69))</f>
        <v>6.2580097720117607</v>
      </c>
      <c r="AP71" s="617">
        <f>+-PMT($I$18,42,NPV($I$18,AP28:AP69))</f>
        <v>45.470832490811638</v>
      </c>
      <c r="AR71" s="617">
        <f>+-PMT($I$18,42,NPV($I$18,AR28:AR69))</f>
        <v>2.7419625115528148</v>
      </c>
      <c r="AS71" s="555"/>
      <c r="AT71" s="619">
        <f>+-PMT($I$18,42,NPV($I$18,AT28:AT69))</f>
        <v>2593.6375972307305</v>
      </c>
      <c r="AV71" s="619">
        <f>+-PMT($I$18,42,NPV($I$18,AV28:AV69))</f>
        <v>9557.5621137578582</v>
      </c>
      <c r="AW71" s="560"/>
      <c r="AX71" s="619">
        <f>+-PMT($I$18,42,NPV($I$18,AX28:AX69))</f>
        <v>12151.199710988592</v>
      </c>
      <c r="AY71" s="620"/>
      <c r="AZ71" s="526"/>
      <c r="BB71" s="617">
        <f>+-PMT($I$18,42,NPV($I$18,BB28:BB69))</f>
        <v>53.436588351743488</v>
      </c>
      <c r="BD71" s="617">
        <f>+-PMT($I$18,42,NPV($I$18,BD28:BD69))</f>
        <v>12.892602142068322</v>
      </c>
      <c r="BF71" s="619">
        <f>+-PMT($I$18,42,NPV($I$18,BF28:BF69))</f>
        <v>2696.7233366308424</v>
      </c>
      <c r="BH71" s="563"/>
    </row>
    <row r="72" spans="2:60" ht="12">
      <c r="B72" s="526"/>
      <c r="E72" s="549"/>
      <c r="G72" s="617"/>
      <c r="I72" s="617"/>
      <c r="J72" s="553"/>
      <c r="K72" s="617"/>
      <c r="M72" s="553"/>
      <c r="O72" s="553"/>
      <c r="Q72" s="617"/>
      <c r="S72" s="475"/>
      <c r="U72" s="475"/>
      <c r="W72" s="475"/>
      <c r="Y72" s="554"/>
      <c r="Z72" s="516"/>
      <c r="AB72" s="526"/>
      <c r="AD72" s="488"/>
      <c r="AF72" s="555"/>
      <c r="AH72" s="555"/>
      <c r="AJ72" s="555"/>
      <c r="AL72" s="558"/>
      <c r="AN72" s="555"/>
      <c r="AP72" s="555"/>
      <c r="AR72" s="555"/>
      <c r="AS72" s="555"/>
      <c r="AT72" s="558"/>
      <c r="AV72" s="558"/>
      <c r="AW72" s="560"/>
      <c r="AX72" s="561"/>
      <c r="AZ72" s="526"/>
      <c r="BB72" s="555"/>
      <c r="BD72" s="555"/>
      <c r="BF72" s="558"/>
      <c r="BH72" s="563"/>
    </row>
    <row r="73" spans="2:60" ht="12">
      <c r="B73" s="526"/>
      <c r="E73" s="549"/>
      <c r="I73" s="617"/>
      <c r="W73" s="475"/>
      <c r="Y73" s="554"/>
      <c r="Z73" s="516"/>
      <c r="AB73" s="526"/>
      <c r="AX73" s="516"/>
      <c r="AZ73" s="526"/>
      <c r="BH73" s="516"/>
    </row>
    <row r="74" spans="2:60">
      <c r="B74" s="566"/>
      <c r="C74" s="567"/>
      <c r="D74" s="567"/>
      <c r="E74" s="568"/>
      <c r="G74" s="567"/>
      <c r="H74" s="567"/>
      <c r="I74" s="567"/>
      <c r="J74" s="567"/>
      <c r="K74" s="567"/>
      <c r="L74" s="567"/>
      <c r="M74" s="567"/>
      <c r="N74" s="567"/>
      <c r="O74" s="567"/>
      <c r="P74" s="567"/>
      <c r="Q74" s="567"/>
      <c r="R74" s="567"/>
      <c r="S74" s="567"/>
      <c r="T74" s="567"/>
      <c r="U74" s="567"/>
      <c r="V74" s="567"/>
      <c r="W74" s="567"/>
      <c r="X74" s="567"/>
      <c r="Y74" s="567"/>
      <c r="Z74" s="569"/>
      <c r="AB74" s="566"/>
      <c r="AC74" s="567"/>
      <c r="AD74" s="567"/>
      <c r="AE74" s="567"/>
      <c r="AF74" s="567"/>
      <c r="AG74" s="567"/>
      <c r="AH74" s="567"/>
      <c r="AI74" s="567"/>
      <c r="AJ74" s="567"/>
      <c r="AK74" s="567"/>
      <c r="AL74" s="567"/>
      <c r="AM74" s="567"/>
      <c r="AN74" s="567"/>
      <c r="AO74" s="567"/>
      <c r="AP74" s="567"/>
      <c r="AQ74" s="567"/>
      <c r="AR74" s="567"/>
      <c r="AS74" s="567"/>
      <c r="AT74" s="567"/>
      <c r="AU74" s="567"/>
      <c r="AV74" s="567"/>
      <c r="AW74" s="567"/>
      <c r="AX74" s="569"/>
      <c r="AZ74" s="566"/>
      <c r="BA74" s="567"/>
      <c r="BB74" s="567"/>
      <c r="BC74" s="567"/>
      <c r="BD74" s="567"/>
      <c r="BE74" s="567"/>
      <c r="BF74" s="567"/>
      <c r="BG74" s="567"/>
      <c r="BH74" s="56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  <row r="82" spans="5:5">
      <c r="E82" s="549"/>
    </row>
  </sheetData>
  <pageMargins left="0.25" right="0.25" top="0.25" bottom="0.75" header="0.3" footer="0.3"/>
  <pageSetup paperSize="5" scale="48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CA89-77EA-4212-8236-6B9F2F23456A}">
  <sheetPr codeName="Sheet42">
    <tabColor theme="4" tint="0.59999389629810485"/>
    <pageSetUpPr fitToPage="1"/>
  </sheetPr>
  <dimension ref="A1:BL81"/>
  <sheetViews>
    <sheetView topLeftCell="M63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257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28.5</v>
      </c>
      <c r="H11" s="510"/>
      <c r="I11" s="621">
        <v>28.5</v>
      </c>
      <c r="AB11" s="511" t="s">
        <v>99</v>
      </c>
      <c r="AC11" s="512"/>
      <c r="AD11" s="512"/>
      <c r="AE11" s="512"/>
      <c r="AF11" s="518">
        <f>+G11*(G12/AJ16)</f>
        <v>22.619577104280864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15.758758524491963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22.619577104280864</v>
      </c>
      <c r="BE11" s="519"/>
      <c r="BG11" s="586" t="s">
        <v>99</v>
      </c>
      <c r="BH11" s="587"/>
      <c r="BI11" s="587"/>
      <c r="BJ11" s="587"/>
      <c r="BK11" s="591">
        <f>(AR11*AR13-I11*I19)</f>
        <v>11.255758524491963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0.3864457912692667</v>
      </c>
      <c r="H12" s="510"/>
      <c r="I12" s="593">
        <v>0.38863627404182438</v>
      </c>
      <c r="AB12" s="511" t="s">
        <v>32</v>
      </c>
      <c r="AC12" s="512"/>
      <c r="AD12" s="512"/>
      <c r="AE12" s="512"/>
      <c r="AF12" s="520">
        <f>+AD53/8760/AF11</f>
        <v>0.53062540047564444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0.69281704428824409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159.28191041324564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7.3695518411694527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96297</v>
      </c>
      <c r="I28" s="550">
        <f>$G$15</f>
        <v>159.28191041324564</v>
      </c>
      <c r="J28" s="550"/>
      <c r="K28" s="550">
        <f>G16</f>
        <v>7.3695518411694527</v>
      </c>
      <c r="L28" s="551"/>
      <c r="M28" s="550">
        <f>$G$17</f>
        <v>0</v>
      </c>
      <c r="O28" s="552">
        <v>5.1866999999999992</v>
      </c>
      <c r="Q28" s="553">
        <f>-'(2.2)_Forward_Price_Curve'!AG18</f>
        <v>-33.844219890731516</v>
      </c>
      <c r="S28" s="475">
        <f t="shared" ref="S28:S68" si="0">(I28*$G$11*1000+(K28+M28+O28+Q28)*G28)/1000</f>
        <v>2489.5669875088224</v>
      </c>
      <c r="U28" s="475">
        <f t="shared" ref="U28:U68" si="1">AX28</f>
        <v>6372.2838254542658</v>
      </c>
      <c r="W28" s="475">
        <f t="shared" ref="W28:W68" si="2">S28-U28</f>
        <v>-3882.7168379454433</v>
      </c>
      <c r="Y28" s="554">
        <f t="shared" ref="Y28:Y68" si="3">+W28*1000/G28</f>
        <v>-40.320226361625423</v>
      </c>
      <c r="Z28" s="516"/>
      <c r="AB28" s="544">
        <f>$C$28</f>
        <v>2009</v>
      </c>
      <c r="AC28" s="503"/>
      <c r="AD28" s="488">
        <f t="shared" ref="AD28:AD68" si="4">G28</f>
        <v>96297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1723.0883593433152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701.79799217185575</v>
      </c>
      <c r="AU28" s="557"/>
      <c r="AV28" s="558">
        <f t="shared" ref="AV28:AV68" si="7">(AP28+AR28)*AD28/1000</f>
        <v>5670.4858332824097</v>
      </c>
      <c r="AW28" s="560"/>
      <c r="AX28" s="561">
        <f t="shared" ref="AX28:AX68" si="8">AT28+AV28</f>
        <v>6372.2838254542658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1021.2903671714595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86063</v>
      </c>
      <c r="I29" s="553">
        <f t="shared" ref="I29:I36" si="10">I28*(1+$E29)</f>
        <v>162.3082667110973</v>
      </c>
      <c r="K29" s="553">
        <f>K28*(1+$E29)</f>
        <v>7.5095733261516715</v>
      </c>
      <c r="M29" s="553">
        <f t="shared" ref="M29:M68" si="11">M28*(1+$E29)</f>
        <v>0</v>
      </c>
      <c r="O29" s="552">
        <v>5.2748738999999985</v>
      </c>
      <c r="Q29" s="553">
        <f>-'(2.2)_Forward_Price_Curve'!AG19</f>
        <v>-35.45584940933778</v>
      </c>
      <c r="S29" s="475">
        <f t="shared" si="0"/>
        <v>2674.6167151747272</v>
      </c>
      <c r="U29" s="475">
        <f t="shared" si="1"/>
        <v>5576.2592579747061</v>
      </c>
      <c r="W29" s="475">
        <f t="shared" si="2"/>
        <v>-2901.6425427999789</v>
      </c>
      <c r="Y29" s="554">
        <f t="shared" si="3"/>
        <v>-33.715331127197274</v>
      </c>
      <c r="Z29" s="516"/>
      <c r="AB29" s="544">
        <f>+IF(AB28&gt;$G$13+$G$14,XX,AB28+1)</f>
        <v>2010</v>
      </c>
      <c r="AC29" s="503"/>
      <c r="AD29" s="488">
        <f t="shared" si="4"/>
        <v>86063</v>
      </c>
      <c r="AF29" s="555">
        <f t="shared" ref="AF29:AF37" si="12">AF28*(1+$E29)</f>
        <v>59.268516989789418</v>
      </c>
      <c r="AH29" s="555">
        <f t="shared" ref="AH29:AH37" si="13">AH28*(1+$E29)</f>
        <v>8.3559056765968087</v>
      </c>
      <c r="AJ29" s="555">
        <f t="shared" ref="AJ29:AJ37" si="14">AJ28*(1+$E29)</f>
        <v>2.3488914040524227</v>
      </c>
      <c r="AL29" s="558">
        <f t="shared" ref="AL29:AL66" si="15">((AF29+AH29)*$AF$11*1000+AJ29*AD29)/1000</f>
        <v>1731.7884835417656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691.09359939404862</v>
      </c>
      <c r="AV29" s="558">
        <f t="shared" si="7"/>
        <v>4885.1656585806577</v>
      </c>
      <c r="AW29" s="560"/>
      <c r="AX29" s="561">
        <f t="shared" si="8"/>
        <v>5576.2592579747061</v>
      </c>
      <c r="AZ29" s="544">
        <f>+IF(AZ28&gt;$G$13+$G$14,XX,AZ28+1)</f>
        <v>2010</v>
      </c>
      <c r="BA29" s="503"/>
      <c r="BB29" s="555">
        <f t="shared" ref="BB29:BB68" si="16">BB28*(1+$E29)</f>
        <v>39.936516017693386</v>
      </c>
      <c r="BD29" s="555">
        <f t="shared" ref="BD29:BD68" si="17">BD28*(1+$E29)</f>
        <v>6.0720755377499982</v>
      </c>
      <c r="BF29" s="558">
        <f t="shared" si="9"/>
        <v>1040.6948841477169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86063</v>
      </c>
      <c r="I30" s="553">
        <f t="shared" si="10"/>
        <v>165.39212377860812</v>
      </c>
      <c r="K30" s="553">
        <f t="shared" ref="K30:K37" si="18">K29*(1+$E30)</f>
        <v>7.6522552193485529</v>
      </c>
      <c r="M30" s="553">
        <f t="shared" si="11"/>
        <v>0</v>
      </c>
      <c r="O30" s="552">
        <v>5.3750965040999983</v>
      </c>
      <c r="Q30" s="553">
        <f>-'(2.2)_Forward_Price_Curve'!AG20</f>
        <v>-35.45584940933778</v>
      </c>
      <c r="S30" s="475">
        <f t="shared" si="0"/>
        <v>2783.4117313496467</v>
      </c>
      <c r="U30" s="475">
        <f t="shared" si="1"/>
        <v>5346.1693452873906</v>
      </c>
      <c r="W30" s="475">
        <f t="shared" si="2"/>
        <v>-2562.7576139377438</v>
      </c>
      <c r="Y30" s="554">
        <f t="shared" si="3"/>
        <v>-29.777693247246134</v>
      </c>
      <c r="Z30" s="516"/>
      <c r="AB30" s="544">
        <f>+IF(AB29&gt;$G$13+$G$14,XX,AB29+1)</f>
        <v>2011</v>
      </c>
      <c r="AC30" s="503"/>
      <c r="AD30" s="488">
        <f t="shared" si="4"/>
        <v>86063</v>
      </c>
      <c r="AF30" s="555">
        <f t="shared" si="12"/>
        <v>60.394618812595411</v>
      </c>
      <c r="AH30" s="555">
        <f t="shared" si="13"/>
        <v>8.5146678844521482</v>
      </c>
      <c r="AJ30" s="555">
        <f t="shared" si="14"/>
        <v>2.3935203407294185</v>
      </c>
      <c r="AL30" s="558">
        <f t="shared" si="15"/>
        <v>1764.6924647290591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68" si="19">AR29*(1+$E30)</f>
        <v>2.4775859496653472</v>
      </c>
      <c r="AS30" s="555"/>
      <c r="AT30" s="558">
        <f t="shared" si="6"/>
        <v>704.22437778253538</v>
      </c>
      <c r="AV30" s="558">
        <f t="shared" si="7"/>
        <v>4641.9449675048554</v>
      </c>
      <c r="AW30" s="560"/>
      <c r="AX30" s="561">
        <f t="shared" si="8"/>
        <v>5346.1693452873906</v>
      </c>
      <c r="AZ30" s="544">
        <f>+IF(AZ29&gt;$G$13+$G$14,XX,AZ29+1)</f>
        <v>2011</v>
      </c>
      <c r="BA30" s="503"/>
      <c r="BB30" s="555">
        <f t="shared" si="16"/>
        <v>40.695309822029557</v>
      </c>
      <c r="BD30" s="555">
        <f t="shared" si="17"/>
        <v>6.1874449729672474</v>
      </c>
      <c r="BF30" s="558">
        <f t="shared" si="9"/>
        <v>1060.4680869465237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86345</v>
      </c>
      <c r="I31" s="553">
        <f t="shared" si="10"/>
        <v>168.69996625418028</v>
      </c>
      <c r="K31" s="553">
        <f t="shared" si="18"/>
        <v>7.8053003237355245</v>
      </c>
      <c r="M31" s="553">
        <f t="shared" si="11"/>
        <v>0</v>
      </c>
      <c r="O31" s="552">
        <v>5.4772233376778976</v>
      </c>
      <c r="Q31" s="553">
        <f>-'(2.2)_Forward_Price_Curve'!AG21</f>
        <v>-35.45584940933778</v>
      </c>
      <c r="S31" s="475">
        <f t="shared" si="0"/>
        <v>2893.3932265396102</v>
      </c>
      <c r="U31" s="475">
        <f t="shared" si="1"/>
        <v>5142.2295181777581</v>
      </c>
      <c r="W31" s="475">
        <f t="shared" si="2"/>
        <v>-2248.8362916381479</v>
      </c>
      <c r="Y31" s="554">
        <f t="shared" si="3"/>
        <v>-26.044777249848259</v>
      </c>
      <c r="Z31" s="516"/>
      <c r="AB31" s="544">
        <f>+IF(AB30&gt;$G$13+$G$14,XX,AB30+1)</f>
        <v>2012</v>
      </c>
      <c r="AC31" s="503"/>
      <c r="AD31" s="488">
        <f t="shared" si="4"/>
        <v>86345</v>
      </c>
      <c r="AF31" s="555">
        <f t="shared" si="12"/>
        <v>61.602511188847323</v>
      </c>
      <c r="AH31" s="555">
        <f t="shared" si="13"/>
        <v>8.6849612421411919</v>
      </c>
      <c r="AJ31" s="555">
        <f t="shared" si="14"/>
        <v>2.4413907475440069</v>
      </c>
      <c r="AL31" s="558">
        <f t="shared" si="15"/>
        <v>1800.6747862144475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9"/>
        <v>2.527137668658654</v>
      </c>
      <c r="AS31" s="555"/>
      <c r="AT31" s="558">
        <f t="shared" si="6"/>
        <v>718.99733752899351</v>
      </c>
      <c r="AV31" s="558">
        <f t="shared" si="7"/>
        <v>4423.2321806487644</v>
      </c>
      <c r="AW31" s="560"/>
      <c r="AX31" s="561">
        <f t="shared" si="8"/>
        <v>5142.2295181777581</v>
      </c>
      <c r="AZ31" s="544">
        <f>+IF(AZ30&gt;$G$13+$G$14,XX,AZ30+1)</f>
        <v>2012</v>
      </c>
      <c r="BA31" s="503"/>
      <c r="BB31" s="555">
        <f t="shared" si="16"/>
        <v>41.509216018470148</v>
      </c>
      <c r="BD31" s="555">
        <f t="shared" si="17"/>
        <v>6.3111938724265926</v>
      </c>
      <c r="BF31" s="558">
        <f t="shared" si="9"/>
        <v>1081.677448685454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86063</v>
      </c>
      <c r="I32" s="553">
        <f t="shared" si="10"/>
        <v>171.9052656130097</v>
      </c>
      <c r="K32" s="553">
        <f t="shared" si="18"/>
        <v>7.9536010298864985</v>
      </c>
      <c r="M32" s="553">
        <f t="shared" si="11"/>
        <v>0</v>
      </c>
      <c r="O32" s="552">
        <v>5.5867678044314557</v>
      </c>
      <c r="Q32" s="553">
        <f>-'(2.2)_Forward_Price_Curve'!AG22</f>
        <v>-37.067478927944045</v>
      </c>
      <c r="S32" s="475">
        <f t="shared" si="0"/>
        <v>2874.4863939830338</v>
      </c>
      <c r="U32" s="475">
        <f t="shared" si="1"/>
        <v>5143.0147601086901</v>
      </c>
      <c r="W32" s="475">
        <f t="shared" si="2"/>
        <v>-2268.5283661256562</v>
      </c>
      <c r="Y32" s="554">
        <f t="shared" si="3"/>
        <v>-26.358927368621316</v>
      </c>
      <c r="Z32" s="516"/>
      <c r="AB32" s="544">
        <f>+IF(AB31&gt;$G$13+$G$14,XX,AB31+1)</f>
        <v>2013</v>
      </c>
      <c r="AC32" s="503"/>
      <c r="AD32" s="488">
        <f t="shared" si="4"/>
        <v>86063</v>
      </c>
      <c r="AF32" s="555">
        <f t="shared" si="12"/>
        <v>62.772958901435416</v>
      </c>
      <c r="AH32" s="555">
        <f t="shared" si="13"/>
        <v>8.8499755057418739</v>
      </c>
      <c r="AJ32" s="555">
        <f t="shared" si="14"/>
        <v>2.4877771717473429</v>
      </c>
      <c r="AL32" s="558">
        <f t="shared" si="15"/>
        <v>1834.1860539900892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9"/>
        <v>2.5751532843631684</v>
      </c>
      <c r="AS32" s="555"/>
      <c r="AT32" s="558">
        <f t="shared" si="6"/>
        <v>731.95673377961157</v>
      </c>
      <c r="AV32" s="558">
        <f t="shared" si="7"/>
        <v>4411.0580263290785</v>
      </c>
      <c r="AW32" s="560"/>
      <c r="AX32" s="561">
        <f t="shared" si="8"/>
        <v>5143.0147601086901</v>
      </c>
      <c r="AZ32" s="544">
        <f>+IF(AZ31&gt;$G$13+$G$14,XX,AZ31+1)</f>
        <v>2013</v>
      </c>
      <c r="BA32" s="503"/>
      <c r="BB32" s="555">
        <f t="shared" si="16"/>
        <v>42.297891122821078</v>
      </c>
      <c r="BD32" s="555">
        <f t="shared" si="17"/>
        <v>6.431106556002697</v>
      </c>
      <c r="BF32" s="558">
        <f t="shared" si="9"/>
        <v>1102.2293202104777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86063</v>
      </c>
      <c r="I33" s="553">
        <f t="shared" si="10"/>
        <v>174.99956039404387</v>
      </c>
      <c r="K33" s="553">
        <f t="shared" si="18"/>
        <v>8.0967658484244556</v>
      </c>
      <c r="M33" s="553">
        <f t="shared" si="11"/>
        <v>0</v>
      </c>
      <c r="O33" s="552">
        <v>5.6929163927156532</v>
      </c>
      <c r="Q33" s="553">
        <f>-'(2.2)_Forward_Price_Curve'!AG23</f>
        <v>-37.067478927944045</v>
      </c>
      <c r="S33" s="475">
        <f t="shared" si="0"/>
        <v>2984.1304549738429</v>
      </c>
      <c r="U33" s="475">
        <f t="shared" si="1"/>
        <v>5294.3222911250177</v>
      </c>
      <c r="W33" s="475">
        <f t="shared" si="2"/>
        <v>-2310.1918361511748</v>
      </c>
      <c r="Y33" s="554">
        <f t="shared" si="3"/>
        <v>-26.843031687846981</v>
      </c>
      <c r="Z33" s="516"/>
      <c r="AB33" s="544">
        <f>+IF(AB32&gt;$G$13+$G$14,XX,AB32+1)</f>
        <v>2014</v>
      </c>
      <c r="AC33" s="503"/>
      <c r="AD33" s="488">
        <f t="shared" si="4"/>
        <v>86063</v>
      </c>
      <c r="AF33" s="555">
        <f t="shared" si="12"/>
        <v>63.902872161661257</v>
      </c>
      <c r="AH33" s="555">
        <f t="shared" si="13"/>
        <v>9.0092750648452284</v>
      </c>
      <c r="AJ33" s="555">
        <f t="shared" si="14"/>
        <v>2.5325571608387953</v>
      </c>
      <c r="AL33" s="558">
        <f t="shared" si="15"/>
        <v>1867.2014029619108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9"/>
        <v>2.6215060434817055</v>
      </c>
      <c r="AS33" s="555"/>
      <c r="AT33" s="558">
        <f t="shared" si="6"/>
        <v>745.13195498764458</v>
      </c>
      <c r="AV33" s="558">
        <f t="shared" si="7"/>
        <v>4549.1903361373734</v>
      </c>
      <c r="AW33" s="560"/>
      <c r="AX33" s="561">
        <f t="shared" si="8"/>
        <v>5294.3222911250177</v>
      </c>
      <c r="AZ33" s="544">
        <f>+IF(AZ32&gt;$G$13+$G$14,XX,AZ32+1)</f>
        <v>2014</v>
      </c>
      <c r="BA33" s="503"/>
      <c r="BB33" s="555">
        <f t="shared" si="16"/>
        <v>43.059253163031855</v>
      </c>
      <c r="BD33" s="555">
        <f t="shared" si="17"/>
        <v>6.5468664740107458</v>
      </c>
      <c r="BF33" s="558">
        <f t="shared" si="9"/>
        <v>1122.0694479742663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86063</v>
      </c>
      <c r="I34" s="553">
        <f t="shared" si="10"/>
        <v>178.14955248113665</v>
      </c>
      <c r="K34" s="553">
        <f t="shared" si="18"/>
        <v>8.2425076336960963</v>
      </c>
      <c r="M34" s="553">
        <f t="shared" si="11"/>
        <v>0</v>
      </c>
      <c r="O34" s="552">
        <v>5.7953888877845348</v>
      </c>
      <c r="Q34" s="553">
        <f>-'(2.2)_Forward_Price_Curve'!AG24</f>
        <v>-37.067478927944045</v>
      </c>
      <c r="S34" s="475">
        <f t="shared" si="0"/>
        <v>3095.2672950649335</v>
      </c>
      <c r="U34" s="475">
        <f t="shared" si="1"/>
        <v>5563.4261488356506</v>
      </c>
      <c r="W34" s="475">
        <f t="shared" si="2"/>
        <v>-2468.1588537707171</v>
      </c>
      <c r="Y34" s="554">
        <f t="shared" si="3"/>
        <v>-28.678512877435331</v>
      </c>
      <c r="Z34" s="516"/>
      <c r="AB34" s="544">
        <f>+IF(AB33&gt;$G$13+$G$14,XX,AB33+1)</f>
        <v>2015</v>
      </c>
      <c r="AC34" s="503"/>
      <c r="AD34" s="488">
        <f t="shared" si="4"/>
        <v>86063</v>
      </c>
      <c r="AF34" s="555">
        <f t="shared" si="12"/>
        <v>65.053123860571162</v>
      </c>
      <c r="AH34" s="555">
        <f t="shared" si="13"/>
        <v>9.1714420160124419</v>
      </c>
      <c r="AJ34" s="555">
        <f t="shared" si="14"/>
        <v>2.5781431897338938</v>
      </c>
      <c r="AL34" s="558">
        <f t="shared" si="15"/>
        <v>1900.8110282152252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9"/>
        <v>2.6686931522643764</v>
      </c>
      <c r="AS34" s="555"/>
      <c r="AT34" s="558">
        <f t="shared" si="6"/>
        <v>758.54433017742213</v>
      </c>
      <c r="AV34" s="558">
        <f t="shared" si="7"/>
        <v>4804.8818186582284</v>
      </c>
      <c r="AW34" s="560"/>
      <c r="AX34" s="561">
        <f t="shared" si="8"/>
        <v>5563.4261488356506</v>
      </c>
      <c r="AZ34" s="544">
        <f>+IF(AZ33&gt;$G$13+$G$14,XX,AZ33+1)</f>
        <v>2015</v>
      </c>
      <c r="BA34" s="503"/>
      <c r="BB34" s="555">
        <f t="shared" si="16"/>
        <v>43.83431971996643</v>
      </c>
      <c r="BD34" s="555">
        <f t="shared" si="17"/>
        <v>6.664710070542939</v>
      </c>
      <c r="BF34" s="558">
        <f t="shared" si="9"/>
        <v>1142.2666980378031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86298.789041095893</v>
      </c>
      <c r="I35" s="553">
        <f t="shared" si="10"/>
        <v>181.35624442579712</v>
      </c>
      <c r="K35" s="553">
        <f t="shared" si="18"/>
        <v>8.390872771102627</v>
      </c>
      <c r="M35" s="553">
        <f t="shared" si="11"/>
        <v>0</v>
      </c>
      <c r="O35" s="552">
        <v>5.8997058877646564</v>
      </c>
      <c r="Q35" s="553">
        <f>-'(2.2)_Forward_Price_Curve'!AG25</f>
        <v>-37.067478927944045</v>
      </c>
      <c r="S35" s="475">
        <f t="shared" si="0"/>
        <v>3203.0340548040822</v>
      </c>
      <c r="U35" s="475">
        <f t="shared" si="1"/>
        <v>5974.2359733439989</v>
      </c>
      <c r="W35" s="475">
        <f t="shared" si="2"/>
        <v>-2771.2019185399167</v>
      </c>
      <c r="Y35" s="554">
        <f t="shared" si="3"/>
        <v>-32.111712682552906</v>
      </c>
      <c r="Z35" s="516"/>
      <c r="AB35" s="544">
        <f>+IF(AB34&gt;$G$13+$G$14,XX,AB34+1)</f>
        <v>2016</v>
      </c>
      <c r="AC35" s="503"/>
      <c r="AD35" s="488">
        <f t="shared" si="4"/>
        <v>86298.789041095893</v>
      </c>
      <c r="AF35" s="555">
        <f t="shared" si="12"/>
        <v>66.224080090061449</v>
      </c>
      <c r="AH35" s="555">
        <f t="shared" si="13"/>
        <v>9.3365279723006669</v>
      </c>
      <c r="AJ35" s="555">
        <f t="shared" si="14"/>
        <v>2.6245497671491038</v>
      </c>
      <c r="AL35" s="558">
        <f t="shared" si="15"/>
        <v>1935.6444667960043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9"/>
        <v>2.716729629005135</v>
      </c>
      <c r="AS35" s="555"/>
      <c r="AT35" s="558">
        <f t="shared" si="6"/>
        <v>772.81696819352078</v>
      </c>
      <c r="AV35" s="558">
        <f t="shared" si="7"/>
        <v>5201.4190051504784</v>
      </c>
      <c r="AW35" s="560"/>
      <c r="AX35" s="561">
        <f t="shared" si="8"/>
        <v>5974.2359733439989</v>
      </c>
      <c r="AZ35" s="544">
        <f>+IF(AZ34&gt;$G$13+$G$14,XX,AZ34+1)</f>
        <v>2016</v>
      </c>
      <c r="BA35" s="503"/>
      <c r="BB35" s="555">
        <f t="shared" si="16"/>
        <v>44.623337474925826</v>
      </c>
      <c r="BD35" s="555">
        <f t="shared" si="17"/>
        <v>6.7846748518127118</v>
      </c>
      <c r="BF35" s="558">
        <f t="shared" si="9"/>
        <v>1162.8274986024835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86063</v>
      </c>
      <c r="I36" s="553">
        <f t="shared" si="10"/>
        <v>184.62065682546145</v>
      </c>
      <c r="K36" s="553">
        <f t="shared" si="18"/>
        <v>8.5419084809824746</v>
      </c>
      <c r="M36" s="553">
        <f t="shared" si="11"/>
        <v>0</v>
      </c>
      <c r="O36" s="552">
        <v>6.0059005937444203</v>
      </c>
      <c r="Q36" s="553">
        <f>-'(2.2)_Forward_Price_Curve'!AG26</f>
        <v>-38.679108446550309</v>
      </c>
      <c r="S36" s="475">
        <f t="shared" si="0"/>
        <v>3184.8767016884126</v>
      </c>
      <c r="U36" s="475">
        <f t="shared" si="1"/>
        <v>6368.706015106085</v>
      </c>
      <c r="W36" s="475">
        <f t="shared" si="2"/>
        <v>-3183.8293134176724</v>
      </c>
      <c r="Y36" s="554">
        <f t="shared" si="3"/>
        <v>-36.994170705386431</v>
      </c>
      <c r="Z36" s="516"/>
      <c r="AB36" s="544">
        <f>+IF(AB35&gt;$G$13+$G$14,XX,AB35+1)</f>
        <v>2017</v>
      </c>
      <c r="AC36" s="503"/>
      <c r="AD36" s="488">
        <f t="shared" si="4"/>
        <v>86063</v>
      </c>
      <c r="AF36" s="555">
        <f t="shared" si="12"/>
        <v>67.416113531682555</v>
      </c>
      <c r="AH36" s="555">
        <f t="shared" si="13"/>
        <v>9.5045854758020791</v>
      </c>
      <c r="AJ36" s="555">
        <f t="shared" si="14"/>
        <v>2.6717916629577876</v>
      </c>
      <c r="AL36" s="558">
        <f t="shared" si="15"/>
        <v>1969.856088004115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9"/>
        <v>2.7656307623272274</v>
      </c>
      <c r="AS36" s="555"/>
      <c r="AT36" s="558">
        <f t="shared" si="6"/>
        <v>786.0976944267868</v>
      </c>
      <c r="AV36" s="558">
        <f t="shared" si="7"/>
        <v>5582.6083206792982</v>
      </c>
      <c r="AW36" s="560"/>
      <c r="AX36" s="561">
        <f t="shared" si="8"/>
        <v>6368.706015106085</v>
      </c>
      <c r="AZ36" s="544">
        <f>+IF(AZ35&gt;$G$13+$G$14,XX,AZ35+1)</f>
        <v>2017</v>
      </c>
      <c r="BA36" s="503"/>
      <c r="BB36" s="555">
        <f t="shared" si="16"/>
        <v>45.426557549474495</v>
      </c>
      <c r="BD36" s="555">
        <f t="shared" si="17"/>
        <v>6.9067989991453409</v>
      </c>
      <c r="BF36" s="558">
        <f t="shared" si="9"/>
        <v>1183.7583935773282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86063</v>
      </c>
      <c r="I37" s="553">
        <f>I36*(1+$E37)</f>
        <v>187.94382864831977</v>
      </c>
      <c r="K37" s="553">
        <f t="shared" si="18"/>
        <v>8.69566283364016</v>
      </c>
      <c r="M37" s="553">
        <f t="shared" si="11"/>
        <v>0</v>
      </c>
      <c r="O37" s="552">
        <v>6.1140068044318197</v>
      </c>
      <c r="Q37" s="553">
        <f>-'(2.2)_Forward_Price_Curve'!AG27</f>
        <v>-38.679108446550309</v>
      </c>
      <c r="S37" s="475">
        <f t="shared" si="0"/>
        <v>3302.1236043030431</v>
      </c>
      <c r="U37" s="475">
        <f t="shared" si="1"/>
        <v>6737.5745918597368</v>
      </c>
      <c r="W37" s="475">
        <f t="shared" si="2"/>
        <v>-3435.4509875566937</v>
      </c>
      <c r="Y37" s="554">
        <f t="shared" si="3"/>
        <v>-39.917862351494762</v>
      </c>
      <c r="Z37" s="516"/>
      <c r="AB37" s="544">
        <f>+IF(AB36&gt;$G$13+$G$14,XX,AB36+1)</f>
        <v>2018</v>
      </c>
      <c r="AC37" s="503"/>
      <c r="AD37" s="488">
        <f t="shared" si="4"/>
        <v>86063</v>
      </c>
      <c r="AF37" s="555">
        <f t="shared" si="12"/>
        <v>68.629603575252844</v>
      </c>
      <c r="AH37" s="555">
        <f t="shared" si="13"/>
        <v>9.6756680143665168</v>
      </c>
      <c r="AJ37" s="555">
        <f t="shared" si="14"/>
        <v>2.7198839128910279</v>
      </c>
      <c r="AL37" s="558">
        <f t="shared" si="15"/>
        <v>2005.3134975881899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9"/>
        <v>2.8154121160491177</v>
      </c>
      <c r="AS37" s="555"/>
      <c r="AT37" s="558">
        <f t="shared" si="6"/>
        <v>800.24745292646958</v>
      </c>
      <c r="AV37" s="558">
        <f t="shared" si="7"/>
        <v>5937.3271389332667</v>
      </c>
      <c r="AW37" s="560"/>
      <c r="AX37" s="561">
        <f t="shared" si="8"/>
        <v>6737.5745918597368</v>
      </c>
      <c r="AZ37" s="544">
        <f>+IF(AZ36&gt;$G$13+$G$14,XX,AZ36+1)</f>
        <v>2018</v>
      </c>
      <c r="BA37" s="503"/>
      <c r="BB37" s="555">
        <f t="shared" si="16"/>
        <v>46.24423558536504</v>
      </c>
      <c r="BD37" s="555">
        <f t="shared" si="17"/>
        <v>7.0311213811299575</v>
      </c>
      <c r="BF37" s="558">
        <f t="shared" si="9"/>
        <v>1205.0660446617203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93252.094117647066</v>
      </c>
      <c r="I38" s="725">
        <v>199.05523549413752</v>
      </c>
      <c r="K38" s="613">
        <v>10.777120355497138</v>
      </c>
      <c r="M38" s="553">
        <f t="shared" si="11"/>
        <v>0</v>
      </c>
      <c r="O38" s="613">
        <v>6.2240589269115922</v>
      </c>
      <c r="Q38" s="613">
        <v>-23.214576927028542</v>
      </c>
      <c r="S38" s="475">
        <f t="shared" si="0"/>
        <v>5093.6618696364649</v>
      </c>
      <c r="U38" s="475">
        <f t="shared" si="1"/>
        <v>8450.9893709990884</v>
      </c>
      <c r="W38" s="475">
        <f t="shared" si="2"/>
        <v>-3357.3275013626235</v>
      </c>
      <c r="Y38" s="554">
        <f t="shared" si="3"/>
        <v>-36.002703565316303</v>
      </c>
      <c r="Z38" s="516"/>
      <c r="AB38" s="422">
        <f>+IF(AB37&gt;$G$13+$G$14,XX,AB37+1)</f>
        <v>2019</v>
      </c>
      <c r="AC38" s="503"/>
      <c r="AD38" s="488">
        <f t="shared" si="4"/>
        <v>93252.094117647066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5"/>
        <v>2872.9915931642195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1646.2343596985882</v>
      </c>
      <c r="AV38" s="558">
        <f t="shared" si="7"/>
        <v>6804.7550113005009</v>
      </c>
      <c r="AW38" s="560"/>
      <c r="AX38" s="561">
        <f t="shared" si="8"/>
        <v>8450.9893709990884</v>
      </c>
      <c r="AZ38" s="429">
        <f>+IF(AZ37&gt;$G$13+$G$14,XX,AZ37+1)</f>
        <v>2019</v>
      </c>
      <c r="BA38" s="503"/>
      <c r="BB38" s="445">
        <f t="shared" si="16"/>
        <v>47.076631825901615</v>
      </c>
      <c r="BD38" s="445">
        <f t="shared" si="17"/>
        <v>7.1576815659902966</v>
      </c>
      <c r="BF38" s="558">
        <f t="shared" si="9"/>
        <v>1226.7572334656313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105139.09411764707</v>
      </c>
      <c r="I39" s="726">
        <v>270.7627489523037</v>
      </c>
      <c r="K39" s="625">
        <v>24.245242249872422</v>
      </c>
      <c r="M39" s="553">
        <f t="shared" si="11"/>
        <v>0</v>
      </c>
      <c r="O39" s="625">
        <v>0.63</v>
      </c>
      <c r="Q39" s="625">
        <v>-33.150783021494966</v>
      </c>
      <c r="S39" s="475">
        <f t="shared" si="0"/>
        <v>6846.655485078606</v>
      </c>
      <c r="U39" s="475">
        <f t="shared" si="1"/>
        <v>4012.3737142620316</v>
      </c>
      <c r="W39" s="475">
        <f t="shared" si="2"/>
        <v>2834.2817708165744</v>
      </c>
      <c r="Y39" s="554">
        <f t="shared" si="3"/>
        <v>26.957449030758337</v>
      </c>
      <c r="Z39" s="516"/>
      <c r="AB39" s="423">
        <f>+IF(AB38&gt;$I$13+$I$14,XX,AB38+1)</f>
        <v>2020</v>
      </c>
      <c r="AC39" s="503"/>
      <c r="AD39" s="488">
        <f t="shared" si="4"/>
        <v>105139.09411764707</v>
      </c>
      <c r="AF39" s="555">
        <f t="shared" ref="AF39:AF68" si="20">AF38*(1+$E39)</f>
        <v>101.14988775589339</v>
      </c>
      <c r="AH39" s="555">
        <f t="shared" ref="AH39:AH68" si="21">AH38*(1+$E39)</f>
        <v>20.260761973544962</v>
      </c>
      <c r="AJ39" s="555">
        <f t="shared" ref="AJ39:AJ68" si="22">AJ38*(1+$E39)</f>
        <v>2.0676516575367789</v>
      </c>
      <c r="AL39" s="558">
        <f t="shared" si="15"/>
        <v>2963.6485750601355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1708.6759252247948</v>
      </c>
      <c r="AV39" s="558">
        <f t="shared" si="7"/>
        <v>2303.6977890372368</v>
      </c>
      <c r="AW39" s="560"/>
      <c r="AX39" s="561">
        <f t="shared" si="8"/>
        <v>4012.3737142620316</v>
      </c>
      <c r="AZ39" s="430">
        <f>+IF(AZ38&gt;$I$13+$I$14,XX,AZ38+1)</f>
        <v>2020</v>
      </c>
      <c r="BA39" s="503"/>
      <c r="BB39" s="555">
        <f t="shared" si="16"/>
        <v>48.159394357897348</v>
      </c>
      <c r="BD39" s="555">
        <f t="shared" si="17"/>
        <v>7.3223082420080727</v>
      </c>
      <c r="BF39" s="558">
        <f t="shared" si="9"/>
        <v>1254.9726498353407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105142.09411764707</v>
      </c>
      <c r="I40" s="726">
        <v>276.66335865347617</v>
      </c>
      <c r="K40" s="625">
        <v>24.759294380634749</v>
      </c>
      <c r="M40" s="553">
        <f t="shared" si="11"/>
        <v>0</v>
      </c>
      <c r="O40" s="625">
        <v>0.6399999999999999</v>
      </c>
      <c r="Q40" s="625">
        <v>-34.476814342354757</v>
      </c>
      <c r="S40" s="475">
        <f t="shared" si="0"/>
        <v>6930.4762634540857</v>
      </c>
      <c r="U40" s="475">
        <f t="shared" si="1"/>
        <v>4202.5523310013632</v>
      </c>
      <c r="W40" s="475">
        <f t="shared" si="2"/>
        <v>2727.9239324527225</v>
      </c>
      <c r="Y40" s="554">
        <f t="shared" si="3"/>
        <v>25.94511698996936</v>
      </c>
      <c r="Z40" s="516"/>
      <c r="AB40" s="423">
        <f>+IF(AB39&gt;$I$13+$I$14,XX,AB39+1)</f>
        <v>2021</v>
      </c>
      <c r="AC40" s="503"/>
      <c r="AD40" s="488">
        <f t="shared" si="4"/>
        <v>105142.09411764707</v>
      </c>
      <c r="AF40" s="555">
        <f t="shared" si="20"/>
        <v>103.77978483754661</v>
      </c>
      <c r="AH40" s="555">
        <f t="shared" si="21"/>
        <v>20.787541784857133</v>
      </c>
      <c r="AJ40" s="555">
        <f t="shared" si="22"/>
        <v>2.1214106006327351</v>
      </c>
      <c r="AL40" s="558">
        <f t="shared" si="15"/>
        <v>3040.7098022435021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9"/>
        <v>2.3938982129262119</v>
      </c>
      <c r="AS40" s="555"/>
      <c r="AT40" s="558">
        <f t="shared" si="6"/>
        <v>1753.1078635124422</v>
      </c>
      <c r="AV40" s="558">
        <f t="shared" si="7"/>
        <v>2449.4444674889205</v>
      </c>
      <c r="AW40" s="560"/>
      <c r="AX40" s="561">
        <f t="shared" si="8"/>
        <v>4202.5523310013632</v>
      </c>
      <c r="AZ40" s="430">
        <f>+IF(AZ39&gt;$I$13+$I$14,XX,AZ39+1)</f>
        <v>2021</v>
      </c>
      <c r="BA40" s="503"/>
      <c r="BB40" s="555">
        <f t="shared" si="16"/>
        <v>49.41153861120268</v>
      </c>
      <c r="BD40" s="555">
        <f t="shared" si="17"/>
        <v>7.512688256300283</v>
      </c>
      <c r="BF40" s="558">
        <f t="shared" si="9"/>
        <v>1287.6019387310598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105142.09411764707</v>
      </c>
      <c r="I41" s="726">
        <v>283.27360177049093</v>
      </c>
      <c r="K41" s="625">
        <v>25.328758151389341</v>
      </c>
      <c r="M41" s="553">
        <f t="shared" si="11"/>
        <v>0</v>
      </c>
      <c r="O41" s="625">
        <v>0.66</v>
      </c>
      <c r="Q41" s="625">
        <v>-34.476814342354757</v>
      </c>
      <c r="S41" s="475">
        <f t="shared" si="0"/>
        <v>7180.8456475526291</v>
      </c>
      <c r="U41" s="475">
        <f t="shared" si="1"/>
        <v>4352.3450420468844</v>
      </c>
      <c r="W41" s="475">
        <f t="shared" si="2"/>
        <v>2828.5006055057447</v>
      </c>
      <c r="Y41" s="554">
        <f t="shared" si="3"/>
        <v>26.901695550602589</v>
      </c>
      <c r="Z41" s="516"/>
      <c r="AB41" s="423">
        <f>+IF(AB40&gt;$I$13+$I$14,XX,AB40+1)</f>
        <v>2022</v>
      </c>
      <c r="AC41" s="503"/>
      <c r="AD41" s="488">
        <f t="shared" si="4"/>
        <v>105142.09411764707</v>
      </c>
      <c r="AF41" s="555">
        <f t="shared" si="20"/>
        <v>106.27049967364773</v>
      </c>
      <c r="AH41" s="555">
        <f t="shared" si="21"/>
        <v>21.286442787693705</v>
      </c>
      <c r="AJ41" s="555">
        <f t="shared" si="22"/>
        <v>2.1723244550479208</v>
      </c>
      <c r="AL41" s="558">
        <f t="shared" si="15"/>
        <v>3113.6868374973451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9"/>
        <v>2.4513517700364411</v>
      </c>
      <c r="AS41" s="555"/>
      <c r="AT41" s="558">
        <f t="shared" si="6"/>
        <v>1795.1824522367399</v>
      </c>
      <c r="AV41" s="558">
        <f t="shared" si="7"/>
        <v>2557.1625898101447</v>
      </c>
      <c r="AW41" s="560"/>
      <c r="AX41" s="561">
        <f t="shared" si="8"/>
        <v>4352.3450420468844</v>
      </c>
      <c r="AZ41" s="430">
        <f>+IF(AZ40&gt;$I$13+$I$14,XX,AZ40+1)</f>
        <v>2022</v>
      </c>
      <c r="BA41" s="503"/>
      <c r="BB41" s="555">
        <f t="shared" si="16"/>
        <v>50.597415537871548</v>
      </c>
      <c r="BD41" s="555">
        <f t="shared" si="17"/>
        <v>7.6929927744514899</v>
      </c>
      <c r="BF41" s="558">
        <f t="shared" si="9"/>
        <v>1318.5043852606052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105142.09411764707</v>
      </c>
      <c r="I42" s="726">
        <v>289.64782443589183</v>
      </c>
      <c r="K42" s="625">
        <v>25.911319588871287</v>
      </c>
      <c r="M42" s="553">
        <f t="shared" si="11"/>
        <v>0</v>
      </c>
      <c r="O42" s="625">
        <v>0.67</v>
      </c>
      <c r="Q42" s="625">
        <v>-35.802845663214569</v>
      </c>
      <c r="S42" s="475">
        <f t="shared" si="0"/>
        <v>7285.3924340059793</v>
      </c>
      <c r="U42" s="475">
        <f t="shared" si="1"/>
        <v>4756.5215866323342</v>
      </c>
      <c r="W42" s="475">
        <f t="shared" si="2"/>
        <v>2528.8708473736451</v>
      </c>
      <c r="Y42" s="554">
        <f t="shared" si="3"/>
        <v>24.05193532234583</v>
      </c>
      <c r="Z42" s="516"/>
      <c r="AB42" s="423">
        <f>+IF(AB41&gt;$I$13+$I$14,XX,AB41+1)</f>
        <v>2023</v>
      </c>
      <c r="AC42" s="503"/>
      <c r="AD42" s="488">
        <f t="shared" si="4"/>
        <v>105142.09411764707</v>
      </c>
      <c r="AF42" s="555">
        <f t="shared" si="20"/>
        <v>108.71472116614163</v>
      </c>
      <c r="AH42" s="555">
        <f t="shared" si="21"/>
        <v>21.776030971810659</v>
      </c>
      <c r="AJ42" s="555">
        <f t="shared" si="22"/>
        <v>2.2222879175140227</v>
      </c>
      <c r="AL42" s="558">
        <f t="shared" si="15"/>
        <v>3185.3016347597841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si="19"/>
        <v>2.5077328607472791</v>
      </c>
      <c r="AS42" s="555"/>
      <c r="AT42" s="558">
        <f t="shared" si="6"/>
        <v>1836.4716486381851</v>
      </c>
      <c r="AV42" s="558">
        <f t="shared" si="7"/>
        <v>2920.0499379941489</v>
      </c>
      <c r="AW42" s="560"/>
      <c r="AX42" s="561">
        <f t="shared" si="8"/>
        <v>4756.5215866323342</v>
      </c>
      <c r="AZ42" s="430">
        <f>+IF(AZ41&gt;$I$13+$I$14,XX,AZ41+1)</f>
        <v>2023</v>
      </c>
      <c r="BA42" s="503"/>
      <c r="BB42" s="555">
        <f t="shared" si="16"/>
        <v>51.76115609524259</v>
      </c>
      <c r="BD42" s="555">
        <f t="shared" si="17"/>
        <v>7.8699316082638733</v>
      </c>
      <c r="BF42" s="558">
        <f t="shared" si="9"/>
        <v>1348.8299861215989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105139.09411764707</v>
      </c>
      <c r="I43" s="726">
        <v>295.96379935083297</v>
      </c>
      <c r="K43" s="625">
        <v>26.57990262418086</v>
      </c>
      <c r="M43" s="553">
        <f t="shared" si="11"/>
        <v>0</v>
      </c>
      <c r="O43" s="625">
        <v>0.69</v>
      </c>
      <c r="Q43" s="625">
        <v>-35.802845663214569</v>
      </c>
      <c r="S43" s="475">
        <f t="shared" si="0"/>
        <v>7537.8223802172533</v>
      </c>
      <c r="U43" s="475">
        <f t="shared" si="1"/>
        <v>5168.893342919002</v>
      </c>
      <c r="W43" s="475">
        <f t="shared" si="2"/>
        <v>2368.9290372982514</v>
      </c>
      <c r="Y43" s="554">
        <f t="shared" si="3"/>
        <v>22.53138147307509</v>
      </c>
      <c r="Z43" s="516"/>
      <c r="AB43" s="423">
        <f>+IF(AB42&gt;$I$13+$I$14,XX,AB42+1)</f>
        <v>2024</v>
      </c>
      <c r="AC43" s="503"/>
      <c r="AD43" s="488">
        <f t="shared" si="4"/>
        <v>105139.09411764707</v>
      </c>
      <c r="AF43" s="555">
        <f t="shared" si="20"/>
        <v>111.21515975296288</v>
      </c>
      <c r="AH43" s="555">
        <f t="shared" si="21"/>
        <v>22.276879684162303</v>
      </c>
      <c r="AJ43" s="555">
        <f t="shared" si="22"/>
        <v>2.2734005396168451</v>
      </c>
      <c r="AL43" s="558">
        <f t="shared" si="15"/>
        <v>3258.5567521576404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19"/>
        <v>2.5654107165444664</v>
      </c>
      <c r="AS43" s="555"/>
      <c r="AT43" s="558">
        <f t="shared" si="6"/>
        <v>1878.7036763552446</v>
      </c>
      <c r="AV43" s="558">
        <f t="shared" si="7"/>
        <v>3290.1896665637573</v>
      </c>
      <c r="AW43" s="560"/>
      <c r="AX43" s="561">
        <f t="shared" si="8"/>
        <v>5168.893342919002</v>
      </c>
      <c r="AZ43" s="430">
        <f>+IF(AZ42&gt;$I$13+$I$14,XX,AZ42+1)</f>
        <v>2024</v>
      </c>
      <c r="BA43" s="503"/>
      <c r="BB43" s="555">
        <f t="shared" si="16"/>
        <v>52.951662685433163</v>
      </c>
      <c r="BD43" s="555">
        <f t="shared" si="17"/>
        <v>8.0509400352539409</v>
      </c>
      <c r="BF43" s="558">
        <f t="shared" si="9"/>
        <v>1379.8530758023958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105142.09411764707</v>
      </c>
      <c r="I44" s="726">
        <v>302.41846911292305</v>
      </c>
      <c r="K44" s="625">
        <v>27.090440098082464</v>
      </c>
      <c r="M44" s="553">
        <f t="shared" si="11"/>
        <v>0</v>
      </c>
      <c r="O44" s="625">
        <v>0.69999999999999984</v>
      </c>
      <c r="Q44" s="625">
        <v>-37.12887698407436</v>
      </c>
      <c r="S44" s="475">
        <f t="shared" si="0"/>
        <v>7637.0635597396413</v>
      </c>
      <c r="U44" s="475">
        <f t="shared" si="1"/>
        <v>5336.7368189164463</v>
      </c>
      <c r="W44" s="475">
        <f t="shared" si="2"/>
        <v>2300.326740823195</v>
      </c>
      <c r="Y44" s="554">
        <f t="shared" si="3"/>
        <v>21.878266360657427</v>
      </c>
      <c r="Z44" s="516"/>
      <c r="AB44" s="423">
        <f>+IF(AB43&gt;$I$13+$I$14,XX,AB43+1)</f>
        <v>2025</v>
      </c>
      <c r="AC44" s="503"/>
      <c r="AD44" s="488">
        <f t="shared" si="4"/>
        <v>105142.09411764707</v>
      </c>
      <c r="AF44" s="555">
        <f t="shared" si="20"/>
        <v>113.77310842728102</v>
      </c>
      <c r="AH44" s="555">
        <f t="shared" si="21"/>
        <v>22.789247916898034</v>
      </c>
      <c r="AJ44" s="555">
        <f t="shared" si="22"/>
        <v>2.3256887520280323</v>
      </c>
      <c r="AL44" s="558">
        <f t="shared" si="15"/>
        <v>3333.5105345235215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19"/>
        <v>2.624415163024989</v>
      </c>
      <c r="AS44" s="555"/>
      <c r="AT44" s="558">
        <f t="shared" si="6"/>
        <v>1921.920837977671</v>
      </c>
      <c r="AV44" s="558">
        <f t="shared" si="7"/>
        <v>3414.8159809387757</v>
      </c>
      <c r="AW44" s="560"/>
      <c r="AX44" s="561">
        <f t="shared" si="8"/>
        <v>5336.7368189164463</v>
      </c>
      <c r="AZ44" s="430">
        <f>+IF(AZ43&gt;$I$13+$I$14,XX,AZ43+1)</f>
        <v>2025</v>
      </c>
      <c r="BA44" s="503"/>
      <c r="BB44" s="555">
        <f t="shared" si="16"/>
        <v>54.169550927198124</v>
      </c>
      <c r="BD44" s="555">
        <f t="shared" si="17"/>
        <v>8.2361116560647805</v>
      </c>
      <c r="BF44" s="558">
        <f t="shared" si="9"/>
        <v>1411.5896965458505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105142.09411764707</v>
      </c>
      <c r="I45" s="726">
        <v>309.01489882470457</v>
      </c>
      <c r="K45" s="625">
        <v>27.686429780240278</v>
      </c>
      <c r="M45" s="553">
        <f t="shared" si="11"/>
        <v>0</v>
      </c>
      <c r="O45" s="625">
        <v>0.72</v>
      </c>
      <c r="Q45" s="625">
        <v>-38.454908304934172</v>
      </c>
      <c r="S45" s="475">
        <f t="shared" si="0"/>
        <v>7750.4065417215597</v>
      </c>
      <c r="U45" s="475">
        <f t="shared" si="1"/>
        <v>5446.7462736850066</v>
      </c>
      <c r="W45" s="475">
        <f t="shared" si="2"/>
        <v>2303.6602680365531</v>
      </c>
      <c r="Y45" s="554">
        <f t="shared" si="3"/>
        <v>21.909971333259818</v>
      </c>
      <c r="Z45" s="516"/>
      <c r="AB45" s="423">
        <f>+IF(AB44&gt;$I$13+$I$14,XX,AB44+1)</f>
        <v>2026</v>
      </c>
      <c r="AC45" s="503"/>
      <c r="AD45" s="488">
        <f t="shared" si="4"/>
        <v>105142.09411764707</v>
      </c>
      <c r="AF45" s="555">
        <f t="shared" si="20"/>
        <v>116.38988992110846</v>
      </c>
      <c r="AH45" s="555">
        <f t="shared" si="21"/>
        <v>23.313400618986687</v>
      </c>
      <c r="AJ45" s="555">
        <f t="shared" si="22"/>
        <v>2.3791795933246767</v>
      </c>
      <c r="AL45" s="558">
        <f t="shared" si="15"/>
        <v>3410.1812768175619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19"/>
        <v>2.6847767117745636</v>
      </c>
      <c r="AS45" s="555"/>
      <c r="AT45" s="558">
        <f t="shared" si="6"/>
        <v>1966.1250172511568</v>
      </c>
      <c r="AV45" s="558">
        <f t="shared" si="7"/>
        <v>3480.6212564338493</v>
      </c>
      <c r="AW45" s="560"/>
      <c r="AX45" s="561">
        <f t="shared" si="8"/>
        <v>5446.7462736850066</v>
      </c>
      <c r="AZ45" s="430">
        <f>+IF(AZ44&gt;$I$13+$I$14,XX,AZ44+1)</f>
        <v>2026</v>
      </c>
      <c r="BA45" s="503"/>
      <c r="BB45" s="555">
        <f t="shared" si="16"/>
        <v>55.415450598523677</v>
      </c>
      <c r="BD45" s="555">
        <f t="shared" si="17"/>
        <v>8.4255422241542703</v>
      </c>
      <c r="BF45" s="558">
        <f t="shared" si="9"/>
        <v>1444.0562595664051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105142.09411764707</v>
      </c>
      <c r="I46" s="726">
        <v>315.75622171337864</v>
      </c>
      <c r="K46" s="625">
        <v>28.295531235405566</v>
      </c>
      <c r="M46" s="553">
        <f t="shared" si="11"/>
        <v>0</v>
      </c>
      <c r="O46" s="625">
        <v>0.74</v>
      </c>
      <c r="Q46" s="625">
        <v>-38.454908304934172</v>
      </c>
      <c r="S46" s="475">
        <f t="shared" si="0"/>
        <v>8008.6792884573078</v>
      </c>
      <c r="U46" s="475">
        <f t="shared" si="1"/>
        <v>5703.1024410118425</v>
      </c>
      <c r="W46" s="475">
        <f t="shared" si="2"/>
        <v>2305.5768474454653</v>
      </c>
      <c r="Y46" s="554">
        <f t="shared" si="3"/>
        <v>21.928199802313969</v>
      </c>
      <c r="Z46" s="516"/>
      <c r="AB46" s="423">
        <f>+IF(AB45&gt;$I$13+$I$14,XX,AB45+1)</f>
        <v>2027</v>
      </c>
      <c r="AC46" s="503"/>
      <c r="AD46" s="488">
        <f t="shared" si="4"/>
        <v>105142.09411764707</v>
      </c>
      <c r="AF46" s="555">
        <f t="shared" si="20"/>
        <v>118.95046749937285</v>
      </c>
      <c r="AH46" s="555">
        <f t="shared" si="21"/>
        <v>23.826295432604393</v>
      </c>
      <c r="AJ46" s="555">
        <f t="shared" si="22"/>
        <v>2.4315215443778198</v>
      </c>
      <c r="AL46" s="558">
        <f t="shared" si="15"/>
        <v>3485.2052649075481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19"/>
        <v>2.743841799433604</v>
      </c>
      <c r="AS46" s="555"/>
      <c r="AT46" s="558">
        <f t="shared" si="6"/>
        <v>2009.379767630682</v>
      </c>
      <c r="AV46" s="558">
        <f t="shared" si="7"/>
        <v>3693.7226733811608</v>
      </c>
      <c r="AW46" s="560"/>
      <c r="AX46" s="561">
        <f t="shared" si="8"/>
        <v>5703.1024410118425</v>
      </c>
      <c r="AZ46" s="430">
        <f>+IF(AZ45&gt;$I$13+$I$14,XX,AZ45+1)</f>
        <v>2027</v>
      </c>
      <c r="BA46" s="503"/>
      <c r="BB46" s="555">
        <f t="shared" si="16"/>
        <v>56.634590511691201</v>
      </c>
      <c r="BD46" s="555">
        <f t="shared" si="17"/>
        <v>8.6109041530856647</v>
      </c>
      <c r="BF46" s="558">
        <f t="shared" si="9"/>
        <v>1475.8254972768661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105139.09411764707</v>
      </c>
      <c r="I47" s="726">
        <v>322.42312797092609</v>
      </c>
      <c r="K47" s="625">
        <v>28.997260410043626</v>
      </c>
      <c r="M47" s="553">
        <f t="shared" si="11"/>
        <v>0</v>
      </c>
      <c r="O47" s="625">
        <v>0.75000000000000011</v>
      </c>
      <c r="Q47" s="625">
        <v>-39.78093962579397</v>
      </c>
      <c r="S47" s="475">
        <f t="shared" si="0"/>
        <v>8134.1272037603412</v>
      </c>
      <c r="U47" s="475">
        <f t="shared" si="1"/>
        <v>5872.9405286165256</v>
      </c>
      <c r="W47" s="475">
        <f t="shared" si="2"/>
        <v>2261.1866751438156</v>
      </c>
      <c r="Y47" s="554">
        <f t="shared" si="3"/>
        <v>21.506621244174166</v>
      </c>
      <c r="Z47" s="516"/>
      <c r="AB47" s="423">
        <f>+IF(AB46&gt;$I$13+$I$14,XX,AB46+1)</f>
        <v>2028</v>
      </c>
      <c r="AC47" s="503"/>
      <c r="AD47" s="488">
        <f t="shared" si="4"/>
        <v>105139.09411764707</v>
      </c>
      <c r="AF47" s="555">
        <f t="shared" si="20"/>
        <v>121.56737778435905</v>
      </c>
      <c r="AH47" s="555">
        <f t="shared" si="21"/>
        <v>24.350473932121691</v>
      </c>
      <c r="AJ47" s="555">
        <f t="shared" si="22"/>
        <v>2.4850150183541317</v>
      </c>
      <c r="AL47" s="558">
        <f t="shared" si="15"/>
        <v>3561.87232569046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19"/>
        <v>2.8042063190211435</v>
      </c>
      <c r="AS47" s="555"/>
      <c r="AT47" s="558">
        <f t="shared" si="6"/>
        <v>2053.5786674735027</v>
      </c>
      <c r="AV47" s="558">
        <f t="shared" si="7"/>
        <v>3819.3618611430225</v>
      </c>
      <c r="AW47" s="560"/>
      <c r="AX47" s="561">
        <f t="shared" si="8"/>
        <v>5872.9405286165256</v>
      </c>
      <c r="AZ47" s="430">
        <f>+IF(AZ46&gt;$I$13+$I$14,XX,AZ46+1)</f>
        <v>2028</v>
      </c>
      <c r="BA47" s="503"/>
      <c r="BB47" s="555">
        <f t="shared" si="16"/>
        <v>57.880551502948407</v>
      </c>
      <c r="BD47" s="555">
        <f t="shared" si="17"/>
        <v>8.8003440444535492</v>
      </c>
      <c r="BF47" s="558">
        <f t="shared" si="9"/>
        <v>1508.2936582169573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105142.09411764707</v>
      </c>
      <c r="I48" s="726">
        <v>329.23139128435696</v>
      </c>
      <c r="K48" s="625">
        <v>29.52531161395876</v>
      </c>
      <c r="M48" s="553">
        <f t="shared" si="11"/>
        <v>0</v>
      </c>
      <c r="O48" s="625">
        <v>0.76999999999999991</v>
      </c>
      <c r="Q48" s="625">
        <v>-39.78093962579397</v>
      </c>
      <c r="S48" s="475">
        <f t="shared" si="0"/>
        <v>8385.7558584188064</v>
      </c>
      <c r="U48" s="475">
        <f t="shared" si="1"/>
        <v>6032.1071293066307</v>
      </c>
      <c r="W48" s="475">
        <f t="shared" si="2"/>
        <v>2353.6487291121757</v>
      </c>
      <c r="Y48" s="554">
        <f t="shared" si="3"/>
        <v>22.38540851657946</v>
      </c>
      <c r="Z48" s="516"/>
      <c r="AB48" s="423">
        <f>+IF(AB47&gt;$I$13+$I$14,XX,AB47+1)</f>
        <v>2029</v>
      </c>
      <c r="AC48" s="503"/>
      <c r="AD48" s="488">
        <f t="shared" si="4"/>
        <v>105142.09411764707</v>
      </c>
      <c r="AF48" s="555">
        <f t="shared" si="20"/>
        <v>124.24186009561495</v>
      </c>
      <c r="AH48" s="555">
        <f t="shared" si="21"/>
        <v>24.88618435862837</v>
      </c>
      <c r="AJ48" s="555">
        <f t="shared" si="22"/>
        <v>2.5396853487579225</v>
      </c>
      <c r="AL48" s="558">
        <f t="shared" si="15"/>
        <v>3640.241135911695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19"/>
        <v>2.8658988580396088</v>
      </c>
      <c r="AS48" s="555"/>
      <c r="AT48" s="558">
        <f t="shared" si="6"/>
        <v>2098.7650172139647</v>
      </c>
      <c r="AV48" s="558">
        <f t="shared" si="7"/>
        <v>3933.342112092666</v>
      </c>
      <c r="AW48" s="560"/>
      <c r="AX48" s="561">
        <f t="shared" si="8"/>
        <v>6032.1071293066307</v>
      </c>
      <c r="AZ48" s="430">
        <f>+IF(AZ47&gt;$I$13+$I$14,XX,AZ47+1)</f>
        <v>2029</v>
      </c>
      <c r="BA48" s="503"/>
      <c r="BB48" s="555">
        <f t="shared" si="16"/>
        <v>59.153923636013275</v>
      </c>
      <c r="BD48" s="555">
        <f t="shared" si="17"/>
        <v>8.9939516134315269</v>
      </c>
      <c r="BF48" s="558">
        <f t="shared" si="9"/>
        <v>1541.4761186977305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105142.09411764707</v>
      </c>
      <c r="I49" s="726">
        <v>336.18402052614653</v>
      </c>
      <c r="K49" s="625">
        <v>30.174868469465856</v>
      </c>
      <c r="M49" s="553">
        <f t="shared" si="11"/>
        <v>0</v>
      </c>
      <c r="O49" s="625">
        <v>0.78</v>
      </c>
      <c r="Q49" s="625">
        <v>0</v>
      </c>
      <c r="S49" s="475">
        <f t="shared" si="0"/>
        <v>12835.904279011142</v>
      </c>
      <c r="U49" s="475">
        <f t="shared" si="1"/>
        <v>6312.8475624377679</v>
      </c>
      <c r="W49" s="475">
        <f t="shared" si="2"/>
        <v>6523.0567165733737</v>
      </c>
      <c r="Y49" s="554">
        <f t="shared" si="3"/>
        <v>62.040391827030795</v>
      </c>
      <c r="Z49" s="516"/>
      <c r="AB49" s="423">
        <f>+IF(AB48&gt;$I$13+$I$14,XX,AB48+1)</f>
        <v>2030</v>
      </c>
      <c r="AC49" s="503"/>
      <c r="AD49" s="488">
        <f t="shared" si="4"/>
        <v>105142.09411764707</v>
      </c>
      <c r="AF49" s="555">
        <f t="shared" si="20"/>
        <v>126.97518101771848</v>
      </c>
      <c r="AH49" s="555">
        <f t="shared" si="21"/>
        <v>25.433680414518193</v>
      </c>
      <c r="AJ49" s="555">
        <f t="shared" si="22"/>
        <v>2.5955584264305966</v>
      </c>
      <c r="AL49" s="558">
        <f t="shared" si="15"/>
        <v>3720.3264409017534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19"/>
        <v>2.9289486329164802</v>
      </c>
      <c r="AS49" s="555"/>
      <c r="AT49" s="558">
        <f t="shared" si="6"/>
        <v>2144.9378475926728</v>
      </c>
      <c r="AV49" s="558">
        <f t="shared" si="7"/>
        <v>4167.9097148450946</v>
      </c>
      <c r="AW49" s="560"/>
      <c r="AX49" s="561">
        <f t="shared" si="8"/>
        <v>6312.8475624377679</v>
      </c>
      <c r="AZ49" s="430">
        <f>+IF(AZ48&gt;$I$13+$I$14,XX,AZ48+1)</f>
        <v>2030</v>
      </c>
      <c r="BA49" s="503"/>
      <c r="BB49" s="555">
        <f t="shared" si="16"/>
        <v>60.455309956005571</v>
      </c>
      <c r="BD49" s="555">
        <f t="shared" si="17"/>
        <v>9.1918185489270208</v>
      </c>
      <c r="BF49" s="558">
        <f t="shared" si="9"/>
        <v>1575.3885933090805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105142.09411764707</v>
      </c>
      <c r="I50" s="726">
        <v>343.28408884529262</v>
      </c>
      <c r="K50" s="625">
        <v>30.838715575794104</v>
      </c>
      <c r="M50" s="553">
        <f t="shared" si="11"/>
        <v>0</v>
      </c>
      <c r="O50" s="625">
        <v>0.8</v>
      </c>
      <c r="Q50" s="625">
        <v>0</v>
      </c>
      <c r="S50" s="475">
        <f t="shared" si="0"/>
        <v>13110.15734292245</v>
      </c>
      <c r="U50" s="475">
        <f t="shared" si="1"/>
        <v>6471.7417738807371</v>
      </c>
      <c r="W50" s="475">
        <f t="shared" si="2"/>
        <v>6638.4155690417128</v>
      </c>
      <c r="Y50" s="554">
        <f t="shared" si="3"/>
        <v>63.137562788256474</v>
      </c>
      <c r="Z50" s="516"/>
      <c r="AB50" s="423">
        <f>+IF(AB49&gt;$I$13+$I$14,XX,AB49+1)</f>
        <v>2031</v>
      </c>
      <c r="AC50" s="503"/>
      <c r="AD50" s="488">
        <f t="shared" si="4"/>
        <v>105142.09411764707</v>
      </c>
      <c r="AF50" s="555">
        <f t="shared" si="20"/>
        <v>129.7686350001083</v>
      </c>
      <c r="AH50" s="555">
        <f t="shared" si="21"/>
        <v>25.993221383637593</v>
      </c>
      <c r="AJ50" s="555">
        <f t="shared" si="22"/>
        <v>2.6526607118120697</v>
      </c>
      <c r="AL50" s="558">
        <f t="shared" si="15"/>
        <v>3802.1736226015923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19"/>
        <v>2.9933855028406429</v>
      </c>
      <c r="AS50" s="555"/>
      <c r="AT50" s="558">
        <f t="shared" si="6"/>
        <v>2192.1264802397118</v>
      </c>
      <c r="AV50" s="558">
        <f t="shared" si="7"/>
        <v>4279.6152936410253</v>
      </c>
      <c r="AW50" s="560"/>
      <c r="AX50" s="561">
        <f t="shared" si="8"/>
        <v>6471.7417738807371</v>
      </c>
      <c r="AZ50" s="430">
        <f>+IF(AZ49&gt;$I$13+$I$14,XX,AZ49+1)</f>
        <v>2031</v>
      </c>
      <c r="BA50" s="503"/>
      <c r="BB50" s="555">
        <f t="shared" si="16"/>
        <v>61.785326775037696</v>
      </c>
      <c r="BD50" s="555">
        <f t="shared" si="17"/>
        <v>9.3940385570034159</v>
      </c>
      <c r="BF50" s="558">
        <f t="shared" si="9"/>
        <v>1610.0471423618803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105139.09411764707</v>
      </c>
      <c r="I51" s="726">
        <v>350.53473504494383</v>
      </c>
      <c r="K51" s="625">
        <v>31.603515722073809</v>
      </c>
      <c r="M51" s="553">
        <f t="shared" si="11"/>
        <v>0</v>
      </c>
      <c r="O51" s="625">
        <v>0.82</v>
      </c>
      <c r="Q51" s="625">
        <v>0</v>
      </c>
      <c r="S51" s="475">
        <f t="shared" si="0"/>
        <v>13399.219019909027</v>
      </c>
      <c r="U51" s="475">
        <f t="shared" si="1"/>
        <v>6635.8596067844974</v>
      </c>
      <c r="W51" s="475">
        <f t="shared" si="2"/>
        <v>6763.35941312453</v>
      </c>
      <c r="Y51" s="554">
        <f t="shared" si="3"/>
        <v>64.327731467388915</v>
      </c>
      <c r="Z51" s="516"/>
      <c r="AB51" s="423">
        <f>+IF(AB50&gt;$I$13+$I$14,XX,AB50+1)</f>
        <v>2032</v>
      </c>
      <c r="AC51" s="503"/>
      <c r="AD51" s="488">
        <f t="shared" si="4"/>
        <v>105139.09411764707</v>
      </c>
      <c r="AF51" s="555">
        <f t="shared" si="20"/>
        <v>132.62354497011069</v>
      </c>
      <c r="AH51" s="555">
        <f t="shared" si="21"/>
        <v>26.56507225407762</v>
      </c>
      <c r="AJ51" s="555">
        <f t="shared" si="22"/>
        <v>2.7110192474719352</v>
      </c>
      <c r="AL51" s="558">
        <f t="shared" si="15"/>
        <v>3885.8133092410844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19"/>
        <v>3.059239983903137</v>
      </c>
      <c r="AS51" s="555"/>
      <c r="AT51" s="558">
        <f t="shared" si="6"/>
        <v>2240.3451297472429</v>
      </c>
      <c r="AV51" s="558">
        <f t="shared" si="7"/>
        <v>4395.5144770372544</v>
      </c>
      <c r="AW51" s="560"/>
      <c r="AX51" s="561">
        <f t="shared" si="8"/>
        <v>6635.8596067844974</v>
      </c>
      <c r="AZ51" s="430">
        <f>+IF(AZ50&gt;$I$13+$I$14,XX,AZ50+1)</f>
        <v>2032</v>
      </c>
      <c r="BA51" s="503"/>
      <c r="BB51" s="555">
        <f t="shared" si="16"/>
        <v>63.144603964088525</v>
      </c>
      <c r="BD51" s="555">
        <f t="shared" si="17"/>
        <v>9.6007074052574914</v>
      </c>
      <c r="BF51" s="558">
        <f t="shared" si="9"/>
        <v>1645.4681794938415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105142.09411764707</v>
      </c>
      <c r="I52" s="726">
        <v>357.93916498964336</v>
      </c>
      <c r="K52" s="625">
        <v>32.210544999467736</v>
      </c>
      <c r="M52" s="553">
        <f t="shared" si="11"/>
        <v>0</v>
      </c>
      <c r="O52" s="625">
        <v>0.84000000000000008</v>
      </c>
      <c r="Q52" s="625">
        <v>0</v>
      </c>
      <c r="S52" s="475">
        <f t="shared" si="0"/>
        <v>13676.2697151784</v>
      </c>
      <c r="U52" s="475">
        <f t="shared" si="1"/>
        <v>6833.0446218050129</v>
      </c>
      <c r="W52" s="475">
        <f t="shared" si="2"/>
        <v>6843.2250933733867</v>
      </c>
      <c r="Y52" s="554">
        <f t="shared" si="3"/>
        <v>65.085493596087872</v>
      </c>
      <c r="Z52" s="516"/>
      <c r="AB52" s="423">
        <f>+IF(AB51&gt;$I$13+$I$14,XX,AB51+1)</f>
        <v>2033</v>
      </c>
      <c r="AC52" s="503"/>
      <c r="AD52" s="488">
        <f t="shared" si="4"/>
        <v>105142.09411764707</v>
      </c>
      <c r="AF52" s="555">
        <f t="shared" si="20"/>
        <v>135.54126295945312</v>
      </c>
      <c r="AH52" s="555">
        <f t="shared" si="21"/>
        <v>27.149503843667329</v>
      </c>
      <c r="AJ52" s="555">
        <f t="shared" si="22"/>
        <v>2.7706616709163177</v>
      </c>
      <c r="AL52" s="558">
        <f t="shared" si="15"/>
        <v>3971.3095140294013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19"/>
        <v>3.126543263549006</v>
      </c>
      <c r="AS52" s="555"/>
      <c r="AT52" s="558">
        <f t="shared" si="6"/>
        <v>2289.6410345866952</v>
      </c>
      <c r="AV52" s="558">
        <f t="shared" si="7"/>
        <v>4543.4035872183176</v>
      </c>
      <c r="AW52" s="560"/>
      <c r="AX52" s="561">
        <f t="shared" si="8"/>
        <v>6833.0446218050129</v>
      </c>
      <c r="AZ52" s="430">
        <f>+IF(AZ51&gt;$I$13+$I$14,XX,AZ51+1)</f>
        <v>2033</v>
      </c>
      <c r="BA52" s="503"/>
      <c r="BB52" s="555">
        <f t="shared" si="16"/>
        <v>64.533785251298468</v>
      </c>
      <c r="BD52" s="555">
        <f t="shared" si="17"/>
        <v>9.8119229681731568</v>
      </c>
      <c r="BF52" s="558">
        <f t="shared" si="9"/>
        <v>1681.6684794427058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105142.09411764707</v>
      </c>
      <c r="I53" s="726">
        <v>106.37462484796859</v>
      </c>
      <c r="K53" s="625">
        <v>32.919176989456034</v>
      </c>
      <c r="M53" s="553">
        <f t="shared" si="11"/>
        <v>0</v>
      </c>
      <c r="O53" s="625">
        <v>0.85999999999999988</v>
      </c>
      <c r="Q53" s="625">
        <v>0</v>
      </c>
      <c r="S53" s="475">
        <f t="shared" si="0"/>
        <v>6583.2902144091486</v>
      </c>
      <c r="U53" s="475">
        <f t="shared" si="1"/>
        <v>7021.6337440621282</v>
      </c>
      <c r="W53" s="475">
        <f t="shared" si="2"/>
        <v>-438.34352965297967</v>
      </c>
      <c r="Y53" s="554">
        <f t="shared" si="3"/>
        <v>-4.169058390281843</v>
      </c>
      <c r="Z53" s="516"/>
      <c r="AB53" s="423">
        <f>+IF(AB52&gt;$I$13+$I$14,XX,AB52+1)</f>
        <v>2034</v>
      </c>
      <c r="AC53" s="503"/>
      <c r="AD53" s="488">
        <f t="shared" si="4"/>
        <v>105142.09411764707</v>
      </c>
      <c r="AF53" s="555">
        <f t="shared" si="20"/>
        <v>138.5231707445611</v>
      </c>
      <c r="AH53" s="555">
        <f t="shared" si="21"/>
        <v>27.746792928228011</v>
      </c>
      <c r="AJ53" s="555">
        <f t="shared" si="22"/>
        <v>2.8316162276764767</v>
      </c>
      <c r="AL53" s="558">
        <f t="shared" si="15"/>
        <v>4058.6783233380484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19"/>
        <v>3.1953272153470844</v>
      </c>
      <c r="AS53" s="555"/>
      <c r="AT53" s="558">
        <f t="shared" si="6"/>
        <v>2340.0131373476024</v>
      </c>
      <c r="AV53" s="558">
        <f t="shared" si="7"/>
        <v>4681.6206067145258</v>
      </c>
      <c r="AW53" s="560"/>
      <c r="AX53" s="561">
        <f t="shared" si="8"/>
        <v>7021.6337440621282</v>
      </c>
      <c r="AZ53" s="430">
        <f>+IF(AZ52&gt;$I$13+$I$14,XX,AZ52+1)</f>
        <v>2034</v>
      </c>
      <c r="BA53" s="503"/>
      <c r="BB53" s="555">
        <f t="shared" si="16"/>
        <v>65.953528526827043</v>
      </c>
      <c r="BD53" s="555">
        <f t="shared" si="17"/>
        <v>10.027785273472967</v>
      </c>
      <c r="BF53" s="558">
        <f t="shared" si="9"/>
        <v>1718.6651859904459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105142.09411764707</v>
      </c>
      <c r="I54" s="726">
        <v>108.39574272008001</v>
      </c>
      <c r="K54" s="625">
        <v>33.643398883224059</v>
      </c>
      <c r="M54" s="553">
        <f t="shared" si="11"/>
        <v>0</v>
      </c>
      <c r="O54" s="625">
        <v>0.86999999999999988</v>
      </c>
      <c r="Q54" s="625">
        <v>0</v>
      </c>
      <c r="S54" s="475">
        <f t="shared" si="0"/>
        <v>6718.0897012221185</v>
      </c>
      <c r="U54" s="475">
        <f t="shared" si="1"/>
        <v>7200.9856439262758</v>
      </c>
      <c r="W54" s="475">
        <f t="shared" si="2"/>
        <v>-482.89594270415728</v>
      </c>
      <c r="Y54" s="554">
        <f t="shared" si="3"/>
        <v>-4.592793654688184</v>
      </c>
      <c r="Z54" s="516"/>
      <c r="AB54" s="423">
        <f>+IF(AB53&gt;$I$13+$I$14,XX,AB53+1)</f>
        <v>2035</v>
      </c>
      <c r="AC54" s="503"/>
      <c r="AD54" s="488">
        <f t="shared" si="4"/>
        <v>105142.09411764707</v>
      </c>
      <c r="AF54" s="555">
        <f t="shared" si="20"/>
        <v>141.57068050094145</v>
      </c>
      <c r="AH54" s="555">
        <f t="shared" si="21"/>
        <v>28.357222372649026</v>
      </c>
      <c r="AJ54" s="555">
        <f t="shared" si="22"/>
        <v>2.893911784685359</v>
      </c>
      <c r="AL54" s="558">
        <f t="shared" si="15"/>
        <v>4147.9692464514856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19"/>
        <v>3.2656244140847202</v>
      </c>
      <c r="AS54" s="555"/>
      <c r="AT54" s="558">
        <f t="shared" si="6"/>
        <v>2391.4934263692503</v>
      </c>
      <c r="AV54" s="558">
        <f t="shared" si="7"/>
        <v>4809.4922175570255</v>
      </c>
      <c r="AW54" s="560"/>
      <c r="AX54" s="561">
        <f t="shared" si="8"/>
        <v>7200.9856439262758</v>
      </c>
      <c r="AZ54" s="430">
        <f>+IF(AZ53&gt;$I$13+$I$14,XX,AZ53+1)</f>
        <v>2035</v>
      </c>
      <c r="BA54" s="503"/>
      <c r="BB54" s="555">
        <f t="shared" si="16"/>
        <v>67.404506154417234</v>
      </c>
      <c r="BD54" s="555">
        <f t="shared" si="17"/>
        <v>10.248396549489373</v>
      </c>
      <c r="BF54" s="558">
        <f t="shared" si="9"/>
        <v>1756.4758200822355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105139.09411764707</v>
      </c>
      <c r="I55" s="726">
        <v>110.4552618317615</v>
      </c>
      <c r="K55" s="625">
        <v>34.477755175528017</v>
      </c>
      <c r="M55" s="553">
        <f t="shared" si="11"/>
        <v>0</v>
      </c>
      <c r="O55" s="625">
        <v>0.89000000000000024</v>
      </c>
      <c r="Q55" s="625">
        <v>0</v>
      </c>
      <c r="S55" s="475">
        <f t="shared" si="0"/>
        <v>6866.5087023349424</v>
      </c>
      <c r="U55" s="475">
        <f t="shared" si="1"/>
        <v>7433.4692765483624</v>
      </c>
      <c r="W55" s="475">
        <f t="shared" si="2"/>
        <v>-566.96057421341993</v>
      </c>
      <c r="Y55" s="554">
        <f t="shared" si="3"/>
        <v>-5.3924810649310935</v>
      </c>
      <c r="Z55" s="516"/>
      <c r="AB55" s="423">
        <f>+IF(AB54&gt;$I$13+$I$14,XX,AB54+1)</f>
        <v>2036</v>
      </c>
      <c r="AC55" s="503"/>
      <c r="AD55" s="488">
        <f t="shared" si="4"/>
        <v>105139.09411764707</v>
      </c>
      <c r="AF55" s="555">
        <f t="shared" si="20"/>
        <v>144.68523547196216</v>
      </c>
      <c r="AH55" s="555">
        <f t="shared" si="21"/>
        <v>28.981081264847305</v>
      </c>
      <c r="AJ55" s="555">
        <f t="shared" si="22"/>
        <v>2.957577843948437</v>
      </c>
      <c r="AL55" s="558">
        <f t="shared" si="15"/>
        <v>4239.2156971398863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19"/>
        <v>3.3374681511945838</v>
      </c>
      <c r="AS55" s="555"/>
      <c r="AT55" s="558">
        <f t="shared" si="6"/>
        <v>2444.0974090158415</v>
      </c>
      <c r="AV55" s="558">
        <f t="shared" si="7"/>
        <v>4989.3718675325208</v>
      </c>
      <c r="AW55" s="560"/>
      <c r="AX55" s="561">
        <f t="shared" si="8"/>
        <v>7433.4692765483624</v>
      </c>
      <c r="AZ55" s="430">
        <f>+IF(AZ54&gt;$I$13+$I$14,XX,AZ54+1)</f>
        <v>2036</v>
      </c>
      <c r="BA55" s="503"/>
      <c r="BB55" s="555">
        <f t="shared" si="16"/>
        <v>68.88740528981441</v>
      </c>
      <c r="BD55" s="555">
        <f t="shared" si="17"/>
        <v>10.473861273578139</v>
      </c>
      <c r="BF55" s="558">
        <f t="shared" si="9"/>
        <v>1795.1182881240445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105139.09411764707</v>
      </c>
      <c r="I56" s="726">
        <v>112.55391180656497</v>
      </c>
      <c r="K56" s="625">
        <v>35.139991839145388</v>
      </c>
      <c r="M56" s="553">
        <f t="shared" si="11"/>
        <v>0</v>
      </c>
      <c r="O56" s="625">
        <v>0.91000000000000025</v>
      </c>
      <c r="Q56" s="625">
        <v>0</v>
      </c>
      <c r="S56" s="475">
        <f t="shared" si="0"/>
        <v>6998.0499714034177</v>
      </c>
      <c r="U56" s="475">
        <f t="shared" si="1"/>
        <v>7623.5307740255412</v>
      </c>
      <c r="W56" s="475">
        <f t="shared" si="2"/>
        <v>-625.48080262212352</v>
      </c>
      <c r="Y56" s="554">
        <f t="shared" si="3"/>
        <v>-5.9490792447025633</v>
      </c>
      <c r="Z56" s="516"/>
      <c r="AB56" s="423">
        <f>+IF(AB55&gt;$I$13+$I$14,XX,AB55+1)</f>
        <v>2037</v>
      </c>
      <c r="AC56" s="503"/>
      <c r="AD56" s="488">
        <f t="shared" si="4"/>
        <v>105139.09411764707</v>
      </c>
      <c r="AF56" s="555">
        <f t="shared" si="20"/>
        <v>147.86831065234534</v>
      </c>
      <c r="AH56" s="555">
        <f t="shared" si="21"/>
        <v>29.618665052673947</v>
      </c>
      <c r="AJ56" s="555">
        <f t="shared" si="22"/>
        <v>3.0226445565153028</v>
      </c>
      <c r="AL56" s="558">
        <f t="shared" si="15"/>
        <v>4332.4784424769641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19"/>
        <v>3.4108924505208646</v>
      </c>
      <c r="AS56" s="555"/>
      <c r="AT56" s="558">
        <f t="shared" si="6"/>
        <v>2497.8675520141906</v>
      </c>
      <c r="AV56" s="558">
        <f t="shared" si="7"/>
        <v>5125.6632220113506</v>
      </c>
      <c r="AW56" s="560"/>
      <c r="AX56" s="561">
        <f t="shared" si="8"/>
        <v>7623.5307740255412</v>
      </c>
      <c r="AZ56" s="430">
        <f>+IF(AZ55&gt;$I$13+$I$14,XX,AZ55+1)</f>
        <v>2037</v>
      </c>
      <c r="BA56" s="503"/>
      <c r="BB56" s="555">
        <f t="shared" si="16"/>
        <v>70.402928206190325</v>
      </c>
      <c r="BD56" s="555">
        <f t="shared" si="17"/>
        <v>10.704286221596858</v>
      </c>
      <c r="BF56" s="558">
        <f t="shared" si="9"/>
        <v>1834.6108904627736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105139.09411764707</v>
      </c>
      <c r="I57" s="726">
        <v>114.6924361308897</v>
      </c>
      <c r="K57" s="625">
        <v>35.948211651445732</v>
      </c>
      <c r="M57" s="553">
        <f t="shared" si="11"/>
        <v>0</v>
      </c>
      <c r="O57" s="625">
        <v>0.92999999999999994</v>
      </c>
      <c r="Q57" s="625">
        <v>0</v>
      </c>
      <c r="S57" s="475">
        <f t="shared" si="0"/>
        <v>7146.0761954422187</v>
      </c>
      <c r="U57" s="475">
        <f t="shared" si="1"/>
        <v>7931.1025674912835</v>
      </c>
      <c r="W57" s="475">
        <f t="shared" si="2"/>
        <v>-785.02637204906478</v>
      </c>
      <c r="Y57" s="554">
        <f t="shared" si="3"/>
        <v>-7.4665506549889704</v>
      </c>
      <c r="Z57" s="516"/>
      <c r="AB57" s="423">
        <f>+IF(AB56&gt;$I$13+$I$14,XX,AB56+1)</f>
        <v>2038</v>
      </c>
      <c r="AC57" s="503"/>
      <c r="AD57" s="488">
        <f t="shared" si="4"/>
        <v>105139.09411764707</v>
      </c>
      <c r="AF57" s="555">
        <f t="shared" si="20"/>
        <v>151.12141348669695</v>
      </c>
      <c r="AH57" s="555">
        <f t="shared" si="21"/>
        <v>30.270275683832775</v>
      </c>
      <c r="AJ57" s="555">
        <f t="shared" si="22"/>
        <v>3.0891427367586397</v>
      </c>
      <c r="AL57" s="558">
        <f t="shared" si="15"/>
        <v>4427.7929682114582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19"/>
        <v>3.4859320844323238</v>
      </c>
      <c r="AS57" s="555"/>
      <c r="AT57" s="558">
        <f t="shared" si="6"/>
        <v>2552.8206381585032</v>
      </c>
      <c r="AV57" s="558">
        <f t="shared" si="7"/>
        <v>5378.2819293327802</v>
      </c>
      <c r="AW57" s="560"/>
      <c r="AX57" s="561">
        <f t="shared" si="8"/>
        <v>7931.1025674912835</v>
      </c>
      <c r="AZ57" s="430">
        <f>+IF(AZ56&gt;$I$13+$I$14,XX,AZ56+1)</f>
        <v>2038</v>
      </c>
      <c r="BA57" s="503"/>
      <c r="BB57" s="555">
        <f t="shared" si="16"/>
        <v>71.951792626726515</v>
      </c>
      <c r="BD57" s="555">
        <f t="shared" si="17"/>
        <v>10.93978051847199</v>
      </c>
      <c r="BF57" s="558">
        <f t="shared" si="9"/>
        <v>1874.9723300529547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105139.09411764707</v>
      </c>
      <c r="I58" s="726">
        <v>116.87159241737659</v>
      </c>
      <c r="K58" s="625">
        <v>36.775020519428978</v>
      </c>
      <c r="M58" s="553">
        <f t="shared" si="11"/>
        <v>0</v>
      </c>
      <c r="O58" s="625">
        <v>0.95999999999999985</v>
      </c>
      <c r="Q58" s="625">
        <v>0</v>
      </c>
      <c r="S58" s="475">
        <f t="shared" si="0"/>
        <v>7298.2662578188201</v>
      </c>
      <c r="U58" s="475">
        <f t="shared" si="1"/>
        <v>8157.1659122287392</v>
      </c>
      <c r="W58" s="475">
        <f t="shared" si="2"/>
        <v>-858.89965440991909</v>
      </c>
      <c r="Y58" s="554">
        <f t="shared" si="3"/>
        <v>-8.1691749545496322</v>
      </c>
      <c r="Z58" s="516"/>
      <c r="AB58" s="423">
        <f>+IF(AB57&gt;$I$13+$I$14,XX,AB57+1)</f>
        <v>2039</v>
      </c>
      <c r="AC58" s="503"/>
      <c r="AD58" s="488">
        <f t="shared" si="4"/>
        <v>105139.09411764707</v>
      </c>
      <c r="AF58" s="555">
        <f t="shared" si="20"/>
        <v>154.44608458340429</v>
      </c>
      <c r="AH58" s="555">
        <f t="shared" si="21"/>
        <v>30.936221748877095</v>
      </c>
      <c r="AJ58" s="555">
        <f t="shared" si="22"/>
        <v>3.1571038769673296</v>
      </c>
      <c r="AL58" s="558">
        <f t="shared" si="15"/>
        <v>4525.2044135121096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19"/>
        <v>3.562622590289835</v>
      </c>
      <c r="AS58" s="555"/>
      <c r="AT58" s="558">
        <f t="shared" si="6"/>
        <v>2608.9826921979902</v>
      </c>
      <c r="AV58" s="558">
        <f t="shared" si="7"/>
        <v>5548.183220030749</v>
      </c>
      <c r="AW58" s="560"/>
      <c r="AX58" s="561">
        <f t="shared" si="8"/>
        <v>8157.1659122287392</v>
      </c>
      <c r="AZ58" s="430">
        <f>+IF(AZ57&gt;$I$13+$I$14,XX,AZ57+1)</f>
        <v>2039</v>
      </c>
      <c r="BA58" s="503"/>
      <c r="BB58" s="555">
        <f t="shared" si="16"/>
        <v>73.5347320645145</v>
      </c>
      <c r="BD58" s="555">
        <f t="shared" si="17"/>
        <v>11.180455689878373</v>
      </c>
      <c r="BF58" s="558">
        <f t="shared" si="9"/>
        <v>1916.2217213141196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105139.09411764707</v>
      </c>
      <c r="I59" s="726">
        <v>119.09215267330676</v>
      </c>
      <c r="K59" s="625">
        <v>37.723916802311123</v>
      </c>
      <c r="M59" s="553">
        <f t="shared" si="11"/>
        <v>0</v>
      </c>
      <c r="O59" s="625">
        <v>0.9800000000000002</v>
      </c>
      <c r="Q59" s="625">
        <v>0</v>
      </c>
      <c r="S59" s="475">
        <f t="shared" si="0"/>
        <v>7463.4211025890127</v>
      </c>
      <c r="U59" s="475">
        <f t="shared" si="1"/>
        <v>8454.6830435001066</v>
      </c>
      <c r="W59" s="475">
        <f t="shared" si="2"/>
        <v>-991.26194091109392</v>
      </c>
      <c r="Y59" s="554">
        <f t="shared" si="3"/>
        <v>-9.4281004533090762</v>
      </c>
      <c r="Z59" s="516"/>
      <c r="AB59" s="423">
        <f>+IF(AB58&gt;$I$13+$I$14,XX,AB58+1)</f>
        <v>2040</v>
      </c>
      <c r="AC59" s="503"/>
      <c r="AD59" s="488">
        <f t="shared" si="4"/>
        <v>105139.09411764707</v>
      </c>
      <c r="AF59" s="555">
        <f t="shared" si="20"/>
        <v>157.84389844423919</v>
      </c>
      <c r="AH59" s="555">
        <f t="shared" si="21"/>
        <v>31.616818627352391</v>
      </c>
      <c r="AJ59" s="555">
        <f t="shared" si="22"/>
        <v>3.2265601622606108</v>
      </c>
      <c r="AL59" s="558">
        <f t="shared" si="15"/>
        <v>4624.7589106093756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19"/>
        <v>3.6410002872762113</v>
      </c>
      <c r="AS59" s="555"/>
      <c r="AT59" s="558">
        <f t="shared" si="6"/>
        <v>2666.3803114263451</v>
      </c>
      <c r="AV59" s="558">
        <f t="shared" si="7"/>
        <v>5788.3027320737619</v>
      </c>
      <c r="AW59" s="560"/>
      <c r="AX59" s="561">
        <f t="shared" si="8"/>
        <v>8454.6830435001066</v>
      </c>
      <c r="AZ59" s="430">
        <f>+IF(AZ58&gt;$I$13+$I$14,XX,AZ58+1)</f>
        <v>2040</v>
      </c>
      <c r="BA59" s="503"/>
      <c r="BB59" s="555">
        <f t="shared" si="16"/>
        <v>75.152496169933826</v>
      </c>
      <c r="BD59" s="555">
        <f t="shared" si="17"/>
        <v>11.426425715055698</v>
      </c>
      <c r="BF59" s="558">
        <f t="shared" si="9"/>
        <v>1958.3785991830305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105139.09411764707</v>
      </c>
      <c r="I60" s="726">
        <v>121.35490357409958</v>
      </c>
      <c r="K60" s="625">
        <v>38.486125449177486</v>
      </c>
      <c r="M60" s="553">
        <f t="shared" si="11"/>
        <v>0</v>
      </c>
      <c r="O60" s="625">
        <v>1</v>
      </c>
      <c r="Q60" s="625">
        <v>0</v>
      </c>
      <c r="S60" s="475">
        <f t="shared" si="0"/>
        <v>7610.150211804129</v>
      </c>
      <c r="U60" s="475">
        <f t="shared" si="1"/>
        <v>8646.0969697964138</v>
      </c>
      <c r="W60" s="475">
        <f t="shared" si="2"/>
        <v>-1035.9467579922848</v>
      </c>
      <c r="Y60" s="554">
        <f t="shared" si="3"/>
        <v>-9.853107130950697</v>
      </c>
      <c r="Z60" s="516"/>
      <c r="AB60" s="423">
        <f>+IF(AB59&gt;$I$13+$I$14,XX,AB59+1)</f>
        <v>2041</v>
      </c>
      <c r="AC60" s="503"/>
      <c r="AD60" s="488">
        <f t="shared" si="4"/>
        <v>105139.09411764707</v>
      </c>
      <c r="AF60" s="555">
        <f t="shared" si="20"/>
        <v>161.31646421001244</v>
      </c>
      <c r="AH60" s="555">
        <f t="shared" si="21"/>
        <v>32.312388637154143</v>
      </c>
      <c r="AJ60" s="555">
        <f t="shared" si="22"/>
        <v>3.2975444858303442</v>
      </c>
      <c r="AL60" s="558">
        <f t="shared" si="15"/>
        <v>4726.503606642782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19"/>
        <v>3.7211022935962879</v>
      </c>
      <c r="AS60" s="555"/>
      <c r="AT60" s="558">
        <f t="shared" si="6"/>
        <v>2725.0406782777245</v>
      </c>
      <c r="AV60" s="558">
        <f t="shared" si="7"/>
        <v>5921.0562915186892</v>
      </c>
      <c r="AW60" s="560"/>
      <c r="AX60" s="561">
        <f t="shared" si="8"/>
        <v>8646.0969697964138</v>
      </c>
      <c r="AZ60" s="430">
        <f>+IF(AZ59&gt;$I$13+$I$14,XX,AZ59+1)</f>
        <v>2041</v>
      </c>
      <c r="BA60" s="503"/>
      <c r="BB60" s="555">
        <f t="shared" si="16"/>
        <v>76.805851085672373</v>
      </c>
      <c r="BD60" s="555">
        <f t="shared" si="17"/>
        <v>11.677807080786923</v>
      </c>
      <c r="BF60" s="558">
        <f t="shared" si="9"/>
        <v>2001.4629283650572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105139.09411764707</v>
      </c>
      <c r="I61" s="726">
        <v>123.66064674200747</v>
      </c>
      <c r="K61" s="625">
        <v>39.371306334508574</v>
      </c>
      <c r="M61" s="553">
        <f t="shared" si="11"/>
        <v>0</v>
      </c>
      <c r="O61" s="625">
        <v>1.0199999999999998</v>
      </c>
      <c r="Q61" s="625">
        <v>0</v>
      </c>
      <c r="S61" s="475">
        <f t="shared" si="0"/>
        <v>7771.0337903858235</v>
      </c>
      <c r="U61" s="475">
        <f t="shared" si="1"/>
        <v>8841.8292091249477</v>
      </c>
      <c r="W61" s="475">
        <f t="shared" si="2"/>
        <v>-1070.7954187391242</v>
      </c>
      <c r="Y61" s="554">
        <f t="shared" si="3"/>
        <v>-10.184560060418065</v>
      </c>
      <c r="Z61" s="516"/>
      <c r="AB61" s="423">
        <f>+IF(AB60&gt;$I$13+$I$14,XX,AB60+1)</f>
        <v>2042</v>
      </c>
      <c r="AC61" s="503"/>
      <c r="AD61" s="488">
        <f t="shared" si="4"/>
        <v>105139.09411764707</v>
      </c>
      <c r="AF61" s="555">
        <f t="shared" si="20"/>
        <v>164.86542642263271</v>
      </c>
      <c r="AH61" s="555">
        <f t="shared" si="21"/>
        <v>33.023261187171535</v>
      </c>
      <c r="AJ61" s="555">
        <f t="shared" si="22"/>
        <v>3.3700904645186118</v>
      </c>
      <c r="AL61" s="558">
        <f t="shared" si="15"/>
        <v>4830.4866859889235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19"/>
        <v>3.8029665440554061</v>
      </c>
      <c r="AS61" s="555"/>
      <c r="AT61" s="558">
        <f t="shared" si="6"/>
        <v>2784.9915731998349</v>
      </c>
      <c r="AV61" s="558">
        <f t="shared" si="7"/>
        <v>6056.8376359251124</v>
      </c>
      <c r="AW61" s="560"/>
      <c r="AX61" s="561">
        <f t="shared" si="8"/>
        <v>8841.8292091249477</v>
      </c>
      <c r="AZ61" s="430">
        <f>+IF(AZ60&gt;$I$13+$I$14,XX,AZ60+1)</f>
        <v>2042</v>
      </c>
      <c r="BA61" s="503"/>
      <c r="BB61" s="555">
        <f t="shared" si="16"/>
        <v>78.495579809557171</v>
      </c>
      <c r="BD61" s="555">
        <f t="shared" si="17"/>
        <v>11.934718836564237</v>
      </c>
      <c r="BF61" s="558">
        <f t="shared" si="9"/>
        <v>2045.4951127890886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105139.09411764707</v>
      </c>
      <c r="I62" s="726">
        <v>126.0101990301056</v>
      </c>
      <c r="K62" s="625">
        <v>40.276846380202265</v>
      </c>
      <c r="M62" s="553">
        <f t="shared" si="11"/>
        <v>0</v>
      </c>
      <c r="O62" s="625">
        <v>1.05</v>
      </c>
      <c r="Q62" s="625">
        <v>0</v>
      </c>
      <c r="S62" s="475">
        <f t="shared" si="0"/>
        <v>7936.3578635116364</v>
      </c>
      <c r="U62" s="475">
        <f t="shared" si="1"/>
        <v>9036.349451725695</v>
      </c>
      <c r="W62" s="475">
        <f t="shared" si="2"/>
        <v>-1099.9915882140585</v>
      </c>
      <c r="Y62" s="554">
        <f t="shared" si="3"/>
        <v>-10.462250958555961</v>
      </c>
      <c r="Z62" s="516"/>
      <c r="AB62" s="423">
        <f>+IF(AB61&gt;$I$13+$I$14,XX,AB61+1)</f>
        <v>2043</v>
      </c>
      <c r="AC62" s="503"/>
      <c r="AD62" s="488">
        <f t="shared" si="4"/>
        <v>105139.09411764707</v>
      </c>
      <c r="AF62" s="555">
        <f t="shared" si="20"/>
        <v>168.49246580393063</v>
      </c>
      <c r="AH62" s="555">
        <f t="shared" si="21"/>
        <v>33.749772933289307</v>
      </c>
      <c r="AJ62" s="555">
        <f t="shared" si="22"/>
        <v>3.4442324547380214</v>
      </c>
      <c r="AL62" s="558">
        <f t="shared" si="15"/>
        <v>4936.7573930806793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19"/>
        <v>3.8866318080246249</v>
      </c>
      <c r="AS62" s="555"/>
      <c r="AT62" s="558">
        <f t="shared" si="6"/>
        <v>2846.2613878102306</v>
      </c>
      <c r="AV62" s="558">
        <f t="shared" si="7"/>
        <v>6190.0880639154648</v>
      </c>
      <c r="AW62" s="560"/>
      <c r="AX62" s="561">
        <f t="shared" si="8"/>
        <v>9036.349451725695</v>
      </c>
      <c r="AZ62" s="430">
        <f>+IF(AZ61&gt;$I$13+$I$14,XX,AZ61+1)</f>
        <v>2043</v>
      </c>
      <c r="BA62" s="503"/>
      <c r="BB62" s="555">
        <f t="shared" si="16"/>
        <v>80.222482565367429</v>
      </c>
      <c r="BD62" s="555">
        <f t="shared" si="17"/>
        <v>12.197282650968651</v>
      </c>
      <c r="BF62" s="558">
        <f t="shared" si="9"/>
        <v>2090.4960052704487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105139.09411764707</v>
      </c>
      <c r="I63" s="726">
        <v>128.40439281167761</v>
      </c>
      <c r="K63" s="625">
        <v>41.316099364335813</v>
      </c>
      <c r="M63" s="553">
        <f t="shared" si="11"/>
        <v>0</v>
      </c>
      <c r="O63" s="625">
        <v>1.0700000000000003</v>
      </c>
      <c r="Q63" s="625">
        <v>0</v>
      </c>
      <c r="S63" s="475">
        <f t="shared" si="0"/>
        <v>8115.9612854796551</v>
      </c>
      <c r="U63" s="475">
        <f t="shared" si="1"/>
        <v>9238.4040379989365</v>
      </c>
      <c r="W63" s="475">
        <f t="shared" si="2"/>
        <v>-1122.4427525192814</v>
      </c>
      <c r="Y63" s="554">
        <f t="shared" si="3"/>
        <v>-10.675788696289375</v>
      </c>
      <c r="Z63" s="516"/>
      <c r="AB63" s="423">
        <f>+IF(AB62&gt;$I$13+$I$14,XX,AB62+1)</f>
        <v>2044</v>
      </c>
      <c r="AC63" s="503"/>
      <c r="AD63" s="488">
        <f t="shared" si="4"/>
        <v>105139.09411764707</v>
      </c>
      <c r="AF63" s="555">
        <f t="shared" si="20"/>
        <v>172.36779251742101</v>
      </c>
      <c r="AH63" s="555">
        <f t="shared" si="21"/>
        <v>34.526017710754957</v>
      </c>
      <c r="AJ63" s="555">
        <f t="shared" si="22"/>
        <v>3.5234498011969957</v>
      </c>
      <c r="AL63" s="558">
        <f t="shared" si="15"/>
        <v>5050.3028131215351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19"/>
        <v>3.9760243396091908</v>
      </c>
      <c r="AS63" s="555"/>
      <c r="AT63" s="558">
        <f t="shared" si="6"/>
        <v>2911.7253997298662</v>
      </c>
      <c r="AV63" s="558">
        <f t="shared" si="7"/>
        <v>6326.6786382690698</v>
      </c>
      <c r="AW63" s="560"/>
      <c r="AX63" s="561">
        <f t="shared" si="8"/>
        <v>9238.4040379989365</v>
      </c>
      <c r="AZ63" s="430">
        <f>+IF(AZ62&gt;$I$13+$I$14,XX,AZ62+1)</f>
        <v>2044</v>
      </c>
      <c r="BA63" s="503"/>
      <c r="BB63" s="555">
        <f t="shared" si="16"/>
        <v>82.067599664370874</v>
      </c>
      <c r="BD63" s="555">
        <f t="shared" si="17"/>
        <v>12.477820151940929</v>
      </c>
      <c r="BF63" s="558">
        <f t="shared" si="9"/>
        <v>2138.5774133916689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105139.09411764707</v>
      </c>
      <c r="I64" s="726">
        <v>130.8440762750995</v>
      </c>
      <c r="K64" s="625">
        <v>42.150887765426695</v>
      </c>
      <c r="M64" s="553">
        <f t="shared" si="11"/>
        <v>0</v>
      </c>
      <c r="O64" s="625">
        <v>1.1000000000000001</v>
      </c>
      <c r="Q64" s="625">
        <v>0</v>
      </c>
      <c r="S64" s="475">
        <f t="shared" si="0"/>
        <v>8276.4153332813239</v>
      </c>
      <c r="U64" s="475">
        <f t="shared" si="1"/>
        <v>9444.9786878318992</v>
      </c>
      <c r="W64" s="475">
        <f t="shared" si="2"/>
        <v>-1168.5633545505752</v>
      </c>
      <c r="Y64" s="554">
        <f t="shared" si="3"/>
        <v>-11.114451426060343</v>
      </c>
      <c r="Z64" s="516"/>
      <c r="AB64" s="423">
        <f>+IF(AB63&gt;$I$13+$I$14,XX,AB63+1)</f>
        <v>2045</v>
      </c>
      <c r="AC64" s="503"/>
      <c r="AD64" s="488">
        <f t="shared" si="4"/>
        <v>105139.09411764707</v>
      </c>
      <c r="AF64" s="555">
        <f t="shared" si="20"/>
        <v>176.33225174532168</v>
      </c>
      <c r="AH64" s="555">
        <f t="shared" si="21"/>
        <v>35.32011611810232</v>
      </c>
      <c r="AJ64" s="555">
        <f t="shared" si="22"/>
        <v>3.6044891466245264</v>
      </c>
      <c r="AL64" s="558">
        <f t="shared" si="15"/>
        <v>5166.4597778233301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19"/>
        <v>4.0674728994202018</v>
      </c>
      <c r="AS64" s="555"/>
      <c r="AT64" s="558">
        <f t="shared" si="6"/>
        <v>2978.6950839236529</v>
      </c>
      <c r="AV64" s="558">
        <f t="shared" si="7"/>
        <v>6466.2836039082458</v>
      </c>
      <c r="AW64" s="560"/>
      <c r="AX64" s="561">
        <f t="shared" si="8"/>
        <v>9444.9786878318992</v>
      </c>
      <c r="AZ64" s="430">
        <f>+IF(AZ63&gt;$I$13+$I$14,XX,AZ63+1)</f>
        <v>2045</v>
      </c>
      <c r="BA64" s="503"/>
      <c r="BB64" s="555">
        <f t="shared" si="16"/>
        <v>83.9551544566514</v>
      </c>
      <c r="BD64" s="555">
        <f t="shared" si="17"/>
        <v>12.764810015435568</v>
      </c>
      <c r="BF64" s="558">
        <f t="shared" si="9"/>
        <v>2187.7646938996772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105139.09411764707</v>
      </c>
      <c r="I65" s="726">
        <v>133.33011372432634</v>
      </c>
      <c r="K65" s="625">
        <v>43.120358184031495</v>
      </c>
      <c r="M65" s="553">
        <f t="shared" si="11"/>
        <v>0</v>
      </c>
      <c r="O65" s="625">
        <v>1.1200000000000001</v>
      </c>
      <c r="Q65" s="625">
        <v>0</v>
      </c>
      <c r="S65" s="475">
        <f t="shared" si="0"/>
        <v>8451.2994240526059</v>
      </c>
      <c r="U65" s="475">
        <f t="shared" si="1"/>
        <v>9656.174564464116</v>
      </c>
      <c r="W65" s="475">
        <f t="shared" si="2"/>
        <v>-1204.8751404115101</v>
      </c>
      <c r="Y65" s="554">
        <f t="shared" si="3"/>
        <v>-11.459820445697353</v>
      </c>
      <c r="Z65" s="516"/>
      <c r="AB65" s="423">
        <f>+IF(AB64&gt;$I$13+$I$14,XX,AB64+1)</f>
        <v>2046</v>
      </c>
      <c r="AC65" s="503"/>
      <c r="AD65" s="488">
        <f t="shared" si="4"/>
        <v>105139.09411764707</v>
      </c>
      <c r="AF65" s="555">
        <f t="shared" si="20"/>
        <v>180.38789353546406</v>
      </c>
      <c r="AH65" s="555">
        <f t="shared" si="21"/>
        <v>36.132478788818666</v>
      </c>
      <c r="AJ65" s="555">
        <f t="shared" si="22"/>
        <v>3.68739239699689</v>
      </c>
      <c r="AL65" s="558">
        <f t="shared" si="15"/>
        <v>5285.2883527132653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19"/>
        <v>4.1610247761068662</v>
      </c>
      <c r="AS65" s="555"/>
      <c r="AT65" s="558">
        <f t="shared" si="6"/>
        <v>3047.2050708538959</v>
      </c>
      <c r="AV65" s="558">
        <f t="shared" si="7"/>
        <v>6608.9694936102196</v>
      </c>
      <c r="AW65" s="560"/>
      <c r="AX65" s="561">
        <f t="shared" si="8"/>
        <v>9656.174564464116</v>
      </c>
      <c r="AZ65" s="430">
        <f>+IF(AZ64&gt;$I$13+$I$14,XX,AZ64+1)</f>
        <v>2046</v>
      </c>
      <c r="BA65" s="503"/>
      <c r="BB65" s="555">
        <f t="shared" si="16"/>
        <v>85.886123009154375</v>
      </c>
      <c r="BD65" s="555">
        <f t="shared" si="17"/>
        <v>13.058400645790584</v>
      </c>
      <c r="BF65" s="558">
        <f t="shared" si="9"/>
        <v>2238.0832818593694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105139.09411764707</v>
      </c>
      <c r="I66" s="726">
        <v>135.86338588508852</v>
      </c>
      <c r="K66" s="625">
        <v>44.112126422264218</v>
      </c>
      <c r="M66" s="553">
        <f t="shared" si="11"/>
        <v>0</v>
      </c>
      <c r="O66" s="625">
        <v>1.1499999999999997</v>
      </c>
      <c r="Q66" s="625">
        <v>0</v>
      </c>
      <c r="S66" s="475">
        <f t="shared" si="0"/>
        <v>8630.9254676003002</v>
      </c>
      <c r="U66" s="475">
        <f t="shared" si="1"/>
        <v>9872.0950963287414</v>
      </c>
      <c r="W66" s="475">
        <f t="shared" si="2"/>
        <v>-1241.1696287284412</v>
      </c>
      <c r="Y66" s="554">
        <f t="shared" si="3"/>
        <v>-11.80502494476141</v>
      </c>
      <c r="Z66" s="516"/>
      <c r="AB66" s="423">
        <f>+IF(AB65&gt;$I$13+$I$14,XX,AB65+1)</f>
        <v>2047</v>
      </c>
      <c r="AC66" s="503"/>
      <c r="AD66" s="488">
        <f t="shared" si="4"/>
        <v>105139.09411764707</v>
      </c>
      <c r="AF66" s="555">
        <f t="shared" si="20"/>
        <v>184.53681508677971</v>
      </c>
      <c r="AH66" s="555">
        <f t="shared" si="21"/>
        <v>36.963525800961492</v>
      </c>
      <c r="AJ66" s="555">
        <f t="shared" si="22"/>
        <v>3.7722024221278181</v>
      </c>
      <c r="AL66" s="558">
        <f t="shared" si="15"/>
        <v>5406.8499848256706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19"/>
        <v>4.256728345957324</v>
      </c>
      <c r="AS66" s="555"/>
      <c r="AT66" s="558">
        <f t="shared" si="6"/>
        <v>3117.290787483536</v>
      </c>
      <c r="AV66" s="558">
        <f t="shared" si="7"/>
        <v>6754.8043088452059</v>
      </c>
      <c r="AW66" s="560"/>
      <c r="AX66" s="561">
        <f t="shared" si="8"/>
        <v>9872.0950963287414</v>
      </c>
      <c r="AZ66" s="430">
        <f>+IF(AZ65&gt;$I$13+$I$14,XX,AZ65+1)</f>
        <v>2047</v>
      </c>
      <c r="BA66" s="503"/>
      <c r="BB66" s="555">
        <f t="shared" si="16"/>
        <v>87.861503838364911</v>
      </c>
      <c r="BD66" s="555">
        <f t="shared" si="17"/>
        <v>13.358743860643767</v>
      </c>
      <c r="BF66" s="558">
        <f t="shared" si="9"/>
        <v>2289.5591973421347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105139.09411764707</v>
      </c>
      <c r="I67" s="726">
        <v>138.44479021690523</v>
      </c>
      <c r="K67" s="625">
        <v>45.250340139099521</v>
      </c>
      <c r="M67" s="553">
        <f t="shared" si="11"/>
        <v>0</v>
      </c>
      <c r="O67" s="625">
        <v>1.17</v>
      </c>
      <c r="Q67" s="625">
        <v>0</v>
      </c>
      <c r="S67" s="475">
        <f t="shared" si="0"/>
        <v>8826.2690320397724</v>
      </c>
      <c r="U67" s="475">
        <f t="shared" si="1"/>
        <v>10089.281188447974</v>
      </c>
      <c r="W67" s="475">
        <f t="shared" si="2"/>
        <v>-1263.0121564082019</v>
      </c>
      <c r="Y67" s="554">
        <f t="shared" si="3"/>
        <v>-12.012773811755828</v>
      </c>
      <c r="Z67" s="516"/>
      <c r="AB67" s="423">
        <f>+IF(AB66&gt;$I$13+$I$14,XX,AB66+1)</f>
        <v>2048</v>
      </c>
      <c r="AC67" s="503"/>
      <c r="AD67" s="488">
        <f t="shared" si="4"/>
        <v>105139.09411764707</v>
      </c>
      <c r="AF67" s="555">
        <f t="shared" si="20"/>
        <v>188.59662501868885</v>
      </c>
      <c r="AH67" s="555">
        <f t="shared" si="21"/>
        <v>37.776723368582644</v>
      </c>
      <c r="AJ67" s="555">
        <f t="shared" si="22"/>
        <v>3.85519087541463</v>
      </c>
      <c r="AL67" s="558">
        <f>((AF67+AH67)*$AF$11*1000+AJ67*AD67)/1000</f>
        <v>5525.8006844918355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19"/>
        <v>4.3503763695683855</v>
      </c>
      <c r="AS67" s="555"/>
      <c r="AT67" s="558">
        <f t="shared" si="6"/>
        <v>3185.8711848081739</v>
      </c>
      <c r="AV67" s="558">
        <f t="shared" si="7"/>
        <v>6903.4100036398013</v>
      </c>
      <c r="AW67" s="560"/>
      <c r="AX67" s="561">
        <f t="shared" si="8"/>
        <v>10089.281188447974</v>
      </c>
      <c r="AZ67" s="430">
        <f>+IF(AZ66&gt;$I$13+$I$14,XX,AZ66+1)</f>
        <v>2048</v>
      </c>
      <c r="BA67" s="503"/>
      <c r="BB67" s="555">
        <f t="shared" si="16"/>
        <v>89.794456922808934</v>
      </c>
      <c r="BD67" s="555">
        <f t="shared" si="17"/>
        <v>13.652636225577929</v>
      </c>
      <c r="BF67" s="558">
        <f t="shared" si="9"/>
        <v>2339.9294996836616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87376.524027643827</v>
      </c>
      <c r="I68" s="726">
        <v>117.56270102585535</v>
      </c>
      <c r="K68" s="625">
        <v>38.470516293804785</v>
      </c>
      <c r="M68" s="553">
        <f t="shared" si="11"/>
        <v>0</v>
      </c>
      <c r="O68" s="625">
        <v>1.2000000000000002</v>
      </c>
      <c r="Q68" s="625">
        <v>0</v>
      </c>
      <c r="S68" s="475">
        <f t="shared" si="0"/>
        <v>6816.808799371548</v>
      </c>
      <c r="U68" s="475">
        <f t="shared" si="1"/>
        <v>7462.0411581234748</v>
      </c>
      <c r="W68" s="475">
        <f t="shared" si="2"/>
        <v>-645.23235875192677</v>
      </c>
      <c r="Y68" s="554">
        <f t="shared" si="3"/>
        <v>-7.3845047732476843</v>
      </c>
      <c r="Z68" s="516"/>
      <c r="AB68" s="423">
        <f>+IF(AB67&gt;$I$13+$I$14,XX,AB67+1)</f>
        <v>2049</v>
      </c>
      <c r="AC68" s="503"/>
      <c r="AD68" s="488">
        <f t="shared" si="4"/>
        <v>87376.524027643827</v>
      </c>
      <c r="AF68" s="555">
        <f t="shared" si="20"/>
        <v>192.7457507691</v>
      </c>
      <c r="AH68" s="555">
        <f t="shared" si="21"/>
        <v>38.607811282691465</v>
      </c>
      <c r="AJ68" s="555">
        <f t="shared" si="22"/>
        <v>3.9400050746737518</v>
      </c>
      <c r="AL68" s="558">
        <f>((AF68+AH68)*$AR$11*1000+AJ68*AD68)/1000</f>
        <v>3990.1088662315187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19"/>
        <v>4.4460846496988902</v>
      </c>
      <c r="AS68" s="555"/>
      <c r="AT68" s="558">
        <f t="shared" si="6"/>
        <v>1598.7009175548169</v>
      </c>
      <c r="AV68" s="558">
        <f t="shared" si="7"/>
        <v>5863.3402405686584</v>
      </c>
      <c r="AW68" s="560"/>
      <c r="AX68" s="561">
        <f t="shared" si="8"/>
        <v>7462.0411581234748</v>
      </c>
      <c r="AZ68" s="430">
        <f>+IF(AZ67&gt;$I$13+$I$14,XX,AZ67+1)</f>
        <v>2049</v>
      </c>
      <c r="BA68" s="503"/>
      <c r="BB68" s="555">
        <f t="shared" si="16"/>
        <v>91.769934975110729</v>
      </c>
      <c r="BD68" s="555">
        <f t="shared" si="17"/>
        <v>13.952994222540644</v>
      </c>
      <c r="BF68" s="558">
        <f t="shared" si="9"/>
        <v>2391.4079486767018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95641.123762694464</v>
      </c>
      <c r="I70" s="617">
        <f>+-PMT($I$18,41,NPV($I$18,I28:I68))</f>
        <v>207.85765888197153</v>
      </c>
      <c r="J70" s="553"/>
      <c r="K70" s="617">
        <f>+-PMT($I$18,41,NPV($I$18,K28:K68))</f>
        <v>18.401078629716146</v>
      </c>
      <c r="M70" s="553">
        <f>+-PMT($G$18,$G$14,NPV($G$18,M28:M51))</f>
        <v>0</v>
      </c>
      <c r="O70" s="617">
        <f>+-PMT($I$18,41,NPV($I$18,O28:O68))</f>
        <v>3.4222699312433287</v>
      </c>
      <c r="Q70" s="617">
        <f>+-PMT($I$18,41,NPV($I$18,Q28:Q68))</f>
        <v>-28.450025798203445</v>
      </c>
      <c r="S70" s="617">
        <f>+-PMT($I$18,41,NPV($I$18,S28:S68))</f>
        <v>5432.0693520449195</v>
      </c>
      <c r="U70" s="617">
        <f>+-PMT($I$18,41,NPV($I$18,U28:U68))</f>
        <v>6037.0661372824388</v>
      </c>
      <c r="W70" s="626">
        <f>+-PMT($I$18,41,NPV($I$18,W28:W68))</f>
        <v>-604.99678523752084</v>
      </c>
      <c r="Y70" s="617">
        <f>+-PMT($I$18,41,NPV($I$18,Y28:Y68))</f>
        <v>-8.5890776126560624</v>
      </c>
      <c r="Z70" s="516"/>
      <c r="AB70" s="526"/>
      <c r="AD70" s="617">
        <f>+-PMT($I$18,41,NPV($I$18,AD28:AD68))</f>
        <v>95641.123762694464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2749.0751116685083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1416.3035334144329</v>
      </c>
      <c r="AV70" s="618">
        <f>+-PMT($I$18,41,NPV($I$18,AV28:AV68))</f>
        <v>4620.7626038680073</v>
      </c>
      <c r="AW70" s="560"/>
      <c r="AX70" s="618">
        <f>+-PMT($I$18,41,NPV($I$18,AX28:AX68))</f>
        <v>6037.0661372824388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1332.7715782540752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7D3E-90C1-4960-AE87-F0E42240F16A}">
  <sheetPr codeName="Sheet14">
    <tabColor theme="0" tint="-0.249977111117893"/>
    <pageSetUpPr fitToPage="1"/>
  </sheetPr>
  <dimension ref="A1:BH87"/>
  <sheetViews>
    <sheetView workbookViewId="0">
      <selection activeCell="G10" sqref="G10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2.8320312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13" style="143" bestFit="1" customWidth="1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">
        <v>0</v>
      </c>
    </row>
    <row r="2" spans="1:57" s="250" customFormat="1">
      <c r="A2" s="250" t="str">
        <f>'Workpaper Index'!$C$4</f>
        <v xml:space="preserve">WASHINGTON JUNE, 1 2022 RENEWABLES REPORT </v>
      </c>
    </row>
    <row r="3" spans="1:57" s="250" customFormat="1">
      <c r="A3" s="250" t="s">
        <v>1</v>
      </c>
    </row>
    <row r="4" spans="1:57" s="250" customFormat="1"/>
    <row r="5" spans="1:57" s="250" customFormat="1"/>
    <row r="7" spans="1:57">
      <c r="AB7" s="143" t="s">
        <v>306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304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N10" s="276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274">
        <f>'[5]Mt Wind'!$X$12</f>
        <v>60.9</v>
      </c>
      <c r="H11" s="275"/>
      <c r="AB11" s="129" t="s">
        <v>99</v>
      </c>
      <c r="AC11" s="130"/>
      <c r="AD11" s="130"/>
      <c r="AE11" s="130"/>
      <c r="AF11" s="141">
        <f>+G11*(G12/AJ16)</f>
        <v>37.319083691653873</v>
      </c>
      <c r="AG11" s="134"/>
      <c r="AH11" s="130" t="s">
        <v>100</v>
      </c>
      <c r="AI11" s="131"/>
      <c r="AJ11" s="136">
        <v>7.9126910299003335</v>
      </c>
      <c r="AK11" s="255"/>
      <c r="AN11" s="276"/>
      <c r="AZ11" s="129" t="s">
        <v>99</v>
      </c>
      <c r="BA11" s="130"/>
      <c r="BB11" s="130"/>
      <c r="BC11" s="130"/>
      <c r="BD11" s="141">
        <f>(AF11*AF13-G11*G19)</f>
        <v>34.477083691653874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277">
        <f>'[5]Mt Wind'!$X$13</f>
        <v>0.29837514283798355</v>
      </c>
      <c r="H12" s="275"/>
      <c r="AB12" s="129" t="s">
        <v>32</v>
      </c>
      <c r="AC12" s="130"/>
      <c r="AD12" s="130"/>
      <c r="AE12" s="130"/>
      <c r="AF12" s="138">
        <f>+AD61/8760/AF11</f>
        <v>0.49124544038953594</v>
      </c>
      <c r="AG12" s="134"/>
      <c r="AH12" s="124" t="s">
        <v>101</v>
      </c>
      <c r="AI12" s="125"/>
      <c r="AJ12" s="124">
        <v>2006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2008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36">
        <v>2.2243013100436677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25</v>
      </c>
      <c r="H14" s="275"/>
      <c r="AB14" s="129" t="s">
        <v>104</v>
      </c>
      <c r="AC14" s="130"/>
      <c r="AD14" s="130"/>
      <c r="AE14" s="130"/>
      <c r="AF14" s="141">
        <v>7266.0213306432961</v>
      </c>
      <c r="AG14" s="134"/>
      <c r="AH14" s="124"/>
      <c r="AI14" s="125"/>
      <c r="AJ14" s="136"/>
      <c r="AK14" s="255"/>
      <c r="AZ14" s="129" t="s">
        <v>105</v>
      </c>
      <c r="BA14" s="130"/>
      <c r="BB14" s="130"/>
      <c r="BC14" s="130"/>
      <c r="BD14" s="142">
        <v>454</v>
      </c>
      <c r="BE14" s="139"/>
    </row>
    <row r="15" spans="1:57" ht="12">
      <c r="A15" s="143" t="s">
        <v>106</v>
      </c>
      <c r="B15" s="272"/>
      <c r="C15" s="273" t="s">
        <v>107</v>
      </c>
      <c r="D15" s="273"/>
      <c r="E15" s="273"/>
      <c r="F15" s="273"/>
      <c r="G15" s="278"/>
      <c r="H15" s="275"/>
      <c r="AB15" s="129" t="s">
        <v>105</v>
      </c>
      <c r="AC15" s="130"/>
      <c r="AD15" s="130"/>
      <c r="AE15" s="130"/>
      <c r="AF15" s="142">
        <v>651.09966777408636</v>
      </c>
      <c r="AG15" s="134"/>
      <c r="AH15" s="124" t="s">
        <v>141</v>
      </c>
      <c r="AI15" s="125"/>
      <c r="AJ15" s="136">
        <v>2.302423580786026</v>
      </c>
      <c r="AK15" s="255"/>
      <c r="AZ15" s="129" t="s">
        <v>108</v>
      </c>
      <c r="BA15" s="130"/>
      <c r="BB15" s="130"/>
      <c r="BC15" s="130"/>
      <c r="BD15" s="144">
        <v>8.3299999999999999E-2</v>
      </c>
      <c r="BE15" s="139"/>
    </row>
    <row r="16" spans="1:57" ht="12">
      <c r="A16" s="143" t="s">
        <v>106</v>
      </c>
      <c r="B16" s="272"/>
      <c r="C16" s="273" t="s">
        <v>109</v>
      </c>
      <c r="D16" s="273"/>
      <c r="E16" s="273"/>
      <c r="F16" s="273"/>
      <c r="G16" s="278"/>
      <c r="H16" s="275"/>
      <c r="AB16" s="129" t="s">
        <v>108</v>
      </c>
      <c r="AC16" s="130"/>
      <c r="AD16" s="130"/>
      <c r="AE16" s="130"/>
      <c r="AF16" s="144">
        <v>8.6199999999999999E-2</v>
      </c>
      <c r="AG16" s="134"/>
      <c r="AH16" s="124" t="s">
        <v>110</v>
      </c>
      <c r="AI16" s="131"/>
      <c r="AJ16" s="145">
        <v>0.48691029900332239</v>
      </c>
      <c r="AK16" s="255"/>
      <c r="AZ16" s="129" t="s">
        <v>100</v>
      </c>
      <c r="BA16" s="131"/>
      <c r="BB16" s="136">
        <v>5.75</v>
      </c>
      <c r="BC16" s="3"/>
      <c r="BD16" s="3"/>
      <c r="BE16" s="137"/>
    </row>
    <row r="17" spans="1:60" ht="12">
      <c r="A17" s="143" t="s">
        <v>106</v>
      </c>
      <c r="B17" s="272"/>
      <c r="C17" s="273" t="s">
        <v>111</v>
      </c>
      <c r="D17" s="273"/>
      <c r="E17" s="273"/>
      <c r="F17" s="273"/>
      <c r="G17" s="278"/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2006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277">
        <f>'(2.2)_Forward_Price_Curve'!W4</f>
        <v>7.1999999999999995E-2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281">
        <f>14/300</f>
        <v>4.6666666666666669E-2</v>
      </c>
      <c r="H19" s="282"/>
      <c r="I19" s="143" t="s">
        <v>113</v>
      </c>
    </row>
    <row r="20" spans="1:60" ht="12.75">
      <c r="B20" s="250"/>
      <c r="C20" s="250"/>
      <c r="D20" s="250"/>
      <c r="E20" s="250"/>
      <c r="F20" s="250"/>
      <c r="G20" s="250"/>
      <c r="H20" s="250"/>
      <c r="AH20" s="229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288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2008</v>
      </c>
      <c r="D28" s="6"/>
      <c r="E28" s="292">
        <v>1.7000000000000001E-2</v>
      </c>
      <c r="F28" s="6"/>
      <c r="G28" s="20">
        <v>137948.39946197998</v>
      </c>
      <c r="H28" s="6"/>
      <c r="I28" s="293">
        <f>$G$15*(1+$E28)</f>
        <v>0</v>
      </c>
      <c r="J28" s="293"/>
      <c r="K28" s="293">
        <v>53.055805502366717</v>
      </c>
      <c r="L28" s="294"/>
      <c r="M28" s="293">
        <f>$G$17*(1+$E28)</f>
        <v>0</v>
      </c>
      <c r="N28" s="6"/>
      <c r="O28" s="295">
        <f>'(2.2)_Forward_Price_Curve'!U20</f>
        <v>5.1866999999999992</v>
      </c>
      <c r="P28" s="6"/>
      <c r="Q28" s="30"/>
      <c r="R28" s="6"/>
      <c r="S28" s="20">
        <f>(I28*$G$11*1000+(K28+M28+O28+Q28)*G28)/1000</f>
        <v>8034.4604147070504</v>
      </c>
      <c r="T28" s="6"/>
      <c r="U28" s="20">
        <f t="shared" ref="U28:U52" si="0">AX28</f>
        <v>9556.4369819201547</v>
      </c>
      <c r="V28" s="6"/>
      <c r="W28" s="20">
        <f>S28-U28</f>
        <v>-1521.9765672131043</v>
      </c>
      <c r="X28" s="6"/>
      <c r="Y28" s="296">
        <f>+W28*1000/G28</f>
        <v>-11.032941108045092</v>
      </c>
      <c r="Z28" s="255"/>
      <c r="AB28" s="154">
        <f>$C$28</f>
        <v>2008</v>
      </c>
      <c r="AC28" s="124"/>
      <c r="AD28" s="159">
        <f t="shared" ref="AD28:AD52" si="1">G28</f>
        <v>137948.39946197998</v>
      </c>
      <c r="AE28" s="3"/>
      <c r="AF28" s="160">
        <v>58.163412158772744</v>
      </c>
      <c r="AG28" s="297"/>
      <c r="AH28" s="160">
        <v>8.2001037061794015</v>
      </c>
      <c r="AI28" s="297"/>
      <c r="AJ28" s="160">
        <v>2.3050946065283835</v>
      </c>
      <c r="AK28" s="298"/>
      <c r="AL28" s="161">
        <f>((AF28+AH28)*$AF$11*1000+AJ28*AD28)/1000</f>
        <v>2794.6097142155818</v>
      </c>
      <c r="AM28" s="3"/>
      <c r="AN28" s="162">
        <f>INDEX('(2.2)_Forward_Price_Curve'!$K:$K,MATCH($AB28,'(2.2)_Forward_Price_Curve'!$C:$C,0),1)</f>
        <v>7.9707205782722266</v>
      </c>
      <c r="AO28" s="297"/>
      <c r="AP28" s="162">
        <f>AN28*$AF$14/1000</f>
        <v>57.915425742323464</v>
      </c>
      <c r="AQ28" s="297"/>
      <c r="AR28" s="160">
        <v>2.3860545125109165</v>
      </c>
      <c r="AS28" s="160"/>
      <c r="AT28" s="161">
        <f t="shared" ref="AT28:AT52" si="2">AL28-BF28</f>
        <v>1237.9442955775628</v>
      </c>
      <c r="AU28" s="298"/>
      <c r="AV28" s="161">
        <f t="shared" ref="AV28:AV52" si="3">(AP28+AR28)*AD28/1000</f>
        <v>8318.4926863425917</v>
      </c>
      <c r="AW28" s="299"/>
      <c r="AX28" s="163">
        <f>AT28+AV28</f>
        <v>9556.4369819201547</v>
      </c>
      <c r="AZ28" s="154">
        <f>$C$28</f>
        <v>2008</v>
      </c>
      <c r="BA28" s="124"/>
      <c r="BB28" s="160">
        <v>39.191870478599988</v>
      </c>
      <c r="BC28" s="3"/>
      <c r="BD28" s="160">
        <v>5.9588572499999986</v>
      </c>
      <c r="BE28" s="297"/>
      <c r="BF28" s="161">
        <f>(BB28+BD28)*$BD$11</f>
        <v>1556.665418638019</v>
      </c>
      <c r="BG28" s="297"/>
      <c r="BH28" s="164"/>
    </row>
    <row r="29" spans="1:60" ht="12">
      <c r="B29" s="2"/>
      <c r="C29" s="6">
        <f>+IF(C28&gt;$G$13+$G$14,XX,C28+1)</f>
        <v>2009</v>
      </c>
      <c r="D29" s="6"/>
      <c r="E29" s="292">
        <v>1.7000000000000001E-2</v>
      </c>
      <c r="F29" s="6"/>
      <c r="G29" s="20">
        <v>162459</v>
      </c>
      <c r="H29" s="6"/>
      <c r="I29" s="30">
        <f>I28*(1+$E29)</f>
        <v>0</v>
      </c>
      <c r="J29" s="6"/>
      <c r="K29" s="30">
        <v>56.042993679320091</v>
      </c>
      <c r="L29" s="6"/>
      <c r="M29" s="30">
        <f>M28*(1+$E29)</f>
        <v>0</v>
      </c>
      <c r="N29" s="6"/>
      <c r="O29" s="295">
        <f>'(2.2)_Forward_Price_Curve'!U21</f>
        <v>5.2748738999999985</v>
      </c>
      <c r="P29" s="6"/>
      <c r="Q29" s="30"/>
      <c r="R29" s="6"/>
      <c r="S29" s="20">
        <f t="shared" ref="S29:S52" si="4">(I29*$G$11*1000+(K29+M29+O29+Q29)*G29)/1000</f>
        <v>9961.6394490687617</v>
      </c>
      <c r="T29" s="6"/>
      <c r="U29" s="20">
        <f t="shared" si="0"/>
        <v>10889.49951804099</v>
      </c>
      <c r="V29" s="6"/>
      <c r="W29" s="20">
        <f t="shared" ref="W29:W52" si="5">S29-U29</f>
        <v>-927.86006897222796</v>
      </c>
      <c r="X29" s="6"/>
      <c r="Y29" s="296">
        <f t="shared" ref="Y29:Y52" si="6">+W29*1000/G29</f>
        <v>-5.7113491340721536</v>
      </c>
      <c r="Z29" s="255"/>
      <c r="AB29" s="154">
        <f>+IF(AB28&gt;$G$13+$G$14,XX,AB28+1)</f>
        <v>2009</v>
      </c>
      <c r="AC29" s="124"/>
      <c r="AD29" s="159">
        <f t="shared" si="1"/>
        <v>162459</v>
      </c>
      <c r="AE29" s="3"/>
      <c r="AF29" s="162">
        <f>AF28*(1+$E29)</f>
        <v>59.152190165471872</v>
      </c>
      <c r="AG29" s="3"/>
      <c r="AH29" s="162">
        <f>AH28*(1+$E29)</f>
        <v>8.3395054691844503</v>
      </c>
      <c r="AI29" s="3"/>
      <c r="AJ29" s="162">
        <f>AJ28*(1+$E29)</f>
        <v>2.3442812148393659</v>
      </c>
      <c r="AK29" s="3"/>
      <c r="AL29" s="161">
        <f t="shared" ref="AL29:AL52" si="7">((AF29+AH29)*$AF$11*1000+AJ29*AD29)/1000</f>
        <v>2899.5778197629584</v>
      </c>
      <c r="AM29" s="3"/>
      <c r="AN29" s="162">
        <f>INDEX('(2.2)_Forward_Price_Curve'!$K:$K,MATCH($AB29,'(2.2)_Forward_Price_Curve'!$C:$C,0),1)</f>
        <v>7.7758276535043622</v>
      </c>
      <c r="AO29" s="3"/>
      <c r="AP29" s="162">
        <f t="shared" ref="AP29:AP52" si="8">AN29*$AF$14/1000</f>
        <v>56.499329593768707</v>
      </c>
      <c r="AQ29" s="3"/>
      <c r="AR29" s="162">
        <f>AR28*(1+$E29)</f>
        <v>2.4266174392236017</v>
      </c>
      <c r="AS29" s="162"/>
      <c r="AT29" s="161">
        <f t="shared" si="2"/>
        <v>1316.4490890080933</v>
      </c>
      <c r="AU29" s="3"/>
      <c r="AV29" s="161">
        <f t="shared" si="3"/>
        <v>9573.0504290328972</v>
      </c>
      <c r="AW29" s="299"/>
      <c r="AX29" s="163">
        <f t="shared" ref="AX29:AX52" si="9">AT29+AV29</f>
        <v>10889.49951804099</v>
      </c>
      <c r="AZ29" s="154">
        <f>+IF(AZ28&gt;$G$13+$G$14,XX,AZ28+1)</f>
        <v>2009</v>
      </c>
      <c r="BA29" s="124"/>
      <c r="BB29" s="162">
        <f>BB28*(1+$E29)</f>
        <v>39.858132276736185</v>
      </c>
      <c r="BC29" s="3"/>
      <c r="BD29" s="162">
        <f>BD28*(1+$E29)</f>
        <v>6.0601578232499982</v>
      </c>
      <c r="BE29" s="3"/>
      <c r="BF29" s="161">
        <f t="shared" ref="BF29:BF52" si="10">(BB29+BD29)*$BD$11</f>
        <v>1583.128730754865</v>
      </c>
      <c r="BG29" s="3"/>
      <c r="BH29" s="165"/>
    </row>
    <row r="30" spans="1:60" ht="12">
      <c r="B30" s="2"/>
      <c r="C30" s="6">
        <f>+IF(C29&gt;$G$13+$G$14,XX,C29+1)</f>
        <v>2010</v>
      </c>
      <c r="D30" s="6"/>
      <c r="E30" s="292">
        <v>1.9E-2</v>
      </c>
      <c r="F30" s="6"/>
      <c r="G30" s="20">
        <v>162459</v>
      </c>
      <c r="H30" s="6"/>
      <c r="I30" s="30">
        <f t="shared" ref="I30:I52" si="11">I29*(1+$E30)</f>
        <v>0</v>
      </c>
      <c r="J30" s="6"/>
      <c r="K30" s="30">
        <v>56.042993679320091</v>
      </c>
      <c r="L30" s="6"/>
      <c r="M30" s="30">
        <f t="shared" ref="M30:M52" si="12">M29*(1+$E30)</f>
        <v>0</v>
      </c>
      <c r="N30" s="6"/>
      <c r="O30" s="295">
        <f>'(2.2)_Forward_Price_Curve'!U22</f>
        <v>5.3750965040999983</v>
      </c>
      <c r="P30" s="6"/>
      <c r="Q30" s="30"/>
      <c r="R30" s="6"/>
      <c r="S30" s="20">
        <f t="shared" si="4"/>
        <v>9977.9215131082437</v>
      </c>
      <c r="T30" s="6"/>
      <c r="U30" s="20">
        <f t="shared" si="0"/>
        <v>10569.783228000695</v>
      </c>
      <c r="V30" s="6"/>
      <c r="W30" s="20">
        <f t="shared" si="5"/>
        <v>-591.86171489245135</v>
      </c>
      <c r="X30" s="6"/>
      <c r="Y30" s="296">
        <f t="shared" si="6"/>
        <v>-3.643145131340531</v>
      </c>
      <c r="Z30" s="255"/>
      <c r="AB30" s="154">
        <f>+IF(AB29&gt;$G$13+$G$14,XX,AB29+1)</f>
        <v>2010</v>
      </c>
      <c r="AC30" s="124"/>
      <c r="AD30" s="159">
        <f t="shared" si="1"/>
        <v>162459</v>
      </c>
      <c r="AE30" s="3"/>
      <c r="AF30" s="162">
        <f t="shared" ref="AF30:AF52" si="13">AF29*(1+$E30)</f>
        <v>60.276081778615833</v>
      </c>
      <c r="AG30" s="3"/>
      <c r="AH30" s="162">
        <f t="shared" ref="AH30:AH52" si="14">AH29*(1+$E30)</f>
        <v>8.4979560730989547</v>
      </c>
      <c r="AI30" s="3"/>
      <c r="AJ30" s="162">
        <f t="shared" ref="AJ30:AJ52" si="15">AJ29*(1+$E30)</f>
        <v>2.3888225579213138</v>
      </c>
      <c r="AK30" s="3"/>
      <c r="AL30" s="161">
        <f t="shared" si="7"/>
        <v>2954.6697983384538</v>
      </c>
      <c r="AM30" s="3"/>
      <c r="AN30" s="162">
        <f>INDEX('(2.2)_Forward_Price_Curve'!$K:$K,MATCH($AB30,'(2.2)_Forward_Price_Curve'!$C:$C,0),1)</f>
        <v>7.4774457529777205</v>
      </c>
      <c r="AO30" s="3"/>
      <c r="AP30" s="162">
        <f t="shared" si="8"/>
        <v>54.331280339864243</v>
      </c>
      <c r="AQ30" s="3"/>
      <c r="AR30" s="162">
        <f t="shared" ref="AR30:AR52" si="16">AR29*(1+$E30)</f>
        <v>2.4727231705688499</v>
      </c>
      <c r="AS30" s="162"/>
      <c r="AT30" s="161">
        <f t="shared" si="2"/>
        <v>1341.4616216992463</v>
      </c>
      <c r="AU30" s="3"/>
      <c r="AV30" s="161">
        <f t="shared" si="3"/>
        <v>9228.3216063014497</v>
      </c>
      <c r="AW30" s="299"/>
      <c r="AX30" s="163">
        <f t="shared" si="9"/>
        <v>10569.783228000695</v>
      </c>
      <c r="AZ30" s="154">
        <f>+IF(AZ29&gt;$G$13+$G$14,XX,AZ29+1)</f>
        <v>2010</v>
      </c>
      <c r="BA30" s="124"/>
      <c r="BB30" s="162">
        <f t="shared" ref="BB30:BB52" si="17">BB29*(1+$E30)</f>
        <v>40.61543678999417</v>
      </c>
      <c r="BC30" s="3"/>
      <c r="BD30" s="162">
        <f t="shared" ref="BD30:BD52" si="18">BD29*(1+$E30)</f>
        <v>6.1753008218917476</v>
      </c>
      <c r="BE30" s="3"/>
      <c r="BF30" s="161">
        <f t="shared" si="10"/>
        <v>1613.2081766392075</v>
      </c>
      <c r="BG30" s="3"/>
      <c r="BH30" s="165"/>
    </row>
    <row r="31" spans="1:60" ht="12">
      <c r="B31" s="2"/>
      <c r="C31" s="6">
        <f>+IF(C30&gt;$G$13+$G$14,XX,C30+1)</f>
        <v>2011</v>
      </c>
      <c r="D31" s="6"/>
      <c r="E31" s="292">
        <v>1.9E-2</v>
      </c>
      <c r="F31" s="6"/>
      <c r="G31" s="20">
        <v>162459</v>
      </c>
      <c r="H31" s="6"/>
      <c r="I31" s="30">
        <f t="shared" si="11"/>
        <v>0</v>
      </c>
      <c r="J31" s="6"/>
      <c r="K31" s="30">
        <v>56.042993679320091</v>
      </c>
      <c r="L31" s="6"/>
      <c r="M31" s="30">
        <f t="shared" si="12"/>
        <v>0</v>
      </c>
      <c r="N31" s="6"/>
      <c r="O31" s="295">
        <f>'(2.2)_Forward_Price_Curve'!U23</f>
        <v>5.4772233376778976</v>
      </c>
      <c r="P31" s="6"/>
      <c r="Q31" s="30"/>
      <c r="R31" s="6"/>
      <c r="S31" s="20">
        <f t="shared" si="4"/>
        <v>9994.5129363644755</v>
      </c>
      <c r="T31" s="6"/>
      <c r="U31" s="20">
        <f t="shared" si="0"/>
        <v>10136.276891326093</v>
      </c>
      <c r="V31" s="6"/>
      <c r="W31" s="20">
        <f t="shared" si="5"/>
        <v>-141.76395496161786</v>
      </c>
      <c r="X31" s="6"/>
      <c r="Y31" s="296">
        <f t="shared" si="6"/>
        <v>-0.87261373615261606</v>
      </c>
      <c r="Z31" s="255"/>
      <c r="AB31" s="154">
        <f>+IF(AB30&gt;$G$13+$G$14,XX,AB30+1)</f>
        <v>2011</v>
      </c>
      <c r="AC31" s="124"/>
      <c r="AD31" s="159">
        <f t="shared" si="1"/>
        <v>162459</v>
      </c>
      <c r="AE31" s="3"/>
      <c r="AF31" s="162">
        <f t="shared" si="13"/>
        <v>61.421327332409525</v>
      </c>
      <c r="AG31" s="3"/>
      <c r="AH31" s="162">
        <f t="shared" si="14"/>
        <v>8.6594172384878334</v>
      </c>
      <c r="AI31" s="3"/>
      <c r="AJ31" s="162">
        <f t="shared" si="15"/>
        <v>2.4342101865218186</v>
      </c>
      <c r="AK31" s="3"/>
      <c r="AL31" s="161">
        <f t="shared" si="7"/>
        <v>3010.8085245068846</v>
      </c>
      <c r="AM31" s="3"/>
      <c r="AN31" s="162">
        <f>INDEX('(2.2)_Forward_Price_Curve'!$K:$K,MATCH($AB31,'(2.2)_Forward_Price_Curve'!$C:$C,0),1)</f>
        <v>7.0821436233211914</v>
      </c>
      <c r="AO31" s="3"/>
      <c r="AP31" s="162">
        <f t="shared" si="8"/>
        <v>51.459006633731178</v>
      </c>
      <c r="AQ31" s="3"/>
      <c r="AR31" s="162">
        <f t="shared" si="16"/>
        <v>2.5197049108096579</v>
      </c>
      <c r="AS31" s="162"/>
      <c r="AT31" s="161">
        <f t="shared" si="2"/>
        <v>1366.9493925115326</v>
      </c>
      <c r="AU31" s="3"/>
      <c r="AV31" s="161">
        <f t="shared" si="3"/>
        <v>8769.3274988145604</v>
      </c>
      <c r="AW31" s="299"/>
      <c r="AX31" s="163">
        <f t="shared" si="9"/>
        <v>10136.276891326093</v>
      </c>
      <c r="AZ31" s="154">
        <f>+IF(AZ30&gt;$G$13+$G$14,XX,AZ30+1)</f>
        <v>2011</v>
      </c>
      <c r="BA31" s="124"/>
      <c r="BB31" s="162">
        <f t="shared" si="17"/>
        <v>41.387130089004053</v>
      </c>
      <c r="BC31" s="3"/>
      <c r="BD31" s="162">
        <f t="shared" si="18"/>
        <v>6.29263153750769</v>
      </c>
      <c r="BE31" s="3"/>
      <c r="BF31" s="161">
        <f t="shared" si="10"/>
        <v>1643.8591319953521</v>
      </c>
      <c r="BG31" s="3"/>
      <c r="BH31" s="165"/>
    </row>
    <row r="32" spans="1:60" ht="12">
      <c r="B32" s="2"/>
      <c r="C32" s="6">
        <f>+IF(C31&gt;$G$13+$G$14,XX,C31+1)</f>
        <v>2012</v>
      </c>
      <c r="D32" s="6"/>
      <c r="E32" s="292">
        <v>0.02</v>
      </c>
      <c r="F32" s="6"/>
      <c r="G32" s="20">
        <v>163109</v>
      </c>
      <c r="H32" s="6"/>
      <c r="I32" s="30">
        <f t="shared" si="11"/>
        <v>0</v>
      </c>
      <c r="J32" s="6"/>
      <c r="K32" s="30">
        <v>56.042993679320091</v>
      </c>
      <c r="L32" s="6"/>
      <c r="M32" s="30">
        <f t="shared" si="12"/>
        <v>0</v>
      </c>
      <c r="N32" s="6"/>
      <c r="O32" s="295">
        <f>'(2.2)_Forward_Price_Curve'!U24</f>
        <v>5.5867678044314557</v>
      </c>
      <c r="P32" s="6"/>
      <c r="Q32" s="30"/>
      <c r="R32" s="6"/>
      <c r="S32" s="20">
        <f t="shared" si="4"/>
        <v>10052.368765853231</v>
      </c>
      <c r="T32" s="6"/>
      <c r="U32" s="20">
        <f t="shared" si="0"/>
        <v>9758.5640265987222</v>
      </c>
      <c r="V32" s="6"/>
      <c r="W32" s="20">
        <f t="shared" si="5"/>
        <v>293.8047392545086</v>
      </c>
      <c r="X32" s="6"/>
      <c r="Y32" s="296">
        <f t="shared" si="6"/>
        <v>1.8012785269636171</v>
      </c>
      <c r="Z32" s="255"/>
      <c r="AB32" s="154">
        <f>+IF(AB31&gt;$G$13+$G$14,XX,AB31+1)</f>
        <v>2012</v>
      </c>
      <c r="AC32" s="124"/>
      <c r="AD32" s="159">
        <f t="shared" si="1"/>
        <v>163109</v>
      </c>
      <c r="AE32" s="3"/>
      <c r="AF32" s="162">
        <f t="shared" si="13"/>
        <v>62.64975387905772</v>
      </c>
      <c r="AG32" s="3"/>
      <c r="AH32" s="162">
        <f t="shared" si="14"/>
        <v>8.8326055832575907</v>
      </c>
      <c r="AI32" s="3"/>
      <c r="AJ32" s="162">
        <f t="shared" si="15"/>
        <v>2.4828943902522549</v>
      </c>
      <c r="AK32" s="3"/>
      <c r="AL32" s="161">
        <f t="shared" si="7"/>
        <v>3072.6385763506864</v>
      </c>
      <c r="AM32" s="3"/>
      <c r="AN32" s="162">
        <f>INDEX('(2.2)_Forward_Price_Curve'!$K:$K,MATCH($AB32,'(2.2)_Forward_Price_Curve'!$C:$C,0),1)</f>
        <v>6.7024699037828679</v>
      </c>
      <c r="AO32" s="3"/>
      <c r="AP32" s="162">
        <f t="shared" si="8"/>
        <v>48.700289288881038</v>
      </c>
      <c r="AQ32" s="3"/>
      <c r="AR32" s="162">
        <f t="shared" si="16"/>
        <v>2.5700990090258511</v>
      </c>
      <c r="AS32" s="162"/>
      <c r="AT32" s="161">
        <f t="shared" si="2"/>
        <v>1395.9022617154274</v>
      </c>
      <c r="AU32" s="3"/>
      <c r="AV32" s="161">
        <f t="shared" si="3"/>
        <v>8362.6617648832944</v>
      </c>
      <c r="AW32" s="299"/>
      <c r="AX32" s="163">
        <f t="shared" si="9"/>
        <v>9758.5640265987222</v>
      </c>
      <c r="AZ32" s="154">
        <f>+IF(AZ31&gt;$G$13+$G$14,XX,AZ31+1)</f>
        <v>2012</v>
      </c>
      <c r="BA32" s="124"/>
      <c r="BB32" s="162">
        <f t="shared" si="17"/>
        <v>42.214872690784134</v>
      </c>
      <c r="BC32" s="3"/>
      <c r="BD32" s="162">
        <f t="shared" si="18"/>
        <v>6.4184841682578435</v>
      </c>
      <c r="BE32" s="3"/>
      <c r="BF32" s="161">
        <f t="shared" si="10"/>
        <v>1676.7363146352591</v>
      </c>
      <c r="BG32" s="3"/>
      <c r="BH32" s="165"/>
    </row>
    <row r="33" spans="2:60" ht="12">
      <c r="B33" s="2"/>
      <c r="C33" s="6">
        <f>+IF(C32&gt;$G$13+$G$14,XX,C32+1)</f>
        <v>2013</v>
      </c>
      <c r="D33" s="6"/>
      <c r="E33" s="292">
        <v>1.9E-2</v>
      </c>
      <c r="F33" s="6"/>
      <c r="G33" s="20">
        <v>162459</v>
      </c>
      <c r="H33" s="6"/>
      <c r="I33" s="30">
        <f t="shared" si="11"/>
        <v>0</v>
      </c>
      <c r="J33" s="6"/>
      <c r="K33" s="30">
        <v>56.042993679320091</v>
      </c>
      <c r="L33" s="6"/>
      <c r="M33" s="30">
        <f t="shared" si="12"/>
        <v>0</v>
      </c>
      <c r="N33" s="6"/>
      <c r="O33" s="295">
        <f>'(2.2)_Forward_Price_Curve'!U25</f>
        <v>5.6929163927156532</v>
      </c>
      <c r="P33" s="6"/>
      <c r="Q33" s="30"/>
      <c r="R33" s="6"/>
      <c r="S33" s="20">
        <f t="shared" si="4"/>
        <v>10029.554214392854</v>
      </c>
      <c r="T33" s="6"/>
      <c r="U33" s="20">
        <f t="shared" si="0"/>
        <v>9754.5372424506368</v>
      </c>
      <c r="V33" s="6"/>
      <c r="W33" s="20">
        <f t="shared" si="5"/>
        <v>275.01697194221742</v>
      </c>
      <c r="X33" s="6"/>
      <c r="Y33" s="296">
        <f t="shared" si="6"/>
        <v>1.6928392513939976</v>
      </c>
      <c r="Z33" s="255"/>
      <c r="AB33" s="154">
        <f>+IF(AB32&gt;$G$13+$G$14,XX,AB32+1)</f>
        <v>2013</v>
      </c>
      <c r="AC33" s="124"/>
      <c r="AD33" s="159">
        <f t="shared" si="1"/>
        <v>162459</v>
      </c>
      <c r="AE33" s="3"/>
      <c r="AF33" s="162">
        <f t="shared" si="13"/>
        <v>63.840099202759809</v>
      </c>
      <c r="AG33" s="3"/>
      <c r="AH33" s="162">
        <f t="shared" si="14"/>
        <v>9.0004250893394833</v>
      </c>
      <c r="AI33" s="3"/>
      <c r="AJ33" s="162">
        <f t="shared" si="15"/>
        <v>2.5300693836670476</v>
      </c>
      <c r="AK33" s="3"/>
      <c r="AL33" s="161">
        <f t="shared" si="7"/>
        <v>3129.3741642019654</v>
      </c>
      <c r="AM33" s="3"/>
      <c r="AN33" s="162">
        <f>INDEX('(2.2)_Forward_Price_Curve'!$K:$K,MATCH($AB33,'(2.2)_Forward_Price_Curve'!$C:$C,0),1)</f>
        <v>6.6994948806584134</v>
      </c>
      <c r="AO33" s="3"/>
      <c r="AP33" s="162">
        <f t="shared" si="8"/>
        <v>48.678672707399592</v>
      </c>
      <c r="AQ33" s="3"/>
      <c r="AR33" s="162">
        <f t="shared" si="16"/>
        <v>2.6189308901973418</v>
      </c>
      <c r="AS33" s="162"/>
      <c r="AT33" s="161">
        <f t="shared" si="2"/>
        <v>1420.7798595886366</v>
      </c>
      <c r="AU33" s="3"/>
      <c r="AV33" s="161">
        <f t="shared" si="3"/>
        <v>8333.7573828620007</v>
      </c>
      <c r="AW33" s="299"/>
      <c r="AX33" s="163">
        <f t="shared" si="9"/>
        <v>9754.5372424506368</v>
      </c>
      <c r="AZ33" s="154">
        <f>+IF(AZ32&gt;$G$13+$G$14,XX,AZ32+1)</f>
        <v>2013</v>
      </c>
      <c r="BA33" s="124"/>
      <c r="BB33" s="162">
        <f t="shared" si="17"/>
        <v>43.016955271909026</v>
      </c>
      <c r="BC33" s="3"/>
      <c r="BD33" s="162">
        <f t="shared" si="18"/>
        <v>6.5404353674547417</v>
      </c>
      <c r="BE33" s="3"/>
      <c r="BF33" s="161">
        <f t="shared" si="10"/>
        <v>1708.5943046133289</v>
      </c>
      <c r="BG33" s="3"/>
      <c r="BH33" s="165"/>
    </row>
    <row r="34" spans="2:60" ht="12">
      <c r="B34" s="2"/>
      <c r="C34" s="6">
        <f>+IF(C33&gt;$G$13+$G$14,XX,C33+1)</f>
        <v>2014</v>
      </c>
      <c r="D34" s="6"/>
      <c r="E34" s="292">
        <v>1.7999999999999999E-2</v>
      </c>
      <c r="F34" s="6"/>
      <c r="G34" s="20">
        <v>162459</v>
      </c>
      <c r="H34" s="6"/>
      <c r="I34" s="30">
        <f t="shared" si="11"/>
        <v>0</v>
      </c>
      <c r="J34" s="6"/>
      <c r="K34" s="30">
        <v>56.042993679320091</v>
      </c>
      <c r="L34" s="6"/>
      <c r="M34" s="30">
        <f t="shared" si="12"/>
        <v>0</v>
      </c>
      <c r="N34" s="6"/>
      <c r="O34" s="295">
        <f>'(2.2)_Forward_Price_Curve'!U26</f>
        <v>5.7953888877845348</v>
      </c>
      <c r="P34" s="6"/>
      <c r="Q34" s="30"/>
      <c r="R34" s="6"/>
      <c r="S34" s="20">
        <f t="shared" si="4"/>
        <v>10046.20179346925</v>
      </c>
      <c r="T34" s="6"/>
      <c r="U34" s="20">
        <f t="shared" si="0"/>
        <v>10040.98824752254</v>
      </c>
      <c r="V34" s="6"/>
      <c r="W34" s="20">
        <f t="shared" si="5"/>
        <v>5.2135459467099281</v>
      </c>
      <c r="X34" s="6"/>
      <c r="Y34" s="296">
        <f t="shared" si="6"/>
        <v>3.2091456593416973E-2</v>
      </c>
      <c r="Z34" s="255"/>
      <c r="AB34" s="154">
        <f>+IF(AB33&gt;$G$13+$G$14,XX,AB33+1)</f>
        <v>2014</v>
      </c>
      <c r="AC34" s="124"/>
      <c r="AD34" s="159">
        <f t="shared" si="1"/>
        <v>162459</v>
      </c>
      <c r="AE34" s="3"/>
      <c r="AF34" s="162">
        <f t="shared" si="13"/>
        <v>64.989220988409485</v>
      </c>
      <c r="AG34" s="3"/>
      <c r="AH34" s="162">
        <f t="shared" si="14"/>
        <v>9.1624327409475939</v>
      </c>
      <c r="AI34" s="3"/>
      <c r="AJ34" s="162">
        <f t="shared" si="15"/>
        <v>2.5756106325730546</v>
      </c>
      <c r="AK34" s="3"/>
      <c r="AL34" s="161">
        <f t="shared" si="7"/>
        <v>3185.7028991576008</v>
      </c>
      <c r="AM34" s="3"/>
      <c r="AN34" s="162">
        <f>INDEX('(2.2)_Forward_Price_Curve'!$K:$K,MATCH($AB34,'(2.2)_Forward_Price_Curve'!$C:$C,0),1)</f>
        <v>6.9140085811973453</v>
      </c>
      <c r="AO34" s="3"/>
      <c r="AP34" s="162">
        <f t="shared" si="8"/>
        <v>50.2373338312307</v>
      </c>
      <c r="AQ34" s="3"/>
      <c r="AR34" s="162">
        <f t="shared" si="16"/>
        <v>2.6660716462208942</v>
      </c>
      <c r="AS34" s="162"/>
      <c r="AT34" s="161">
        <f t="shared" si="2"/>
        <v>1446.3538970612319</v>
      </c>
      <c r="AU34" s="3"/>
      <c r="AV34" s="161">
        <f t="shared" si="3"/>
        <v>8594.6343504613087</v>
      </c>
      <c r="AW34" s="299"/>
      <c r="AX34" s="163">
        <f t="shared" si="9"/>
        <v>10040.98824752254</v>
      </c>
      <c r="AZ34" s="154">
        <f>+IF(AZ33&gt;$G$13+$G$14,XX,AZ33+1)</f>
        <v>2014</v>
      </c>
      <c r="BA34" s="124"/>
      <c r="BB34" s="162">
        <f t="shared" si="17"/>
        <v>43.791260466803386</v>
      </c>
      <c r="BC34" s="3"/>
      <c r="BD34" s="162">
        <f t="shared" si="18"/>
        <v>6.6581632040689271</v>
      </c>
      <c r="BE34" s="3"/>
      <c r="BF34" s="161">
        <f t="shared" si="10"/>
        <v>1739.3490020963688</v>
      </c>
      <c r="BG34" s="3"/>
      <c r="BH34" s="165"/>
    </row>
    <row r="35" spans="2:60" ht="12">
      <c r="B35" s="2"/>
      <c r="C35" s="6">
        <f>+IF(C34&gt;$G$13+$G$14,XX,C34+1)</f>
        <v>2015</v>
      </c>
      <c r="D35" s="6"/>
      <c r="E35" s="292">
        <v>1.7999999999999999E-2</v>
      </c>
      <c r="F35" s="6"/>
      <c r="G35" s="20">
        <v>162459</v>
      </c>
      <c r="H35" s="6"/>
      <c r="I35" s="30">
        <f t="shared" si="11"/>
        <v>0</v>
      </c>
      <c r="J35" s="6"/>
      <c r="K35" s="30">
        <v>56.042993679320091</v>
      </c>
      <c r="L35" s="6"/>
      <c r="M35" s="30">
        <f t="shared" si="12"/>
        <v>0</v>
      </c>
      <c r="N35" s="6"/>
      <c r="O35" s="295">
        <f>'(2.2)_Forward_Price_Curve'!U27</f>
        <v>5.8997058877646564</v>
      </c>
      <c r="P35" s="6"/>
      <c r="Q35" s="30"/>
      <c r="R35" s="6"/>
      <c r="S35" s="20">
        <f t="shared" si="4"/>
        <v>10063.149028969019</v>
      </c>
      <c r="T35" s="6"/>
      <c r="U35" s="20">
        <f t="shared" si="0"/>
        <v>10549.8154370925</v>
      </c>
      <c r="V35" s="6"/>
      <c r="W35" s="20">
        <f t="shared" si="5"/>
        <v>-486.66640812348123</v>
      </c>
      <c r="X35" s="6"/>
      <c r="Y35" s="296">
        <f t="shared" si="6"/>
        <v>-2.9956260233257694</v>
      </c>
      <c r="Z35" s="255"/>
      <c r="AB35" s="154">
        <f>+IF(AB34&gt;$G$13+$G$14,XX,AB34+1)</f>
        <v>2015</v>
      </c>
      <c r="AC35" s="124"/>
      <c r="AD35" s="159">
        <f t="shared" si="1"/>
        <v>162459</v>
      </c>
      <c r="AE35" s="3"/>
      <c r="AF35" s="162">
        <f t="shared" si="13"/>
        <v>66.159026966200855</v>
      </c>
      <c r="AG35" s="3"/>
      <c r="AH35" s="162">
        <f t="shared" si="14"/>
        <v>9.3273565302846499</v>
      </c>
      <c r="AI35" s="3"/>
      <c r="AJ35" s="162">
        <f t="shared" si="15"/>
        <v>2.6219716239593698</v>
      </c>
      <c r="AK35" s="3"/>
      <c r="AL35" s="161">
        <f t="shared" si="7"/>
        <v>3243.0455513424372</v>
      </c>
      <c r="AM35" s="3"/>
      <c r="AN35" s="162">
        <f>INDEX('(2.2)_Forward_Price_Curve'!$K:$K,MATCH($AB35,'(2.2)_Forward_Price_Curve'!$C:$C,0),1)</f>
        <v>7.3164011858738007</v>
      </c>
      <c r="AO35" s="3"/>
      <c r="AP35" s="162">
        <f t="shared" si="8"/>
        <v>53.161127080102943</v>
      </c>
      <c r="AQ35" s="3"/>
      <c r="AR35" s="162">
        <f t="shared" si="16"/>
        <v>2.7140609358528702</v>
      </c>
      <c r="AS35" s="162"/>
      <c r="AT35" s="161">
        <f t="shared" si="2"/>
        <v>1472.3882672083339</v>
      </c>
      <c r="AU35" s="3"/>
      <c r="AV35" s="161">
        <f t="shared" si="3"/>
        <v>9077.4271698841658</v>
      </c>
      <c r="AW35" s="299"/>
      <c r="AX35" s="163">
        <f t="shared" si="9"/>
        <v>10549.8154370925</v>
      </c>
      <c r="AZ35" s="154">
        <f>+IF(AZ34&gt;$G$13+$G$14,XX,AZ34+1)</f>
        <v>2015</v>
      </c>
      <c r="BA35" s="124"/>
      <c r="BB35" s="162">
        <f t="shared" si="17"/>
        <v>44.579503155205849</v>
      </c>
      <c r="BC35" s="3"/>
      <c r="BD35" s="162">
        <f t="shared" si="18"/>
        <v>6.7780101417421683</v>
      </c>
      <c r="BE35" s="3"/>
      <c r="BF35" s="161">
        <f t="shared" si="10"/>
        <v>1770.6572841341033</v>
      </c>
      <c r="BG35" s="3"/>
      <c r="BH35" s="165"/>
    </row>
    <row r="36" spans="2:60" ht="12">
      <c r="B36" s="2"/>
      <c r="C36" s="6">
        <f>+IF(C35&gt;$G$13+$G$14,XX,C35+1)</f>
        <v>2016</v>
      </c>
      <c r="D36" s="6"/>
      <c r="E36" s="292">
        <v>1.7999999999999999E-2</v>
      </c>
      <c r="F36" s="6"/>
      <c r="G36" s="20">
        <v>163109</v>
      </c>
      <c r="H36" s="6"/>
      <c r="I36" s="30">
        <f t="shared" si="11"/>
        <v>0</v>
      </c>
      <c r="J36" s="6"/>
      <c r="K36" s="30">
        <v>56.042993679320091</v>
      </c>
      <c r="L36" s="6"/>
      <c r="M36" s="30">
        <f t="shared" si="12"/>
        <v>0</v>
      </c>
      <c r="N36" s="6"/>
      <c r="O36" s="295">
        <f>'(2.2)_Forward_Price_Curve'!U28</f>
        <v>6.0059005937444203</v>
      </c>
      <c r="P36" s="6"/>
      <c r="Q36" s="30"/>
      <c r="R36" s="6"/>
      <c r="S36" s="20">
        <f t="shared" si="4"/>
        <v>10120.733095985281</v>
      </c>
      <c r="T36" s="6"/>
      <c r="U36" s="20">
        <f t="shared" si="0"/>
        <v>11339.099716461529</v>
      </c>
      <c r="V36" s="6"/>
      <c r="W36" s="20">
        <f t="shared" si="5"/>
        <v>-1218.3666204762485</v>
      </c>
      <c r="X36" s="6"/>
      <c r="Y36" s="296">
        <f t="shared" si="6"/>
        <v>-7.4696468035255466</v>
      </c>
      <c r="Z36" s="255"/>
      <c r="AB36" s="154">
        <f>+IF(AB35&gt;$G$13+$G$14,XX,AB35+1)</f>
        <v>2016</v>
      </c>
      <c r="AC36" s="124"/>
      <c r="AD36" s="159">
        <f t="shared" si="1"/>
        <v>163109</v>
      </c>
      <c r="AE36" s="3"/>
      <c r="AF36" s="162">
        <f t="shared" si="13"/>
        <v>67.349889451592475</v>
      </c>
      <c r="AG36" s="3"/>
      <c r="AH36" s="162">
        <f t="shared" si="14"/>
        <v>9.4952489478297739</v>
      </c>
      <c r="AI36" s="3"/>
      <c r="AJ36" s="162">
        <f t="shared" si="15"/>
        <v>2.6691671131906385</v>
      </c>
      <c r="AK36" s="3"/>
      <c r="AL36" s="161">
        <f t="shared" si="7"/>
        <v>3303.1553298901758</v>
      </c>
      <c r="AM36" s="3"/>
      <c r="AN36" s="162">
        <f>INDEX('(2.2)_Forward_Price_Curve'!$K:$K,MATCH($AB36,'(2.2)_Forward_Price_Curve'!$C:$C,0),1)</f>
        <v>7.9211828417083421</v>
      </c>
      <c r="AO36" s="3"/>
      <c r="AP36" s="162">
        <f t="shared" si="8"/>
        <v>57.555483491778489</v>
      </c>
      <c r="AQ36" s="3"/>
      <c r="AR36" s="162">
        <f t="shared" si="16"/>
        <v>2.7629140326982218</v>
      </c>
      <c r="AS36" s="162"/>
      <c r="AT36" s="161">
        <f t="shared" si="2"/>
        <v>1500.6262146416584</v>
      </c>
      <c r="AU36" s="3"/>
      <c r="AV36" s="161">
        <f t="shared" si="3"/>
        <v>9838.4735018198717</v>
      </c>
      <c r="AW36" s="299"/>
      <c r="AX36" s="163">
        <f t="shared" si="9"/>
        <v>11339.099716461529</v>
      </c>
      <c r="AZ36" s="154">
        <f>+IF(AZ35&gt;$G$13+$G$14,XX,AZ35+1)</f>
        <v>2016</v>
      </c>
      <c r="BA36" s="124"/>
      <c r="BB36" s="162">
        <f t="shared" si="17"/>
        <v>45.381934211999557</v>
      </c>
      <c r="BC36" s="3"/>
      <c r="BD36" s="162">
        <f t="shared" si="18"/>
        <v>6.9000143242935277</v>
      </c>
      <c r="BE36" s="3"/>
      <c r="BF36" s="161">
        <f t="shared" si="10"/>
        <v>1802.5291152485174</v>
      </c>
      <c r="BG36" s="3"/>
      <c r="BH36" s="165"/>
    </row>
    <row r="37" spans="2:60" ht="12">
      <c r="B37" s="2"/>
      <c r="C37" s="6">
        <f>+IF(C36&gt;$G$13+$G$14,XX,C36+1)</f>
        <v>2017</v>
      </c>
      <c r="D37" s="6"/>
      <c r="E37" s="292">
        <v>1.7999999999999999E-2</v>
      </c>
      <c r="F37" s="6"/>
      <c r="G37" s="20">
        <v>162459</v>
      </c>
      <c r="H37" s="6"/>
      <c r="I37" s="30">
        <f t="shared" si="11"/>
        <v>0</v>
      </c>
      <c r="J37" s="6"/>
      <c r="K37" s="30">
        <v>56.042993679320091</v>
      </c>
      <c r="L37" s="6"/>
      <c r="M37" s="30">
        <f t="shared" si="12"/>
        <v>0</v>
      </c>
      <c r="N37" s="6"/>
      <c r="O37" s="295">
        <f>'(2.2)_Forward_Price_Curve'!U29</f>
        <v>6.1140068044318197</v>
      </c>
      <c r="P37" s="6"/>
      <c r="Q37" s="30"/>
      <c r="R37" s="6"/>
      <c r="S37" s="20">
        <f t="shared" si="4"/>
        <v>10097.964141589851</v>
      </c>
      <c r="T37" s="6"/>
      <c r="U37" s="20">
        <f t="shared" si="0"/>
        <v>12071.66130504242</v>
      </c>
      <c r="V37" s="6"/>
      <c r="W37" s="20">
        <f t="shared" si="5"/>
        <v>-1973.6971634525689</v>
      </c>
      <c r="X37" s="6"/>
      <c r="Y37" s="296">
        <f t="shared" si="6"/>
        <v>-12.14889395756818</v>
      </c>
      <c r="Z37" s="255"/>
      <c r="AB37" s="154">
        <f>+IF(AB36&gt;$G$13+$G$14,XX,AB36+1)</f>
        <v>2017</v>
      </c>
      <c r="AC37" s="124"/>
      <c r="AD37" s="159">
        <f t="shared" si="1"/>
        <v>162459</v>
      </c>
      <c r="AE37" s="3"/>
      <c r="AF37" s="162">
        <f t="shared" si="13"/>
        <v>68.562187461721138</v>
      </c>
      <c r="AG37" s="3"/>
      <c r="AH37" s="162">
        <f t="shared" si="14"/>
        <v>9.6661634288907106</v>
      </c>
      <c r="AI37" s="3"/>
      <c r="AJ37" s="162">
        <f t="shared" si="15"/>
        <v>2.7172121212280702</v>
      </c>
      <c r="AK37" s="3"/>
      <c r="AL37" s="161">
        <f t="shared" si="7"/>
        <v>3360.8459379494006</v>
      </c>
      <c r="AM37" s="3"/>
      <c r="AN37" s="162">
        <f>INDEX('(2.2)_Forward_Price_Curve'!$K:$K,MATCH($AB37,'(2.2)_Forward_Price_Curve'!$C:$C,0),1)</f>
        <v>8.5467545643478058</v>
      </c>
      <c r="AO37" s="3"/>
      <c r="AP37" s="162">
        <f t="shared" si="8"/>
        <v>62.100900972324112</v>
      </c>
      <c r="AQ37" s="3"/>
      <c r="AR37" s="162">
        <f t="shared" si="16"/>
        <v>2.8126464852867898</v>
      </c>
      <c r="AS37" s="162"/>
      <c r="AT37" s="161">
        <f t="shared" si="2"/>
        <v>1525.87129862641</v>
      </c>
      <c r="AU37" s="3"/>
      <c r="AV37" s="161">
        <f t="shared" si="3"/>
        <v>10545.790006416009</v>
      </c>
      <c r="AW37" s="299"/>
      <c r="AX37" s="163">
        <f t="shared" si="9"/>
        <v>12071.66130504242</v>
      </c>
      <c r="AZ37" s="154">
        <f>+IF(AZ36&gt;$G$13+$G$14,XX,AZ36+1)</f>
        <v>2017</v>
      </c>
      <c r="BA37" s="124"/>
      <c r="BB37" s="162">
        <f t="shared" si="17"/>
        <v>46.19880902781555</v>
      </c>
      <c r="BC37" s="3"/>
      <c r="BD37" s="162">
        <f t="shared" si="18"/>
        <v>7.0242145821308108</v>
      </c>
      <c r="BE37" s="3"/>
      <c r="BF37" s="161">
        <f t="shared" si="10"/>
        <v>1834.9746393229907</v>
      </c>
      <c r="BG37" s="3"/>
      <c r="BH37" s="165"/>
    </row>
    <row r="38" spans="2:60" ht="12">
      <c r="B38" s="2"/>
      <c r="C38" s="6">
        <f>+IF(C37&gt;$G$13+$G$14,XX,C37+1)</f>
        <v>2018</v>
      </c>
      <c r="D38" s="6"/>
      <c r="E38" s="292">
        <v>1.7999999999999999E-2</v>
      </c>
      <c r="F38" s="6"/>
      <c r="G38" s="20">
        <v>162459</v>
      </c>
      <c r="H38" s="6"/>
      <c r="I38" s="30">
        <f t="shared" si="11"/>
        <v>0</v>
      </c>
      <c r="J38" s="6"/>
      <c r="K38" s="30">
        <v>56.042993679320091</v>
      </c>
      <c r="L38" s="6"/>
      <c r="M38" s="30">
        <f t="shared" si="12"/>
        <v>0</v>
      </c>
      <c r="N38" s="6"/>
      <c r="O38" s="295">
        <f>'(2.2)_Forward_Price_Curve'!U30</f>
        <v>6.2240589269115922</v>
      </c>
      <c r="P38" s="6"/>
      <c r="Q38" s="30"/>
      <c r="R38" s="6"/>
      <c r="S38" s="20">
        <f t="shared" si="4"/>
        <v>10115.843099355794</v>
      </c>
      <c r="T38" s="6"/>
      <c r="U38" s="20">
        <f t="shared" si="0"/>
        <v>12768.858429077145</v>
      </c>
      <c r="V38" s="6"/>
      <c r="W38" s="20">
        <f t="shared" si="5"/>
        <v>-2653.015329721351</v>
      </c>
      <c r="X38" s="6"/>
      <c r="Y38" s="296">
        <f t="shared" si="6"/>
        <v>-16.33036846048142</v>
      </c>
      <c r="Z38" s="255"/>
      <c r="AB38" s="154">
        <f>+IF(AB37&gt;$G$13+$G$14,XX,AB37+1)</f>
        <v>2018</v>
      </c>
      <c r="AC38" s="124"/>
      <c r="AD38" s="159">
        <f t="shared" si="1"/>
        <v>162459</v>
      </c>
      <c r="AE38" s="3"/>
      <c r="AF38" s="162">
        <f t="shared" si="13"/>
        <v>69.796306836032116</v>
      </c>
      <c r="AG38" s="3"/>
      <c r="AH38" s="162">
        <f t="shared" si="14"/>
        <v>9.8401543706107439</v>
      </c>
      <c r="AI38" s="3"/>
      <c r="AJ38" s="162">
        <f t="shared" si="15"/>
        <v>2.7661219394101755</v>
      </c>
      <c r="AK38" s="3"/>
      <c r="AL38" s="161">
        <f t="shared" si="7"/>
        <v>3421.34116483249</v>
      </c>
      <c r="AM38" s="3"/>
      <c r="AN38" s="162">
        <f>INDEX('(2.2)_Forward_Price_Curve'!$K:$K,MATCH($AB38,'(2.2)_Forward_Price_Curve'!$C:$C,0),1)</f>
        <v>9.1071488375904099</v>
      </c>
      <c r="AO38" s="3"/>
      <c r="AP38" s="162">
        <f t="shared" si="8"/>
        <v>66.172737715275218</v>
      </c>
      <c r="AQ38" s="3"/>
      <c r="AR38" s="162">
        <f t="shared" si="16"/>
        <v>2.8632741220219522</v>
      </c>
      <c r="AS38" s="162"/>
      <c r="AT38" s="161">
        <f t="shared" si="2"/>
        <v>1553.3369820016856</v>
      </c>
      <c r="AU38" s="3"/>
      <c r="AV38" s="161">
        <f t="shared" si="3"/>
        <v>11215.52144707546</v>
      </c>
      <c r="AW38" s="299"/>
      <c r="AX38" s="163">
        <f t="shared" si="9"/>
        <v>12768.858429077145</v>
      </c>
      <c r="AZ38" s="154">
        <f>+IF(AZ37&gt;$G$13+$G$14,XX,AZ37+1)</f>
        <v>2018</v>
      </c>
      <c r="BA38" s="124"/>
      <c r="BB38" s="162">
        <f t="shared" si="17"/>
        <v>47.030387590316231</v>
      </c>
      <c r="BC38" s="3"/>
      <c r="BD38" s="162">
        <f t="shared" si="18"/>
        <v>7.1506504446091652</v>
      </c>
      <c r="BE38" s="3"/>
      <c r="BF38" s="161">
        <f t="shared" si="10"/>
        <v>1868.0041828308044</v>
      </c>
      <c r="BG38" s="3"/>
      <c r="BH38" s="165"/>
    </row>
    <row r="39" spans="2:60" ht="12">
      <c r="B39" s="2"/>
      <c r="C39" s="6">
        <f>+IF(C38&gt;$G$13+$G$14,XX,C38+1)</f>
        <v>2019</v>
      </c>
      <c r="D39" s="6"/>
      <c r="E39" s="292">
        <v>1.7999999999999999E-2</v>
      </c>
      <c r="F39" s="6"/>
      <c r="G39" s="20">
        <v>162459</v>
      </c>
      <c r="H39" s="6"/>
      <c r="I39" s="30">
        <f t="shared" si="11"/>
        <v>0</v>
      </c>
      <c r="J39" s="6"/>
      <c r="K39" s="30">
        <v>56.042993679320091</v>
      </c>
      <c r="L39" s="6"/>
      <c r="M39" s="30">
        <f t="shared" si="12"/>
        <v>0</v>
      </c>
      <c r="N39" s="6"/>
      <c r="O39" s="295">
        <f>'(2.2)_Forward_Price_Curve'!U31</f>
        <v>6.3360919875960011</v>
      </c>
      <c r="P39" s="6"/>
      <c r="Q39" s="30"/>
      <c r="R39" s="6"/>
      <c r="S39" s="20">
        <f t="shared" si="4"/>
        <v>10134.043878361521</v>
      </c>
      <c r="T39" s="6"/>
      <c r="U39" s="20">
        <f t="shared" si="0"/>
        <v>13539.196065496766</v>
      </c>
      <c r="V39" s="6"/>
      <c r="W39" s="20">
        <f t="shared" si="5"/>
        <v>-3405.1521871352452</v>
      </c>
      <c r="X39" s="6"/>
      <c r="Y39" s="296">
        <f t="shared" si="6"/>
        <v>-20.960071077227148</v>
      </c>
      <c r="Z39" s="255"/>
      <c r="AB39" s="154">
        <f>+IF(AB38&gt;$G$13+$G$14,XX,AB38+1)</f>
        <v>2019</v>
      </c>
      <c r="AC39" s="124"/>
      <c r="AD39" s="159">
        <f t="shared" si="1"/>
        <v>162459</v>
      </c>
      <c r="AE39" s="3"/>
      <c r="AF39" s="162">
        <f t="shared" si="13"/>
        <v>71.052640359080698</v>
      </c>
      <c r="AG39" s="3"/>
      <c r="AH39" s="162">
        <f t="shared" si="14"/>
        <v>10.017277149281737</v>
      </c>
      <c r="AI39" s="3"/>
      <c r="AJ39" s="162">
        <f t="shared" si="15"/>
        <v>2.8159121343195586</v>
      </c>
      <c r="AK39" s="3"/>
      <c r="AL39" s="161">
        <f t="shared" si="7"/>
        <v>3482.9253057994747</v>
      </c>
      <c r="AM39" s="3"/>
      <c r="AN39" s="162">
        <f>INDEX('(2.2)_Forward_Price_Curve'!$K:$K,MATCH($AB39,'(2.2)_Forward_Price_Curve'!$C:$C,0),1)</f>
        <v>9.7289597532905745</v>
      </c>
      <c r="AO39" s="3"/>
      <c r="AP39" s="162">
        <f t="shared" si="8"/>
        <v>70.69082909237946</v>
      </c>
      <c r="AQ39" s="3"/>
      <c r="AR39" s="162">
        <f t="shared" si="16"/>
        <v>2.9148130562183474</v>
      </c>
      <c r="AS39" s="162"/>
      <c r="AT39" s="161">
        <f t="shared" si="2"/>
        <v>1581.2970476777155</v>
      </c>
      <c r="AU39" s="3"/>
      <c r="AV39" s="161">
        <f t="shared" si="3"/>
        <v>11957.899017819051</v>
      </c>
      <c r="AW39" s="299"/>
      <c r="AX39" s="163">
        <f t="shared" si="9"/>
        <v>13539.196065496766</v>
      </c>
      <c r="AZ39" s="154">
        <f>+IF(AZ38&gt;$G$13+$G$14,XX,AZ38+1)</f>
        <v>2019</v>
      </c>
      <c r="BA39" s="124"/>
      <c r="BB39" s="162">
        <f t="shared" si="17"/>
        <v>47.876934566941927</v>
      </c>
      <c r="BC39" s="3"/>
      <c r="BD39" s="162">
        <f t="shared" si="18"/>
        <v>7.2793621526121299</v>
      </c>
      <c r="BE39" s="3"/>
      <c r="BF39" s="161">
        <f t="shared" si="10"/>
        <v>1901.6282581217592</v>
      </c>
      <c r="BG39" s="3"/>
      <c r="BH39" s="165"/>
    </row>
    <row r="40" spans="2:60" ht="12">
      <c r="B40" s="2"/>
      <c r="C40" s="6">
        <f>+IF(C39&gt;$G$13+$G$14,XX,C39+1)</f>
        <v>2020</v>
      </c>
      <c r="D40" s="6"/>
      <c r="E40" s="292">
        <v>1.7999999999999999E-2</v>
      </c>
      <c r="F40" s="6"/>
      <c r="G40" s="20">
        <v>163109</v>
      </c>
      <c r="H40" s="6"/>
      <c r="I40" s="30">
        <f t="shared" si="11"/>
        <v>0</v>
      </c>
      <c r="J40" s="6"/>
      <c r="K40" s="30">
        <v>56.042993679320091</v>
      </c>
      <c r="L40" s="6"/>
      <c r="M40" s="30">
        <f t="shared" si="12"/>
        <v>0</v>
      </c>
      <c r="N40" s="6"/>
      <c r="O40" s="295">
        <f>'(2.2)_Forward_Price_Curve'!U32</f>
        <v>6.4501416433727297</v>
      </c>
      <c r="P40" s="6"/>
      <c r="Q40" s="30"/>
      <c r="R40" s="6"/>
      <c r="S40" s="20">
        <f t="shared" si="4"/>
        <v>10193.192809349102</v>
      </c>
      <c r="T40" s="6"/>
      <c r="U40" s="20">
        <f t="shared" si="0"/>
        <v>14074.32664022463</v>
      </c>
      <c r="V40" s="6"/>
      <c r="W40" s="20">
        <f t="shared" si="5"/>
        <v>-3881.1338308755276</v>
      </c>
      <c r="X40" s="6"/>
      <c r="Y40" s="296">
        <f t="shared" si="6"/>
        <v>-23.794725189140561</v>
      </c>
      <c r="Z40" s="255"/>
      <c r="AB40" s="154">
        <f>+IF(AB39&gt;$G$13+$G$14,XX,AB39+1)</f>
        <v>2020</v>
      </c>
      <c r="AC40" s="124"/>
      <c r="AD40" s="159">
        <f t="shared" si="1"/>
        <v>163109</v>
      </c>
      <c r="AE40" s="3"/>
      <c r="AF40" s="162">
        <f t="shared" si="13"/>
        <v>72.331587885544153</v>
      </c>
      <c r="AG40" s="3"/>
      <c r="AH40" s="162">
        <f t="shared" si="14"/>
        <v>10.197588137968809</v>
      </c>
      <c r="AI40" s="3"/>
      <c r="AJ40" s="162">
        <f t="shared" si="15"/>
        <v>2.8665985527373108</v>
      </c>
      <c r="AK40" s="3"/>
      <c r="AL40" s="161">
        <f t="shared" si="7"/>
        <v>3547.4812503631442</v>
      </c>
      <c r="AM40" s="3"/>
      <c r="AN40" s="162">
        <f>INDEX('(2.2)_Forward_Price_Curve'!$K:$K,MATCH($AB40,'(2.2)_Forward_Price_Curve'!$C:$C,0),1)</f>
        <v>10.107309478601163</v>
      </c>
      <c r="AO40" s="3"/>
      <c r="AP40" s="162">
        <f t="shared" si="8"/>
        <v>73.43992626692922</v>
      </c>
      <c r="AQ40" s="3"/>
      <c r="AR40" s="162">
        <f t="shared" si="16"/>
        <v>2.9672796912302779</v>
      </c>
      <c r="AS40" s="162"/>
      <c r="AT40" s="161">
        <f t="shared" si="2"/>
        <v>1611.6236835951934</v>
      </c>
      <c r="AU40" s="3"/>
      <c r="AV40" s="161">
        <f t="shared" si="3"/>
        <v>12462.702956629437</v>
      </c>
      <c r="AW40" s="299"/>
      <c r="AX40" s="163">
        <f t="shared" si="9"/>
        <v>14074.32664022463</v>
      </c>
      <c r="AZ40" s="154">
        <f>+IF(AZ39&gt;$G$13+$G$14,XX,AZ39+1)</f>
        <v>2020</v>
      </c>
      <c r="BA40" s="124"/>
      <c r="BB40" s="162">
        <f t="shared" si="17"/>
        <v>48.73871938914688</v>
      </c>
      <c r="BC40" s="3"/>
      <c r="BD40" s="162">
        <f t="shared" si="18"/>
        <v>7.4103906713591483</v>
      </c>
      <c r="BE40" s="3"/>
      <c r="BF40" s="161">
        <f t="shared" si="10"/>
        <v>1935.8575667679509</v>
      </c>
      <c r="BG40" s="3"/>
      <c r="BH40" s="165"/>
    </row>
    <row r="41" spans="2:60" ht="12">
      <c r="B41" s="2"/>
      <c r="C41" s="6">
        <f>+IF(C40&gt;$G$13+$G$14,XX,C40+1)</f>
        <v>2021</v>
      </c>
      <c r="D41" s="6"/>
      <c r="E41" s="292">
        <v>1.7999999999999999E-2</v>
      </c>
      <c r="F41" s="6"/>
      <c r="G41" s="20">
        <v>162459</v>
      </c>
      <c r="H41" s="6"/>
      <c r="I41" s="30">
        <f t="shared" si="11"/>
        <v>0</v>
      </c>
      <c r="J41" s="6"/>
      <c r="K41" s="30">
        <v>56.042993679320091</v>
      </c>
      <c r="L41" s="6"/>
      <c r="M41" s="30">
        <f t="shared" si="12"/>
        <v>0</v>
      </c>
      <c r="N41" s="6"/>
      <c r="O41" s="295">
        <f>'(2.2)_Forward_Price_Curve'!U33</f>
        <v>6.5662441929534392</v>
      </c>
      <c r="P41" s="6"/>
      <c r="Q41" s="30"/>
      <c r="R41" s="6"/>
      <c r="S41" s="20">
        <f t="shared" si="4"/>
        <v>10171.434175491686</v>
      </c>
      <c r="T41" s="6"/>
      <c r="U41" s="20">
        <f t="shared" si="0"/>
        <v>14271.649355542231</v>
      </c>
      <c r="V41" s="6"/>
      <c r="W41" s="20">
        <f t="shared" si="5"/>
        <v>-4100.2151800505453</v>
      </c>
      <c r="X41" s="6"/>
      <c r="Y41" s="296">
        <f t="shared" si="6"/>
        <v>-25.238461273617006</v>
      </c>
      <c r="Z41" s="255"/>
      <c r="AB41" s="154">
        <f>+IF(AB40&gt;$G$13+$G$14,XX,AB40+1)</f>
        <v>2021</v>
      </c>
      <c r="AC41" s="124"/>
      <c r="AD41" s="159">
        <f t="shared" si="1"/>
        <v>162459</v>
      </c>
      <c r="AE41" s="3"/>
      <c r="AF41" s="162">
        <f t="shared" si="13"/>
        <v>73.633556467483942</v>
      </c>
      <c r="AG41" s="3"/>
      <c r="AH41" s="162">
        <f t="shared" si="14"/>
        <v>10.381144724452248</v>
      </c>
      <c r="AI41" s="3"/>
      <c r="AJ41" s="162">
        <f t="shared" si="15"/>
        <v>2.9181973266865824</v>
      </c>
      <c r="AK41" s="3"/>
      <c r="AL41" s="161">
        <f t="shared" si="7"/>
        <v>3609.4390846073338</v>
      </c>
      <c r="AM41" s="3"/>
      <c r="AN41" s="162">
        <f>INDEX('(2.2)_Forward_Price_Curve'!$K:$K,MATCH($AB41,'(2.2)_Forward_Price_Curve'!$C:$C,0),1)</f>
        <v>10.286225465001079</v>
      </c>
      <c r="AO41" s="3"/>
      <c r="AP41" s="162">
        <f t="shared" si="8"/>
        <v>74.739933640504091</v>
      </c>
      <c r="AQ41" s="3"/>
      <c r="AR41" s="162">
        <f t="shared" si="16"/>
        <v>3.0206907256724231</v>
      </c>
      <c r="AS41" s="162"/>
      <c r="AT41" s="161">
        <f t="shared" si="2"/>
        <v>1638.7360816375599</v>
      </c>
      <c r="AU41" s="3"/>
      <c r="AV41" s="161">
        <f t="shared" si="3"/>
        <v>12632.913273904671</v>
      </c>
      <c r="AW41" s="299"/>
      <c r="AX41" s="163">
        <f t="shared" si="9"/>
        <v>14271.649355542231</v>
      </c>
      <c r="AZ41" s="154">
        <f>+IF(AZ40&gt;$G$13+$G$14,XX,AZ40+1)</f>
        <v>2021</v>
      </c>
      <c r="BA41" s="124"/>
      <c r="BB41" s="162">
        <f t="shared" si="17"/>
        <v>49.616016338151525</v>
      </c>
      <c r="BC41" s="3"/>
      <c r="BD41" s="162">
        <f t="shared" si="18"/>
        <v>7.5437777034436131</v>
      </c>
      <c r="BE41" s="3"/>
      <c r="BF41" s="161">
        <f t="shared" si="10"/>
        <v>1970.7030029697739</v>
      </c>
      <c r="BG41" s="3"/>
      <c r="BH41" s="165"/>
    </row>
    <row r="42" spans="2:60" ht="12">
      <c r="B42" s="2"/>
      <c r="C42" s="6">
        <f>+IF(C41&gt;$G$13+$G$14,XX,C41+1)</f>
        <v>2022</v>
      </c>
      <c r="D42" s="6"/>
      <c r="E42" s="292">
        <v>1.9E-2</v>
      </c>
      <c r="F42" s="6"/>
      <c r="G42" s="20">
        <v>162459</v>
      </c>
      <c r="H42" s="6"/>
      <c r="I42" s="30">
        <f t="shared" si="11"/>
        <v>0</v>
      </c>
      <c r="J42" s="6"/>
      <c r="K42" s="30">
        <v>56.042993679320091</v>
      </c>
      <c r="L42" s="6"/>
      <c r="M42" s="30">
        <f t="shared" si="12"/>
        <v>0</v>
      </c>
      <c r="N42" s="6"/>
      <c r="O42" s="295">
        <f>'(2.2)_Forward_Price_Curve'!U34</f>
        <v>6.6910028326195539</v>
      </c>
      <c r="P42" s="6"/>
      <c r="Q42" s="30"/>
      <c r="R42" s="6"/>
      <c r="S42" s="20">
        <f t="shared" si="4"/>
        <v>10191.702339333202</v>
      </c>
      <c r="T42" s="6"/>
      <c r="U42" s="20">
        <f t="shared" si="0"/>
        <v>14543.078850116264</v>
      </c>
      <c r="V42" s="6"/>
      <c r="W42" s="20">
        <f t="shared" si="5"/>
        <v>-4351.3765107830623</v>
      </c>
      <c r="X42" s="6"/>
      <c r="Y42" s="296">
        <f t="shared" si="6"/>
        <v>-26.784459529992567</v>
      </c>
      <c r="Z42" s="255"/>
      <c r="AB42" s="154">
        <f>+IF(AB41&gt;$G$13+$G$14,XX,AB41+1)</f>
        <v>2022</v>
      </c>
      <c r="AC42" s="124"/>
      <c r="AD42" s="159">
        <f t="shared" si="1"/>
        <v>162459</v>
      </c>
      <c r="AE42" s="3"/>
      <c r="AF42" s="162">
        <f t="shared" si="13"/>
        <v>75.032594040366135</v>
      </c>
      <c r="AG42" s="3"/>
      <c r="AH42" s="162">
        <f t="shared" si="14"/>
        <v>10.57838647421684</v>
      </c>
      <c r="AI42" s="3"/>
      <c r="AJ42" s="162">
        <f t="shared" si="15"/>
        <v>2.973643075893627</v>
      </c>
      <c r="AK42" s="3"/>
      <c r="AL42" s="161">
        <f t="shared" si="7"/>
        <v>3678.018427214874</v>
      </c>
      <c r="AM42" s="3"/>
      <c r="AN42" s="162">
        <f>INDEX('(2.2)_Forward_Price_Curve'!$K:$K,MATCH($AB42,'(2.2)_Forward_Price_Curve'!$C:$C,0),1)</f>
        <v>10.481890917487915</v>
      </c>
      <c r="AO42" s="3"/>
      <c r="AP42" s="162">
        <f t="shared" si="8"/>
        <v>76.16164299194341</v>
      </c>
      <c r="AQ42" s="3"/>
      <c r="AR42" s="162">
        <f t="shared" si="16"/>
        <v>3.078083849460199</v>
      </c>
      <c r="AS42" s="162"/>
      <c r="AT42" s="161">
        <f t="shared" si="2"/>
        <v>1669.8720671886747</v>
      </c>
      <c r="AU42" s="3"/>
      <c r="AV42" s="161">
        <f t="shared" si="3"/>
        <v>12873.206782927589</v>
      </c>
      <c r="AW42" s="299"/>
      <c r="AX42" s="163">
        <f t="shared" si="9"/>
        <v>14543.078850116264</v>
      </c>
      <c r="AZ42" s="154">
        <f>+IF(AZ41&gt;$G$13+$G$14,XX,AZ41+1)</f>
        <v>2022</v>
      </c>
      <c r="BA42" s="124"/>
      <c r="BB42" s="162">
        <f t="shared" si="17"/>
        <v>50.558720648576397</v>
      </c>
      <c r="BC42" s="3"/>
      <c r="BD42" s="162">
        <f t="shared" si="18"/>
        <v>7.6871094798090409</v>
      </c>
      <c r="BE42" s="3"/>
      <c r="BF42" s="161">
        <f t="shared" si="10"/>
        <v>2008.1463600261993</v>
      </c>
      <c r="BG42" s="3"/>
      <c r="BH42" s="165"/>
    </row>
    <row r="43" spans="2:60" ht="13.5" customHeight="1">
      <c r="B43" s="2"/>
      <c r="C43" s="6">
        <f>+IF(C42&gt;$G$13+$G$14,XX,C42+1)</f>
        <v>2023</v>
      </c>
      <c r="D43" s="6"/>
      <c r="E43" s="292">
        <v>1.9E-2</v>
      </c>
      <c r="F43" s="6"/>
      <c r="G43" s="20">
        <v>162459</v>
      </c>
      <c r="H43" s="6"/>
      <c r="I43" s="30">
        <f t="shared" si="11"/>
        <v>0</v>
      </c>
      <c r="J43" s="6"/>
      <c r="K43" s="30">
        <v>56.042993679320091</v>
      </c>
      <c r="L43" s="6"/>
      <c r="M43" s="30">
        <f t="shared" si="12"/>
        <v>0</v>
      </c>
      <c r="N43" s="6"/>
      <c r="O43" s="295">
        <f>'(2.2)_Forward_Price_Curve'!U35</f>
        <v>6.8181318864393248</v>
      </c>
      <c r="P43" s="6"/>
      <c r="Q43" s="30"/>
      <c r="R43" s="6"/>
      <c r="S43" s="20">
        <f t="shared" ref="S43:S49" si="19">(I43*$G$11*1000+(K43+M43+O43+Q43)*G43)/1000</f>
        <v>10212.35559828771</v>
      </c>
      <c r="T43" s="6"/>
      <c r="U43" s="20">
        <f t="shared" ref="U43:U49" si="20">AX43</f>
        <v>14817.61821465828</v>
      </c>
      <c r="V43" s="6"/>
      <c r="W43" s="20">
        <f t="shared" ref="W43:W49" si="21">S43-U43</f>
        <v>-4605.26261637057</v>
      </c>
      <c r="X43" s="6"/>
      <c r="Y43" s="296">
        <f t="shared" ref="Y43:Y49" si="22">+W43*1000/G43</f>
        <v>-28.347229863353647</v>
      </c>
      <c r="Z43" s="255"/>
      <c r="AB43" s="154">
        <f>+IF(AB42&gt;$G$13+$G$14,XX,AB42+1)</f>
        <v>2023</v>
      </c>
      <c r="AC43" s="124"/>
      <c r="AD43" s="159">
        <f t="shared" ref="AD43:AD49" si="23">G43</f>
        <v>162459</v>
      </c>
      <c r="AE43" s="3"/>
      <c r="AF43" s="162">
        <f t="shared" si="13"/>
        <v>76.45821332713308</v>
      </c>
      <c r="AG43" s="3"/>
      <c r="AH43" s="162">
        <f t="shared" si="14"/>
        <v>10.77937581722696</v>
      </c>
      <c r="AI43" s="3"/>
      <c r="AJ43" s="162">
        <f t="shared" si="15"/>
        <v>3.0301422943356058</v>
      </c>
      <c r="AK43" s="3"/>
      <c r="AL43" s="161">
        <f t="shared" ref="AL43:AL49" si="24">((AF43+AH43)*$AF$11*1000+AJ43*AD43)/1000</f>
        <v>3747.9007773319563</v>
      </c>
      <c r="AM43" s="3"/>
      <c r="AN43" s="162">
        <f>INDEX('(2.2)_Forward_Price_Curve'!$K:$K,MATCH($AB43,'(2.2)_Forward_Price_Curve'!$C:$C,0),1)</f>
        <v>10.679539654517416</v>
      </c>
      <c r="AO43" s="3"/>
      <c r="AP43" s="162">
        <f t="shared" ref="AP43:AP49" si="25">AN43*$AF$14/1000</f>
        <v>77.597762931174486</v>
      </c>
      <c r="AQ43" s="3"/>
      <c r="AR43" s="162">
        <f t="shared" si="16"/>
        <v>3.1365674425999424</v>
      </c>
      <c r="AS43" s="162"/>
      <c r="AT43" s="161">
        <f t="shared" ref="AT43:AT49" si="26">AL43-BF43</f>
        <v>1701.5996364652592</v>
      </c>
      <c r="AU43" s="3"/>
      <c r="AV43" s="161">
        <f t="shared" ref="AV43:AV49" si="27">(AP43+AR43)*AD43/1000</f>
        <v>13116.018578193019</v>
      </c>
      <c r="AW43" s="299"/>
      <c r="AX43" s="163">
        <f t="shared" ref="AX43:AX49" si="28">AT43+AV43</f>
        <v>14817.61821465828</v>
      </c>
      <c r="AZ43" s="154">
        <f>+IF(AZ42&gt;$G$13+$G$14,XX,AZ42+1)</f>
        <v>2023</v>
      </c>
      <c r="BA43" s="124"/>
      <c r="BB43" s="162">
        <f t="shared" si="17"/>
        <v>51.519336340899343</v>
      </c>
      <c r="BC43" s="3"/>
      <c r="BD43" s="162">
        <f t="shared" si="18"/>
        <v>7.8331645599254118</v>
      </c>
      <c r="BE43" s="3"/>
      <c r="BF43" s="161">
        <f t="shared" ref="BF43:BF49" si="29">(BB43+BD43)*$BD$11</f>
        <v>2046.3011408666971</v>
      </c>
      <c r="BG43" s="3"/>
      <c r="BH43" s="165"/>
    </row>
    <row r="44" spans="2:60" ht="12">
      <c r="B44" s="2"/>
      <c r="C44" s="6">
        <f>+IF(C43&gt;$G$13+$G$14,XX,C43+1)</f>
        <v>2024</v>
      </c>
      <c r="D44" s="6"/>
      <c r="E44" s="292">
        <v>1.9E-2</v>
      </c>
      <c r="F44" s="6"/>
      <c r="G44" s="20">
        <v>163109</v>
      </c>
      <c r="H44" s="6"/>
      <c r="I44" s="30">
        <f t="shared" si="11"/>
        <v>0</v>
      </c>
      <c r="J44" s="6"/>
      <c r="K44" s="30">
        <v>56.042993679320091</v>
      </c>
      <c r="L44" s="6"/>
      <c r="M44" s="30">
        <f t="shared" si="12"/>
        <v>0</v>
      </c>
      <c r="N44" s="6"/>
      <c r="O44" s="295">
        <f>'(2.2)_Forward_Price_Curve'!U36</f>
        <v>6.9476763922816716</v>
      </c>
      <c r="P44" s="6"/>
      <c r="Q44" s="30"/>
      <c r="R44" s="6"/>
      <c r="S44" s="20">
        <f t="shared" si="19"/>
        <v>10274.34520470889</v>
      </c>
      <c r="T44" s="6"/>
      <c r="U44" s="20">
        <f t="shared" si="20"/>
        <v>15155.983502950461</v>
      </c>
      <c r="V44" s="6"/>
      <c r="W44" s="20">
        <f t="shared" si="21"/>
        <v>-4881.6382982415707</v>
      </c>
      <c r="X44" s="6"/>
      <c r="Y44" s="296">
        <f t="shared" si="22"/>
        <v>-29.928687553976609</v>
      </c>
      <c r="Z44" s="255"/>
      <c r="AB44" s="154">
        <f>+IF(AB43&gt;$G$13+$G$14,XX,AB43+1)</f>
        <v>2024</v>
      </c>
      <c r="AC44" s="124"/>
      <c r="AD44" s="159">
        <f t="shared" si="23"/>
        <v>163109</v>
      </c>
      <c r="AE44" s="3"/>
      <c r="AF44" s="162">
        <f t="shared" si="13"/>
        <v>77.910919380348602</v>
      </c>
      <c r="AG44" s="3"/>
      <c r="AH44" s="162">
        <f t="shared" si="14"/>
        <v>10.98418395775427</v>
      </c>
      <c r="AI44" s="3"/>
      <c r="AJ44" s="162">
        <f t="shared" si="15"/>
        <v>3.0877149979279821</v>
      </c>
      <c r="AK44" s="3"/>
      <c r="AL44" s="161">
        <f t="shared" si="24"/>
        <v>3821.1179068499159</v>
      </c>
      <c r="AM44" s="3"/>
      <c r="AN44" s="162">
        <f>INDEX('(2.2)_Forward_Price_Curve'!$K:$K,MATCH($AB44,'(2.2)_Forward_Price_Curve'!$C:$C,0),1)</f>
        <v>10.883589278444866</v>
      </c>
      <c r="AO44" s="3"/>
      <c r="AP44" s="162">
        <f t="shared" si="25"/>
        <v>79.080391851141073</v>
      </c>
      <c r="AQ44" s="3"/>
      <c r="AR44" s="162">
        <f t="shared" si="16"/>
        <v>3.196162224009341</v>
      </c>
      <c r="AS44" s="162"/>
      <c r="AT44" s="161">
        <f t="shared" si="26"/>
        <v>1735.9370443067519</v>
      </c>
      <c r="AU44" s="3"/>
      <c r="AV44" s="161">
        <f t="shared" si="27"/>
        <v>13420.046458643708</v>
      </c>
      <c r="AW44" s="299"/>
      <c r="AX44" s="163">
        <f t="shared" si="28"/>
        <v>15155.983502950461</v>
      </c>
      <c r="AZ44" s="154">
        <f>+IF(AZ43&gt;$G$13+$G$14,XX,AZ43+1)</f>
        <v>2024</v>
      </c>
      <c r="BA44" s="124"/>
      <c r="BB44" s="162">
        <f t="shared" si="17"/>
        <v>52.498203731376428</v>
      </c>
      <c r="BC44" s="3"/>
      <c r="BD44" s="162">
        <f t="shared" si="18"/>
        <v>7.9819946865639944</v>
      </c>
      <c r="BE44" s="3"/>
      <c r="BF44" s="161">
        <f t="shared" si="29"/>
        <v>2085.180862543164</v>
      </c>
      <c r="BG44" s="3"/>
      <c r="BH44" s="165"/>
    </row>
    <row r="45" spans="2:60" ht="12">
      <c r="B45" s="2"/>
      <c r="C45" s="6">
        <f>+IF(C44&gt;$G$13+$G$14,XX,C44+1)</f>
        <v>2025</v>
      </c>
      <c r="D45" s="6"/>
      <c r="E45" s="292">
        <v>1.9E-2</v>
      </c>
      <c r="F45" s="6"/>
      <c r="G45" s="20">
        <v>162459</v>
      </c>
      <c r="H45" s="6"/>
      <c r="I45" s="30">
        <f t="shared" si="11"/>
        <v>0</v>
      </c>
      <c r="J45" s="6"/>
      <c r="K45" s="30">
        <v>56.042993679320091</v>
      </c>
      <c r="L45" s="6"/>
      <c r="M45" s="30">
        <f t="shared" si="12"/>
        <v>0</v>
      </c>
      <c r="N45" s="6"/>
      <c r="O45" s="295">
        <f>'(2.2)_Forward_Price_Curve'!U37</f>
        <v>7.0796822437350224</v>
      </c>
      <c r="P45" s="6"/>
      <c r="Q45" s="30"/>
      <c r="R45" s="6"/>
      <c r="S45" s="20">
        <f t="shared" si="19"/>
        <v>10254.846807783611</v>
      </c>
      <c r="T45" s="6"/>
      <c r="U45" s="20">
        <f t="shared" si="20"/>
        <v>15387.109448245379</v>
      </c>
      <c r="V45" s="6"/>
      <c r="W45" s="20">
        <f t="shared" si="21"/>
        <v>-5132.2626404617677</v>
      </c>
      <c r="X45" s="6"/>
      <c r="Y45" s="296">
        <f t="shared" si="22"/>
        <v>-31.59112539447964</v>
      </c>
      <c r="Z45" s="255"/>
      <c r="AB45" s="154">
        <f>+IF(AB44&gt;$G$13+$G$14,XX,AB44+1)</f>
        <v>2025</v>
      </c>
      <c r="AC45" s="124"/>
      <c r="AD45" s="159">
        <f t="shared" si="23"/>
        <v>162459</v>
      </c>
      <c r="AE45" s="3"/>
      <c r="AF45" s="162">
        <f t="shared" si="13"/>
        <v>79.391226848575215</v>
      </c>
      <c r="AG45" s="3"/>
      <c r="AH45" s="162">
        <f t="shared" si="14"/>
        <v>11.1928834529516</v>
      </c>
      <c r="AI45" s="3"/>
      <c r="AJ45" s="162">
        <f t="shared" si="15"/>
        <v>3.1463815828886132</v>
      </c>
      <c r="AK45" s="3"/>
      <c r="AL45" s="161">
        <f t="shared" si="24"/>
        <v>3891.6739990511865</v>
      </c>
      <c r="AM45" s="3"/>
      <c r="AN45" s="162">
        <f>INDEX('(2.2)_Forward_Price_Curve'!$K:$K,MATCH($AB45,'(2.2)_Forward_Price_Curve'!$C:$C,0),1)</f>
        <v>11.090126110825569</v>
      </c>
      <c r="AO45" s="3"/>
      <c r="AP45" s="162">
        <f t="shared" si="25"/>
        <v>80.581092880782762</v>
      </c>
      <c r="AQ45" s="3"/>
      <c r="AR45" s="162">
        <f t="shared" si="16"/>
        <v>3.2568893062655184</v>
      </c>
      <c r="AS45" s="162"/>
      <c r="AT45" s="161">
        <f t="shared" si="26"/>
        <v>1766.8747001197025</v>
      </c>
      <c r="AU45" s="3"/>
      <c r="AV45" s="161">
        <f t="shared" si="27"/>
        <v>13620.234748125677</v>
      </c>
      <c r="AW45" s="299"/>
      <c r="AX45" s="163">
        <f t="shared" si="28"/>
        <v>15387.109448245379</v>
      </c>
      <c r="AZ45" s="154">
        <f>+IF(AZ44&gt;$G$13+$G$14,XX,AZ44+1)</f>
        <v>2025</v>
      </c>
      <c r="BA45" s="124"/>
      <c r="BB45" s="162">
        <f t="shared" si="17"/>
        <v>53.495669602272578</v>
      </c>
      <c r="BC45" s="3"/>
      <c r="BD45" s="162">
        <f t="shared" si="18"/>
        <v>8.1336525856087096</v>
      </c>
      <c r="BE45" s="3"/>
      <c r="BF45" s="161">
        <f t="shared" si="29"/>
        <v>2124.7992989314839</v>
      </c>
      <c r="BG45" s="3"/>
      <c r="BH45" s="165"/>
    </row>
    <row r="46" spans="2:60" ht="12">
      <c r="B46" s="2"/>
      <c r="C46" s="6">
        <f>+IF(C45&gt;$G$13+$G$14,XX,C45+1)</f>
        <v>2026</v>
      </c>
      <c r="D46" s="6"/>
      <c r="E46" s="292">
        <v>1.9E-2</v>
      </c>
      <c r="F46" s="6"/>
      <c r="G46" s="20">
        <v>162459</v>
      </c>
      <c r="H46" s="6"/>
      <c r="I46" s="30">
        <f t="shared" si="11"/>
        <v>0</v>
      </c>
      <c r="J46" s="6"/>
      <c r="K46" s="30">
        <v>56.042993679320091</v>
      </c>
      <c r="L46" s="6"/>
      <c r="M46" s="30">
        <f t="shared" si="12"/>
        <v>0</v>
      </c>
      <c r="N46" s="6"/>
      <c r="O46" s="295">
        <f>'(2.2)_Forward_Price_Curve'!U38</f>
        <v>7.2141962063659868</v>
      </c>
      <c r="P46" s="6"/>
      <c r="Q46" s="30"/>
      <c r="R46" s="6"/>
      <c r="S46" s="20">
        <f t="shared" si="19"/>
        <v>10276.699811638673</v>
      </c>
      <c r="T46" s="6"/>
      <c r="U46" s="20">
        <f t="shared" si="20"/>
        <v>15677.431090314036</v>
      </c>
      <c r="V46" s="6"/>
      <c r="W46" s="20">
        <f t="shared" si="21"/>
        <v>-5400.7312786753628</v>
      </c>
      <c r="X46" s="6"/>
      <c r="Y46" s="296">
        <f t="shared" si="22"/>
        <v>-33.243657037624033</v>
      </c>
      <c r="Z46" s="255"/>
      <c r="AB46" s="154">
        <f>+IF(AB45&gt;$G$13+$G$14,XX,AB45+1)</f>
        <v>2026</v>
      </c>
      <c r="AC46" s="124"/>
      <c r="AD46" s="159">
        <f t="shared" si="23"/>
        <v>162459</v>
      </c>
      <c r="AE46" s="3"/>
      <c r="AF46" s="162">
        <f t="shared" si="13"/>
        <v>80.89966015869814</v>
      </c>
      <c r="AG46" s="3"/>
      <c r="AH46" s="162">
        <f t="shared" si="14"/>
        <v>11.40554823855768</v>
      </c>
      <c r="AI46" s="3"/>
      <c r="AJ46" s="162">
        <f t="shared" si="15"/>
        <v>3.2061628329634968</v>
      </c>
      <c r="AK46" s="3"/>
      <c r="AL46" s="161">
        <f t="shared" si="24"/>
        <v>3965.6158050331587</v>
      </c>
      <c r="AM46" s="3"/>
      <c r="AN46" s="162">
        <f>INDEX('(2.2)_Forward_Price_Curve'!$K:$K,MATCH($AB46,'(2.2)_Forward_Price_Curve'!$C:$C,0),1)</f>
        <v>11.299115883408938</v>
      </c>
      <c r="AO46" s="3"/>
      <c r="AP46" s="162">
        <f t="shared" si="25"/>
        <v>82.099617026259821</v>
      </c>
      <c r="AQ46" s="3"/>
      <c r="AR46" s="162">
        <f t="shared" si="16"/>
        <v>3.3187702030845632</v>
      </c>
      <c r="AS46" s="162"/>
      <c r="AT46" s="161">
        <f t="shared" si="26"/>
        <v>1800.4453194219764</v>
      </c>
      <c r="AU46" s="3"/>
      <c r="AV46" s="161">
        <f t="shared" si="27"/>
        <v>13876.985770892059</v>
      </c>
      <c r="AW46" s="299"/>
      <c r="AX46" s="163">
        <f t="shared" si="28"/>
        <v>15677.431090314036</v>
      </c>
      <c r="AZ46" s="154">
        <f>+IF(AZ45&gt;$G$13+$G$14,XX,AZ45+1)</f>
        <v>2026</v>
      </c>
      <c r="BA46" s="124"/>
      <c r="BB46" s="162">
        <f t="shared" si="17"/>
        <v>54.51208732471575</v>
      </c>
      <c r="BC46" s="3"/>
      <c r="BD46" s="162">
        <f t="shared" si="18"/>
        <v>8.2881919847352741</v>
      </c>
      <c r="BE46" s="3"/>
      <c r="BF46" s="161">
        <f t="shared" si="29"/>
        <v>2165.1704856111824</v>
      </c>
      <c r="BG46" s="3"/>
      <c r="BH46" s="165"/>
    </row>
    <row r="47" spans="2:60" ht="12">
      <c r="B47" s="2"/>
      <c r="C47" s="6">
        <f>+IF(C46&gt;$G$13+$G$14,XX,C46+1)</f>
        <v>2027</v>
      </c>
      <c r="D47" s="6"/>
      <c r="E47" s="292">
        <v>1.9E-2</v>
      </c>
      <c r="F47" s="6"/>
      <c r="G47" s="20">
        <v>162459</v>
      </c>
      <c r="H47" s="6"/>
      <c r="I47" s="30">
        <f t="shared" si="11"/>
        <v>0</v>
      </c>
      <c r="J47" s="6"/>
      <c r="K47" s="30">
        <v>56.042993679320091</v>
      </c>
      <c r="L47" s="6"/>
      <c r="M47" s="30">
        <f t="shared" si="12"/>
        <v>0</v>
      </c>
      <c r="N47" s="6"/>
      <c r="O47" s="295">
        <f>'(2.2)_Forward_Price_Curve'!U39</f>
        <v>7.35126593428694</v>
      </c>
      <c r="P47" s="6"/>
      <c r="Q47" s="30"/>
      <c r="R47" s="6"/>
      <c r="S47" s="20">
        <f t="shared" si="19"/>
        <v>10298.968022566985</v>
      </c>
      <c r="T47" s="6"/>
      <c r="U47" s="20">
        <f t="shared" si="20"/>
        <v>15973.912324507997</v>
      </c>
      <c r="V47" s="6"/>
      <c r="W47" s="20">
        <f t="shared" si="21"/>
        <v>-5674.9443019410119</v>
      </c>
      <c r="X47" s="6"/>
      <c r="Y47" s="296">
        <f t="shared" si="22"/>
        <v>-34.931547663970676</v>
      </c>
      <c r="Z47" s="255"/>
      <c r="AB47" s="154">
        <f>+IF(AB46&gt;$G$13+$G$14,XX,AB46+1)</f>
        <v>2027</v>
      </c>
      <c r="AC47" s="124"/>
      <c r="AD47" s="159">
        <f t="shared" si="23"/>
        <v>162459</v>
      </c>
      <c r="AE47" s="3"/>
      <c r="AF47" s="162">
        <f t="shared" si="13"/>
        <v>82.4367537017134</v>
      </c>
      <c r="AG47" s="3"/>
      <c r="AH47" s="162">
        <f t="shared" si="14"/>
        <v>11.622253655090274</v>
      </c>
      <c r="AI47" s="3"/>
      <c r="AJ47" s="162">
        <f t="shared" si="15"/>
        <v>3.267079926789803</v>
      </c>
      <c r="AK47" s="3"/>
      <c r="AL47" s="161">
        <f t="shared" si="24"/>
        <v>4040.9625053287882</v>
      </c>
      <c r="AM47" s="3"/>
      <c r="AN47" s="162">
        <f>INDEX('(2.2)_Forward_Price_Curve'!$K:$K,MATCH($AB47,'(2.2)_Forward_Price_Curve'!$C:$C,0),1)</f>
        <v>11.51262158558478</v>
      </c>
      <c r="AO47" s="3"/>
      <c r="AP47" s="162">
        <f t="shared" si="25"/>
        <v>83.650954012483467</v>
      </c>
      <c r="AQ47" s="3"/>
      <c r="AR47" s="162">
        <f t="shared" si="16"/>
        <v>3.3818268369431697</v>
      </c>
      <c r="AS47" s="162"/>
      <c r="AT47" s="161">
        <f t="shared" si="26"/>
        <v>1834.6537804909935</v>
      </c>
      <c r="AU47" s="3"/>
      <c r="AV47" s="161">
        <f t="shared" si="27"/>
        <v>14139.258544017004</v>
      </c>
      <c r="AW47" s="299"/>
      <c r="AX47" s="163">
        <f t="shared" si="28"/>
        <v>15973.912324507997</v>
      </c>
      <c r="AZ47" s="154">
        <f>+IF(AZ46&gt;$G$13+$G$14,XX,AZ46+1)</f>
        <v>2027</v>
      </c>
      <c r="BA47" s="124"/>
      <c r="BB47" s="162">
        <f t="shared" si="17"/>
        <v>55.547816983885347</v>
      </c>
      <c r="BC47" s="3"/>
      <c r="BD47" s="162">
        <f t="shared" si="18"/>
        <v>8.4456676324452431</v>
      </c>
      <c r="BE47" s="3"/>
      <c r="BF47" s="161">
        <f t="shared" si="29"/>
        <v>2206.3087248377947</v>
      </c>
      <c r="BG47" s="3"/>
      <c r="BH47" s="165"/>
    </row>
    <row r="48" spans="2:60" ht="12">
      <c r="B48" s="2"/>
      <c r="C48" s="6">
        <f>+IF(C47&gt;$G$13+$G$14,XX,C47+1)</f>
        <v>2028</v>
      </c>
      <c r="D48" s="6"/>
      <c r="E48" s="292">
        <v>1.9E-2</v>
      </c>
      <c r="F48" s="6"/>
      <c r="G48" s="20">
        <v>163109</v>
      </c>
      <c r="H48" s="6"/>
      <c r="I48" s="30">
        <f t="shared" si="11"/>
        <v>0</v>
      </c>
      <c r="J48" s="6"/>
      <c r="K48" s="30">
        <v>56.042993679320091</v>
      </c>
      <c r="L48" s="6"/>
      <c r="M48" s="30">
        <f t="shared" si="12"/>
        <v>0</v>
      </c>
      <c r="N48" s="6"/>
      <c r="O48" s="295">
        <f>'(2.2)_Forward_Price_Curve'!U40</f>
        <v>7.4909399870383915</v>
      </c>
      <c r="P48" s="6"/>
      <c r="Q48" s="30"/>
      <c r="R48" s="6"/>
      <c r="S48" s="20">
        <f t="shared" si="19"/>
        <v>10362.956386386064</v>
      </c>
      <c r="T48" s="6"/>
      <c r="U48" s="20">
        <f t="shared" si="20"/>
        <v>16339.448258411479</v>
      </c>
      <c r="V48" s="6"/>
      <c r="W48" s="20">
        <f t="shared" si="21"/>
        <v>-5976.4918720254154</v>
      </c>
      <c r="X48" s="6"/>
      <c r="Y48" s="296">
        <f t="shared" si="22"/>
        <v>-36.641091981591543</v>
      </c>
      <c r="Z48" s="255"/>
      <c r="AB48" s="154">
        <f>+IF(AB47&gt;$G$13+$G$14,XX,AB47+1)</f>
        <v>2028</v>
      </c>
      <c r="AC48" s="124"/>
      <c r="AD48" s="159">
        <f t="shared" si="23"/>
        <v>163109</v>
      </c>
      <c r="AE48" s="3"/>
      <c r="AF48" s="162">
        <f t="shared" si="13"/>
        <v>84.003052022045949</v>
      </c>
      <c r="AG48" s="3"/>
      <c r="AH48" s="162">
        <f t="shared" si="14"/>
        <v>11.843076474536989</v>
      </c>
      <c r="AI48" s="3"/>
      <c r="AJ48" s="162">
        <f t="shared" si="15"/>
        <v>3.3291544453988089</v>
      </c>
      <c r="AK48" s="3"/>
      <c r="AL48" s="161">
        <f t="shared" si="24"/>
        <v>4119.9047433195437</v>
      </c>
      <c r="AM48" s="3"/>
      <c r="AN48" s="162">
        <f>INDEX('(2.2)_Forward_Price_Curve'!$K:$K,MATCH($AB48,'(2.2)_Forward_Price_Curve'!$C:$C,0),1)</f>
        <v>11.7332358254813</v>
      </c>
      <c r="AO48" s="3"/>
      <c r="AP48" s="162">
        <f t="shared" si="25"/>
        <v>85.253941785415222</v>
      </c>
      <c r="AQ48" s="3"/>
      <c r="AR48" s="162">
        <f t="shared" si="16"/>
        <v>3.4460815468450896</v>
      </c>
      <c r="AS48" s="162"/>
      <c r="AT48" s="161">
        <f t="shared" si="26"/>
        <v>1871.6761527098311</v>
      </c>
      <c r="AU48" s="3"/>
      <c r="AV48" s="161">
        <f t="shared" si="27"/>
        <v>14467.772105701648</v>
      </c>
      <c r="AW48" s="299"/>
      <c r="AX48" s="163">
        <f t="shared" si="28"/>
        <v>16339.448258411479</v>
      </c>
      <c r="AZ48" s="154">
        <f>+IF(AZ47&gt;$G$13+$G$14,XX,AZ47+1)</f>
        <v>2028</v>
      </c>
      <c r="BA48" s="124"/>
      <c r="BB48" s="162">
        <f t="shared" si="17"/>
        <v>56.603225506579165</v>
      </c>
      <c r="BC48" s="3"/>
      <c r="BD48" s="162">
        <f t="shared" si="18"/>
        <v>8.6061353174617015</v>
      </c>
      <c r="BE48" s="3"/>
      <c r="BF48" s="161">
        <f t="shared" si="29"/>
        <v>2248.2285906097127</v>
      </c>
      <c r="BG48" s="3"/>
      <c r="BH48" s="165"/>
    </row>
    <row r="49" spans="2:60" ht="12">
      <c r="B49" s="2"/>
      <c r="C49" s="6">
        <f>+IF(C48&gt;$G$13+$G$14,XX,C48+1)</f>
        <v>2029</v>
      </c>
      <c r="D49" s="6"/>
      <c r="E49" s="292">
        <v>0.02</v>
      </c>
      <c r="F49" s="6"/>
      <c r="G49" s="20">
        <v>162459</v>
      </c>
      <c r="H49" s="6"/>
      <c r="I49" s="30">
        <f t="shared" si="11"/>
        <v>0</v>
      </c>
      <c r="J49" s="6"/>
      <c r="K49" s="30">
        <v>56.042993679320091</v>
      </c>
      <c r="L49" s="6"/>
      <c r="M49" s="30">
        <f t="shared" si="12"/>
        <v>0</v>
      </c>
      <c r="N49" s="6"/>
      <c r="O49" s="295">
        <f>'(2.2)_Forward_Price_Curve'!U41</f>
        <v>7.63326784679212</v>
      </c>
      <c r="P49" s="6"/>
      <c r="Q49" s="30"/>
      <c r="R49" s="6"/>
      <c r="S49" s="20">
        <f t="shared" si="19"/>
        <v>10344.781771270664</v>
      </c>
      <c r="T49" s="6"/>
      <c r="U49" s="20">
        <f t="shared" si="20"/>
        <v>16587.560448616125</v>
      </c>
      <c r="V49" s="6"/>
      <c r="W49" s="20">
        <f t="shared" si="21"/>
        <v>-6242.7786773454609</v>
      </c>
      <c r="X49" s="6"/>
      <c r="Y49" s="296">
        <f t="shared" si="22"/>
        <v>-38.426794928846427</v>
      </c>
      <c r="Z49" s="255"/>
      <c r="AB49" s="154">
        <f>+IF(AB48&gt;$G$13+$G$14,XX,AB48+1)</f>
        <v>2029</v>
      </c>
      <c r="AC49" s="124"/>
      <c r="AD49" s="159">
        <f t="shared" si="23"/>
        <v>162459</v>
      </c>
      <c r="AE49" s="3"/>
      <c r="AF49" s="162">
        <f t="shared" si="13"/>
        <v>85.683113062486868</v>
      </c>
      <c r="AG49" s="3"/>
      <c r="AH49" s="162">
        <f t="shared" si="14"/>
        <v>12.07993800402773</v>
      </c>
      <c r="AI49" s="3"/>
      <c r="AJ49" s="162">
        <f t="shared" si="15"/>
        <v>3.395737534306785</v>
      </c>
      <c r="AK49" s="3"/>
      <c r="AL49" s="161">
        <f t="shared" si="24"/>
        <v>4200.0956087886352</v>
      </c>
      <c r="AM49" s="3"/>
      <c r="AN49" s="162">
        <f>INDEX('(2.2)_Forward_Price_Curve'!$K:$K,MATCH($AB49,'(2.2)_Forward_Price_Curve'!$C:$C,0),1)</f>
        <v>11.952938687642925</v>
      </c>
      <c r="AO49" s="3"/>
      <c r="AP49" s="162">
        <f t="shared" si="25"/>
        <v>86.850307468284981</v>
      </c>
      <c r="AQ49" s="3"/>
      <c r="AR49" s="162">
        <f t="shared" si="16"/>
        <v>3.5150031777819915</v>
      </c>
      <c r="AS49" s="162"/>
      <c r="AT49" s="161">
        <f t="shared" si="26"/>
        <v>1906.9024463667288</v>
      </c>
      <c r="AU49" s="3"/>
      <c r="AV49" s="161">
        <f t="shared" si="27"/>
        <v>14680.658002249394</v>
      </c>
      <c r="AW49" s="299"/>
      <c r="AX49" s="163">
        <f t="shared" si="28"/>
        <v>16587.560448616125</v>
      </c>
      <c r="AZ49" s="154">
        <f>+IF(AZ48&gt;$G$13+$G$14,XX,AZ48+1)</f>
        <v>2029</v>
      </c>
      <c r="BA49" s="124"/>
      <c r="BB49" s="162">
        <f t="shared" si="17"/>
        <v>57.735290016710749</v>
      </c>
      <c r="BC49" s="3"/>
      <c r="BD49" s="162">
        <f t="shared" si="18"/>
        <v>8.7782580238109365</v>
      </c>
      <c r="BE49" s="3"/>
      <c r="BF49" s="161">
        <f t="shared" si="29"/>
        <v>2293.1931624219064</v>
      </c>
      <c r="BG49" s="3"/>
      <c r="BH49" s="165"/>
    </row>
    <row r="50" spans="2:60" ht="12">
      <c r="B50" s="2"/>
      <c r="C50" s="6">
        <f>+IF(C49&gt;$G$13+$G$14,XX,C49+1)</f>
        <v>2030</v>
      </c>
      <c r="D50" s="6"/>
      <c r="E50" s="292">
        <v>1.9E-2</v>
      </c>
      <c r="F50" s="6"/>
      <c r="G50" s="20">
        <v>162459</v>
      </c>
      <c r="H50" s="6"/>
      <c r="I50" s="30">
        <f t="shared" si="11"/>
        <v>0</v>
      </c>
      <c r="J50" s="6"/>
      <c r="K50" s="30">
        <v>56.042993679320091</v>
      </c>
      <c r="L50" s="6"/>
      <c r="M50" s="30">
        <f t="shared" si="12"/>
        <v>0</v>
      </c>
      <c r="N50" s="6"/>
      <c r="O50" s="295">
        <f>'(2.2)_Forward_Price_Curve'!U42</f>
        <v>7.7859332037279625</v>
      </c>
      <c r="P50" s="6"/>
      <c r="Q50" s="30"/>
      <c r="R50" s="6"/>
      <c r="S50" s="20">
        <f t="shared" si="4"/>
        <v>10369.583632493104</v>
      </c>
      <c r="T50" s="6"/>
      <c r="U50" s="20">
        <f t="shared" si="0"/>
        <v>14817.61821465828</v>
      </c>
      <c r="V50" s="6"/>
      <c r="W50" s="20">
        <f t="shared" si="5"/>
        <v>-4448.0345821651754</v>
      </c>
      <c r="X50" s="6"/>
      <c r="Y50" s="296">
        <f t="shared" si="6"/>
        <v>-27.379428546065007</v>
      </c>
      <c r="Z50" s="255"/>
      <c r="AB50" s="154">
        <f>+IF(AB42&gt;$G$13+$G$14,XX,AB42+1)</f>
        <v>2023</v>
      </c>
      <c r="AC50" s="124"/>
      <c r="AD50" s="159">
        <f t="shared" si="1"/>
        <v>162459</v>
      </c>
      <c r="AE50" s="3"/>
      <c r="AF50" s="162">
        <f>AF42*(1+$E50)</f>
        <v>76.45821332713308</v>
      </c>
      <c r="AG50" s="3"/>
      <c r="AH50" s="162">
        <f>AH42*(1+$E50)</f>
        <v>10.77937581722696</v>
      </c>
      <c r="AI50" s="3"/>
      <c r="AJ50" s="162">
        <f>AJ42*(1+$E50)</f>
        <v>3.0301422943356058</v>
      </c>
      <c r="AK50" s="3"/>
      <c r="AL50" s="161">
        <f t="shared" si="7"/>
        <v>3747.9007773319563</v>
      </c>
      <c r="AM50" s="3"/>
      <c r="AN50" s="162">
        <f>INDEX('(2.2)_Forward_Price_Curve'!$K:$K,MATCH($AB50,'(2.2)_Forward_Price_Curve'!$C:$C,0),1)</f>
        <v>10.679539654517416</v>
      </c>
      <c r="AO50" s="3"/>
      <c r="AP50" s="162">
        <f t="shared" si="8"/>
        <v>77.597762931174486</v>
      </c>
      <c r="AQ50" s="3"/>
      <c r="AR50" s="162">
        <f>AR42*(1+$E50)</f>
        <v>3.1365674425999424</v>
      </c>
      <c r="AS50" s="162"/>
      <c r="AT50" s="161">
        <f t="shared" si="2"/>
        <v>1701.5996364652592</v>
      </c>
      <c r="AU50" s="3"/>
      <c r="AV50" s="161">
        <f t="shared" si="3"/>
        <v>13116.018578193019</v>
      </c>
      <c r="AW50" s="299"/>
      <c r="AX50" s="163">
        <f t="shared" si="9"/>
        <v>14817.61821465828</v>
      </c>
      <c r="AZ50" s="154">
        <f>+IF(AZ42&gt;$G$13+$G$14,XX,AZ42+1)</f>
        <v>2023</v>
      </c>
      <c r="BA50" s="124"/>
      <c r="BB50" s="162">
        <f>BB42*(1+$E50)</f>
        <v>51.519336340899343</v>
      </c>
      <c r="BC50" s="3"/>
      <c r="BD50" s="162">
        <f>BD42*(1+$E50)</f>
        <v>7.8331645599254118</v>
      </c>
      <c r="BE50" s="3"/>
      <c r="BF50" s="161">
        <f t="shared" si="10"/>
        <v>2046.3011408666971</v>
      </c>
      <c r="BG50" s="3"/>
      <c r="BH50" s="165"/>
    </row>
    <row r="51" spans="2:60" ht="13.5" customHeight="1">
      <c r="B51" s="2"/>
      <c r="C51" s="6">
        <f>+IF(C50&gt;$G$13+$G$14,XX,C50+1)</f>
        <v>2031</v>
      </c>
      <c r="D51" s="6"/>
      <c r="E51" s="292">
        <v>1.9E-2</v>
      </c>
      <c r="F51" s="6"/>
      <c r="G51" s="20">
        <v>162459</v>
      </c>
      <c r="H51" s="6"/>
      <c r="I51" s="30">
        <f t="shared" si="11"/>
        <v>0</v>
      </c>
      <c r="J51" s="6"/>
      <c r="K51" s="30">
        <v>56.042993679320091</v>
      </c>
      <c r="L51" s="6"/>
      <c r="M51" s="30">
        <f t="shared" si="12"/>
        <v>0</v>
      </c>
      <c r="N51" s="6"/>
      <c r="O51" s="295">
        <f>'(2.2)_Forward_Price_Curve'!U43</f>
        <v>7.9416518678025216</v>
      </c>
      <c r="P51" s="6"/>
      <c r="Q51" s="30"/>
      <c r="R51" s="6"/>
      <c r="S51" s="20">
        <f t="shared" si="4"/>
        <v>10394.881530939992</v>
      </c>
      <c r="T51" s="6"/>
      <c r="U51" s="20">
        <f t="shared" si="0"/>
        <v>15100.49672805296</v>
      </c>
      <c r="V51" s="6"/>
      <c r="W51" s="20">
        <f t="shared" si="5"/>
        <v>-4705.6151971129675</v>
      </c>
      <c r="X51" s="6"/>
      <c r="Y51" s="296">
        <f t="shared" si="6"/>
        <v>-28.964940059417867</v>
      </c>
      <c r="Z51" s="255"/>
      <c r="AB51" s="154">
        <f>+IF(AB50&gt;$G$13+$G$14,XX,AB50+1)</f>
        <v>2024</v>
      </c>
      <c r="AC51" s="124"/>
      <c r="AD51" s="159">
        <f t="shared" si="1"/>
        <v>162459</v>
      </c>
      <c r="AE51" s="3"/>
      <c r="AF51" s="162">
        <f t="shared" si="13"/>
        <v>77.910919380348602</v>
      </c>
      <c r="AG51" s="3"/>
      <c r="AH51" s="162">
        <f t="shared" si="14"/>
        <v>10.98418395775427</v>
      </c>
      <c r="AI51" s="3"/>
      <c r="AJ51" s="162">
        <f t="shared" si="15"/>
        <v>3.0877149979279821</v>
      </c>
      <c r="AK51" s="3"/>
      <c r="AL51" s="161">
        <f t="shared" si="7"/>
        <v>3819.1108921012628</v>
      </c>
      <c r="AM51" s="3"/>
      <c r="AN51" s="162">
        <f>INDEX('(2.2)_Forward_Price_Curve'!$K:$K,MATCH($AB51,'(2.2)_Forward_Price_Curve'!$C:$C,0),1)</f>
        <v>10.883589278444866</v>
      </c>
      <c r="AO51" s="3"/>
      <c r="AP51" s="162">
        <f t="shared" si="8"/>
        <v>79.080391851141073</v>
      </c>
      <c r="AQ51" s="3"/>
      <c r="AR51" s="162">
        <f t="shared" si="16"/>
        <v>3.196162224009341</v>
      </c>
      <c r="AS51" s="162"/>
      <c r="AT51" s="161">
        <f t="shared" si="2"/>
        <v>1733.9300295580988</v>
      </c>
      <c r="AU51" s="3"/>
      <c r="AV51" s="161">
        <f t="shared" si="3"/>
        <v>13366.56669849486</v>
      </c>
      <c r="AW51" s="299"/>
      <c r="AX51" s="163">
        <f t="shared" si="9"/>
        <v>15100.49672805296</v>
      </c>
      <c r="AZ51" s="154">
        <f>+IF(AZ50&gt;$G$13+$G$14,XX,AZ50+1)</f>
        <v>2024</v>
      </c>
      <c r="BA51" s="124"/>
      <c r="BB51" s="162">
        <f t="shared" si="17"/>
        <v>52.498203731376428</v>
      </c>
      <c r="BC51" s="3"/>
      <c r="BD51" s="162">
        <f t="shared" si="18"/>
        <v>7.9819946865639944</v>
      </c>
      <c r="BE51" s="3"/>
      <c r="BF51" s="161">
        <f t="shared" si="10"/>
        <v>2085.180862543164</v>
      </c>
      <c r="BG51" s="3"/>
      <c r="BH51" s="165"/>
    </row>
    <row r="52" spans="2:60" ht="12">
      <c r="B52" s="2"/>
      <c r="C52" s="6">
        <f>+IF(C51&gt;$G$13+$G$14,XX,C51+1)</f>
        <v>2032</v>
      </c>
      <c r="D52" s="6"/>
      <c r="E52" s="292">
        <v>1.9E-2</v>
      </c>
      <c r="F52" s="6"/>
      <c r="G52" s="20">
        <v>163109</v>
      </c>
      <c r="H52" s="6"/>
      <c r="I52" s="30">
        <f t="shared" si="11"/>
        <v>0</v>
      </c>
      <c r="J52" s="6"/>
      <c r="K52" s="30">
        <v>56.042993679320091</v>
      </c>
      <c r="L52" s="6"/>
      <c r="M52" s="30">
        <f t="shared" si="12"/>
        <v>0</v>
      </c>
      <c r="N52" s="6"/>
      <c r="O52" s="295">
        <f>'(2.2)_Forward_Price_Curve'!U44</f>
        <v>8.1084265570263732</v>
      </c>
      <c r="P52" s="6"/>
      <c r="Q52" s="30"/>
      <c r="R52" s="6"/>
      <c r="S52" s="20">
        <f t="shared" si="4"/>
        <v>10463.674003330236</v>
      </c>
      <c r="T52" s="6"/>
      <c r="U52" s="20">
        <f t="shared" si="0"/>
        <v>15443.649284695839</v>
      </c>
      <c r="V52" s="6"/>
      <c r="W52" s="20">
        <f t="shared" si="5"/>
        <v>-4979.9752813656032</v>
      </c>
      <c r="X52" s="6"/>
      <c r="Y52" s="296">
        <f t="shared" si="6"/>
        <v>-30.531578768587895</v>
      </c>
      <c r="Z52" s="255"/>
      <c r="AB52" s="154">
        <f>+IF(AB51&gt;$G$13+$G$14,XX,AB51+1)</f>
        <v>2025</v>
      </c>
      <c r="AC52" s="124"/>
      <c r="AD52" s="159">
        <f t="shared" si="1"/>
        <v>163109</v>
      </c>
      <c r="AE52" s="3"/>
      <c r="AF52" s="162">
        <f t="shared" si="13"/>
        <v>79.391226848575215</v>
      </c>
      <c r="AG52" s="3"/>
      <c r="AH52" s="162">
        <f t="shared" si="14"/>
        <v>11.1928834529516</v>
      </c>
      <c r="AI52" s="3"/>
      <c r="AJ52" s="162">
        <f t="shared" si="15"/>
        <v>3.1463815828886132</v>
      </c>
      <c r="AK52" s="3"/>
      <c r="AL52" s="161">
        <f t="shared" si="7"/>
        <v>3893.719147080064</v>
      </c>
      <c r="AM52" s="3"/>
      <c r="AN52" s="162">
        <f>INDEX('(2.2)_Forward_Price_Curve'!$K:$K,MATCH($AB52,'(2.2)_Forward_Price_Curve'!$C:$C,0),1)</f>
        <v>11.090126110825569</v>
      </c>
      <c r="AO52" s="3"/>
      <c r="AP52" s="162">
        <f t="shared" si="8"/>
        <v>80.581092880782762</v>
      </c>
      <c r="AQ52" s="3"/>
      <c r="AR52" s="162">
        <f t="shared" si="16"/>
        <v>3.2568893062655184</v>
      </c>
      <c r="AS52" s="162"/>
      <c r="AT52" s="161">
        <f t="shared" si="2"/>
        <v>1768.9198481485801</v>
      </c>
      <c r="AU52" s="3"/>
      <c r="AV52" s="161">
        <f t="shared" si="3"/>
        <v>13674.729436547259</v>
      </c>
      <c r="AW52" s="299"/>
      <c r="AX52" s="163">
        <f t="shared" si="9"/>
        <v>15443.649284695839</v>
      </c>
      <c r="AZ52" s="154">
        <f>+IF(AZ51&gt;$G$13+$G$14,XX,AZ51+1)</f>
        <v>2025</v>
      </c>
      <c r="BA52" s="124"/>
      <c r="BB52" s="162">
        <f t="shared" si="17"/>
        <v>53.495669602272578</v>
      </c>
      <c r="BC52" s="3"/>
      <c r="BD52" s="162">
        <f t="shared" si="18"/>
        <v>8.1336525856087096</v>
      </c>
      <c r="BE52" s="3"/>
      <c r="BF52" s="161">
        <f t="shared" si="10"/>
        <v>2124.7992989314839</v>
      </c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 ht="12">
      <c r="B57" s="2"/>
      <c r="C57" s="6"/>
      <c r="D57" s="6"/>
      <c r="E57" s="292"/>
      <c r="F57" s="6"/>
      <c r="G57" s="20"/>
      <c r="H57" s="6"/>
      <c r="I57" s="30"/>
      <c r="J57" s="6"/>
      <c r="K57" s="30"/>
      <c r="L57" s="6"/>
      <c r="M57" s="30"/>
      <c r="N57" s="6"/>
      <c r="O57" s="295"/>
      <c r="P57" s="6"/>
      <c r="Q57" s="30"/>
      <c r="R57" s="6"/>
      <c r="S57" s="20"/>
      <c r="T57" s="6"/>
      <c r="U57" s="20"/>
      <c r="V57" s="6"/>
      <c r="W57" s="20"/>
      <c r="X57" s="6"/>
      <c r="Y57" s="296"/>
      <c r="Z57" s="255"/>
      <c r="AB57" s="154"/>
      <c r="AC57" s="124"/>
      <c r="AD57" s="159"/>
      <c r="AE57" s="3"/>
      <c r="AF57" s="162"/>
      <c r="AG57" s="3"/>
      <c r="AH57" s="162"/>
      <c r="AI57" s="3"/>
      <c r="AJ57" s="162"/>
      <c r="AK57" s="3"/>
      <c r="AL57" s="161"/>
      <c r="AM57" s="3"/>
      <c r="AN57" s="162"/>
      <c r="AO57" s="3"/>
      <c r="AP57" s="162"/>
      <c r="AQ57" s="3"/>
      <c r="AR57" s="162"/>
      <c r="AS57" s="162"/>
      <c r="AT57" s="161"/>
      <c r="AU57" s="3"/>
      <c r="AV57" s="161"/>
      <c r="AW57" s="299"/>
      <c r="AX57" s="163"/>
      <c r="AZ57" s="154"/>
      <c r="BA57" s="124"/>
      <c r="BB57" s="162"/>
      <c r="BC57" s="3"/>
      <c r="BD57" s="162"/>
      <c r="BE57" s="3"/>
      <c r="BF57" s="161"/>
      <c r="BG57" s="3"/>
      <c r="BH57" s="165"/>
    </row>
    <row r="58" spans="2:60" ht="12">
      <c r="B58" s="2"/>
      <c r="C58" s="6"/>
      <c r="D58" s="6"/>
      <c r="E58" s="292"/>
      <c r="F58" s="6"/>
      <c r="G58" s="20"/>
      <c r="H58" s="6"/>
      <c r="I58" s="30"/>
      <c r="J58" s="6"/>
      <c r="K58" s="30"/>
      <c r="L58" s="6"/>
      <c r="M58" s="30"/>
      <c r="N58" s="6"/>
      <c r="O58" s="295"/>
      <c r="P58" s="6"/>
      <c r="Q58" s="30"/>
      <c r="R58" s="6"/>
      <c r="S58" s="20"/>
      <c r="T58" s="6"/>
      <c r="U58" s="20"/>
      <c r="V58" s="6"/>
      <c r="W58" s="20"/>
      <c r="X58" s="6"/>
      <c r="Y58" s="296"/>
      <c r="Z58" s="255"/>
      <c r="AB58" s="154"/>
      <c r="AC58" s="124"/>
      <c r="AD58" s="159"/>
      <c r="AE58" s="3"/>
      <c r="AF58" s="162"/>
      <c r="AG58" s="3"/>
      <c r="AH58" s="162"/>
      <c r="AI58" s="3"/>
      <c r="AJ58" s="162"/>
      <c r="AK58" s="3"/>
      <c r="AL58" s="161"/>
      <c r="AM58" s="3"/>
      <c r="AN58" s="162"/>
      <c r="AO58" s="3"/>
      <c r="AP58" s="162"/>
      <c r="AQ58" s="3"/>
      <c r="AR58" s="162"/>
      <c r="AS58" s="162"/>
      <c r="AT58" s="161"/>
      <c r="AU58" s="3"/>
      <c r="AV58" s="161"/>
      <c r="AW58" s="299"/>
      <c r="AX58" s="163"/>
      <c r="AZ58" s="154"/>
      <c r="BA58" s="124"/>
      <c r="BB58" s="162"/>
      <c r="BC58" s="3"/>
      <c r="BD58" s="162"/>
      <c r="BE58" s="3"/>
      <c r="BF58" s="161"/>
      <c r="BG58" s="3"/>
      <c r="BH58" s="165"/>
    </row>
    <row r="59" spans="2:60" ht="12">
      <c r="B59" s="2"/>
      <c r="C59" s="6"/>
      <c r="D59" s="6"/>
      <c r="E59" s="292"/>
      <c r="F59" s="6"/>
      <c r="G59" s="20"/>
      <c r="H59" s="6"/>
      <c r="I59" s="30"/>
      <c r="J59" s="6"/>
      <c r="K59" s="30"/>
      <c r="L59" s="6"/>
      <c r="M59" s="30"/>
      <c r="N59" s="6"/>
      <c r="O59" s="295"/>
      <c r="P59" s="6"/>
      <c r="Q59" s="30"/>
      <c r="R59" s="6"/>
      <c r="S59" s="20"/>
      <c r="T59" s="6"/>
      <c r="U59" s="20"/>
      <c r="V59" s="6"/>
      <c r="W59" s="20"/>
      <c r="X59" s="6"/>
      <c r="Y59" s="296"/>
      <c r="Z59" s="255"/>
      <c r="AB59" s="154"/>
      <c r="AC59" s="124"/>
      <c r="AD59" s="159"/>
      <c r="AE59" s="3"/>
      <c r="AF59" s="162"/>
      <c r="AG59" s="3"/>
      <c r="AH59" s="162"/>
      <c r="AI59" s="3"/>
      <c r="AJ59" s="162"/>
      <c r="AK59" s="3"/>
      <c r="AL59" s="161"/>
      <c r="AM59" s="3"/>
      <c r="AN59" s="162"/>
      <c r="AO59" s="3"/>
      <c r="AP59" s="162"/>
      <c r="AQ59" s="3"/>
      <c r="AR59" s="162"/>
      <c r="AS59" s="162"/>
      <c r="AT59" s="161"/>
      <c r="AU59" s="3"/>
      <c r="AV59" s="161"/>
      <c r="AW59" s="299"/>
      <c r="AX59" s="163"/>
      <c r="AZ59" s="154"/>
      <c r="BA59" s="124"/>
      <c r="BB59" s="162"/>
      <c r="BC59" s="3"/>
      <c r="BD59" s="162"/>
      <c r="BE59" s="3"/>
      <c r="BF59" s="161"/>
      <c r="BG59" s="3"/>
      <c r="BH59" s="165"/>
    </row>
    <row r="60" spans="2:60">
      <c r="B60" s="2"/>
      <c r="C60" s="3"/>
      <c r="D60" s="3"/>
      <c r="E60" s="178"/>
      <c r="F60" s="3"/>
      <c r="G60" s="290"/>
      <c r="H60" s="3"/>
      <c r="I60" s="290"/>
      <c r="J60" s="3"/>
      <c r="K60" s="290"/>
      <c r="L60" s="3"/>
      <c r="M60" s="290"/>
      <c r="N60" s="3"/>
      <c r="O60" s="290"/>
      <c r="P60" s="3"/>
      <c r="Q60" s="290"/>
      <c r="R60" s="3"/>
      <c r="S60" s="290"/>
      <c r="T60" s="3"/>
      <c r="U60" s="290"/>
      <c r="V60" s="3"/>
      <c r="W60" s="290"/>
      <c r="X60" s="3"/>
      <c r="Y60" s="300"/>
      <c r="Z60" s="255"/>
      <c r="AB60" s="2"/>
      <c r="AC60" s="3"/>
      <c r="AD60" s="3"/>
      <c r="AE60" s="3"/>
      <c r="AF60" s="301"/>
      <c r="AG60" s="3"/>
      <c r="AH60" s="301"/>
      <c r="AI60" s="3"/>
      <c r="AJ60" s="301"/>
      <c r="AK60" s="3"/>
      <c r="AL60" s="299"/>
      <c r="AM60" s="3"/>
      <c r="AN60" s="301"/>
      <c r="AO60" s="3"/>
      <c r="AP60" s="301"/>
      <c r="AQ60" s="3"/>
      <c r="AR60" s="301"/>
      <c r="AS60" s="301"/>
      <c r="AT60" s="301"/>
      <c r="AU60" s="3"/>
      <c r="AV60" s="299"/>
      <c r="AW60" s="299"/>
      <c r="AX60" s="302"/>
      <c r="AZ60" s="2"/>
      <c r="BA60" s="3"/>
      <c r="BB60" s="301"/>
      <c r="BC60" s="3"/>
      <c r="BD60" s="3"/>
      <c r="BE60" s="3"/>
      <c r="BF60" s="299"/>
      <c r="BG60" s="3"/>
      <c r="BH60" s="255"/>
    </row>
    <row r="61" spans="2:60" ht="12">
      <c r="B61" s="2"/>
      <c r="C61" s="303" t="str">
        <f>G14&amp;"-year Nominal Levelized at "&amp;TEXT($G$18,"#.00%")</f>
        <v>25-year Nominal Levelized at 7.20%</v>
      </c>
      <c r="E61" s="178"/>
      <c r="F61" s="3"/>
      <c r="G61" s="317">
        <f>+-PMT($G$18,$G$14,NPV($G$18,G28:G59))</f>
        <v>160595.58819863439</v>
      </c>
      <c r="H61" s="6"/>
      <c r="I61" s="30">
        <f>+-PMT($G$18,$G$14,NPV($G$18,I28:I59))</f>
        <v>0</v>
      </c>
      <c r="J61" s="30"/>
      <c r="K61" s="30">
        <f>+-PMT($G$18,$G$14,NPV($G$18,K28:K59))</f>
        <v>55.79955394353015</v>
      </c>
      <c r="L61" s="6"/>
      <c r="M61" s="30">
        <f>+-PMT($G$18,$G$14,NPV($G$18,M28:M59))</f>
        <v>0</v>
      </c>
      <c r="N61" s="6"/>
      <c r="O61" s="30">
        <f>+-PMT($G$18,$G$14,NPV($G$18,O28:O59))</f>
        <v>6.1141265833661533</v>
      </c>
      <c r="P61" s="6"/>
      <c r="Q61" s="30">
        <f>+-PMT($G$18,$G$14,NPV($G$18,Q28:Q59))</f>
        <v>0</v>
      </c>
      <c r="R61" s="6"/>
      <c r="S61" s="20">
        <f>+-PMT($G$18,$G$14,NPV($G$18,S28:S59))</f>
        <v>9950.4655594777869</v>
      </c>
      <c r="T61" s="6"/>
      <c r="U61" s="20">
        <f>+-PMT($G$18,$G$14,NPV($G$18,U28:U59))</f>
        <v>12085.736136931313</v>
      </c>
      <c r="V61" s="3"/>
      <c r="W61" s="317">
        <f>+-PMT($G$18,$G$14,NPV($G$18,W28:W59))</f>
        <v>-2135.2705774535248</v>
      </c>
      <c r="X61" s="3"/>
      <c r="Y61" s="296">
        <f>+W61/G61*1000</f>
        <v>-13.295947923628464</v>
      </c>
      <c r="Z61" s="255"/>
      <c r="AB61" s="2"/>
      <c r="AC61" s="3"/>
      <c r="AD61" s="159">
        <f>+-PMT($G$18,$G$14,NPV($G$18,AD28:AD59))</f>
        <v>160595.58819863439</v>
      </c>
      <c r="AE61" s="3"/>
      <c r="AF61" s="162">
        <f>+-PMT($G$18,$G$14,NPV($G$18,AF28:AF59))</f>
        <v>68.012738231101409</v>
      </c>
      <c r="AG61" s="3"/>
      <c r="AH61" s="162">
        <f>+-PMT($G$18,$G$14,NPV($G$18,AH28:AH59))</f>
        <v>9.5886999427378825</v>
      </c>
      <c r="AI61" s="3"/>
      <c r="AJ61" s="162">
        <f>+-PMT($G$18,$G$14,NPV($G$18,AJ28:AJ59))</f>
        <v>2.6954367058757973</v>
      </c>
      <c r="AK61" s="3"/>
      <c r="AL61" s="161">
        <f>+-PMT($G$18,$G$14,NPV($G$18,AL28:AL59))</f>
        <v>3329.683814936292</v>
      </c>
      <c r="AM61" s="3"/>
      <c r="AN61" s="162">
        <f>+-PMT($G$18,$G$14,NPV($G$18,AN28:AN59))</f>
        <v>8.6700647778765543</v>
      </c>
      <c r="AO61" s="3"/>
      <c r="AP61" s="162">
        <f>+-PMT($G$18,$G$14,NPV($G$18,AP28:AP59))</f>
        <v>62.996875614110138</v>
      </c>
      <c r="AQ61" s="3"/>
      <c r="AR61" s="162">
        <f>+-PMT($G$18,$G$14,NPV($G$18,AR28:AR59))</f>
        <v>2.7901062702709121</v>
      </c>
      <c r="AS61" s="162"/>
      <c r="AT61" s="161">
        <f>+-PMT($G$18,$G$14,NPV($G$18,AT28:AT59))</f>
        <v>1509.4144445247653</v>
      </c>
      <c r="AU61" s="3"/>
      <c r="AV61" s="161">
        <f>+-PMT($G$18,$G$14,NPV($G$18,AV28:AV59))</f>
        <v>10576.321692406547</v>
      </c>
      <c r="AW61" s="299"/>
      <c r="AX61" s="163">
        <f>+-PMT($G$18,$G$14,NPV($G$18,AX28:AX59))</f>
        <v>12085.736136931313</v>
      </c>
      <c r="AZ61" s="2"/>
      <c r="BA61" s="3"/>
      <c r="BB61" s="162">
        <f>+-PMT($G$18,$G$14,NPV($G$18,BB28:BB59))</f>
        <v>45.8285772569863</v>
      </c>
      <c r="BC61" s="3"/>
      <c r="BD61" s="162">
        <f>+-PMT($G$18,$G$14,NPV($G$18,BD28:BD59))</f>
        <v>6.9679233603839199</v>
      </c>
      <c r="BE61" s="3"/>
      <c r="BF61" s="161">
        <f>+-PMT($G$18,$G$14,NPV($G$18,BF28:BF59))</f>
        <v>1820.2693704115277</v>
      </c>
      <c r="BG61" s="3"/>
      <c r="BH61" s="165"/>
    </row>
    <row r="62" spans="2:60">
      <c r="B62" s="2"/>
      <c r="C62" s="3"/>
      <c r="D62" s="3"/>
      <c r="E62" s="17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04"/>
      <c r="X62" s="3"/>
      <c r="Y62" s="305"/>
      <c r="Z62" s="255"/>
      <c r="AB62" s="2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255"/>
      <c r="AZ62" s="2"/>
      <c r="BA62" s="3"/>
      <c r="BB62" s="3"/>
      <c r="BC62" s="3"/>
      <c r="BD62" s="3"/>
      <c r="BE62" s="3"/>
      <c r="BF62" s="3"/>
      <c r="BG62" s="3"/>
      <c r="BH62" s="255"/>
    </row>
    <row r="63" spans="2:60">
      <c r="B63" s="258"/>
      <c r="C63" s="306"/>
      <c r="D63" s="306"/>
      <c r="E63" s="307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259"/>
      <c r="AB63" s="258"/>
      <c r="AC63" s="306"/>
      <c r="AD63" s="306"/>
      <c r="AE63" s="306"/>
      <c r="AF63" s="306"/>
      <c r="AG63" s="306"/>
      <c r="AH63" s="306"/>
      <c r="AI63" s="306"/>
      <c r="AJ63" s="306"/>
      <c r="AK63" s="306"/>
      <c r="AL63" s="306"/>
      <c r="AM63" s="306"/>
      <c r="AN63" s="306"/>
      <c r="AO63" s="306"/>
      <c r="AP63" s="306"/>
      <c r="AQ63" s="306"/>
      <c r="AR63" s="306"/>
      <c r="AS63" s="306"/>
      <c r="AT63" s="306"/>
      <c r="AU63" s="306"/>
      <c r="AV63" s="306"/>
      <c r="AW63" s="306"/>
      <c r="AX63" s="259"/>
      <c r="AZ63" s="258"/>
      <c r="BA63" s="306"/>
      <c r="BB63" s="306"/>
      <c r="BC63" s="306"/>
      <c r="BD63" s="306"/>
      <c r="BE63" s="306"/>
      <c r="BF63" s="306"/>
      <c r="BG63" s="306"/>
      <c r="BH63" s="259"/>
    </row>
    <row r="64" spans="2:60">
      <c r="E64" s="308"/>
    </row>
    <row r="65" spans="5:23">
      <c r="E65" s="308"/>
      <c r="G65" s="309"/>
      <c r="I65" s="309"/>
      <c r="K65" s="309"/>
      <c r="O65" s="309"/>
      <c r="Q65" s="309"/>
      <c r="S65" s="309"/>
      <c r="U65" s="309"/>
      <c r="W65" s="309"/>
    </row>
    <row r="66" spans="5:23">
      <c r="E66" s="308"/>
    </row>
    <row r="67" spans="5:23">
      <c r="E67" s="308"/>
    </row>
    <row r="68" spans="5:23">
      <c r="E68" s="308"/>
    </row>
    <row r="69" spans="5:23">
      <c r="E69" s="308"/>
    </row>
    <row r="70" spans="5:23">
      <c r="E70" s="308"/>
    </row>
    <row r="71" spans="5:23">
      <c r="E71" s="308"/>
    </row>
    <row r="72" spans="5:23">
      <c r="E72" s="308"/>
    </row>
    <row r="73" spans="5:23">
      <c r="E73" s="308"/>
    </row>
    <row r="74" spans="5:23">
      <c r="E74" s="308"/>
    </row>
    <row r="75" spans="5:23">
      <c r="E75" s="308"/>
    </row>
    <row r="76" spans="5:23">
      <c r="E76" s="308"/>
    </row>
    <row r="77" spans="5:23">
      <c r="E77" s="308"/>
    </row>
    <row r="78" spans="5:23">
      <c r="E78" s="308"/>
    </row>
    <row r="79" spans="5:23">
      <c r="E79" s="308"/>
    </row>
    <row r="80" spans="5:23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</sheetData>
  <pageMargins left="0.25" right="0.25" top="0.25" bottom="0.75" header="0.3" footer="0.3"/>
  <pageSetup paperSize="5" scale="48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DD829-F373-49B5-BE43-48BF7C8A091D}">
  <sheetPr codeName="Sheet15">
    <tabColor theme="0" tint="-0.249977111117893"/>
    <pageSetUpPr fitToPage="1"/>
  </sheetPr>
  <dimension ref="A1:BH87"/>
  <sheetViews>
    <sheetView topLeftCell="A48" zoomScale="90" zoomScaleNormal="90" workbookViewId="0">
      <selection activeCell="K28" sqref="K28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2.8320312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13" style="143" bestFit="1" customWidth="1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">
        <v>0</v>
      </c>
    </row>
    <row r="2" spans="1:57" s="250" customFormat="1">
      <c r="A2" s="250" t="str">
        <f>'Workpaper Index'!$C$4</f>
        <v xml:space="preserve">WASHINGTON JUNE, 1 2022 RENEWABLES REPORT </v>
      </c>
    </row>
    <row r="3" spans="1:57" s="250" customFormat="1">
      <c r="A3" s="250" t="s">
        <v>1</v>
      </c>
    </row>
    <row r="4" spans="1:57" s="250" customFormat="1"/>
    <row r="5" spans="1:57" s="250" customFormat="1"/>
    <row r="7" spans="1:57">
      <c r="AB7" s="143" t="s">
        <v>306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305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N10" s="276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274">
        <f>'[5]Mt Wind II'!$X$12</f>
        <v>79.8</v>
      </c>
      <c r="H11" s="275"/>
      <c r="AB11" s="129" t="s">
        <v>99</v>
      </c>
      <c r="AC11" s="130"/>
      <c r="AD11" s="130"/>
      <c r="AE11" s="130"/>
      <c r="AF11" s="141">
        <f>+G11*(G12/AJ16)</f>
        <v>49.964291427390698</v>
      </c>
      <c r="AG11" s="134"/>
      <c r="AH11" s="130" t="s">
        <v>100</v>
      </c>
      <c r="AI11" s="131"/>
      <c r="AJ11" s="136">
        <v>7.9126910299003335</v>
      </c>
      <c r="AK11" s="255"/>
      <c r="AN11" s="276"/>
      <c r="AZ11" s="129" t="s">
        <v>99</v>
      </c>
      <c r="BA11" s="130"/>
      <c r="BB11" s="130"/>
      <c r="BC11" s="130"/>
      <c r="BD11" s="141">
        <f>(AF11*AF13-G11*G19)</f>
        <v>46.240291427390702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277">
        <f>'[5]Mt Wind II'!$X$13</f>
        <v>0.3048637603809517</v>
      </c>
      <c r="H12" s="275"/>
      <c r="AB12" s="129" t="s">
        <v>32</v>
      </c>
      <c r="AC12" s="130"/>
      <c r="AD12" s="130"/>
      <c r="AE12" s="130"/>
      <c r="AF12" s="138">
        <f>+AD61/8760/AF11</f>
        <v>0.5008173678534128</v>
      </c>
      <c r="AG12" s="134"/>
      <c r="AH12" s="124" t="s">
        <v>101</v>
      </c>
      <c r="AI12" s="125"/>
      <c r="AJ12" s="124">
        <v>2006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2008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36">
        <v>2.2243013100436677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25</v>
      </c>
      <c r="H14" s="275"/>
      <c r="AB14" s="129" t="s">
        <v>104</v>
      </c>
      <c r="AC14" s="130"/>
      <c r="AD14" s="130"/>
      <c r="AE14" s="130"/>
      <c r="AF14" s="141">
        <v>7266.0213306432961</v>
      </c>
      <c r="AG14" s="134"/>
      <c r="AH14" s="124"/>
      <c r="AI14" s="125"/>
      <c r="AJ14" s="136"/>
      <c r="AK14" s="255"/>
      <c r="AZ14" s="129" t="s">
        <v>105</v>
      </c>
      <c r="BA14" s="130"/>
      <c r="BB14" s="130"/>
      <c r="BC14" s="130"/>
      <c r="BD14" s="142">
        <v>454</v>
      </c>
      <c r="BE14" s="139"/>
    </row>
    <row r="15" spans="1:57" ht="12">
      <c r="A15" s="143" t="s">
        <v>106</v>
      </c>
      <c r="B15" s="272"/>
      <c r="C15" s="273" t="s">
        <v>107</v>
      </c>
      <c r="D15" s="273"/>
      <c r="E15" s="273"/>
      <c r="F15" s="273"/>
      <c r="G15" s="278"/>
      <c r="H15" s="275"/>
      <c r="AB15" s="129" t="s">
        <v>105</v>
      </c>
      <c r="AC15" s="130"/>
      <c r="AD15" s="130"/>
      <c r="AE15" s="130"/>
      <c r="AF15" s="142">
        <v>651.09966777408636</v>
      </c>
      <c r="AG15" s="134"/>
      <c r="AH15" s="124" t="s">
        <v>141</v>
      </c>
      <c r="AI15" s="125"/>
      <c r="AJ15" s="136">
        <v>2.302423580786026</v>
      </c>
      <c r="AK15" s="255"/>
      <c r="AZ15" s="129" t="s">
        <v>108</v>
      </c>
      <c r="BA15" s="130"/>
      <c r="BB15" s="130"/>
      <c r="BC15" s="130"/>
      <c r="BD15" s="144">
        <v>8.3299999999999999E-2</v>
      </c>
      <c r="BE15" s="139"/>
    </row>
    <row r="16" spans="1:57" ht="12">
      <c r="A16" s="143" t="s">
        <v>106</v>
      </c>
      <c r="B16" s="272"/>
      <c r="C16" s="273" t="s">
        <v>109</v>
      </c>
      <c r="D16" s="273"/>
      <c r="E16" s="273"/>
      <c r="F16" s="273"/>
      <c r="G16" s="278"/>
      <c r="H16" s="275"/>
      <c r="AB16" s="129" t="s">
        <v>108</v>
      </c>
      <c r="AC16" s="130"/>
      <c r="AD16" s="130"/>
      <c r="AE16" s="130"/>
      <c r="AF16" s="144">
        <v>8.6199999999999999E-2</v>
      </c>
      <c r="AG16" s="134"/>
      <c r="AH16" s="124" t="s">
        <v>110</v>
      </c>
      <c r="AI16" s="131"/>
      <c r="AJ16" s="145">
        <v>0.48691029900332239</v>
      </c>
      <c r="AK16" s="255"/>
      <c r="AZ16" s="129" t="s">
        <v>100</v>
      </c>
      <c r="BA16" s="131"/>
      <c r="BB16" s="136">
        <v>5.75</v>
      </c>
      <c r="BC16" s="3"/>
      <c r="BD16" s="3"/>
      <c r="BE16" s="137"/>
    </row>
    <row r="17" spans="1:60" ht="12">
      <c r="A17" s="143" t="s">
        <v>106</v>
      </c>
      <c r="B17" s="272"/>
      <c r="C17" s="273" t="s">
        <v>111</v>
      </c>
      <c r="D17" s="273"/>
      <c r="E17" s="273"/>
      <c r="F17" s="273"/>
      <c r="G17" s="278"/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2006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277">
        <f>'(2.2)_Forward_Price_Curve'!W4</f>
        <v>7.1999999999999995E-2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281">
        <f>14/300</f>
        <v>4.6666666666666669E-2</v>
      </c>
      <c r="H19" s="282"/>
      <c r="I19" s="143" t="s">
        <v>113</v>
      </c>
    </row>
    <row r="20" spans="1:60" ht="12.75">
      <c r="B20" s="250"/>
      <c r="C20" s="250"/>
      <c r="D20" s="250"/>
      <c r="E20" s="250"/>
      <c r="F20" s="250"/>
      <c r="G20" s="250"/>
      <c r="H20" s="250"/>
      <c r="AH20" s="229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288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2008</v>
      </c>
      <c r="D28" s="6"/>
      <c r="E28" s="292">
        <v>1.7000000000000001E-2</v>
      </c>
      <c r="F28" s="6"/>
      <c r="G28" s="20">
        <v>219821</v>
      </c>
      <c r="H28" s="6"/>
      <c r="I28" s="293">
        <f>$G$15*(1+$E28)</f>
        <v>0</v>
      </c>
      <c r="J28" s="293"/>
      <c r="K28" s="293">
        <v>54.85491221329336</v>
      </c>
      <c r="L28" s="294"/>
      <c r="M28" s="293">
        <f>$G$17*(1+$E28)</f>
        <v>0</v>
      </c>
      <c r="N28" s="6"/>
      <c r="O28" s="295">
        <f>'(2.2)_Forward_Price_Curve'!U20</f>
        <v>5.1866999999999992</v>
      </c>
      <c r="P28" s="6"/>
      <c r="Q28" s="30"/>
      <c r="R28" s="6"/>
      <c r="S28" s="20">
        <f>(I28*$G$11*1000+(K28+M28+O28+Q28)*G28)/1000</f>
        <v>13198.407238338361</v>
      </c>
      <c r="T28" s="6"/>
      <c r="U28" s="20">
        <f t="shared" ref="U28:U52" si="0">AX28</f>
        <v>14990.263131093127</v>
      </c>
      <c r="V28" s="6"/>
      <c r="W28" s="20">
        <f>S28-U28</f>
        <v>-1791.8558927547656</v>
      </c>
      <c r="X28" s="6"/>
      <c r="Y28" s="296">
        <f>+W28*1000/G28</f>
        <v>-8.1514318138611213</v>
      </c>
      <c r="Z28" s="255"/>
      <c r="AB28" s="154">
        <f>$C$28</f>
        <v>2008</v>
      </c>
      <c r="AC28" s="124"/>
      <c r="AD28" s="159">
        <f t="shared" ref="AD28:AD52" si="1">G28</f>
        <v>219821</v>
      </c>
      <c r="AE28" s="3"/>
      <c r="AF28" s="160">
        <v>58.163412158772744</v>
      </c>
      <c r="AG28" s="297"/>
      <c r="AH28" s="160">
        <v>8.2001037061794015</v>
      </c>
      <c r="AI28" s="297"/>
      <c r="AJ28" s="160">
        <v>2.3050946065283835</v>
      </c>
      <c r="AK28" s="298"/>
      <c r="AL28" s="161">
        <f>((AF28+AH28)*$AF$11*1000+AJ28*AD28)/1000</f>
        <v>3822.5142483244113</v>
      </c>
      <c r="AM28" s="3"/>
      <c r="AN28" s="162">
        <f>INDEX('(2.2)_Forward_Price_Curve'!$K:$K,MATCH($AB28,'(2.2)_Forward_Price_Curve'!$C:$C,0),1)</f>
        <v>7.9707205782722266</v>
      </c>
      <c r="AO28" s="297"/>
      <c r="AP28" s="162">
        <f>AN28*$AF$14/1000</f>
        <v>57.915425742323464</v>
      </c>
      <c r="AQ28" s="297"/>
      <c r="AR28" s="160">
        <v>2.3860545125109165</v>
      </c>
      <c r="AS28" s="160"/>
      <c r="AT28" s="161">
        <f t="shared" ref="AT28:AT52" si="2">AL28-BF28</f>
        <v>1734.7314399951774</v>
      </c>
      <c r="AU28" s="298"/>
      <c r="AV28" s="161">
        <f t="shared" ref="AV28:AV52" si="3">(AP28+AR28)*AD28/1000</f>
        <v>13255.531691097949</v>
      </c>
      <c r="AW28" s="299"/>
      <c r="AX28" s="163">
        <f>AT28+AV28</f>
        <v>14990.263131093127</v>
      </c>
      <c r="AZ28" s="154">
        <f>$C$28</f>
        <v>2008</v>
      </c>
      <c r="BA28" s="124"/>
      <c r="BB28" s="160">
        <v>39.191870478599988</v>
      </c>
      <c r="BC28" s="3"/>
      <c r="BD28" s="160">
        <v>5.9588572499999986</v>
      </c>
      <c r="BE28" s="297"/>
      <c r="BF28" s="161">
        <f>(BB28+BD28)*$BD$11</f>
        <v>2087.7828083292338</v>
      </c>
      <c r="BG28" s="297"/>
      <c r="BH28" s="164"/>
    </row>
    <row r="29" spans="1:60" ht="12">
      <c r="B29" s="2"/>
      <c r="C29" s="6">
        <f>+IF(C28&gt;$G$13+$G$14,XX,C28+1)</f>
        <v>2009</v>
      </c>
      <c r="D29" s="6"/>
      <c r="E29" s="292">
        <v>1.7000000000000001E-2</v>
      </c>
      <c r="F29" s="6"/>
      <c r="G29" s="20">
        <v>218951</v>
      </c>
      <c r="H29" s="6"/>
      <c r="I29" s="30">
        <f>I28*(1+$E29)</f>
        <v>0</v>
      </c>
      <c r="J29" s="6"/>
      <c r="K29" s="30">
        <v>65.317279627359909</v>
      </c>
      <c r="L29" s="6"/>
      <c r="M29" s="30">
        <f>M28*(1+$E29)</f>
        <v>0</v>
      </c>
      <c r="N29" s="6"/>
      <c r="O29" s="295">
        <f>'(2.2)_Forward_Price_Curve'!U21</f>
        <v>5.2748738999999985</v>
      </c>
      <c r="P29" s="6"/>
      <c r="Q29" s="30"/>
      <c r="R29" s="6"/>
      <c r="S29" s="20">
        <f t="shared" ref="S29:S52" si="4">(I29*$G$11*1000+(K29+M29+O29+Q29)*G29)/1000</f>
        <v>15456.22260696898</v>
      </c>
      <c r="T29" s="6"/>
      <c r="U29" s="20">
        <f t="shared" si="0"/>
        <v>14664.077378638885</v>
      </c>
      <c r="V29" s="6"/>
      <c r="W29" s="20">
        <f t="shared" ref="W29:W52" si="5">S29-U29</f>
        <v>792.14522833009505</v>
      </c>
      <c r="X29" s="6"/>
      <c r="Y29" s="296">
        <f t="shared" ref="Y29:Y52" si="6">+W29*1000/G29</f>
        <v>3.6179109861571543</v>
      </c>
      <c r="Z29" s="255"/>
      <c r="AB29" s="154">
        <f>+IF(AB28&gt;$G$13+$G$14,XX,AB28+1)</f>
        <v>2009</v>
      </c>
      <c r="AC29" s="124"/>
      <c r="AD29" s="159">
        <f t="shared" si="1"/>
        <v>218951</v>
      </c>
      <c r="AE29" s="3"/>
      <c r="AF29" s="162">
        <f>AF28*(1+$E29)</f>
        <v>59.152190165471872</v>
      </c>
      <c r="AG29" s="3"/>
      <c r="AH29" s="162">
        <f>AH28*(1+$E29)</f>
        <v>8.3395054691844503</v>
      </c>
      <c r="AI29" s="3"/>
      <c r="AJ29" s="162">
        <f>AJ28*(1+$E29)</f>
        <v>2.3442812148393659</v>
      </c>
      <c r="AK29" s="3"/>
      <c r="AL29" s="161">
        <f t="shared" ref="AL29:AL52" si="7">((AF29+AH29)*$AF$11*1000+AJ29*AD29)/1000</f>
        <v>3885.4574658890151</v>
      </c>
      <c r="AM29" s="3"/>
      <c r="AN29" s="162">
        <f>INDEX('(2.2)_Forward_Price_Curve'!$K:$K,MATCH($AB29,'(2.2)_Forward_Price_Curve'!$C:$C,0),1)</f>
        <v>7.7758276535043622</v>
      </c>
      <c r="AO29" s="3"/>
      <c r="AP29" s="162">
        <f t="shared" ref="AP29:AP52" si="8">AN29*$AF$14/1000</f>
        <v>56.499329593768707</v>
      </c>
      <c r="AQ29" s="3"/>
      <c r="AR29" s="162">
        <f>AR28*(1+$E29)</f>
        <v>2.4266174392236017</v>
      </c>
      <c r="AS29" s="162"/>
      <c r="AT29" s="161">
        <f t="shared" si="2"/>
        <v>1762.1823498181848</v>
      </c>
      <c r="AU29" s="3"/>
      <c r="AV29" s="161">
        <f t="shared" si="3"/>
        <v>12901.8950288207</v>
      </c>
      <c r="AW29" s="299"/>
      <c r="AX29" s="163">
        <f t="shared" ref="AX29:AX52" si="9">AT29+AV29</f>
        <v>14664.077378638885</v>
      </c>
      <c r="AZ29" s="154">
        <f>+IF(AZ28&gt;$G$13+$G$14,XX,AZ28+1)</f>
        <v>2009</v>
      </c>
      <c r="BA29" s="124"/>
      <c r="BB29" s="162">
        <f>BB28*(1+$E29)</f>
        <v>39.858132276736185</v>
      </c>
      <c r="BC29" s="3"/>
      <c r="BD29" s="162">
        <f>BD28*(1+$E29)</f>
        <v>6.0601578232499982</v>
      </c>
      <c r="BE29" s="3"/>
      <c r="BF29" s="161">
        <f t="shared" ref="BF29:BF52" si="10">(BB29+BD29)*$BD$11</f>
        <v>2123.2751160708303</v>
      </c>
      <c r="BG29" s="3"/>
      <c r="BH29" s="165"/>
    </row>
    <row r="30" spans="1:60" ht="12">
      <c r="B30" s="2"/>
      <c r="C30" s="6">
        <f>+IF(C29&gt;$G$13+$G$14,XX,C29+1)</f>
        <v>2010</v>
      </c>
      <c r="D30" s="6"/>
      <c r="E30" s="292">
        <v>1.9E-2</v>
      </c>
      <c r="F30" s="6"/>
      <c r="G30" s="20">
        <v>218951</v>
      </c>
      <c r="H30" s="6"/>
      <c r="I30" s="30">
        <f t="shared" ref="I30:I52" si="11">I29*(1+$E30)</f>
        <v>0</v>
      </c>
      <c r="J30" s="6"/>
      <c r="K30" s="30">
        <v>65.317279627359909</v>
      </c>
      <c r="L30" s="6"/>
      <c r="M30" s="30">
        <f t="shared" ref="M30:M52" si="12">M29*(1+$E30)</f>
        <v>0</v>
      </c>
      <c r="N30" s="6"/>
      <c r="O30" s="295">
        <f>'(2.2)_Forward_Price_Curve'!U22</f>
        <v>5.3750965040999983</v>
      </c>
      <c r="P30" s="6"/>
      <c r="Q30" s="30"/>
      <c r="R30" s="6"/>
      <c r="S30" s="20">
        <f t="shared" si="4"/>
        <v>15478.166446359279</v>
      </c>
      <c r="T30" s="6"/>
      <c r="U30" s="20">
        <f t="shared" si="0"/>
        <v>14232.957187077565</v>
      </c>
      <c r="V30" s="6"/>
      <c r="W30" s="20">
        <f t="shared" si="5"/>
        <v>1245.2092592817135</v>
      </c>
      <c r="X30" s="6"/>
      <c r="Y30" s="296">
        <f t="shared" si="6"/>
        <v>5.6871594981603808</v>
      </c>
      <c r="Z30" s="255"/>
      <c r="AB30" s="154">
        <f>+IF(AB29&gt;$G$13+$G$14,XX,AB29+1)</f>
        <v>2010</v>
      </c>
      <c r="AC30" s="124"/>
      <c r="AD30" s="159">
        <f t="shared" si="1"/>
        <v>218951</v>
      </c>
      <c r="AE30" s="3"/>
      <c r="AF30" s="162">
        <f t="shared" ref="AF30:AF52" si="13">AF29*(1+$E30)</f>
        <v>60.276081778615833</v>
      </c>
      <c r="AG30" s="3"/>
      <c r="AH30" s="162">
        <f t="shared" ref="AH30:AH52" si="14">AH29*(1+$E30)</f>
        <v>8.4979560730989547</v>
      </c>
      <c r="AI30" s="3"/>
      <c r="AJ30" s="162">
        <f t="shared" ref="AJ30:AJ52" si="15">AJ29*(1+$E30)</f>
        <v>2.3888225579213138</v>
      </c>
      <c r="AK30" s="3"/>
      <c r="AL30" s="161">
        <f t="shared" si="7"/>
        <v>3959.2811577409057</v>
      </c>
      <c r="AM30" s="3"/>
      <c r="AN30" s="162">
        <f>INDEX('(2.2)_Forward_Price_Curve'!$K:$K,MATCH($AB30,'(2.2)_Forward_Price_Curve'!$C:$C,0),1)</f>
        <v>7.4774457529777205</v>
      </c>
      <c r="AO30" s="3"/>
      <c r="AP30" s="162">
        <f t="shared" si="8"/>
        <v>54.331280339864243</v>
      </c>
      <c r="AQ30" s="3"/>
      <c r="AR30" s="162">
        <f t="shared" ref="AR30:AR52" si="16">AR29*(1+$E30)</f>
        <v>2.4727231705688499</v>
      </c>
      <c r="AS30" s="162"/>
      <c r="AT30" s="161">
        <f t="shared" si="2"/>
        <v>1795.6638144647295</v>
      </c>
      <c r="AU30" s="3"/>
      <c r="AV30" s="161">
        <f t="shared" si="3"/>
        <v>12437.293372612836</v>
      </c>
      <c r="AW30" s="299"/>
      <c r="AX30" s="163">
        <f t="shared" si="9"/>
        <v>14232.957187077565</v>
      </c>
      <c r="AZ30" s="154">
        <f>+IF(AZ29&gt;$G$13+$G$14,XX,AZ29+1)</f>
        <v>2010</v>
      </c>
      <c r="BA30" s="124"/>
      <c r="BB30" s="162">
        <f t="shared" ref="BB30:BB52" si="17">BB29*(1+$E30)</f>
        <v>40.61543678999417</v>
      </c>
      <c r="BC30" s="3"/>
      <c r="BD30" s="162">
        <f t="shared" ref="BD30:BD52" si="18">BD29*(1+$E30)</f>
        <v>6.1753008218917476</v>
      </c>
      <c r="BE30" s="3"/>
      <c r="BF30" s="161">
        <f t="shared" si="10"/>
        <v>2163.6173432761761</v>
      </c>
      <c r="BG30" s="3"/>
      <c r="BH30" s="165"/>
    </row>
    <row r="31" spans="1:60" ht="12">
      <c r="B31" s="2"/>
      <c r="C31" s="6">
        <f>+IF(C30&gt;$G$13+$G$14,XX,C30+1)</f>
        <v>2011</v>
      </c>
      <c r="D31" s="6"/>
      <c r="E31" s="292">
        <v>1.9E-2</v>
      </c>
      <c r="F31" s="6"/>
      <c r="G31" s="20">
        <v>218951</v>
      </c>
      <c r="H31" s="6"/>
      <c r="I31" s="30">
        <f t="shared" si="11"/>
        <v>0</v>
      </c>
      <c r="J31" s="6"/>
      <c r="K31" s="30">
        <v>65.317279627359909</v>
      </c>
      <c r="L31" s="6"/>
      <c r="M31" s="30">
        <f t="shared" si="12"/>
        <v>0</v>
      </c>
      <c r="N31" s="6"/>
      <c r="O31" s="295">
        <f>'(2.2)_Forward_Price_Curve'!U23</f>
        <v>5.4772233376778976</v>
      </c>
      <c r="P31" s="6"/>
      <c r="Q31" s="30"/>
      <c r="R31" s="6"/>
      <c r="S31" s="20">
        <f t="shared" si="4"/>
        <v>15500.527218697993</v>
      </c>
      <c r="T31" s="6"/>
      <c r="U31" s="20">
        <f t="shared" si="0"/>
        <v>13648.474298328321</v>
      </c>
      <c r="V31" s="6"/>
      <c r="W31" s="20">
        <f t="shared" si="5"/>
        <v>1852.0529203696715</v>
      </c>
      <c r="X31" s="6"/>
      <c r="Y31" s="296">
        <f t="shared" si="6"/>
        <v>8.4587552482960628</v>
      </c>
      <c r="Z31" s="255"/>
      <c r="AB31" s="154">
        <f>+IF(AB30&gt;$G$13+$G$14,XX,AB30+1)</f>
        <v>2011</v>
      </c>
      <c r="AC31" s="124"/>
      <c r="AD31" s="159">
        <f t="shared" si="1"/>
        <v>218951</v>
      </c>
      <c r="AE31" s="3"/>
      <c r="AF31" s="162">
        <f t="shared" si="13"/>
        <v>61.421327332409525</v>
      </c>
      <c r="AG31" s="3"/>
      <c r="AH31" s="162">
        <f t="shared" si="14"/>
        <v>8.6594172384878334</v>
      </c>
      <c r="AI31" s="3"/>
      <c r="AJ31" s="162">
        <f t="shared" si="15"/>
        <v>2.4342101865218186</v>
      </c>
      <c r="AK31" s="3"/>
      <c r="AL31" s="161">
        <f t="shared" si="7"/>
        <v>4034.5074997379834</v>
      </c>
      <c r="AM31" s="3"/>
      <c r="AN31" s="162">
        <f>INDEX('(2.2)_Forward_Price_Curve'!$K:$K,MATCH($AB31,'(2.2)_Forward_Price_Curve'!$C:$C,0),1)</f>
        <v>7.0821436233211914</v>
      </c>
      <c r="AO31" s="3"/>
      <c r="AP31" s="162">
        <f t="shared" si="8"/>
        <v>51.459006633731178</v>
      </c>
      <c r="AQ31" s="3"/>
      <c r="AR31" s="162">
        <f t="shared" si="16"/>
        <v>2.5197049108096579</v>
      </c>
      <c r="AS31" s="162"/>
      <c r="AT31" s="161">
        <f t="shared" si="2"/>
        <v>1829.7814269395603</v>
      </c>
      <c r="AU31" s="3"/>
      <c r="AV31" s="161">
        <f t="shared" si="3"/>
        <v>11818.692871388761</v>
      </c>
      <c r="AW31" s="299"/>
      <c r="AX31" s="163">
        <f t="shared" si="9"/>
        <v>13648.474298328321</v>
      </c>
      <c r="AZ31" s="154">
        <f>+IF(AZ30&gt;$G$13+$G$14,XX,AZ30+1)</f>
        <v>2011</v>
      </c>
      <c r="BA31" s="124"/>
      <c r="BB31" s="162">
        <f t="shared" si="17"/>
        <v>41.387130089004053</v>
      </c>
      <c r="BC31" s="3"/>
      <c r="BD31" s="162">
        <f t="shared" si="18"/>
        <v>6.29263153750769</v>
      </c>
      <c r="BE31" s="3"/>
      <c r="BF31" s="161">
        <f t="shared" si="10"/>
        <v>2204.726072798423</v>
      </c>
      <c r="BG31" s="3"/>
      <c r="BH31" s="165"/>
    </row>
    <row r="32" spans="1:60" ht="12">
      <c r="B32" s="2"/>
      <c r="C32" s="6">
        <f>+IF(C31&gt;$G$13+$G$14,XX,C31+1)</f>
        <v>2012</v>
      </c>
      <c r="D32" s="6"/>
      <c r="E32" s="292">
        <v>0.02</v>
      </c>
      <c r="F32" s="6"/>
      <c r="G32" s="20">
        <v>219821</v>
      </c>
      <c r="H32" s="6"/>
      <c r="I32" s="30">
        <f t="shared" si="11"/>
        <v>0</v>
      </c>
      <c r="J32" s="6"/>
      <c r="K32" s="30">
        <v>65.317279627359909</v>
      </c>
      <c r="L32" s="6"/>
      <c r="M32" s="30">
        <f t="shared" si="12"/>
        <v>0</v>
      </c>
      <c r="N32" s="6"/>
      <c r="O32" s="295">
        <f>'(2.2)_Forward_Price_Curve'!U24</f>
        <v>5.5867678044314557</v>
      </c>
      <c r="P32" s="6"/>
      <c r="Q32" s="30"/>
      <c r="R32" s="6"/>
      <c r="S32" s="20">
        <f t="shared" si="4"/>
        <v>15586.198610503812</v>
      </c>
      <c r="T32" s="6"/>
      <c r="U32" s="20">
        <f t="shared" si="0"/>
        <v>13138.845199632064</v>
      </c>
      <c r="V32" s="6"/>
      <c r="W32" s="20">
        <f t="shared" si="5"/>
        <v>2447.3534108717486</v>
      </c>
      <c r="X32" s="6"/>
      <c r="Y32" s="296">
        <f t="shared" si="6"/>
        <v>11.133392218540305</v>
      </c>
      <c r="Z32" s="255"/>
      <c r="AB32" s="154">
        <f>+IF(AB31&gt;$G$13+$G$14,XX,AB31+1)</f>
        <v>2012</v>
      </c>
      <c r="AC32" s="124"/>
      <c r="AD32" s="159">
        <f t="shared" si="1"/>
        <v>219821</v>
      </c>
      <c r="AE32" s="3"/>
      <c r="AF32" s="162">
        <f t="shared" si="13"/>
        <v>62.64975387905772</v>
      </c>
      <c r="AG32" s="3"/>
      <c r="AH32" s="162">
        <f t="shared" si="14"/>
        <v>8.8326055832575907</v>
      </c>
      <c r="AI32" s="3"/>
      <c r="AJ32" s="162">
        <f t="shared" si="15"/>
        <v>2.4828943902522549</v>
      </c>
      <c r="AK32" s="3"/>
      <c r="AL32" s="161">
        <f t="shared" si="7"/>
        <v>4117.3577678522624</v>
      </c>
      <c r="AM32" s="3"/>
      <c r="AN32" s="162">
        <f>INDEX('(2.2)_Forward_Price_Curve'!$K:$K,MATCH($AB32,'(2.2)_Forward_Price_Curve'!$C:$C,0),1)</f>
        <v>6.7024699037828679</v>
      </c>
      <c r="AO32" s="3"/>
      <c r="AP32" s="162">
        <f t="shared" si="8"/>
        <v>48.700289288881038</v>
      </c>
      <c r="AQ32" s="3"/>
      <c r="AR32" s="162">
        <f t="shared" si="16"/>
        <v>2.5700990090258511</v>
      </c>
      <c r="AS32" s="162"/>
      <c r="AT32" s="161">
        <f t="shared" si="2"/>
        <v>1868.5371735978711</v>
      </c>
      <c r="AU32" s="3"/>
      <c r="AV32" s="161">
        <f t="shared" si="3"/>
        <v>11270.308026034192</v>
      </c>
      <c r="AW32" s="299"/>
      <c r="AX32" s="163">
        <f t="shared" si="9"/>
        <v>13138.845199632064</v>
      </c>
      <c r="AZ32" s="154">
        <f>+IF(AZ31&gt;$G$13+$G$14,XX,AZ31+1)</f>
        <v>2012</v>
      </c>
      <c r="BA32" s="124"/>
      <c r="BB32" s="162">
        <f t="shared" si="17"/>
        <v>42.214872690784134</v>
      </c>
      <c r="BC32" s="3"/>
      <c r="BD32" s="162">
        <f t="shared" si="18"/>
        <v>6.4184841682578435</v>
      </c>
      <c r="BE32" s="3"/>
      <c r="BF32" s="161">
        <f t="shared" si="10"/>
        <v>2248.8205942543914</v>
      </c>
      <c r="BG32" s="3"/>
      <c r="BH32" s="165"/>
    </row>
    <row r="33" spans="2:60" ht="12">
      <c r="B33" s="2"/>
      <c r="C33" s="6">
        <f>+IF(C32&gt;$G$13+$G$14,XX,C32+1)</f>
        <v>2013</v>
      </c>
      <c r="D33" s="6"/>
      <c r="E33" s="292">
        <v>1.9E-2</v>
      </c>
      <c r="F33" s="6"/>
      <c r="G33" s="20">
        <v>218951</v>
      </c>
      <c r="H33" s="6"/>
      <c r="I33" s="30">
        <f t="shared" si="11"/>
        <v>0</v>
      </c>
      <c r="J33" s="6"/>
      <c r="K33" s="30">
        <v>65.317279627359909</v>
      </c>
      <c r="L33" s="6"/>
      <c r="M33" s="30">
        <f t="shared" si="12"/>
        <v>0</v>
      </c>
      <c r="N33" s="6"/>
      <c r="O33" s="295">
        <f>'(2.2)_Forward_Price_Curve'!U25</f>
        <v>5.6929163927156532</v>
      </c>
      <c r="P33" s="6"/>
      <c r="Q33" s="30"/>
      <c r="R33" s="6"/>
      <c r="S33" s="20">
        <f t="shared" si="4"/>
        <v>15547.753428791566</v>
      </c>
      <c r="T33" s="6"/>
      <c r="U33" s="20">
        <f t="shared" si="0"/>
        <v>13133.499824829885</v>
      </c>
      <c r="V33" s="6"/>
      <c r="W33" s="20">
        <f t="shared" si="5"/>
        <v>2414.2536039616807</v>
      </c>
      <c r="X33" s="6"/>
      <c r="Y33" s="296">
        <f t="shared" si="6"/>
        <v>11.026456165816464</v>
      </c>
      <c r="Z33" s="255"/>
      <c r="AB33" s="154">
        <f>+IF(AB32&gt;$G$13+$G$14,XX,AB32+1)</f>
        <v>2013</v>
      </c>
      <c r="AC33" s="124"/>
      <c r="AD33" s="159">
        <f t="shared" si="1"/>
        <v>218951</v>
      </c>
      <c r="AE33" s="3"/>
      <c r="AF33" s="162">
        <f t="shared" si="13"/>
        <v>63.840099202759809</v>
      </c>
      <c r="AG33" s="3"/>
      <c r="AH33" s="162">
        <f t="shared" si="14"/>
        <v>9.0004250893394833</v>
      </c>
      <c r="AI33" s="3"/>
      <c r="AJ33" s="162">
        <f t="shared" si="15"/>
        <v>2.5300693836670476</v>
      </c>
      <c r="AK33" s="3"/>
      <c r="AL33" s="161">
        <f t="shared" si="7"/>
        <v>4193.3864050776638</v>
      </c>
      <c r="AM33" s="3"/>
      <c r="AN33" s="162">
        <f>INDEX('(2.2)_Forward_Price_Curve'!$K:$K,MATCH($AB33,'(2.2)_Forward_Price_Curve'!$C:$C,0),1)</f>
        <v>6.6994948806584134</v>
      </c>
      <c r="AO33" s="3"/>
      <c r="AP33" s="162">
        <f t="shared" si="8"/>
        <v>48.678672707399592</v>
      </c>
      <c r="AQ33" s="3"/>
      <c r="AR33" s="162">
        <f t="shared" si="16"/>
        <v>2.6189308901973418</v>
      </c>
      <c r="AS33" s="162"/>
      <c r="AT33" s="161">
        <f t="shared" si="2"/>
        <v>1901.8382195324393</v>
      </c>
      <c r="AU33" s="3"/>
      <c r="AV33" s="161">
        <f t="shared" si="3"/>
        <v>11231.661605297446</v>
      </c>
      <c r="AW33" s="299"/>
      <c r="AX33" s="163">
        <f t="shared" si="9"/>
        <v>13133.499824829885</v>
      </c>
      <c r="AZ33" s="154">
        <f>+IF(AZ32&gt;$G$13+$G$14,XX,AZ32+1)</f>
        <v>2013</v>
      </c>
      <c r="BA33" s="124"/>
      <c r="BB33" s="162">
        <f t="shared" si="17"/>
        <v>43.016955271909026</v>
      </c>
      <c r="BC33" s="3"/>
      <c r="BD33" s="162">
        <f t="shared" si="18"/>
        <v>6.5404353674547417</v>
      </c>
      <c r="BE33" s="3"/>
      <c r="BF33" s="161">
        <f t="shared" si="10"/>
        <v>2291.5481855452244</v>
      </c>
      <c r="BG33" s="3"/>
      <c r="BH33" s="165"/>
    </row>
    <row r="34" spans="2:60" ht="12">
      <c r="B34" s="2"/>
      <c r="C34" s="6">
        <f>+IF(C33&gt;$G$13+$G$14,XX,C33+1)</f>
        <v>2014</v>
      </c>
      <c r="D34" s="6"/>
      <c r="E34" s="292">
        <v>1.7999999999999999E-2</v>
      </c>
      <c r="F34" s="6"/>
      <c r="G34" s="20">
        <v>218951</v>
      </c>
      <c r="H34" s="6"/>
      <c r="I34" s="30">
        <f t="shared" si="11"/>
        <v>0</v>
      </c>
      <c r="J34" s="6"/>
      <c r="K34" s="30">
        <v>65.317279627359909</v>
      </c>
      <c r="L34" s="6"/>
      <c r="M34" s="30">
        <f t="shared" si="12"/>
        <v>0</v>
      </c>
      <c r="N34" s="6"/>
      <c r="O34" s="295">
        <f>'(2.2)_Forward_Price_Curve'!U26</f>
        <v>5.7953888877845348</v>
      </c>
      <c r="P34" s="6"/>
      <c r="Q34" s="30"/>
      <c r="R34" s="6"/>
      <c r="S34" s="20">
        <f t="shared" si="4"/>
        <v>15570.189884059391</v>
      </c>
      <c r="T34" s="6"/>
      <c r="U34" s="20">
        <f t="shared" si="0"/>
        <v>13519.324840177527</v>
      </c>
      <c r="V34" s="6"/>
      <c r="W34" s="20">
        <f t="shared" si="5"/>
        <v>2050.865043881864</v>
      </c>
      <c r="X34" s="6"/>
      <c r="Y34" s="296">
        <f t="shared" si="6"/>
        <v>9.3667763284107597</v>
      </c>
      <c r="Z34" s="255"/>
      <c r="AB34" s="154">
        <f>+IF(AB33&gt;$G$13+$G$14,XX,AB33+1)</f>
        <v>2014</v>
      </c>
      <c r="AC34" s="124"/>
      <c r="AD34" s="159">
        <f t="shared" si="1"/>
        <v>218951</v>
      </c>
      <c r="AE34" s="3"/>
      <c r="AF34" s="162">
        <f t="shared" si="13"/>
        <v>64.989220988409485</v>
      </c>
      <c r="AG34" s="3"/>
      <c r="AH34" s="162">
        <f t="shared" si="14"/>
        <v>9.1624327409475939</v>
      </c>
      <c r="AI34" s="3"/>
      <c r="AJ34" s="162">
        <f t="shared" si="15"/>
        <v>2.5756106325730546</v>
      </c>
      <c r="AK34" s="3"/>
      <c r="AL34" s="161">
        <f t="shared" si="7"/>
        <v>4268.8673603690622</v>
      </c>
      <c r="AM34" s="3"/>
      <c r="AN34" s="162">
        <f>INDEX('(2.2)_Forward_Price_Curve'!$K:$K,MATCH($AB34,'(2.2)_Forward_Price_Curve'!$C:$C,0),1)</f>
        <v>6.9140085811973453</v>
      </c>
      <c r="AO34" s="3"/>
      <c r="AP34" s="162">
        <f t="shared" si="8"/>
        <v>50.2373338312307</v>
      </c>
      <c r="AQ34" s="3"/>
      <c r="AR34" s="162">
        <f t="shared" si="16"/>
        <v>2.6660716462208942</v>
      </c>
      <c r="AS34" s="162"/>
      <c r="AT34" s="161">
        <f t="shared" si="2"/>
        <v>1936.0713074840237</v>
      </c>
      <c r="AU34" s="3"/>
      <c r="AV34" s="161">
        <f t="shared" si="3"/>
        <v>11583.253532693503</v>
      </c>
      <c r="AW34" s="299"/>
      <c r="AX34" s="163">
        <f t="shared" si="9"/>
        <v>13519.324840177527</v>
      </c>
      <c r="AZ34" s="154">
        <f>+IF(AZ33&gt;$G$13+$G$14,XX,AZ33+1)</f>
        <v>2014</v>
      </c>
      <c r="BA34" s="124"/>
      <c r="BB34" s="162">
        <f t="shared" si="17"/>
        <v>43.791260466803386</v>
      </c>
      <c r="BC34" s="3"/>
      <c r="BD34" s="162">
        <f t="shared" si="18"/>
        <v>6.6581632040689271</v>
      </c>
      <c r="BE34" s="3"/>
      <c r="BF34" s="161">
        <f t="shared" si="10"/>
        <v>2332.7960528850385</v>
      </c>
      <c r="BG34" s="3"/>
      <c r="BH34" s="165"/>
    </row>
    <row r="35" spans="2:60" ht="12">
      <c r="B35" s="2"/>
      <c r="C35" s="6">
        <f>+IF(C34&gt;$G$13+$G$14,XX,C34+1)</f>
        <v>2015</v>
      </c>
      <c r="D35" s="6"/>
      <c r="E35" s="292">
        <v>1.7999999999999999E-2</v>
      </c>
      <c r="F35" s="6"/>
      <c r="G35" s="20">
        <v>218951</v>
      </c>
      <c r="H35" s="6"/>
      <c r="I35" s="30">
        <f t="shared" si="11"/>
        <v>0</v>
      </c>
      <c r="J35" s="6"/>
      <c r="K35" s="30">
        <v>65.317279627359909</v>
      </c>
      <c r="L35" s="6"/>
      <c r="M35" s="30">
        <f t="shared" si="12"/>
        <v>0</v>
      </c>
      <c r="N35" s="6"/>
      <c r="O35" s="295">
        <f>'(2.2)_Forward_Price_Curve'!U27</f>
        <v>5.8997058877646564</v>
      </c>
      <c r="P35" s="6"/>
      <c r="Q35" s="30"/>
      <c r="R35" s="6"/>
      <c r="S35" s="20">
        <f t="shared" si="4"/>
        <v>15593.030195522038</v>
      </c>
      <c r="T35" s="6"/>
      <c r="U35" s="20">
        <f t="shared" si="0"/>
        <v>14204.848882300277</v>
      </c>
      <c r="V35" s="6"/>
      <c r="W35" s="20">
        <f t="shared" si="5"/>
        <v>1388.1813132217612</v>
      </c>
      <c r="X35" s="6"/>
      <c r="Y35" s="296">
        <f t="shared" si="6"/>
        <v>6.3401460291195804</v>
      </c>
      <c r="Z35" s="255"/>
      <c r="AB35" s="154">
        <f>+IF(AB34&gt;$G$13+$G$14,XX,AB34+1)</f>
        <v>2015</v>
      </c>
      <c r="AC35" s="124"/>
      <c r="AD35" s="159">
        <f t="shared" si="1"/>
        <v>218951</v>
      </c>
      <c r="AE35" s="3"/>
      <c r="AF35" s="162">
        <f t="shared" si="13"/>
        <v>66.159026966200855</v>
      </c>
      <c r="AG35" s="3"/>
      <c r="AH35" s="162">
        <f t="shared" si="14"/>
        <v>9.3273565302846499</v>
      </c>
      <c r="AI35" s="3"/>
      <c r="AJ35" s="162">
        <f t="shared" si="15"/>
        <v>2.6219716239593698</v>
      </c>
      <c r="AK35" s="3"/>
      <c r="AL35" s="161">
        <f t="shared" si="7"/>
        <v>4345.7069728557053</v>
      </c>
      <c r="AM35" s="3"/>
      <c r="AN35" s="162">
        <f>INDEX('(2.2)_Forward_Price_Curve'!$K:$K,MATCH($AB35,'(2.2)_Forward_Price_Curve'!$C:$C,0),1)</f>
        <v>7.3164011858738007</v>
      </c>
      <c r="AO35" s="3"/>
      <c r="AP35" s="162">
        <f t="shared" si="8"/>
        <v>53.161127080102943</v>
      </c>
      <c r="AQ35" s="3"/>
      <c r="AR35" s="162">
        <f t="shared" si="16"/>
        <v>2.7140609358528702</v>
      </c>
      <c r="AS35" s="162"/>
      <c r="AT35" s="161">
        <f t="shared" si="2"/>
        <v>1970.9205910187361</v>
      </c>
      <c r="AU35" s="3"/>
      <c r="AV35" s="161">
        <f t="shared" si="3"/>
        <v>12233.928291281542</v>
      </c>
      <c r="AW35" s="299"/>
      <c r="AX35" s="163">
        <f t="shared" si="9"/>
        <v>14204.848882300277</v>
      </c>
      <c r="AZ35" s="154">
        <f>+IF(AZ34&gt;$G$13+$G$14,XX,AZ34+1)</f>
        <v>2015</v>
      </c>
      <c r="BA35" s="124"/>
      <c r="BB35" s="162">
        <f t="shared" si="17"/>
        <v>44.579503155205849</v>
      </c>
      <c r="BC35" s="3"/>
      <c r="BD35" s="162">
        <f t="shared" si="18"/>
        <v>6.7780101417421683</v>
      </c>
      <c r="BE35" s="3"/>
      <c r="BF35" s="161">
        <f t="shared" si="10"/>
        <v>2374.7863818369692</v>
      </c>
      <c r="BG35" s="3"/>
      <c r="BH35" s="165"/>
    </row>
    <row r="36" spans="2:60" ht="12">
      <c r="B36" s="2"/>
      <c r="C36" s="6">
        <f>+IF(C35&gt;$G$13+$G$14,XX,C35+1)</f>
        <v>2016</v>
      </c>
      <c r="D36" s="6"/>
      <c r="E36" s="292">
        <v>1.7999999999999999E-2</v>
      </c>
      <c r="F36" s="6"/>
      <c r="G36" s="20">
        <v>219821</v>
      </c>
      <c r="H36" s="6"/>
      <c r="I36" s="30">
        <f t="shared" si="11"/>
        <v>0</v>
      </c>
      <c r="J36" s="6"/>
      <c r="K36" s="30">
        <v>65.317279627359909</v>
      </c>
      <c r="L36" s="6"/>
      <c r="M36" s="30">
        <f t="shared" si="12"/>
        <v>0</v>
      </c>
      <c r="N36" s="6"/>
      <c r="O36" s="295">
        <f>'(2.2)_Forward_Price_Curve'!U28</f>
        <v>6.0059005937444203</v>
      </c>
      <c r="P36" s="6"/>
      <c r="Q36" s="30"/>
      <c r="R36" s="6"/>
      <c r="S36" s="20">
        <f t="shared" si="4"/>
        <v>15678.332799383374</v>
      </c>
      <c r="T36" s="6"/>
      <c r="U36" s="20">
        <f t="shared" si="0"/>
        <v>15267.969799273544</v>
      </c>
      <c r="V36" s="6"/>
      <c r="W36" s="20">
        <f t="shared" si="5"/>
        <v>410.36300010982995</v>
      </c>
      <c r="X36" s="6"/>
      <c r="Y36" s="296">
        <f t="shared" si="6"/>
        <v>1.8668052647828457</v>
      </c>
      <c r="Z36" s="255"/>
      <c r="AB36" s="154">
        <f>+IF(AB35&gt;$G$13+$G$14,XX,AB35+1)</f>
        <v>2016</v>
      </c>
      <c r="AC36" s="124"/>
      <c r="AD36" s="159">
        <f t="shared" si="1"/>
        <v>219821</v>
      </c>
      <c r="AE36" s="3"/>
      <c r="AF36" s="162">
        <f t="shared" si="13"/>
        <v>67.349889451592475</v>
      </c>
      <c r="AG36" s="3"/>
      <c r="AH36" s="162">
        <f t="shared" si="14"/>
        <v>9.4952489478297739</v>
      </c>
      <c r="AI36" s="3"/>
      <c r="AJ36" s="162">
        <f t="shared" si="15"/>
        <v>2.6691671131906385</v>
      </c>
      <c r="AK36" s="3"/>
      <c r="AL36" s="161">
        <f t="shared" si="7"/>
        <v>4426.2518737555847</v>
      </c>
      <c r="AM36" s="3"/>
      <c r="AN36" s="162">
        <f>INDEX('(2.2)_Forward_Price_Curve'!$K:$K,MATCH($AB36,'(2.2)_Forward_Price_Curve'!$C:$C,0),1)</f>
        <v>7.9211828417083421</v>
      </c>
      <c r="AO36" s="3"/>
      <c r="AP36" s="162">
        <f t="shared" si="8"/>
        <v>57.555483491778489</v>
      </c>
      <c r="AQ36" s="3"/>
      <c r="AR36" s="162">
        <f t="shared" si="16"/>
        <v>2.7629140326982218</v>
      </c>
      <c r="AS36" s="162"/>
      <c r="AT36" s="161">
        <f t="shared" si="2"/>
        <v>2008.7193370455498</v>
      </c>
      <c r="AU36" s="3"/>
      <c r="AV36" s="161">
        <f t="shared" si="3"/>
        <v>13259.250462227994</v>
      </c>
      <c r="AW36" s="299"/>
      <c r="AX36" s="163">
        <f t="shared" si="9"/>
        <v>15267.969799273544</v>
      </c>
      <c r="AZ36" s="154">
        <f>+IF(AZ35&gt;$G$13+$G$14,XX,AZ35+1)</f>
        <v>2016</v>
      </c>
      <c r="BA36" s="124"/>
      <c r="BB36" s="162">
        <f t="shared" si="17"/>
        <v>45.381934211999557</v>
      </c>
      <c r="BC36" s="3"/>
      <c r="BD36" s="162">
        <f t="shared" si="18"/>
        <v>6.9000143242935277</v>
      </c>
      <c r="BE36" s="3"/>
      <c r="BF36" s="161">
        <f t="shared" si="10"/>
        <v>2417.5325367100349</v>
      </c>
      <c r="BG36" s="3"/>
      <c r="BH36" s="165"/>
    </row>
    <row r="37" spans="2:60" ht="12">
      <c r="B37" s="2"/>
      <c r="C37" s="6">
        <f>+IF(C36&gt;$G$13+$G$14,XX,C36+1)</f>
        <v>2017</v>
      </c>
      <c r="D37" s="6"/>
      <c r="E37" s="292">
        <v>1.7999999999999999E-2</v>
      </c>
      <c r="F37" s="6"/>
      <c r="G37" s="20">
        <v>218951</v>
      </c>
      <c r="H37" s="6"/>
      <c r="I37" s="30">
        <f t="shared" si="11"/>
        <v>0</v>
      </c>
      <c r="J37" s="6"/>
      <c r="K37" s="30">
        <v>65.317279627359909</v>
      </c>
      <c r="L37" s="6"/>
      <c r="M37" s="30">
        <f t="shared" si="12"/>
        <v>0</v>
      </c>
      <c r="N37" s="6"/>
      <c r="O37" s="295">
        <f>'(2.2)_Forward_Price_Curve'!U29</f>
        <v>6.1140068044318197</v>
      </c>
      <c r="P37" s="6"/>
      <c r="Q37" s="30"/>
      <c r="R37" s="6"/>
      <c r="S37" s="20">
        <f t="shared" si="4"/>
        <v>15639.951595527231</v>
      </c>
      <c r="T37" s="6"/>
      <c r="U37" s="20">
        <f t="shared" si="0"/>
        <v>16255.398439958266</v>
      </c>
      <c r="V37" s="6"/>
      <c r="W37" s="20">
        <f t="shared" si="5"/>
        <v>-615.44684443103506</v>
      </c>
      <c r="X37" s="6"/>
      <c r="Y37" s="296">
        <f t="shared" si="6"/>
        <v>-2.8108884838664134</v>
      </c>
      <c r="Z37" s="255"/>
      <c r="AB37" s="154">
        <f>+IF(AB36&gt;$G$13+$G$14,XX,AB36+1)</f>
        <v>2017</v>
      </c>
      <c r="AC37" s="124"/>
      <c r="AD37" s="159">
        <f t="shared" si="1"/>
        <v>218951</v>
      </c>
      <c r="AE37" s="3"/>
      <c r="AF37" s="162">
        <f t="shared" si="13"/>
        <v>68.562187461721138</v>
      </c>
      <c r="AG37" s="3"/>
      <c r="AH37" s="162">
        <f t="shared" si="14"/>
        <v>9.6661634288907106</v>
      </c>
      <c r="AI37" s="3"/>
      <c r="AJ37" s="162">
        <f t="shared" si="15"/>
        <v>2.7172121212280702</v>
      </c>
      <c r="AK37" s="3"/>
      <c r="AL37" s="161">
        <f t="shared" si="7"/>
        <v>4503.5604329377175</v>
      </c>
      <c r="AM37" s="3"/>
      <c r="AN37" s="162">
        <f>INDEX('(2.2)_Forward_Price_Curve'!$K:$K,MATCH($AB37,'(2.2)_Forward_Price_Curve'!$C:$C,0),1)</f>
        <v>8.5467545643478058</v>
      </c>
      <c r="AO37" s="3"/>
      <c r="AP37" s="162">
        <f t="shared" si="8"/>
        <v>62.100900972324112</v>
      </c>
      <c r="AQ37" s="3"/>
      <c r="AR37" s="162">
        <f t="shared" si="16"/>
        <v>2.8126464852867898</v>
      </c>
      <c r="AS37" s="162"/>
      <c r="AT37" s="161">
        <f t="shared" si="2"/>
        <v>2042.5123105669018</v>
      </c>
      <c r="AU37" s="3"/>
      <c r="AV37" s="161">
        <f t="shared" si="3"/>
        <v>14212.886129391365</v>
      </c>
      <c r="AW37" s="299"/>
      <c r="AX37" s="163">
        <f t="shared" si="9"/>
        <v>16255.398439958266</v>
      </c>
      <c r="AZ37" s="154">
        <f>+IF(AZ36&gt;$G$13+$G$14,XX,AZ36+1)</f>
        <v>2017</v>
      </c>
      <c r="BA37" s="124"/>
      <c r="BB37" s="162">
        <f t="shared" si="17"/>
        <v>46.19880902781555</v>
      </c>
      <c r="BC37" s="3"/>
      <c r="BD37" s="162">
        <f t="shared" si="18"/>
        <v>7.0242145821308108</v>
      </c>
      <c r="BE37" s="3"/>
      <c r="BF37" s="161">
        <f t="shared" si="10"/>
        <v>2461.0481223708157</v>
      </c>
      <c r="BG37" s="3"/>
      <c r="BH37" s="165"/>
    </row>
    <row r="38" spans="2:60" ht="12">
      <c r="B38" s="2"/>
      <c r="C38" s="6">
        <f>+IF(C37&gt;$G$13+$G$14,XX,C37+1)</f>
        <v>2018</v>
      </c>
      <c r="D38" s="6"/>
      <c r="E38" s="292">
        <v>1.7999999999999999E-2</v>
      </c>
      <c r="F38" s="6"/>
      <c r="G38" s="20">
        <v>218951</v>
      </c>
      <c r="H38" s="6"/>
      <c r="I38" s="30">
        <f t="shared" si="11"/>
        <v>0</v>
      </c>
      <c r="J38" s="6"/>
      <c r="K38" s="30">
        <v>65.317279627359909</v>
      </c>
      <c r="L38" s="6"/>
      <c r="M38" s="30">
        <f t="shared" si="12"/>
        <v>0</v>
      </c>
      <c r="N38" s="6"/>
      <c r="O38" s="295">
        <f>'(2.2)_Forward_Price_Curve'!U30</f>
        <v>6.2240589269115922</v>
      </c>
      <c r="P38" s="6"/>
      <c r="Q38" s="30"/>
      <c r="R38" s="6"/>
      <c r="S38" s="20">
        <f t="shared" si="4"/>
        <v>15664.047617796299</v>
      </c>
      <c r="T38" s="6"/>
      <c r="U38" s="20">
        <f t="shared" si="0"/>
        <v>17194.781359945155</v>
      </c>
      <c r="V38" s="6"/>
      <c r="W38" s="20">
        <f t="shared" si="5"/>
        <v>-1530.7337421488555</v>
      </c>
      <c r="X38" s="6"/>
      <c r="Y38" s="296">
        <f t="shared" si="6"/>
        <v>-6.9912160353177448</v>
      </c>
      <c r="Z38" s="255"/>
      <c r="AB38" s="154">
        <f>+IF(AB37&gt;$G$13+$G$14,XX,AB37+1)</f>
        <v>2018</v>
      </c>
      <c r="AC38" s="124"/>
      <c r="AD38" s="159">
        <f t="shared" si="1"/>
        <v>218951</v>
      </c>
      <c r="AE38" s="3"/>
      <c r="AF38" s="162">
        <f t="shared" si="13"/>
        <v>69.796306836032116</v>
      </c>
      <c r="AG38" s="3"/>
      <c r="AH38" s="162">
        <f t="shared" si="14"/>
        <v>9.8401543706107439</v>
      </c>
      <c r="AI38" s="3"/>
      <c r="AJ38" s="162">
        <f t="shared" si="15"/>
        <v>2.7661219394101755</v>
      </c>
      <c r="AK38" s="3"/>
      <c r="AL38" s="161">
        <f t="shared" si="7"/>
        <v>4584.6245207305947</v>
      </c>
      <c r="AM38" s="3"/>
      <c r="AN38" s="162">
        <f>INDEX('(2.2)_Forward_Price_Curve'!$K:$K,MATCH($AB38,'(2.2)_Forward_Price_Curve'!$C:$C,0),1)</f>
        <v>9.1071488375904099</v>
      </c>
      <c r="AO38" s="3"/>
      <c r="AP38" s="162">
        <f t="shared" si="8"/>
        <v>66.172737715275218</v>
      </c>
      <c r="AQ38" s="3"/>
      <c r="AR38" s="162">
        <f t="shared" si="16"/>
        <v>2.8632741220219522</v>
      </c>
      <c r="AS38" s="162"/>
      <c r="AT38" s="161">
        <f t="shared" si="2"/>
        <v>2079.2775321571044</v>
      </c>
      <c r="AU38" s="3"/>
      <c r="AV38" s="161">
        <f t="shared" si="3"/>
        <v>15115.50382778805</v>
      </c>
      <c r="AW38" s="299"/>
      <c r="AX38" s="163">
        <f t="shared" si="9"/>
        <v>17194.781359945155</v>
      </c>
      <c r="AZ38" s="154">
        <f>+IF(AZ37&gt;$G$13+$G$14,XX,AZ37+1)</f>
        <v>2018</v>
      </c>
      <c r="BA38" s="124"/>
      <c r="BB38" s="162">
        <f t="shared" si="17"/>
        <v>47.030387590316231</v>
      </c>
      <c r="BC38" s="3"/>
      <c r="BD38" s="162">
        <f t="shared" si="18"/>
        <v>7.1506504446091652</v>
      </c>
      <c r="BE38" s="3"/>
      <c r="BF38" s="161">
        <f t="shared" si="10"/>
        <v>2505.3469885734903</v>
      </c>
      <c r="BG38" s="3"/>
      <c r="BH38" s="165"/>
    </row>
    <row r="39" spans="2:60" ht="12">
      <c r="B39" s="2"/>
      <c r="C39" s="6">
        <f>+IF(C38&gt;$G$13+$G$14,XX,C38+1)</f>
        <v>2019</v>
      </c>
      <c r="D39" s="6"/>
      <c r="E39" s="292">
        <v>1.7999999999999999E-2</v>
      </c>
      <c r="F39" s="6"/>
      <c r="G39" s="20">
        <v>218951</v>
      </c>
      <c r="H39" s="6"/>
      <c r="I39" s="30">
        <f t="shared" si="11"/>
        <v>0</v>
      </c>
      <c r="J39" s="6"/>
      <c r="K39" s="30">
        <v>65.317279627359909</v>
      </c>
      <c r="L39" s="6"/>
      <c r="M39" s="30">
        <f t="shared" si="12"/>
        <v>0</v>
      </c>
      <c r="N39" s="6"/>
      <c r="O39" s="295">
        <f>'(2.2)_Forward_Price_Curve'!U31</f>
        <v>6.3360919875960011</v>
      </c>
      <c r="P39" s="6"/>
      <c r="Q39" s="30"/>
      <c r="R39" s="6"/>
      <c r="S39" s="20">
        <f t="shared" si="4"/>
        <v>15688.577368466213</v>
      </c>
      <c r="T39" s="6"/>
      <c r="U39" s="20">
        <f t="shared" si="0"/>
        <v>18232.733481813571</v>
      </c>
      <c r="V39" s="6"/>
      <c r="W39" s="20">
        <f t="shared" si="5"/>
        <v>-2544.1561133473588</v>
      </c>
      <c r="X39" s="6"/>
      <c r="Y39" s="296">
        <f t="shared" si="6"/>
        <v>-11.619751055475239</v>
      </c>
      <c r="Z39" s="255"/>
      <c r="AB39" s="154">
        <f>+IF(AB38&gt;$G$13+$G$14,XX,AB38+1)</f>
        <v>2019</v>
      </c>
      <c r="AC39" s="124"/>
      <c r="AD39" s="159">
        <f t="shared" si="1"/>
        <v>218951</v>
      </c>
      <c r="AE39" s="3"/>
      <c r="AF39" s="162">
        <f t="shared" si="13"/>
        <v>71.052640359080698</v>
      </c>
      <c r="AG39" s="3"/>
      <c r="AH39" s="162">
        <f t="shared" si="14"/>
        <v>10.017277149281737</v>
      </c>
      <c r="AI39" s="3"/>
      <c r="AJ39" s="162">
        <f t="shared" si="15"/>
        <v>2.8159121343195586</v>
      </c>
      <c r="AK39" s="3"/>
      <c r="AL39" s="161">
        <f t="shared" si="7"/>
        <v>4667.1477621037457</v>
      </c>
      <c r="AM39" s="3"/>
      <c r="AN39" s="162">
        <f>INDEX('(2.2)_Forward_Price_Curve'!$K:$K,MATCH($AB39,'(2.2)_Forward_Price_Curve'!$C:$C,0),1)</f>
        <v>9.7289597532905745</v>
      </c>
      <c r="AO39" s="3"/>
      <c r="AP39" s="162">
        <f t="shared" si="8"/>
        <v>70.69082909237946</v>
      </c>
      <c r="AQ39" s="3"/>
      <c r="AR39" s="162">
        <f t="shared" si="16"/>
        <v>2.9148130562183474</v>
      </c>
      <c r="AS39" s="162"/>
      <c r="AT39" s="161">
        <f t="shared" si="2"/>
        <v>2116.7045277359325</v>
      </c>
      <c r="AU39" s="3"/>
      <c r="AV39" s="161">
        <f t="shared" si="3"/>
        <v>16116.028954077639</v>
      </c>
      <c r="AW39" s="299"/>
      <c r="AX39" s="163">
        <f t="shared" si="9"/>
        <v>18232.733481813571</v>
      </c>
      <c r="AZ39" s="154">
        <f>+IF(AZ38&gt;$G$13+$G$14,XX,AZ38+1)</f>
        <v>2019</v>
      </c>
      <c r="BA39" s="124"/>
      <c r="BB39" s="162">
        <f t="shared" si="17"/>
        <v>47.876934566941927</v>
      </c>
      <c r="BC39" s="3"/>
      <c r="BD39" s="162">
        <f t="shared" si="18"/>
        <v>7.2793621526121299</v>
      </c>
      <c r="BE39" s="3"/>
      <c r="BF39" s="161">
        <f t="shared" si="10"/>
        <v>2550.4432343678131</v>
      </c>
      <c r="BG39" s="3"/>
      <c r="BH39" s="165"/>
    </row>
    <row r="40" spans="2:60" ht="12">
      <c r="B40" s="2"/>
      <c r="C40" s="6">
        <f>+IF(C39&gt;$G$13+$G$14,XX,C39+1)</f>
        <v>2020</v>
      </c>
      <c r="D40" s="6"/>
      <c r="E40" s="292">
        <v>1.7999999999999999E-2</v>
      </c>
      <c r="F40" s="6"/>
      <c r="G40" s="20">
        <v>219821</v>
      </c>
      <c r="H40" s="6"/>
      <c r="I40" s="30">
        <f t="shared" si="11"/>
        <v>0</v>
      </c>
      <c r="J40" s="6"/>
      <c r="K40" s="30">
        <v>65.317279627359909</v>
      </c>
      <c r="L40" s="6"/>
      <c r="M40" s="30">
        <f t="shared" si="12"/>
        <v>0</v>
      </c>
      <c r="N40" s="6"/>
      <c r="O40" s="295">
        <f>'(2.2)_Forward_Price_Curve'!U32</f>
        <v>6.4501416433727297</v>
      </c>
      <c r="P40" s="6"/>
      <c r="Q40" s="30"/>
      <c r="R40" s="6"/>
      <c r="S40" s="20">
        <f t="shared" si="4"/>
        <v>15775.98631115372</v>
      </c>
      <c r="T40" s="6"/>
      <c r="U40" s="20">
        <f t="shared" si="0"/>
        <v>18953.20757090464</v>
      </c>
      <c r="V40" s="6"/>
      <c r="W40" s="20">
        <f t="shared" si="5"/>
        <v>-3177.2212597509206</v>
      </c>
      <c r="X40" s="6"/>
      <c r="Y40" s="296">
        <f t="shared" si="6"/>
        <v>-14.453674852497807</v>
      </c>
      <c r="Z40" s="255"/>
      <c r="AB40" s="154">
        <f>+IF(AB39&gt;$G$13+$G$14,XX,AB39+1)</f>
        <v>2020</v>
      </c>
      <c r="AC40" s="124"/>
      <c r="AD40" s="159">
        <f t="shared" si="1"/>
        <v>219821</v>
      </c>
      <c r="AE40" s="3"/>
      <c r="AF40" s="162">
        <f t="shared" si="13"/>
        <v>72.331587885544153</v>
      </c>
      <c r="AG40" s="3"/>
      <c r="AH40" s="162">
        <f t="shared" si="14"/>
        <v>10.197588137968809</v>
      </c>
      <c r="AI40" s="3"/>
      <c r="AJ40" s="162">
        <f t="shared" si="15"/>
        <v>2.8665985527373108</v>
      </c>
      <c r="AK40" s="3"/>
      <c r="AL40" s="161">
        <f t="shared" si="7"/>
        <v>4753.6503625624955</v>
      </c>
      <c r="AM40" s="3"/>
      <c r="AN40" s="162">
        <f>INDEX('(2.2)_Forward_Price_Curve'!$K:$K,MATCH($AB40,'(2.2)_Forward_Price_Curve'!$C:$C,0),1)</f>
        <v>10.107309478601163</v>
      </c>
      <c r="AO40" s="3"/>
      <c r="AP40" s="162">
        <f t="shared" si="8"/>
        <v>73.43992626692922</v>
      </c>
      <c r="AQ40" s="3"/>
      <c r="AR40" s="162">
        <f t="shared" si="16"/>
        <v>2.9672796912302779</v>
      </c>
      <c r="AS40" s="162"/>
      <c r="AT40" s="161">
        <f t="shared" si="2"/>
        <v>2157.2991499760619</v>
      </c>
      <c r="AU40" s="3"/>
      <c r="AV40" s="161">
        <f t="shared" si="3"/>
        <v>16795.908420928579</v>
      </c>
      <c r="AW40" s="299"/>
      <c r="AX40" s="163">
        <f t="shared" si="9"/>
        <v>18953.20757090464</v>
      </c>
      <c r="AZ40" s="154">
        <f>+IF(AZ39&gt;$G$13+$G$14,XX,AZ39+1)</f>
        <v>2020</v>
      </c>
      <c r="BA40" s="124"/>
      <c r="BB40" s="162">
        <f t="shared" si="17"/>
        <v>48.73871938914688</v>
      </c>
      <c r="BC40" s="3"/>
      <c r="BD40" s="162">
        <f t="shared" si="18"/>
        <v>7.4103906713591483</v>
      </c>
      <c r="BE40" s="3"/>
      <c r="BF40" s="161">
        <f t="shared" si="10"/>
        <v>2596.3512125864336</v>
      </c>
      <c r="BG40" s="3"/>
      <c r="BH40" s="165"/>
    </row>
    <row r="41" spans="2:60" ht="12">
      <c r="B41" s="2"/>
      <c r="C41" s="6">
        <f>+IF(C40&gt;$G$13+$G$14,XX,C40+1)</f>
        <v>2021</v>
      </c>
      <c r="D41" s="6"/>
      <c r="E41" s="292">
        <v>1.7999999999999999E-2</v>
      </c>
      <c r="F41" s="6"/>
      <c r="G41" s="20">
        <v>218951</v>
      </c>
      <c r="H41" s="6"/>
      <c r="I41" s="30">
        <f t="shared" si="11"/>
        <v>0</v>
      </c>
      <c r="J41" s="6"/>
      <c r="K41" s="30">
        <v>65.317279627359909</v>
      </c>
      <c r="L41" s="6"/>
      <c r="M41" s="30">
        <f t="shared" si="12"/>
        <v>0</v>
      </c>
      <c r="N41" s="6"/>
      <c r="O41" s="295">
        <f>'(2.2)_Forward_Price_Curve'!U33</f>
        <v>6.5662441929534392</v>
      </c>
      <c r="P41" s="6"/>
      <c r="Q41" s="30"/>
      <c r="R41" s="6"/>
      <c r="S41" s="20">
        <f t="shared" si="4"/>
        <v>15738.969423981427</v>
      </c>
      <c r="T41" s="6"/>
      <c r="U41" s="20">
        <f t="shared" si="0"/>
        <v>19219.358168600127</v>
      </c>
      <c r="V41" s="6"/>
      <c r="W41" s="20">
        <f t="shared" si="5"/>
        <v>-3480.3887446187</v>
      </c>
      <c r="X41" s="6"/>
      <c r="Y41" s="296">
        <f t="shared" si="6"/>
        <v>-15.89574263017159</v>
      </c>
      <c r="Z41" s="255"/>
      <c r="AB41" s="154">
        <f>+IF(AB40&gt;$G$13+$G$14,XX,AB40+1)</f>
        <v>2021</v>
      </c>
      <c r="AC41" s="124"/>
      <c r="AD41" s="159">
        <f t="shared" si="1"/>
        <v>218951</v>
      </c>
      <c r="AE41" s="3"/>
      <c r="AF41" s="162">
        <f t="shared" si="13"/>
        <v>73.633556467483942</v>
      </c>
      <c r="AG41" s="3"/>
      <c r="AH41" s="162">
        <f t="shared" si="14"/>
        <v>10.381144724452248</v>
      </c>
      <c r="AI41" s="3"/>
      <c r="AJ41" s="162">
        <f t="shared" si="15"/>
        <v>2.9181973266865824</v>
      </c>
      <c r="AK41" s="3"/>
      <c r="AL41" s="161">
        <f t="shared" si="7"/>
        <v>4836.677237414402</v>
      </c>
      <c r="AM41" s="3"/>
      <c r="AN41" s="162">
        <f>INDEX('(2.2)_Forward_Price_Curve'!$K:$K,MATCH($AB41,'(2.2)_Forward_Price_Curve'!$C:$C,0),1)</f>
        <v>10.286225465001079</v>
      </c>
      <c r="AO41" s="3"/>
      <c r="AP41" s="162">
        <f t="shared" si="8"/>
        <v>74.739933640504091</v>
      </c>
      <c r="AQ41" s="3"/>
      <c r="AR41" s="162">
        <f t="shared" si="16"/>
        <v>3.0206907256724231</v>
      </c>
      <c r="AS41" s="162"/>
      <c r="AT41" s="161">
        <f t="shared" si="2"/>
        <v>2193.5917030014125</v>
      </c>
      <c r="AU41" s="3"/>
      <c r="AV41" s="161">
        <f t="shared" si="3"/>
        <v>17025.766465598714</v>
      </c>
      <c r="AW41" s="299"/>
      <c r="AX41" s="163">
        <f t="shared" si="9"/>
        <v>19219.358168600127</v>
      </c>
      <c r="AZ41" s="154">
        <f>+IF(AZ40&gt;$G$13+$G$14,XX,AZ40+1)</f>
        <v>2021</v>
      </c>
      <c r="BA41" s="124"/>
      <c r="BB41" s="162">
        <f t="shared" si="17"/>
        <v>49.616016338151525</v>
      </c>
      <c r="BC41" s="3"/>
      <c r="BD41" s="162">
        <f t="shared" si="18"/>
        <v>7.5437777034436131</v>
      </c>
      <c r="BE41" s="3"/>
      <c r="BF41" s="161">
        <f t="shared" si="10"/>
        <v>2643.0855344129895</v>
      </c>
      <c r="BG41" s="3"/>
      <c r="BH41" s="165"/>
    </row>
    <row r="42" spans="2:60" ht="12">
      <c r="B42" s="2"/>
      <c r="C42" s="6">
        <f>+IF(C41&gt;$G$13+$G$14,XX,C41+1)</f>
        <v>2022</v>
      </c>
      <c r="D42" s="6"/>
      <c r="E42" s="292">
        <v>1.9E-2</v>
      </c>
      <c r="F42" s="6"/>
      <c r="G42" s="20">
        <v>218951</v>
      </c>
      <c r="H42" s="6"/>
      <c r="I42" s="30">
        <f t="shared" si="11"/>
        <v>0</v>
      </c>
      <c r="J42" s="6"/>
      <c r="K42" s="30">
        <v>65.317279627359909</v>
      </c>
      <c r="L42" s="6"/>
      <c r="M42" s="30">
        <f t="shared" si="12"/>
        <v>0</v>
      </c>
      <c r="N42" s="6"/>
      <c r="O42" s="295">
        <f>'(2.2)_Forward_Price_Curve'!U34</f>
        <v>6.6910028326195539</v>
      </c>
      <c r="P42" s="6"/>
      <c r="Q42" s="30"/>
      <c r="R42" s="6"/>
      <c r="S42" s="20">
        <f t="shared" si="4"/>
        <v>15766.285452894965</v>
      </c>
      <c r="T42" s="6"/>
      <c r="U42" s="20">
        <f t="shared" si="0"/>
        <v>19584.8873770106</v>
      </c>
      <c r="V42" s="6"/>
      <c r="W42" s="20">
        <f t="shared" si="5"/>
        <v>-3818.6019241156355</v>
      </c>
      <c r="X42" s="6"/>
      <c r="Y42" s="296">
        <f t="shared" si="6"/>
        <v>-17.440440665334414</v>
      </c>
      <c r="Z42" s="255"/>
      <c r="AB42" s="154">
        <f>+IF(AB41&gt;$G$13+$G$14,XX,AB41+1)</f>
        <v>2022</v>
      </c>
      <c r="AC42" s="124"/>
      <c r="AD42" s="159">
        <f t="shared" si="1"/>
        <v>218951</v>
      </c>
      <c r="AE42" s="3"/>
      <c r="AF42" s="162">
        <f t="shared" si="13"/>
        <v>75.032594040366135</v>
      </c>
      <c r="AG42" s="3"/>
      <c r="AH42" s="162">
        <f t="shared" si="14"/>
        <v>10.57838647421684</v>
      </c>
      <c r="AI42" s="3"/>
      <c r="AJ42" s="162">
        <f t="shared" si="15"/>
        <v>2.973643075893627</v>
      </c>
      <c r="AK42" s="3"/>
      <c r="AL42" s="161">
        <f t="shared" si="7"/>
        <v>4928.5741049252756</v>
      </c>
      <c r="AM42" s="3"/>
      <c r="AN42" s="162">
        <f>INDEX('(2.2)_Forward_Price_Curve'!$K:$K,MATCH($AB42,'(2.2)_Forward_Price_Curve'!$C:$C,0),1)</f>
        <v>10.481890917487915</v>
      </c>
      <c r="AO42" s="3"/>
      <c r="AP42" s="162">
        <f t="shared" si="8"/>
        <v>76.16164299194341</v>
      </c>
      <c r="AQ42" s="3"/>
      <c r="AR42" s="162">
        <f t="shared" si="16"/>
        <v>3.078083849460199</v>
      </c>
      <c r="AS42" s="162"/>
      <c r="AT42" s="161">
        <f t="shared" si="2"/>
        <v>2235.2699453584396</v>
      </c>
      <c r="AU42" s="3"/>
      <c r="AV42" s="161">
        <f t="shared" si="3"/>
        <v>17349.617431652161</v>
      </c>
      <c r="AW42" s="299"/>
      <c r="AX42" s="163">
        <f t="shared" si="9"/>
        <v>19584.8873770106</v>
      </c>
      <c r="AZ42" s="154">
        <f>+IF(AZ41&gt;$G$13+$G$14,XX,AZ41+1)</f>
        <v>2022</v>
      </c>
      <c r="BA42" s="124"/>
      <c r="BB42" s="162">
        <f t="shared" si="17"/>
        <v>50.558720648576397</v>
      </c>
      <c r="BC42" s="3"/>
      <c r="BD42" s="162">
        <f t="shared" si="18"/>
        <v>7.6871094798090409</v>
      </c>
      <c r="BE42" s="3"/>
      <c r="BF42" s="161">
        <f t="shared" si="10"/>
        <v>2693.304159566836</v>
      </c>
      <c r="BG42" s="3"/>
      <c r="BH42" s="165"/>
    </row>
    <row r="43" spans="2:60" ht="13.5" customHeight="1">
      <c r="B43" s="2"/>
      <c r="C43" s="6">
        <f>+IF(C42&gt;$G$13+$G$14,XX,C42+1)</f>
        <v>2023</v>
      </c>
      <c r="D43" s="6"/>
      <c r="E43" s="292">
        <v>1.9E-2</v>
      </c>
      <c r="F43" s="6"/>
      <c r="G43" s="20">
        <v>218951</v>
      </c>
      <c r="H43" s="6"/>
      <c r="I43" s="30">
        <f t="shared" si="11"/>
        <v>0</v>
      </c>
      <c r="J43" s="6"/>
      <c r="K43" s="30">
        <v>65.317279627359909</v>
      </c>
      <c r="L43" s="6"/>
      <c r="M43" s="30">
        <f t="shared" si="12"/>
        <v>0</v>
      </c>
      <c r="N43" s="6"/>
      <c r="O43" s="295">
        <f>'(2.2)_Forward_Price_Curve'!U35</f>
        <v>6.8181318864393248</v>
      </c>
      <c r="P43" s="6"/>
      <c r="Q43" s="30"/>
      <c r="R43" s="6"/>
      <c r="S43" s="20">
        <f t="shared" si="4"/>
        <v>15794.120486357855</v>
      </c>
      <c r="T43" s="6"/>
      <c r="U43" s="20">
        <f t="shared" si="0"/>
        <v>19954.602443988537</v>
      </c>
      <c r="V43" s="6"/>
      <c r="W43" s="20">
        <f t="shared" si="5"/>
        <v>-4160.4819576306818</v>
      </c>
      <c r="X43" s="6"/>
      <c r="Y43" s="296">
        <f t="shared" si="6"/>
        <v>-19.001886073279785</v>
      </c>
      <c r="Z43" s="255"/>
      <c r="AB43" s="154">
        <f>+IF(AB42&gt;$G$13+$G$14,XX,AB42+1)</f>
        <v>2023</v>
      </c>
      <c r="AC43" s="124"/>
      <c r="AD43" s="159">
        <f t="shared" si="1"/>
        <v>218951</v>
      </c>
      <c r="AE43" s="3"/>
      <c r="AF43" s="162">
        <f t="shared" si="13"/>
        <v>76.45821332713308</v>
      </c>
      <c r="AG43" s="3"/>
      <c r="AH43" s="162">
        <f t="shared" si="14"/>
        <v>10.77937581722696</v>
      </c>
      <c r="AI43" s="3"/>
      <c r="AJ43" s="162">
        <f t="shared" si="15"/>
        <v>3.0301422943356058</v>
      </c>
      <c r="AK43" s="3"/>
      <c r="AL43" s="161">
        <f t="shared" si="7"/>
        <v>5022.2170129188562</v>
      </c>
      <c r="AM43" s="3"/>
      <c r="AN43" s="162">
        <f>INDEX('(2.2)_Forward_Price_Curve'!$K:$K,MATCH($AB43,'(2.2)_Forward_Price_Curve'!$C:$C,0),1)</f>
        <v>10.679539654517416</v>
      </c>
      <c r="AO43" s="3"/>
      <c r="AP43" s="162">
        <f t="shared" si="8"/>
        <v>77.597762931174486</v>
      </c>
      <c r="AQ43" s="3"/>
      <c r="AR43" s="162">
        <f t="shared" si="16"/>
        <v>3.1365674425999424</v>
      </c>
      <c r="AS43" s="162"/>
      <c r="AT43" s="161">
        <f t="shared" si="2"/>
        <v>2277.7400743202502</v>
      </c>
      <c r="AU43" s="3"/>
      <c r="AV43" s="161">
        <f t="shared" si="3"/>
        <v>17676.862369668288</v>
      </c>
      <c r="AW43" s="299"/>
      <c r="AX43" s="163">
        <f t="shared" si="9"/>
        <v>19954.602443988537</v>
      </c>
      <c r="AZ43" s="154">
        <f>+IF(AZ42&gt;$G$13+$G$14,XX,AZ42+1)</f>
        <v>2023</v>
      </c>
      <c r="BA43" s="124"/>
      <c r="BB43" s="162">
        <f t="shared" si="17"/>
        <v>51.519336340899343</v>
      </c>
      <c r="BC43" s="3"/>
      <c r="BD43" s="162">
        <f t="shared" si="18"/>
        <v>7.8331645599254118</v>
      </c>
      <c r="BE43" s="3"/>
      <c r="BF43" s="161">
        <f t="shared" si="10"/>
        <v>2744.476938598606</v>
      </c>
      <c r="BG43" s="3"/>
      <c r="BH43" s="165"/>
    </row>
    <row r="44" spans="2:60" ht="12">
      <c r="B44" s="2"/>
      <c r="C44" s="6">
        <f>+IF(C43&gt;$G$13+$G$14,XX,C43+1)</f>
        <v>2024</v>
      </c>
      <c r="D44" s="6"/>
      <c r="E44" s="292">
        <v>1.9E-2</v>
      </c>
      <c r="F44" s="6"/>
      <c r="G44" s="20">
        <v>219821</v>
      </c>
      <c r="H44" s="6"/>
      <c r="I44" s="30">
        <f t="shared" si="11"/>
        <v>0</v>
      </c>
      <c r="J44" s="6"/>
      <c r="K44" s="30">
        <v>65.317279627359909</v>
      </c>
      <c r="L44" s="6"/>
      <c r="M44" s="30">
        <f t="shared" si="12"/>
        <v>0</v>
      </c>
      <c r="N44" s="6"/>
      <c r="O44" s="295">
        <f>'(2.2)_Forward_Price_Curve'!U36</f>
        <v>6.9476763922816716</v>
      </c>
      <c r="P44" s="6"/>
      <c r="Q44" s="30"/>
      <c r="R44" s="6"/>
      <c r="S44" s="20">
        <f t="shared" si="4"/>
        <v>15885.354897193631</v>
      </c>
      <c r="T44" s="6"/>
      <c r="U44" s="20">
        <f t="shared" si="0"/>
        <v>20409.817841134172</v>
      </c>
      <c r="V44" s="6"/>
      <c r="W44" s="20">
        <f t="shared" si="5"/>
        <v>-4524.4629439405417</v>
      </c>
      <c r="X44" s="6"/>
      <c r="Y44" s="296">
        <f t="shared" si="6"/>
        <v>-20.582487314408276</v>
      </c>
      <c r="Z44" s="255"/>
      <c r="AB44" s="154">
        <f>+IF(AB43&gt;$G$13+$G$14,XX,AB43+1)</f>
        <v>2024</v>
      </c>
      <c r="AC44" s="124"/>
      <c r="AD44" s="159">
        <f t="shared" si="1"/>
        <v>219821</v>
      </c>
      <c r="AE44" s="3"/>
      <c r="AF44" s="162">
        <f t="shared" si="13"/>
        <v>77.910919380348602</v>
      </c>
      <c r="AG44" s="3"/>
      <c r="AH44" s="162">
        <f t="shared" si="14"/>
        <v>10.98418395775427</v>
      </c>
      <c r="AI44" s="3"/>
      <c r="AJ44" s="162">
        <f t="shared" si="15"/>
        <v>3.0877149979279821</v>
      </c>
      <c r="AK44" s="3"/>
      <c r="AL44" s="161">
        <f t="shared" si="7"/>
        <v>5120.3254482125103</v>
      </c>
      <c r="AM44" s="3"/>
      <c r="AN44" s="162">
        <f>INDEX('(2.2)_Forward_Price_Curve'!$K:$K,MATCH($AB44,'(2.2)_Forward_Price_Curve'!$C:$C,0),1)</f>
        <v>10.883589278444866</v>
      </c>
      <c r="AO44" s="3"/>
      <c r="AP44" s="162">
        <f t="shared" si="8"/>
        <v>79.080391851141073</v>
      </c>
      <c r="AQ44" s="3"/>
      <c r="AR44" s="162">
        <f t="shared" si="16"/>
        <v>3.196162224009341</v>
      </c>
      <c r="AS44" s="162"/>
      <c r="AT44" s="161">
        <f t="shared" si="2"/>
        <v>2323.703447780531</v>
      </c>
      <c r="AU44" s="3"/>
      <c r="AV44" s="161">
        <f t="shared" si="3"/>
        <v>18086.11439335364</v>
      </c>
      <c r="AW44" s="299"/>
      <c r="AX44" s="163">
        <f t="shared" si="9"/>
        <v>20409.817841134172</v>
      </c>
      <c r="AZ44" s="154">
        <f>+IF(AZ43&gt;$G$13+$G$14,XX,AZ43+1)</f>
        <v>2024</v>
      </c>
      <c r="BA44" s="124"/>
      <c r="BB44" s="162">
        <f t="shared" si="17"/>
        <v>52.498203731376428</v>
      </c>
      <c r="BC44" s="3"/>
      <c r="BD44" s="162">
        <f t="shared" si="18"/>
        <v>7.9819946865639944</v>
      </c>
      <c r="BE44" s="3"/>
      <c r="BF44" s="161">
        <f t="shared" si="10"/>
        <v>2796.6220004319794</v>
      </c>
      <c r="BG44" s="3"/>
      <c r="BH44" s="165"/>
    </row>
    <row r="45" spans="2:60" ht="12">
      <c r="B45" s="2"/>
      <c r="C45" s="6">
        <f>+IF(C44&gt;$G$13+$G$14,XX,C44+1)</f>
        <v>2025</v>
      </c>
      <c r="D45" s="6"/>
      <c r="E45" s="292">
        <v>1.9E-2</v>
      </c>
      <c r="F45" s="6"/>
      <c r="G45" s="20">
        <v>218951</v>
      </c>
      <c r="H45" s="6"/>
      <c r="I45" s="30">
        <f t="shared" si="11"/>
        <v>0</v>
      </c>
      <c r="J45" s="6"/>
      <c r="K45" s="30">
        <v>65.317279627359909</v>
      </c>
      <c r="L45" s="6"/>
      <c r="M45" s="30">
        <f t="shared" si="12"/>
        <v>0</v>
      </c>
      <c r="N45" s="6"/>
      <c r="O45" s="295">
        <f>'(2.2)_Forward_Price_Curve'!U37</f>
        <v>7.0796822437350224</v>
      </c>
      <c r="P45" s="6"/>
      <c r="Q45" s="30"/>
      <c r="R45" s="6"/>
      <c r="S45" s="20">
        <f t="shared" si="4"/>
        <v>15851.387198638105</v>
      </c>
      <c r="T45" s="6"/>
      <c r="U45" s="20">
        <f t="shared" si="0"/>
        <v>20721.526499147658</v>
      </c>
      <c r="V45" s="6"/>
      <c r="W45" s="20">
        <f t="shared" si="5"/>
        <v>-4870.1393005095524</v>
      </c>
      <c r="X45" s="6"/>
      <c r="Y45" s="296">
        <f t="shared" si="6"/>
        <v>-22.243055754527507</v>
      </c>
      <c r="Z45" s="255"/>
      <c r="AB45" s="154">
        <f>+IF(AB44&gt;$G$13+$G$14,XX,AB44+1)</f>
        <v>2025</v>
      </c>
      <c r="AC45" s="124"/>
      <c r="AD45" s="159">
        <f t="shared" si="1"/>
        <v>218951</v>
      </c>
      <c r="AE45" s="3"/>
      <c r="AF45" s="162">
        <f t="shared" si="13"/>
        <v>79.391226848575215</v>
      </c>
      <c r="AG45" s="3"/>
      <c r="AH45" s="162">
        <f t="shared" si="14"/>
        <v>11.1928834529516</v>
      </c>
      <c r="AI45" s="3"/>
      <c r="AJ45" s="162">
        <f t="shared" si="15"/>
        <v>3.1463815828886132</v>
      </c>
      <c r="AK45" s="3"/>
      <c r="AL45" s="161">
        <f t="shared" si="7"/>
        <v>5214.8742797514342</v>
      </c>
      <c r="AM45" s="3"/>
      <c r="AN45" s="162">
        <f>INDEX('(2.2)_Forward_Price_Curve'!$K:$K,MATCH($AB45,'(2.2)_Forward_Price_Curve'!$C:$C,0),1)</f>
        <v>11.090126110825569</v>
      </c>
      <c r="AO45" s="3"/>
      <c r="AP45" s="162">
        <f t="shared" si="8"/>
        <v>80.581092880782762</v>
      </c>
      <c r="AQ45" s="3"/>
      <c r="AR45" s="162">
        <f t="shared" si="16"/>
        <v>3.2568893062655184</v>
      </c>
      <c r="AS45" s="162"/>
      <c r="AT45" s="161">
        <f t="shared" si="2"/>
        <v>2365.1164613112478</v>
      </c>
      <c r="AU45" s="3"/>
      <c r="AV45" s="161">
        <f t="shared" si="3"/>
        <v>18356.410037836409</v>
      </c>
      <c r="AW45" s="299"/>
      <c r="AX45" s="163">
        <f t="shared" si="9"/>
        <v>20721.526499147658</v>
      </c>
      <c r="AZ45" s="154">
        <f>+IF(AZ44&gt;$G$13+$G$14,XX,AZ44+1)</f>
        <v>2025</v>
      </c>
      <c r="BA45" s="124"/>
      <c r="BB45" s="162">
        <f t="shared" si="17"/>
        <v>53.495669602272578</v>
      </c>
      <c r="BC45" s="3"/>
      <c r="BD45" s="162">
        <f t="shared" si="18"/>
        <v>8.1336525856087096</v>
      </c>
      <c r="BE45" s="3"/>
      <c r="BF45" s="161">
        <f t="shared" si="10"/>
        <v>2849.7578184401864</v>
      </c>
      <c r="BG45" s="3"/>
      <c r="BH45" s="165"/>
    </row>
    <row r="46" spans="2:60" ht="12">
      <c r="B46" s="2"/>
      <c r="C46" s="6">
        <f>+IF(C45&gt;$G$13+$G$14,XX,C45+1)</f>
        <v>2026</v>
      </c>
      <c r="D46" s="6"/>
      <c r="E46" s="292">
        <v>1.9E-2</v>
      </c>
      <c r="F46" s="6"/>
      <c r="G46" s="20">
        <v>218951</v>
      </c>
      <c r="H46" s="6"/>
      <c r="I46" s="30">
        <f t="shared" si="11"/>
        <v>0</v>
      </c>
      <c r="J46" s="6"/>
      <c r="K46" s="30">
        <v>65.317279627359909</v>
      </c>
      <c r="L46" s="6"/>
      <c r="M46" s="30">
        <f t="shared" si="12"/>
        <v>0</v>
      </c>
      <c r="N46" s="6"/>
      <c r="O46" s="295">
        <f>'(2.2)_Forward_Price_Curve'!U38</f>
        <v>7.2141962063659868</v>
      </c>
      <c r="P46" s="6"/>
      <c r="Q46" s="30"/>
      <c r="R46" s="6"/>
      <c r="S46" s="20">
        <f t="shared" si="4"/>
        <v>15880.839165270118</v>
      </c>
      <c r="T46" s="6"/>
      <c r="U46" s="20">
        <f t="shared" si="0"/>
        <v>21112.494976328348</v>
      </c>
      <c r="V46" s="6"/>
      <c r="W46" s="20">
        <f t="shared" si="5"/>
        <v>-5231.65581105823</v>
      </c>
      <c r="X46" s="6"/>
      <c r="Y46" s="296">
        <f t="shared" si="6"/>
        <v>-23.894185507525563</v>
      </c>
      <c r="Z46" s="255"/>
      <c r="AB46" s="154">
        <f>+IF(AB45&gt;$G$13+$G$14,XX,AB45+1)</f>
        <v>2026</v>
      </c>
      <c r="AC46" s="124"/>
      <c r="AD46" s="159">
        <f t="shared" si="1"/>
        <v>218951</v>
      </c>
      <c r="AE46" s="3"/>
      <c r="AF46" s="162">
        <f t="shared" si="13"/>
        <v>80.89966015869814</v>
      </c>
      <c r="AG46" s="3"/>
      <c r="AH46" s="162">
        <f t="shared" si="14"/>
        <v>11.40554823855768</v>
      </c>
      <c r="AI46" s="3"/>
      <c r="AJ46" s="162">
        <f t="shared" si="15"/>
        <v>3.2061628329634968</v>
      </c>
      <c r="AK46" s="3"/>
      <c r="AL46" s="161">
        <f t="shared" si="7"/>
        <v>5313.9568910667122</v>
      </c>
      <c r="AM46" s="3"/>
      <c r="AN46" s="162">
        <f>INDEX('(2.2)_Forward_Price_Curve'!$K:$K,MATCH($AB46,'(2.2)_Forward_Price_Curve'!$C:$C,0),1)</f>
        <v>11.299115883408938</v>
      </c>
      <c r="AO46" s="3"/>
      <c r="AP46" s="162">
        <f t="shared" si="8"/>
        <v>82.099617026259821</v>
      </c>
      <c r="AQ46" s="3"/>
      <c r="AR46" s="162">
        <f t="shared" si="16"/>
        <v>3.3187702030845632</v>
      </c>
      <c r="AS46" s="162"/>
      <c r="AT46" s="161">
        <f t="shared" si="2"/>
        <v>2410.0536740761622</v>
      </c>
      <c r="AU46" s="3"/>
      <c r="AV46" s="161">
        <f t="shared" si="3"/>
        <v>18702.441302252184</v>
      </c>
      <c r="AW46" s="299"/>
      <c r="AX46" s="163">
        <f t="shared" si="9"/>
        <v>21112.494976328348</v>
      </c>
      <c r="AZ46" s="154">
        <f>+IF(AZ45&gt;$G$13+$G$14,XX,AZ45+1)</f>
        <v>2026</v>
      </c>
      <c r="BA46" s="124"/>
      <c r="BB46" s="162">
        <f t="shared" si="17"/>
        <v>54.51208732471575</v>
      </c>
      <c r="BC46" s="3"/>
      <c r="BD46" s="162">
        <f t="shared" si="18"/>
        <v>8.2881919847352741</v>
      </c>
      <c r="BE46" s="3"/>
      <c r="BF46" s="161">
        <f t="shared" si="10"/>
        <v>2903.9032169905499</v>
      </c>
      <c r="BG46" s="3"/>
      <c r="BH46" s="165"/>
    </row>
    <row r="47" spans="2:60" ht="12">
      <c r="B47" s="2"/>
      <c r="C47" s="6">
        <f>+IF(C46&gt;$G$13+$G$14,XX,C46+1)</f>
        <v>2027</v>
      </c>
      <c r="D47" s="6"/>
      <c r="E47" s="292">
        <v>1.9E-2</v>
      </c>
      <c r="F47" s="6"/>
      <c r="G47" s="20">
        <v>218951</v>
      </c>
      <c r="H47" s="6"/>
      <c r="I47" s="30">
        <f t="shared" si="11"/>
        <v>0</v>
      </c>
      <c r="J47" s="6"/>
      <c r="K47" s="30">
        <v>65.317279627359909</v>
      </c>
      <c r="L47" s="6"/>
      <c r="M47" s="30">
        <f t="shared" si="12"/>
        <v>0</v>
      </c>
      <c r="N47" s="6"/>
      <c r="O47" s="295">
        <f>'(2.2)_Forward_Price_Curve'!U39</f>
        <v>7.35126593428694</v>
      </c>
      <c r="P47" s="6"/>
      <c r="Q47" s="30"/>
      <c r="R47" s="6"/>
      <c r="S47" s="20">
        <f t="shared" si="4"/>
        <v>15910.850719268139</v>
      </c>
      <c r="T47" s="6"/>
      <c r="U47" s="20">
        <f t="shared" si="0"/>
        <v>21511.759093646422</v>
      </c>
      <c r="V47" s="6"/>
      <c r="W47" s="20">
        <f t="shared" si="5"/>
        <v>-5600.908374378283</v>
      </c>
      <c r="X47" s="6"/>
      <c r="Y47" s="296">
        <f t="shared" si="6"/>
        <v>-25.580647607813084</v>
      </c>
      <c r="Z47" s="255"/>
      <c r="AB47" s="154">
        <f>+IF(AB46&gt;$G$13+$G$14,XX,AB46+1)</f>
        <v>2027</v>
      </c>
      <c r="AC47" s="124"/>
      <c r="AD47" s="159">
        <f t="shared" si="1"/>
        <v>218951</v>
      </c>
      <c r="AE47" s="3"/>
      <c r="AF47" s="162">
        <f t="shared" si="13"/>
        <v>82.4367537017134</v>
      </c>
      <c r="AG47" s="3"/>
      <c r="AH47" s="162">
        <f t="shared" si="14"/>
        <v>11.622253655090274</v>
      </c>
      <c r="AI47" s="3"/>
      <c r="AJ47" s="162">
        <f t="shared" si="15"/>
        <v>3.267079926789803</v>
      </c>
      <c r="AK47" s="3"/>
      <c r="AL47" s="161">
        <f t="shared" si="7"/>
        <v>5414.9220719969799</v>
      </c>
      <c r="AM47" s="3"/>
      <c r="AN47" s="162">
        <f>INDEX('(2.2)_Forward_Price_Curve'!$K:$K,MATCH($AB47,'(2.2)_Forward_Price_Curve'!$C:$C,0),1)</f>
        <v>11.51262158558478</v>
      </c>
      <c r="AO47" s="3"/>
      <c r="AP47" s="162">
        <f t="shared" si="8"/>
        <v>83.650954012483467</v>
      </c>
      <c r="AQ47" s="3"/>
      <c r="AR47" s="162">
        <f t="shared" si="16"/>
        <v>3.3818268369431697</v>
      </c>
      <c r="AS47" s="162"/>
      <c r="AT47" s="161">
        <f t="shared" si="2"/>
        <v>2455.8446938836096</v>
      </c>
      <c r="AU47" s="3"/>
      <c r="AV47" s="161">
        <f t="shared" si="3"/>
        <v>19055.914399762813</v>
      </c>
      <c r="AW47" s="299"/>
      <c r="AX47" s="163">
        <f t="shared" si="9"/>
        <v>21511.759093646422</v>
      </c>
      <c r="AZ47" s="154">
        <f>+IF(AZ46&gt;$G$13+$G$14,XX,AZ46+1)</f>
        <v>2027</v>
      </c>
      <c r="BA47" s="124"/>
      <c r="BB47" s="162">
        <f t="shared" si="17"/>
        <v>55.547816983885347</v>
      </c>
      <c r="BC47" s="3"/>
      <c r="BD47" s="162">
        <f t="shared" si="18"/>
        <v>8.4456676324452431</v>
      </c>
      <c r="BE47" s="3"/>
      <c r="BF47" s="161">
        <f t="shared" si="10"/>
        <v>2959.0773781133703</v>
      </c>
      <c r="BG47" s="3"/>
      <c r="BH47" s="165"/>
    </row>
    <row r="48" spans="2:60" ht="12">
      <c r="B48" s="2"/>
      <c r="C48" s="6">
        <f>+IF(C47&gt;$G$13+$G$14,XX,C47+1)</f>
        <v>2028</v>
      </c>
      <c r="D48" s="6"/>
      <c r="E48" s="292">
        <v>1.9E-2</v>
      </c>
      <c r="F48" s="6"/>
      <c r="G48" s="20">
        <v>219821</v>
      </c>
      <c r="H48" s="6"/>
      <c r="I48" s="30">
        <f t="shared" si="11"/>
        <v>0</v>
      </c>
      <c r="J48" s="6"/>
      <c r="K48" s="30">
        <v>65.317279627359909</v>
      </c>
      <c r="L48" s="6"/>
      <c r="M48" s="30">
        <f t="shared" si="12"/>
        <v>0</v>
      </c>
      <c r="N48" s="6"/>
      <c r="O48" s="295">
        <f>'(2.2)_Forward_Price_Curve'!U40</f>
        <v>7.4909399870383915</v>
      </c>
      <c r="P48" s="6"/>
      <c r="Q48" s="30"/>
      <c r="R48" s="6"/>
      <c r="S48" s="20">
        <f t="shared" si="4"/>
        <v>16004.775643856648</v>
      </c>
      <c r="T48" s="6"/>
      <c r="U48" s="20">
        <f t="shared" si="0"/>
        <v>22003.529936355688</v>
      </c>
      <c r="V48" s="6"/>
      <c r="W48" s="20">
        <f t="shared" si="5"/>
        <v>-5998.7542924990394</v>
      </c>
      <c r="X48" s="6"/>
      <c r="Y48" s="296">
        <f t="shared" si="6"/>
        <v>-27.289268507099138</v>
      </c>
      <c r="Z48" s="255"/>
      <c r="AB48" s="154">
        <f>+IF(AB47&gt;$G$13+$G$14,XX,AB47+1)</f>
        <v>2028</v>
      </c>
      <c r="AC48" s="124"/>
      <c r="AD48" s="159">
        <f t="shared" si="1"/>
        <v>219821</v>
      </c>
      <c r="AE48" s="3"/>
      <c r="AF48" s="162">
        <f t="shared" si="13"/>
        <v>84.003052022045949</v>
      </c>
      <c r="AG48" s="3"/>
      <c r="AH48" s="162">
        <f t="shared" si="14"/>
        <v>11.843076474536989</v>
      </c>
      <c r="AI48" s="3"/>
      <c r="AJ48" s="162">
        <f t="shared" si="15"/>
        <v>3.3291544453988089</v>
      </c>
      <c r="AK48" s="3"/>
      <c r="AL48" s="161">
        <f t="shared" si="7"/>
        <v>5520.7019557324184</v>
      </c>
      <c r="AM48" s="3"/>
      <c r="AN48" s="162">
        <f>INDEX('(2.2)_Forward_Price_Curve'!$K:$K,MATCH($AB48,'(2.2)_Forward_Price_Curve'!$C:$C,0),1)</f>
        <v>11.7332358254813</v>
      </c>
      <c r="AO48" s="3"/>
      <c r="AP48" s="162">
        <f t="shared" si="8"/>
        <v>85.253941785415222</v>
      </c>
      <c r="AQ48" s="3"/>
      <c r="AR48" s="162">
        <f t="shared" si="16"/>
        <v>3.4460815468450896</v>
      </c>
      <c r="AS48" s="162"/>
      <c r="AT48" s="161">
        <f t="shared" si="2"/>
        <v>2505.4021074348943</v>
      </c>
      <c r="AU48" s="3"/>
      <c r="AV48" s="161">
        <f t="shared" si="3"/>
        <v>19498.127828920795</v>
      </c>
      <c r="AW48" s="299"/>
      <c r="AX48" s="163">
        <f t="shared" si="9"/>
        <v>22003.529936355688</v>
      </c>
      <c r="AZ48" s="154">
        <f>+IF(AZ47&gt;$G$13+$G$14,XX,AZ47+1)</f>
        <v>2028</v>
      </c>
      <c r="BA48" s="124"/>
      <c r="BB48" s="162">
        <f t="shared" si="17"/>
        <v>56.603225506579165</v>
      </c>
      <c r="BC48" s="3"/>
      <c r="BD48" s="162">
        <f t="shared" si="18"/>
        <v>8.6061353174617015</v>
      </c>
      <c r="BE48" s="3"/>
      <c r="BF48" s="161">
        <f t="shared" si="10"/>
        <v>3015.299848297524</v>
      </c>
      <c r="BG48" s="3"/>
      <c r="BH48" s="165"/>
    </row>
    <row r="49" spans="2:60" ht="12">
      <c r="B49" s="2"/>
      <c r="C49" s="6">
        <f>+IF(C48&gt;$G$13+$G$14,XX,C48+1)</f>
        <v>2029</v>
      </c>
      <c r="D49" s="6"/>
      <c r="E49" s="292">
        <v>0.02</v>
      </c>
      <c r="F49" s="6"/>
      <c r="G49" s="20">
        <v>218951</v>
      </c>
      <c r="H49" s="6"/>
      <c r="I49" s="30">
        <f t="shared" si="11"/>
        <v>0</v>
      </c>
      <c r="J49" s="6"/>
      <c r="K49" s="30">
        <v>65.317279627359909</v>
      </c>
      <c r="L49" s="6"/>
      <c r="M49" s="30">
        <f t="shared" si="12"/>
        <v>0</v>
      </c>
      <c r="N49" s="6"/>
      <c r="O49" s="295">
        <f>'(2.2)_Forward_Price_Curve'!U41</f>
        <v>7.63326784679212</v>
      </c>
      <c r="P49" s="6"/>
      <c r="Q49" s="30"/>
      <c r="R49" s="6"/>
      <c r="S49" s="20">
        <f t="shared" si="4"/>
        <v>15972.595320013061</v>
      </c>
      <c r="T49" s="6"/>
      <c r="U49" s="20">
        <f t="shared" si="0"/>
        <v>22338.130989195754</v>
      </c>
      <c r="V49" s="6"/>
      <c r="W49" s="20">
        <f t="shared" si="5"/>
        <v>-6365.5356691826928</v>
      </c>
      <c r="X49" s="6"/>
      <c r="Y49" s="296">
        <f t="shared" si="6"/>
        <v>-29.072877809111137</v>
      </c>
      <c r="Z49" s="255"/>
      <c r="AB49" s="154">
        <f>+IF(AB48&gt;$G$13+$G$14,XX,AB48+1)</f>
        <v>2029</v>
      </c>
      <c r="AC49" s="124"/>
      <c r="AD49" s="159">
        <f t="shared" si="1"/>
        <v>218951</v>
      </c>
      <c r="AE49" s="3"/>
      <c r="AF49" s="162">
        <f t="shared" si="13"/>
        <v>85.683113062486868</v>
      </c>
      <c r="AG49" s="3"/>
      <c r="AH49" s="162">
        <f t="shared" si="14"/>
        <v>12.07993800402773</v>
      </c>
      <c r="AI49" s="3"/>
      <c r="AJ49" s="162">
        <f t="shared" si="15"/>
        <v>3.395737534306785</v>
      </c>
      <c r="AK49" s="3"/>
      <c r="AL49" s="161">
        <f t="shared" si="7"/>
        <v>5628.1617031922178</v>
      </c>
      <c r="AM49" s="3"/>
      <c r="AN49" s="162">
        <f>INDEX('(2.2)_Forward_Price_Curve'!$K:$K,MATCH($AB49,'(2.2)_Forward_Price_Curve'!$C:$C,0),1)</f>
        <v>11.952938687642925</v>
      </c>
      <c r="AO49" s="3"/>
      <c r="AP49" s="162">
        <f t="shared" si="8"/>
        <v>86.850307468284981</v>
      </c>
      <c r="AQ49" s="3"/>
      <c r="AR49" s="162">
        <f t="shared" si="16"/>
        <v>3.5150031777819915</v>
      </c>
      <c r="AS49" s="162"/>
      <c r="AT49" s="161">
        <f t="shared" si="2"/>
        <v>2552.5558579287435</v>
      </c>
      <c r="AU49" s="3"/>
      <c r="AV49" s="161">
        <f t="shared" si="3"/>
        <v>19785.575131267011</v>
      </c>
      <c r="AW49" s="299"/>
      <c r="AX49" s="163">
        <f t="shared" si="9"/>
        <v>22338.130989195754</v>
      </c>
      <c r="AZ49" s="154">
        <f>+IF(AZ48&gt;$G$13+$G$14,XX,AZ48+1)</f>
        <v>2029</v>
      </c>
      <c r="BA49" s="124"/>
      <c r="BB49" s="162">
        <f t="shared" si="17"/>
        <v>57.735290016710749</v>
      </c>
      <c r="BC49" s="3"/>
      <c r="BD49" s="162">
        <f t="shared" si="18"/>
        <v>8.7782580238109365</v>
      </c>
      <c r="BE49" s="3"/>
      <c r="BF49" s="161">
        <f t="shared" si="10"/>
        <v>3075.6058452634743</v>
      </c>
      <c r="BG49" s="3"/>
      <c r="BH49" s="165"/>
    </row>
    <row r="50" spans="2:60" ht="12">
      <c r="B50" s="2"/>
      <c r="C50" s="6">
        <f>+IF(C49&gt;$G$13+$G$14,XX,C49+1)</f>
        <v>2030</v>
      </c>
      <c r="D50" s="6"/>
      <c r="E50" s="292">
        <v>1.9E-2</v>
      </c>
      <c r="F50" s="6"/>
      <c r="G50" s="20">
        <v>218951</v>
      </c>
      <c r="H50" s="6"/>
      <c r="I50" s="30">
        <f t="shared" si="11"/>
        <v>0</v>
      </c>
      <c r="J50" s="6"/>
      <c r="K50" s="30">
        <v>65.317279627359909</v>
      </c>
      <c r="L50" s="6"/>
      <c r="M50" s="30">
        <f t="shared" si="12"/>
        <v>0</v>
      </c>
      <c r="N50" s="6"/>
      <c r="O50" s="295">
        <f>'(2.2)_Forward_Price_Curve'!U42</f>
        <v>7.7859332037279625</v>
      </c>
      <c r="P50" s="6"/>
      <c r="Q50" s="30"/>
      <c r="R50" s="6"/>
      <c r="S50" s="20">
        <f t="shared" si="4"/>
        <v>16006.021552579521</v>
      </c>
      <c r="T50" s="6"/>
      <c r="U50" s="20">
        <f t="shared" si="0"/>
        <v>19954.602443988537</v>
      </c>
      <c r="V50" s="6"/>
      <c r="W50" s="20">
        <f t="shared" si="5"/>
        <v>-3948.5808914090157</v>
      </c>
      <c r="X50" s="6"/>
      <c r="Y50" s="296">
        <f t="shared" si="6"/>
        <v>-18.034084755991138</v>
      </c>
      <c r="Z50" s="255"/>
      <c r="AB50" s="154">
        <f>+IF(AB42&gt;$G$13+$G$14,XX,AB42+1)</f>
        <v>2023</v>
      </c>
      <c r="AC50" s="124"/>
      <c r="AD50" s="159">
        <f t="shared" si="1"/>
        <v>218951</v>
      </c>
      <c r="AE50" s="3"/>
      <c r="AF50" s="162">
        <f>AF42*(1+$E50)</f>
        <v>76.45821332713308</v>
      </c>
      <c r="AG50" s="3"/>
      <c r="AH50" s="162">
        <f>AH42*(1+$E50)</f>
        <v>10.77937581722696</v>
      </c>
      <c r="AI50" s="3"/>
      <c r="AJ50" s="162">
        <f>AJ42*(1+$E50)</f>
        <v>3.0301422943356058</v>
      </c>
      <c r="AK50" s="3"/>
      <c r="AL50" s="161">
        <f t="shared" si="7"/>
        <v>5022.2170129188562</v>
      </c>
      <c r="AM50" s="3"/>
      <c r="AN50" s="162">
        <f>INDEX('(2.2)_Forward_Price_Curve'!$K:$K,MATCH($AB50,'(2.2)_Forward_Price_Curve'!$C:$C,0),1)</f>
        <v>10.679539654517416</v>
      </c>
      <c r="AO50" s="3"/>
      <c r="AP50" s="162">
        <f t="shared" si="8"/>
        <v>77.597762931174486</v>
      </c>
      <c r="AQ50" s="3"/>
      <c r="AR50" s="162">
        <f>AR42*(1+$E50)</f>
        <v>3.1365674425999424</v>
      </c>
      <c r="AS50" s="162"/>
      <c r="AT50" s="161">
        <f t="shared" si="2"/>
        <v>2277.7400743202502</v>
      </c>
      <c r="AU50" s="3"/>
      <c r="AV50" s="161">
        <f t="shared" si="3"/>
        <v>17676.862369668288</v>
      </c>
      <c r="AW50" s="299"/>
      <c r="AX50" s="163">
        <f t="shared" si="9"/>
        <v>19954.602443988537</v>
      </c>
      <c r="AZ50" s="154">
        <f>+IF(AZ42&gt;$G$13+$G$14,XX,AZ42+1)</f>
        <v>2023</v>
      </c>
      <c r="BA50" s="124"/>
      <c r="BB50" s="162">
        <f>BB42*(1+$E50)</f>
        <v>51.519336340899343</v>
      </c>
      <c r="BC50" s="3"/>
      <c r="BD50" s="162">
        <f>BD42*(1+$E50)</f>
        <v>7.8331645599254118</v>
      </c>
      <c r="BE50" s="3"/>
      <c r="BF50" s="161">
        <f t="shared" si="10"/>
        <v>2744.476938598606</v>
      </c>
      <c r="BG50" s="3"/>
      <c r="BH50" s="165"/>
    </row>
    <row r="51" spans="2:60" ht="13.5" customHeight="1">
      <c r="B51" s="2"/>
      <c r="C51" s="6">
        <f>+IF(C50&gt;$G$13+$G$14,XX,C50+1)</f>
        <v>2031</v>
      </c>
      <c r="D51" s="6"/>
      <c r="E51" s="292">
        <v>1.9E-2</v>
      </c>
      <c r="F51" s="6"/>
      <c r="G51" s="20">
        <v>218951</v>
      </c>
      <c r="H51" s="6"/>
      <c r="I51" s="30">
        <f t="shared" si="11"/>
        <v>0</v>
      </c>
      <c r="J51" s="6"/>
      <c r="K51" s="30">
        <v>65.317279627359909</v>
      </c>
      <c r="L51" s="6"/>
      <c r="M51" s="30">
        <f t="shared" si="12"/>
        <v>0</v>
      </c>
      <c r="N51" s="6"/>
      <c r="O51" s="295">
        <f>'(2.2)_Forward_Price_Curve'!U43</f>
        <v>7.9416518678025216</v>
      </c>
      <c r="P51" s="6"/>
      <c r="Q51" s="30"/>
      <c r="R51" s="6"/>
      <c r="S51" s="20">
        <f t="shared" si="4"/>
        <v>16040.116309797309</v>
      </c>
      <c r="T51" s="6"/>
      <c r="U51" s="20">
        <f t="shared" si="0"/>
        <v>20335.550927040593</v>
      </c>
      <c r="V51" s="6"/>
      <c r="W51" s="20">
        <f t="shared" si="5"/>
        <v>-4295.4346172432834</v>
      </c>
      <c r="X51" s="6"/>
      <c r="Y51" s="296">
        <f t="shared" si="6"/>
        <v>-19.618246170345344</v>
      </c>
      <c r="Z51" s="255"/>
      <c r="AB51" s="154">
        <f>+IF(AB50&gt;$G$13+$G$14,XX,AB50+1)</f>
        <v>2024</v>
      </c>
      <c r="AC51" s="124"/>
      <c r="AD51" s="159">
        <f t="shared" si="1"/>
        <v>218951</v>
      </c>
      <c r="AE51" s="3"/>
      <c r="AF51" s="162">
        <f t="shared" si="13"/>
        <v>77.910919380348602</v>
      </c>
      <c r="AG51" s="3"/>
      <c r="AH51" s="162">
        <f t="shared" si="14"/>
        <v>10.98418395775427</v>
      </c>
      <c r="AI51" s="3"/>
      <c r="AJ51" s="162">
        <f t="shared" si="15"/>
        <v>3.0877149979279821</v>
      </c>
      <c r="AK51" s="3"/>
      <c r="AL51" s="161">
        <f t="shared" si="7"/>
        <v>5117.6391361643127</v>
      </c>
      <c r="AM51" s="3"/>
      <c r="AN51" s="162">
        <f>INDEX('(2.2)_Forward_Price_Curve'!$K:$K,MATCH($AB51,'(2.2)_Forward_Price_Curve'!$C:$C,0),1)</f>
        <v>10.883589278444866</v>
      </c>
      <c r="AO51" s="3"/>
      <c r="AP51" s="162">
        <f t="shared" si="8"/>
        <v>79.080391851141073</v>
      </c>
      <c r="AQ51" s="3"/>
      <c r="AR51" s="162">
        <f t="shared" si="16"/>
        <v>3.196162224009341</v>
      </c>
      <c r="AS51" s="162"/>
      <c r="AT51" s="161">
        <f t="shared" si="2"/>
        <v>2321.0171357323334</v>
      </c>
      <c r="AU51" s="3"/>
      <c r="AV51" s="161">
        <f t="shared" si="3"/>
        <v>18014.533791308259</v>
      </c>
      <c r="AW51" s="299"/>
      <c r="AX51" s="163">
        <f t="shared" si="9"/>
        <v>20335.550927040593</v>
      </c>
      <c r="AZ51" s="154">
        <f>+IF(AZ50&gt;$G$13+$G$14,XX,AZ50+1)</f>
        <v>2024</v>
      </c>
      <c r="BA51" s="124"/>
      <c r="BB51" s="162">
        <f t="shared" si="17"/>
        <v>52.498203731376428</v>
      </c>
      <c r="BC51" s="3"/>
      <c r="BD51" s="162">
        <f t="shared" si="18"/>
        <v>7.9819946865639944</v>
      </c>
      <c r="BE51" s="3"/>
      <c r="BF51" s="161">
        <f t="shared" si="10"/>
        <v>2796.6220004319794</v>
      </c>
      <c r="BG51" s="3"/>
      <c r="BH51" s="165"/>
    </row>
    <row r="52" spans="2:60" ht="12">
      <c r="B52" s="2"/>
      <c r="C52" s="6">
        <f>+IF(C51&gt;$G$13+$G$14,XX,C51+1)</f>
        <v>2032</v>
      </c>
      <c r="D52" s="6"/>
      <c r="E52" s="292">
        <v>1.9E-2</v>
      </c>
      <c r="F52" s="6"/>
      <c r="G52" s="20">
        <v>219821</v>
      </c>
      <c r="H52" s="6"/>
      <c r="I52" s="30">
        <f t="shared" si="11"/>
        <v>0</v>
      </c>
      <c r="J52" s="6"/>
      <c r="K52" s="30">
        <v>65.317279627359909</v>
      </c>
      <c r="L52" s="6"/>
      <c r="M52" s="30">
        <f t="shared" si="12"/>
        <v>0</v>
      </c>
      <c r="N52" s="6"/>
      <c r="O52" s="295">
        <f>'(2.2)_Forward_Price_Curve'!U44</f>
        <v>8.1084265570263732</v>
      </c>
      <c r="P52" s="6"/>
      <c r="Q52" s="30"/>
      <c r="R52" s="6"/>
      <c r="S52" s="20">
        <f t="shared" si="4"/>
        <v>16140.512159157979</v>
      </c>
      <c r="T52" s="6"/>
      <c r="U52" s="20">
        <f t="shared" si="0"/>
        <v>20797.202895627503</v>
      </c>
      <c r="V52" s="6"/>
      <c r="W52" s="20">
        <f t="shared" si="5"/>
        <v>-4656.6907364695235</v>
      </c>
      <c r="X52" s="6"/>
      <c r="Y52" s="296">
        <f t="shared" si="6"/>
        <v>-21.18401215748051</v>
      </c>
      <c r="Z52" s="255"/>
      <c r="AB52" s="154">
        <f>+IF(AB51&gt;$G$13+$G$14,XX,AB51+1)</f>
        <v>2025</v>
      </c>
      <c r="AC52" s="124"/>
      <c r="AD52" s="159">
        <f t="shared" si="1"/>
        <v>219821</v>
      </c>
      <c r="AE52" s="3"/>
      <c r="AF52" s="162">
        <f t="shared" si="13"/>
        <v>79.391226848575215</v>
      </c>
      <c r="AG52" s="3"/>
      <c r="AH52" s="162">
        <f t="shared" si="14"/>
        <v>11.1928834529516</v>
      </c>
      <c r="AI52" s="3"/>
      <c r="AJ52" s="162">
        <f t="shared" si="15"/>
        <v>3.1463815828886132</v>
      </c>
      <c r="AK52" s="3"/>
      <c r="AL52" s="161">
        <f t="shared" si="7"/>
        <v>5217.6116317285478</v>
      </c>
      <c r="AM52" s="3"/>
      <c r="AN52" s="162">
        <f>INDEX('(2.2)_Forward_Price_Curve'!$K:$K,MATCH($AB52,'(2.2)_Forward_Price_Curve'!$C:$C,0),1)</f>
        <v>11.090126110825569</v>
      </c>
      <c r="AO52" s="3"/>
      <c r="AP52" s="162">
        <f t="shared" si="8"/>
        <v>80.581092880782762</v>
      </c>
      <c r="AQ52" s="3"/>
      <c r="AR52" s="162">
        <f t="shared" si="16"/>
        <v>3.2568893062655184</v>
      </c>
      <c r="AS52" s="162"/>
      <c r="AT52" s="161">
        <f t="shared" si="2"/>
        <v>2367.8538132883614</v>
      </c>
      <c r="AU52" s="3"/>
      <c r="AV52" s="161">
        <f t="shared" si="3"/>
        <v>18429.34908233914</v>
      </c>
      <c r="AW52" s="299"/>
      <c r="AX52" s="163">
        <f t="shared" si="9"/>
        <v>20797.202895627503</v>
      </c>
      <c r="AZ52" s="154">
        <f>+IF(AZ51&gt;$G$13+$G$14,XX,AZ51+1)</f>
        <v>2025</v>
      </c>
      <c r="BA52" s="124"/>
      <c r="BB52" s="162">
        <f t="shared" si="17"/>
        <v>53.495669602272578</v>
      </c>
      <c r="BC52" s="3"/>
      <c r="BD52" s="162">
        <f t="shared" si="18"/>
        <v>8.1336525856087096</v>
      </c>
      <c r="BE52" s="3"/>
      <c r="BF52" s="161">
        <f t="shared" si="10"/>
        <v>2849.7578184401864</v>
      </c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 ht="12">
      <c r="B57" s="2"/>
      <c r="C57" s="6"/>
      <c r="D57" s="6"/>
      <c r="E57" s="292"/>
      <c r="F57" s="6"/>
      <c r="G57" s="20"/>
      <c r="H57" s="6"/>
      <c r="I57" s="30"/>
      <c r="J57" s="6"/>
      <c r="K57" s="30"/>
      <c r="L57" s="6"/>
      <c r="M57" s="30"/>
      <c r="N57" s="6"/>
      <c r="O57" s="295"/>
      <c r="P57" s="6"/>
      <c r="Q57" s="30"/>
      <c r="R57" s="6"/>
      <c r="S57" s="20"/>
      <c r="T57" s="6"/>
      <c r="U57" s="20"/>
      <c r="V57" s="6"/>
      <c r="W57" s="20"/>
      <c r="X57" s="6"/>
      <c r="Y57" s="296"/>
      <c r="Z57" s="255"/>
      <c r="AB57" s="154"/>
      <c r="AC57" s="124"/>
      <c r="AD57" s="159"/>
      <c r="AE57" s="3"/>
      <c r="AF57" s="162"/>
      <c r="AG57" s="3"/>
      <c r="AH57" s="162"/>
      <c r="AI57" s="3"/>
      <c r="AJ57" s="162"/>
      <c r="AK57" s="3"/>
      <c r="AL57" s="161"/>
      <c r="AM57" s="3"/>
      <c r="AN57" s="162"/>
      <c r="AO57" s="3"/>
      <c r="AP57" s="162"/>
      <c r="AQ57" s="3"/>
      <c r="AR57" s="162"/>
      <c r="AS57" s="162"/>
      <c r="AT57" s="161"/>
      <c r="AU57" s="3"/>
      <c r="AV57" s="161"/>
      <c r="AW57" s="299"/>
      <c r="AX57" s="163"/>
      <c r="AZ57" s="154"/>
      <c r="BA57" s="124"/>
      <c r="BB57" s="162"/>
      <c r="BC57" s="3"/>
      <c r="BD57" s="162"/>
      <c r="BE57" s="3"/>
      <c r="BF57" s="161"/>
      <c r="BG57" s="3"/>
      <c r="BH57" s="165"/>
    </row>
    <row r="58" spans="2:60" ht="12">
      <c r="B58" s="2"/>
      <c r="C58" s="6"/>
      <c r="D58" s="6"/>
      <c r="E58" s="292"/>
      <c r="F58" s="6"/>
      <c r="G58" s="20"/>
      <c r="H58" s="6"/>
      <c r="I58" s="30"/>
      <c r="J58" s="6"/>
      <c r="K58" s="30"/>
      <c r="L58" s="6"/>
      <c r="M58" s="30"/>
      <c r="N58" s="6"/>
      <c r="O58" s="295"/>
      <c r="P58" s="6"/>
      <c r="Q58" s="30"/>
      <c r="R58" s="6"/>
      <c r="S58" s="20"/>
      <c r="T58" s="6"/>
      <c r="U58" s="20"/>
      <c r="V58" s="6"/>
      <c r="W58" s="20"/>
      <c r="X58" s="6"/>
      <c r="Y58" s="296"/>
      <c r="Z58" s="255"/>
      <c r="AB58" s="154"/>
      <c r="AC58" s="124"/>
      <c r="AD58" s="159"/>
      <c r="AE58" s="3"/>
      <c r="AF58" s="162"/>
      <c r="AG58" s="3"/>
      <c r="AH58" s="162"/>
      <c r="AI58" s="3"/>
      <c r="AJ58" s="162"/>
      <c r="AK58" s="3"/>
      <c r="AL58" s="161"/>
      <c r="AM58" s="3"/>
      <c r="AN58" s="162"/>
      <c r="AO58" s="3"/>
      <c r="AP58" s="162"/>
      <c r="AQ58" s="3"/>
      <c r="AR58" s="162"/>
      <c r="AS58" s="162"/>
      <c r="AT58" s="161"/>
      <c r="AU58" s="3"/>
      <c r="AV58" s="161"/>
      <c r="AW58" s="299"/>
      <c r="AX58" s="163"/>
      <c r="AZ58" s="154"/>
      <c r="BA58" s="124"/>
      <c r="BB58" s="162"/>
      <c r="BC58" s="3"/>
      <c r="BD58" s="162"/>
      <c r="BE58" s="3"/>
      <c r="BF58" s="161"/>
      <c r="BG58" s="3"/>
      <c r="BH58" s="165"/>
    </row>
    <row r="59" spans="2:60" ht="12">
      <c r="B59" s="2"/>
      <c r="C59" s="6"/>
      <c r="D59" s="6"/>
      <c r="E59" s="292"/>
      <c r="F59" s="6"/>
      <c r="G59" s="20"/>
      <c r="H59" s="6"/>
      <c r="I59" s="30"/>
      <c r="J59" s="6"/>
      <c r="K59" s="30"/>
      <c r="L59" s="6"/>
      <c r="M59" s="30"/>
      <c r="N59" s="6"/>
      <c r="O59" s="295"/>
      <c r="P59" s="6"/>
      <c r="Q59" s="30"/>
      <c r="R59" s="6"/>
      <c r="S59" s="20"/>
      <c r="T59" s="6"/>
      <c r="U59" s="20"/>
      <c r="V59" s="6"/>
      <c r="W59" s="20"/>
      <c r="X59" s="6"/>
      <c r="Y59" s="296"/>
      <c r="Z59" s="255"/>
      <c r="AB59" s="154"/>
      <c r="AC59" s="124"/>
      <c r="AD59" s="159"/>
      <c r="AE59" s="3"/>
      <c r="AF59" s="162"/>
      <c r="AG59" s="3"/>
      <c r="AH59" s="162"/>
      <c r="AI59" s="3"/>
      <c r="AJ59" s="162"/>
      <c r="AK59" s="3"/>
      <c r="AL59" s="161"/>
      <c r="AM59" s="3"/>
      <c r="AN59" s="162"/>
      <c r="AO59" s="3"/>
      <c r="AP59" s="162"/>
      <c r="AQ59" s="3"/>
      <c r="AR59" s="162"/>
      <c r="AS59" s="162"/>
      <c r="AT59" s="161"/>
      <c r="AU59" s="3"/>
      <c r="AV59" s="161"/>
      <c r="AW59" s="299"/>
      <c r="AX59" s="163"/>
      <c r="AZ59" s="154"/>
      <c r="BA59" s="124"/>
      <c r="BB59" s="162"/>
      <c r="BC59" s="3"/>
      <c r="BD59" s="162"/>
      <c r="BE59" s="3"/>
      <c r="BF59" s="161"/>
      <c r="BG59" s="3"/>
      <c r="BH59" s="165"/>
    </row>
    <row r="60" spans="2:60">
      <c r="B60" s="2"/>
      <c r="C60" s="3"/>
      <c r="D60" s="3"/>
      <c r="E60" s="178"/>
      <c r="F60" s="3"/>
      <c r="G60" s="290"/>
      <c r="H60" s="3"/>
      <c r="I60" s="290"/>
      <c r="J60" s="3"/>
      <c r="K60" s="290"/>
      <c r="L60" s="3"/>
      <c r="M60" s="290"/>
      <c r="N60" s="3"/>
      <c r="O60" s="290"/>
      <c r="P60" s="3"/>
      <c r="Q60" s="290"/>
      <c r="R60" s="3"/>
      <c r="S60" s="290"/>
      <c r="T60" s="3"/>
      <c r="U60" s="290"/>
      <c r="V60" s="3"/>
      <c r="W60" s="290"/>
      <c r="X60" s="3"/>
      <c r="Y60" s="300"/>
      <c r="Z60" s="255"/>
      <c r="AB60" s="2"/>
      <c r="AC60" s="3"/>
      <c r="AD60" s="3"/>
      <c r="AE60" s="3"/>
      <c r="AF60" s="301"/>
      <c r="AG60" s="3"/>
      <c r="AH60" s="301"/>
      <c r="AI60" s="3"/>
      <c r="AJ60" s="301"/>
      <c r="AK60" s="3"/>
      <c r="AL60" s="299"/>
      <c r="AM60" s="3"/>
      <c r="AN60" s="301"/>
      <c r="AO60" s="3"/>
      <c r="AP60" s="301"/>
      <c r="AQ60" s="3"/>
      <c r="AR60" s="301"/>
      <c r="AS60" s="301"/>
      <c r="AT60" s="301"/>
      <c r="AU60" s="3"/>
      <c r="AV60" s="299"/>
      <c r="AW60" s="299"/>
      <c r="AX60" s="302"/>
      <c r="AZ60" s="2"/>
      <c r="BA60" s="3"/>
      <c r="BB60" s="301"/>
      <c r="BC60" s="3"/>
      <c r="BD60" s="3"/>
      <c r="BE60" s="3"/>
      <c r="BF60" s="299"/>
      <c r="BG60" s="3"/>
      <c r="BH60" s="255"/>
    </row>
    <row r="61" spans="2:60" ht="12">
      <c r="B61" s="2"/>
      <c r="C61" s="303" t="str">
        <f>G14&amp;"-year Nominal Levelized at "&amp;TEXT($G$18,"#.00%")</f>
        <v>25-year Nominal Levelized at 7.20%</v>
      </c>
      <c r="E61" s="178"/>
      <c r="F61" s="3"/>
      <c r="G61" s="317">
        <f>+-PMT($G$18,$G$14,NPV($G$18,G28:G59))</f>
        <v>219201.34789330146</v>
      </c>
      <c r="H61" s="6"/>
      <c r="I61" s="30">
        <f>+-PMT($G$18,$G$14,NPV($G$18,I28:I59))</f>
        <v>0</v>
      </c>
      <c r="J61" s="30"/>
      <c r="K61" s="30">
        <f>+-PMT($G$18,$G$14,NPV($G$18,K28:K59))</f>
        <v>64.464653074179367</v>
      </c>
      <c r="L61" s="6"/>
      <c r="M61" s="30">
        <f>+-PMT($G$18,$G$14,NPV($G$18,M28:M59))</f>
        <v>0</v>
      </c>
      <c r="N61" s="6"/>
      <c r="O61" s="30">
        <f>+-PMT($G$18,$G$14,NPV($G$18,O28:O59))</f>
        <v>6.1141265833661533</v>
      </c>
      <c r="P61" s="6"/>
      <c r="Q61" s="30">
        <f>+-PMT($G$18,$G$14,NPV($G$18,Q28:Q59))</f>
        <v>0</v>
      </c>
      <c r="R61" s="6"/>
      <c r="S61" s="20">
        <f>+-PMT($G$18,$G$14,NPV($G$18,S28:S59))</f>
        <v>15470.417563327237</v>
      </c>
      <c r="T61" s="6"/>
      <c r="U61" s="20">
        <f>+-PMT($G$18,$G$14,NPV($G$18,U28:U59))</f>
        <v>16447.371602235849</v>
      </c>
      <c r="V61" s="3"/>
      <c r="W61" s="317">
        <f>+-PMT($G$18,$G$14,NPV($G$18,W28:W59))</f>
        <v>-976.95403890861473</v>
      </c>
      <c r="X61" s="3"/>
      <c r="Y61" s="296">
        <f>+W61/G61*1000</f>
        <v>-4.4568797057952274</v>
      </c>
      <c r="Z61" s="255"/>
      <c r="AB61" s="2"/>
      <c r="AC61" s="3"/>
      <c r="AD61" s="159">
        <f>+-PMT($G$18,$G$14,NPV($G$18,AD28:AD59))</f>
        <v>219201.34789330146</v>
      </c>
      <c r="AE61" s="3"/>
      <c r="AF61" s="162">
        <f>+-PMT($G$18,$G$14,NPV($G$18,AF28:AF59))</f>
        <v>68.012738231101409</v>
      </c>
      <c r="AG61" s="3"/>
      <c r="AH61" s="162">
        <f>+-PMT($G$18,$G$14,NPV($G$18,AH28:AH59))</f>
        <v>9.5886999427378825</v>
      </c>
      <c r="AI61" s="3"/>
      <c r="AJ61" s="162">
        <f>+-PMT($G$18,$G$14,NPV($G$18,AJ28:AJ59))</f>
        <v>2.6954367058757973</v>
      </c>
      <c r="AK61" s="3"/>
      <c r="AL61" s="161">
        <f>+-PMT($G$18,$G$14,NPV($G$18,AL28:AL59))</f>
        <v>4468.1357020379783</v>
      </c>
      <c r="AM61" s="3"/>
      <c r="AN61" s="162">
        <f>+-PMT($G$18,$G$14,NPV($G$18,AN28:AN59))</f>
        <v>8.6700647778765543</v>
      </c>
      <c r="AO61" s="3"/>
      <c r="AP61" s="162">
        <f>+-PMT($G$18,$G$14,NPV($G$18,AP28:AP59))</f>
        <v>62.996875614110138</v>
      </c>
      <c r="AQ61" s="3"/>
      <c r="AR61" s="162">
        <f>+-PMT($G$18,$G$14,NPV($G$18,AR28:AR59))</f>
        <v>2.7901062702709121</v>
      </c>
      <c r="AS61" s="162"/>
      <c r="AT61" s="161">
        <f>+-PMT($G$18,$G$14,NPV($G$18,AT28:AT59))</f>
        <v>2026.8101271443657</v>
      </c>
      <c r="AU61" s="3"/>
      <c r="AV61" s="161">
        <f>+-PMT($G$18,$G$14,NPV($G$18,AV28:AV59))</f>
        <v>14420.561475091486</v>
      </c>
      <c r="AW61" s="299"/>
      <c r="AX61" s="163">
        <f>+-PMT($G$18,$G$14,NPV($G$18,AX28:AX59))</f>
        <v>16447.371602235849</v>
      </c>
      <c r="AZ61" s="2"/>
      <c r="BA61" s="3"/>
      <c r="BB61" s="162">
        <f>+-PMT($G$18,$G$14,NPV($G$18,BB28:BB59))</f>
        <v>45.8285772569863</v>
      </c>
      <c r="BC61" s="3"/>
      <c r="BD61" s="162">
        <f>+-PMT($G$18,$G$14,NPV($G$18,BD28:BD59))</f>
        <v>6.9679233603839199</v>
      </c>
      <c r="BE61" s="3"/>
      <c r="BF61" s="161">
        <f>+-PMT($G$18,$G$14,NPV($G$18,BF28:BF59))</f>
        <v>2441.3255748936112</v>
      </c>
      <c r="BG61" s="3"/>
      <c r="BH61" s="165"/>
    </row>
    <row r="62" spans="2:60">
      <c r="B62" s="2"/>
      <c r="C62" s="3"/>
      <c r="D62" s="3"/>
      <c r="E62" s="17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04"/>
      <c r="X62" s="3"/>
      <c r="Y62" s="305"/>
      <c r="Z62" s="255"/>
      <c r="AB62" s="2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255"/>
      <c r="AZ62" s="2"/>
      <c r="BA62" s="3"/>
      <c r="BB62" s="3"/>
      <c r="BC62" s="3"/>
      <c r="BD62" s="3"/>
      <c r="BE62" s="3"/>
      <c r="BF62" s="3"/>
      <c r="BG62" s="3"/>
      <c r="BH62" s="255"/>
    </row>
    <row r="63" spans="2:60">
      <c r="B63" s="258"/>
      <c r="C63" s="306"/>
      <c r="D63" s="306"/>
      <c r="E63" s="307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259"/>
      <c r="AB63" s="258"/>
      <c r="AC63" s="306"/>
      <c r="AD63" s="306"/>
      <c r="AE63" s="306"/>
      <c r="AF63" s="306"/>
      <c r="AG63" s="306"/>
      <c r="AH63" s="306"/>
      <c r="AI63" s="306"/>
      <c r="AJ63" s="306"/>
      <c r="AK63" s="306"/>
      <c r="AL63" s="306"/>
      <c r="AM63" s="306"/>
      <c r="AN63" s="306"/>
      <c r="AO63" s="306"/>
      <c r="AP63" s="306"/>
      <c r="AQ63" s="306"/>
      <c r="AR63" s="306"/>
      <c r="AS63" s="306"/>
      <c r="AT63" s="306"/>
      <c r="AU63" s="306"/>
      <c r="AV63" s="306"/>
      <c r="AW63" s="306"/>
      <c r="AX63" s="259"/>
      <c r="AZ63" s="258"/>
      <c r="BA63" s="306"/>
      <c r="BB63" s="306"/>
      <c r="BC63" s="306"/>
      <c r="BD63" s="306"/>
      <c r="BE63" s="306"/>
      <c r="BF63" s="306"/>
      <c r="BG63" s="306"/>
      <c r="BH63" s="259"/>
    </row>
    <row r="64" spans="2:60">
      <c r="E64" s="308"/>
    </row>
    <row r="65" spans="5:23">
      <c r="E65" s="308"/>
      <c r="G65" s="309"/>
      <c r="I65" s="309"/>
      <c r="K65" s="309"/>
      <c r="O65" s="309"/>
      <c r="Q65" s="309"/>
      <c r="S65" s="309"/>
      <c r="U65" s="309"/>
      <c r="W65" s="309"/>
    </row>
    <row r="66" spans="5:23">
      <c r="E66" s="308"/>
    </row>
    <row r="67" spans="5:23">
      <c r="E67" s="308"/>
    </row>
    <row r="68" spans="5:23">
      <c r="E68" s="308"/>
    </row>
    <row r="69" spans="5:23">
      <c r="E69" s="308"/>
    </row>
    <row r="70" spans="5:23">
      <c r="E70" s="308"/>
    </row>
    <row r="71" spans="5:23">
      <c r="E71" s="308"/>
    </row>
    <row r="72" spans="5:23">
      <c r="E72" s="308"/>
    </row>
    <row r="73" spans="5:23">
      <c r="E73" s="308"/>
    </row>
    <row r="74" spans="5:23">
      <c r="E74" s="308"/>
    </row>
    <row r="75" spans="5:23">
      <c r="E75" s="308"/>
    </row>
    <row r="76" spans="5:23">
      <c r="E76" s="308"/>
    </row>
    <row r="77" spans="5:23">
      <c r="E77" s="308"/>
    </row>
    <row r="78" spans="5:23">
      <c r="E78" s="308"/>
    </row>
    <row r="79" spans="5:23">
      <c r="E79" s="308"/>
    </row>
    <row r="80" spans="5:23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</sheetData>
  <pageMargins left="0.25" right="0.25" top="0.25" bottom="0.75" header="0.3" footer="0.3"/>
  <pageSetup paperSize="5" scale="48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38BFC-4BEA-4BB0-8E33-396DF6296B12}">
  <sheetPr codeName="Sheet11">
    <tabColor theme="0" tint="-0.249977111117893"/>
    <pageSetUpPr fitToPage="1"/>
  </sheetPr>
  <dimension ref="A1:BH84"/>
  <sheetViews>
    <sheetView topLeftCell="D36" workbookViewId="0">
      <selection activeCell="I16" sqref="I16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308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327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'[5]Pavant Solar'!$X$12</f>
        <v>50</v>
      </c>
      <c r="H11" s="275"/>
      <c r="AB11" s="129" t="s">
        <v>99</v>
      </c>
      <c r="AC11" s="130"/>
      <c r="AD11" s="130"/>
      <c r="AE11" s="130"/>
      <c r="AF11" s="312">
        <f>+G11*(G12/AJ16)</f>
        <v>20.049535504433514</v>
      </c>
      <c r="AG11" s="134"/>
      <c r="AH11" s="130" t="s">
        <v>100</v>
      </c>
      <c r="AI11" s="131"/>
      <c r="AJ11" s="174">
        <f>'(2.1)_Proxy Resources'!L43</f>
        <v>7.7079648513634842</v>
      </c>
      <c r="AK11" s="255"/>
      <c r="AZ11" s="129" t="s">
        <v>99</v>
      </c>
      <c r="BA11" s="130"/>
      <c r="BB11" s="130"/>
      <c r="BC11" s="130"/>
      <c r="BD11" s="141">
        <f>(AF11*AF13-G11*G19)</f>
        <v>3.9495355044335128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'[5]Pavant Solar'!$X$13</f>
        <v>0.28586940551853296</v>
      </c>
      <c r="H12" s="275"/>
      <c r="AB12" s="129" t="s">
        <v>32</v>
      </c>
      <c r="AC12" s="130"/>
      <c r="AD12" s="130"/>
      <c r="AE12" s="130"/>
      <c r="AF12" s="138">
        <f>+AD58/8760/AF11</f>
        <v>0.7116865351496301</v>
      </c>
      <c r="AG12" s="134"/>
      <c r="AH12" s="124" t="s">
        <v>101</v>
      </c>
      <c r="AI12" s="125"/>
      <c r="AJ12" s="124">
        <v>2014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2016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Resources'!O43</f>
        <v>2.6104764135772984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Resources'!H43</f>
        <v>6530.8239156386799</v>
      </c>
      <c r="AG14" s="134"/>
      <c r="AH14" s="124" t="s">
        <v>326</v>
      </c>
      <c r="AI14" s="125"/>
      <c r="AJ14" s="174">
        <f>'(2.1)_Proxy Resources'!P43</f>
        <v>12.577035449261281</v>
      </c>
      <c r="AK14" s="255"/>
      <c r="AZ14" s="129" t="s">
        <v>192</v>
      </c>
      <c r="BA14" s="130"/>
      <c r="BB14" s="130"/>
      <c r="BC14" s="130"/>
      <c r="BD14" s="175">
        <f>'(2.1)_Proxy Resources'!J44</f>
        <v>820.02180312689813</v>
      </c>
      <c r="BE14" s="139"/>
    </row>
    <row r="15" spans="1:57" ht="12">
      <c r="A15" s="143" t="s">
        <v>325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192</v>
      </c>
      <c r="AC15" s="130"/>
      <c r="AD15" s="130"/>
      <c r="AE15" s="130"/>
      <c r="AF15" s="175">
        <f>'(2.1)_Proxy Resources'!J43</f>
        <v>914.64278393587574</v>
      </c>
      <c r="AG15" s="134"/>
      <c r="AH15" s="124" t="s">
        <v>145</v>
      </c>
      <c r="AI15" s="125"/>
      <c r="AJ15" s="174">
        <f>'(2.1)_Proxy Resources'!Q43</f>
        <v>3.1258372991005694</v>
      </c>
      <c r="AK15" s="255"/>
      <c r="AZ15" s="129" t="s">
        <v>108</v>
      </c>
      <c r="BA15" s="130"/>
      <c r="BB15" s="130"/>
      <c r="BC15" s="130"/>
      <c r="BD15" s="144">
        <f>'(2.1)_Proxy Resources'!K44</f>
        <v>7.7667383499954168E-2</v>
      </c>
      <c r="BE15" s="139"/>
    </row>
    <row r="16" spans="1:57" ht="12">
      <c r="A16" s="143" t="s">
        <v>325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Resources'!K41</f>
        <v>7.682307239305719E-2</v>
      </c>
      <c r="AG16" s="134"/>
      <c r="AH16" s="124" t="s">
        <v>110</v>
      </c>
      <c r="AI16" s="131"/>
      <c r="AJ16" s="145">
        <f>'(2.1)_Proxy Resources'!D43</f>
        <v>0.7129078014184399</v>
      </c>
      <c r="AK16" s="255"/>
      <c r="AZ16" s="129" t="s">
        <v>100</v>
      </c>
      <c r="BA16" s="131"/>
      <c r="BB16" s="174">
        <f>'(2.1)_Proxy Resources'!N44</f>
        <v>10.728501482152289</v>
      </c>
      <c r="BC16" s="3"/>
      <c r="BD16" s="3"/>
      <c r="BE16" s="137"/>
    </row>
    <row r="17" spans="1:60" ht="12">
      <c r="A17" s="143" t="s">
        <v>325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2014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'(2.2)_Forward_Price_Curve'!W7</f>
        <v>6.6600000000000006E-2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'(2.2)_Forward_Price_Curve'!F84</f>
        <v>0.32200000000000001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2016</v>
      </c>
      <c r="D28" s="6"/>
      <c r="E28" s="292">
        <f>+INDEX('(2.2)_Forward_Price_Curve'!$R:$R,MATCH($C28,'(2.2)_Forward_Price_Curve'!C:C,0))</f>
        <v>0.02</v>
      </c>
      <c r="F28" s="6"/>
      <c r="G28" s="20">
        <v>129808</v>
      </c>
      <c r="H28" s="6"/>
      <c r="I28" s="293">
        <f>$G$15*(1+E28)</f>
        <v>0</v>
      </c>
      <c r="J28" s="293"/>
      <c r="K28" s="293">
        <v>24.2714</v>
      </c>
      <c r="L28" s="294"/>
      <c r="M28" s="293">
        <f>$G$17</f>
        <v>0</v>
      </c>
      <c r="N28" s="6"/>
      <c r="O28" s="295">
        <f>'(2.2)_Forward_Price_Curve'!W28</f>
        <v>0.79796948000000001</v>
      </c>
      <c r="P28" s="6"/>
      <c r="Q28" s="30"/>
      <c r="R28" s="6"/>
      <c r="S28" s="20">
        <f>(I28*$G$11*1000+(K28+M28+O28+Q28)*G28)/1000</f>
        <v>3254.2047134598401</v>
      </c>
      <c r="T28" s="6"/>
      <c r="U28" s="20">
        <f t="shared" ref="U28:U47" si="0">AX28</f>
        <v>11247.403155617249</v>
      </c>
      <c r="V28" s="6"/>
      <c r="W28" s="20">
        <f t="shared" ref="W28:W47" si="1">S28-U28</f>
        <v>-7993.1984421574089</v>
      </c>
      <c r="X28" s="6"/>
      <c r="Y28" s="296">
        <f>+W28*1000/G28</f>
        <v>-61.577086482785418</v>
      </c>
      <c r="Z28" s="255"/>
      <c r="AB28" s="154">
        <f>$C$28</f>
        <v>2016</v>
      </c>
      <c r="AC28" s="124"/>
      <c r="AD28" s="159">
        <f t="shared" ref="AD28:AD47" si="2">G28</f>
        <v>129808</v>
      </c>
      <c r="AE28" s="3"/>
      <c r="AF28" s="160">
        <f>$AF$15*$AF$16*(1+E28)</f>
        <v>71.670982180175017</v>
      </c>
      <c r="AG28" s="297"/>
      <c r="AH28" s="160">
        <f>$AJ$11*(1+E28)</f>
        <v>7.8621241483907536</v>
      </c>
      <c r="AI28" s="297"/>
      <c r="AJ28" s="160">
        <f>$AJ$13*(1+E28)</f>
        <v>2.6626859418488444</v>
      </c>
      <c r="AK28" s="298"/>
      <c r="AL28" s="161">
        <f>((AF28+AH28)*$AF$11*1000+AJ28*AD28)/1000</f>
        <v>1940.2397758519799</v>
      </c>
      <c r="AM28" s="3"/>
      <c r="AN28" s="162">
        <f>INDEX('(2.2)_Forward_Price_Curve'!$L:$L,MATCH($AB28,'(2.2)_Forward_Price_Curve'!$C:$C,0),1)</f>
        <v>8.9541666666666657</v>
      </c>
      <c r="AO28" s="310"/>
      <c r="AP28" s="162">
        <f>AN28*$AF$14/1000+$AJ$14/(1+E29)</f>
        <v>70.820613239408203</v>
      </c>
      <c r="AQ28" s="297"/>
      <c r="AR28" s="160">
        <f>$AJ$15*(1+E28)</f>
        <v>3.1883540450825807</v>
      </c>
      <c r="AS28" s="160"/>
      <c r="AT28" s="161">
        <f>AL28-BF28</f>
        <v>1640.4471303520691</v>
      </c>
      <c r="AU28" s="298"/>
      <c r="AV28" s="161">
        <f t="shared" ref="AV28:AV47" si="3">(AP28+AR28)*AD28/1000</f>
        <v>9606.9560252651791</v>
      </c>
      <c r="AW28" s="299"/>
      <c r="AX28" s="163">
        <f>AT28+AV28</f>
        <v>11247.403155617249</v>
      </c>
      <c r="AZ28" s="154">
        <f>$C$28</f>
        <v>2016</v>
      </c>
      <c r="BA28" s="124"/>
      <c r="BB28" s="160">
        <f>$BD$14*$BD$15*(1+E28)</f>
        <v>64.962726819016325</v>
      </c>
      <c r="BC28" s="3"/>
      <c r="BD28" s="160">
        <f>$BB$16*(1+E28)</f>
        <v>10.943071511795335</v>
      </c>
      <c r="BE28" s="297"/>
      <c r="BF28" s="161">
        <f>(BB28+BD28)*$BD$11</f>
        <v>299.79264549991075</v>
      </c>
      <c r="BG28" s="297"/>
      <c r="BH28" s="164"/>
    </row>
    <row r="29" spans="1:60" ht="12">
      <c r="B29" s="2"/>
      <c r="C29" s="6">
        <f>+IF(C28&gt;$G$13+$G$14,XX,C28+1)</f>
        <v>2017</v>
      </c>
      <c r="D29" s="6"/>
      <c r="E29" s="292">
        <f>+INDEX('(2.2)_Forward_Price_Curve'!$R:$R,MATCH($C29,'(2.2)_Forward_Price_Curve'!C:C,0))</f>
        <v>1.9E-2</v>
      </c>
      <c r="F29" s="6"/>
      <c r="G29" s="20">
        <v>129158.95236847983</v>
      </c>
      <c r="H29" s="6"/>
      <c r="I29" s="30">
        <f>I28*(1+$E29)</f>
        <v>0</v>
      </c>
      <c r="J29" s="6"/>
      <c r="K29" s="30">
        <v>25.863256375570074</v>
      </c>
      <c r="L29" s="6"/>
      <c r="M29" s="30">
        <f>M28*(1+$E29)</f>
        <v>0</v>
      </c>
      <c r="N29" s="6"/>
      <c r="O29" s="295">
        <f>'(2.2)_Forward_Price_Curve'!W29</f>
        <v>0.81233293064000001</v>
      </c>
      <c r="P29" s="6"/>
      <c r="Q29" s="30"/>
      <c r="R29" s="6"/>
      <c r="S29" s="20">
        <f t="shared" ref="S29:S47" si="4">(I29*$G$11*1000+(K29+M29+O29+Q29)*G29)/1000</f>
        <v>3445.3911686019169</v>
      </c>
      <c r="T29" s="6"/>
      <c r="U29" s="20">
        <f t="shared" si="0"/>
        <v>11847.155952568593</v>
      </c>
      <c r="V29" s="6"/>
      <c r="W29" s="20">
        <f t="shared" si="1"/>
        <v>-8401.764783966677</v>
      </c>
      <c r="X29" s="6"/>
      <c r="Y29" s="296">
        <f t="shared" ref="Y29:Y47" si="5">+W29*1000/G29</f>
        <v>-65.049805916643976</v>
      </c>
      <c r="Z29" s="255"/>
      <c r="AB29" s="154">
        <f>+IF(AB28&gt;$G$13+$G$14,XX,AB28+1)</f>
        <v>2017</v>
      </c>
      <c r="AC29" s="124"/>
      <c r="AD29" s="159">
        <f t="shared" si="2"/>
        <v>129158.95236847983</v>
      </c>
      <c r="AE29" s="3"/>
      <c r="AF29" s="162">
        <f>AF28*(1+$E29)</f>
        <v>73.032730841598337</v>
      </c>
      <c r="AG29" s="3"/>
      <c r="AH29" s="162">
        <f>AH28*(1+$E29)</f>
        <v>8.0115045072101765</v>
      </c>
      <c r="AI29" s="3"/>
      <c r="AJ29" s="162">
        <f>AJ28*(1+$E29)</f>
        <v>2.7132769747439722</v>
      </c>
      <c r="AK29" s="3"/>
      <c r="AL29" s="161">
        <f t="shared" ref="AL29:AL47" si="6">((AF29+AH29)*$AF$11*1000+AJ29*AD29)/1000</f>
        <v>1975.3432855990516</v>
      </c>
      <c r="AM29" s="3"/>
      <c r="AN29" s="162">
        <f>INDEX('(2.2)_Forward_Price_Curve'!$L:$L,MATCH($AB29,'(2.2)_Forward_Price_Curve'!$C:$C,0),1)</f>
        <v>9.6420833333333338</v>
      </c>
      <c r="AO29" s="3"/>
      <c r="AP29" s="162">
        <f>AN29*$AF$14/1000+$AJ$14</f>
        <v>75.547783879175739</v>
      </c>
      <c r="AQ29" s="3"/>
      <c r="AR29" s="162">
        <f>AR28*(1+$E29)</f>
        <v>3.2489327719391494</v>
      </c>
      <c r="AS29" s="162"/>
      <c r="AT29" s="161">
        <f t="shared" ref="AT29:AT47" si="7">AL29-BF29</f>
        <v>1669.8545798346427</v>
      </c>
      <c r="AU29" s="3"/>
      <c r="AV29" s="161">
        <f t="shared" si="3"/>
        <v>10177.301372733951</v>
      </c>
      <c r="AW29" s="299"/>
      <c r="AX29" s="163">
        <f t="shared" ref="AX29:AX47" si="8">AT29+AV29</f>
        <v>11847.155952568593</v>
      </c>
      <c r="AZ29" s="154">
        <f>+IF(AZ28&gt;$G$13+$G$14,XX,AZ28+1)</f>
        <v>2017</v>
      </c>
      <c r="BA29" s="124"/>
      <c r="BB29" s="162">
        <f>BB28*(1+$E29)</f>
        <v>66.197018628577624</v>
      </c>
      <c r="BC29" s="3"/>
      <c r="BD29" s="162">
        <f>BD28*(1+$E29)</f>
        <v>11.150989870519446</v>
      </c>
      <c r="BE29" s="3"/>
      <c r="BF29" s="161">
        <f t="shared" ref="BF29:BF47" si="9">(BB29+BD29)*$BD$11</f>
        <v>305.48870576440896</v>
      </c>
      <c r="BG29" s="3"/>
      <c r="BH29" s="165"/>
    </row>
    <row r="30" spans="1:60" ht="12">
      <c r="B30" s="2"/>
      <c r="C30" s="6">
        <f>+IF(C29&gt;$G$13+$G$14,XX,C29+1)</f>
        <v>2018</v>
      </c>
      <c r="D30" s="6"/>
      <c r="E30" s="292">
        <f>+INDEX('(2.2)_Forward_Price_Curve'!$R:$R,MATCH($C30,'(2.2)_Forward_Price_Curve'!C:C,0))</f>
        <v>1.9E-2</v>
      </c>
      <c r="F30" s="6"/>
      <c r="G30" s="20">
        <v>128509.90473695967</v>
      </c>
      <c r="H30" s="6"/>
      <c r="I30" s="30">
        <f t="shared" ref="I30:I47" si="10">I29*(1+$E30)</f>
        <v>0</v>
      </c>
      <c r="J30" s="6"/>
      <c r="K30" s="30">
        <v>29.36781521786023</v>
      </c>
      <c r="L30" s="6"/>
      <c r="M30" s="30">
        <f t="shared" ref="M30:M46" si="11">M29*(1+$E30)</f>
        <v>0</v>
      </c>
      <c r="N30" s="6"/>
      <c r="O30" s="295">
        <f>'(2.2)_Forward_Price_Curve'!W30</f>
        <v>0.82695492339151999</v>
      </c>
      <c r="P30" s="6"/>
      <c r="Q30" s="30"/>
      <c r="R30" s="6"/>
      <c r="S30" s="20">
        <f t="shared" si="4"/>
        <v>3880.3270344066564</v>
      </c>
      <c r="T30" s="6"/>
      <c r="U30" s="20">
        <f t="shared" si="0"/>
        <v>13261.282350960704</v>
      </c>
      <c r="V30" s="6"/>
      <c r="W30" s="20">
        <f t="shared" si="1"/>
        <v>-9380.9553165540474</v>
      </c>
      <c r="X30" s="6"/>
      <c r="Y30" s="296">
        <f t="shared" si="5"/>
        <v>-72.997916664520474</v>
      </c>
      <c r="Z30" s="255"/>
      <c r="AB30" s="154">
        <f>+IF(AB29&gt;$G$13+$G$14,XX,AB29+1)</f>
        <v>2018</v>
      </c>
      <c r="AC30" s="124"/>
      <c r="AD30" s="159">
        <f t="shared" si="2"/>
        <v>128509.90473695967</v>
      </c>
      <c r="AE30" s="3"/>
      <c r="AF30" s="162">
        <f t="shared" ref="AF30:AF47" si="12">AF29*(1+$E30)</f>
        <v>74.420352727588693</v>
      </c>
      <c r="AG30" s="3"/>
      <c r="AH30" s="162">
        <f t="shared" ref="AH30:AH47" si="13">AH29*(1+$E30)</f>
        <v>8.1637230928471691</v>
      </c>
      <c r="AI30" s="3"/>
      <c r="AJ30" s="162">
        <f t="shared" ref="AJ30:AJ47" si="14">AJ29*(1+$E30)</f>
        <v>2.7648292372641072</v>
      </c>
      <c r="AK30" s="3"/>
      <c r="AL30" s="161">
        <f t="shared" si="6"/>
        <v>2011.0803021574293</v>
      </c>
      <c r="AM30" s="3"/>
      <c r="AN30" s="162">
        <f>INDEX('(2.2)_Forward_Price_Curve'!$L:$L,MATCH($AB30,'(2.2)_Forward_Price_Curve'!$C:$C,0),1)</f>
        <v>11.30625</v>
      </c>
      <c r="AO30" s="3"/>
      <c r="AP30" s="162">
        <f>AN30*$AF$14/1000+$AJ$14*(1+E30)</f>
        <v>86.655127018987059</v>
      </c>
      <c r="AQ30" s="3"/>
      <c r="AR30" s="162">
        <f t="shared" ref="AR30:AR47" si="15">AR29*(1+$E30)</f>
        <v>3.3106624946059928</v>
      </c>
      <c r="AS30" s="162"/>
      <c r="AT30" s="161">
        <f t="shared" si="7"/>
        <v>1699.7873109834966</v>
      </c>
      <c r="AU30" s="3"/>
      <c r="AV30" s="161">
        <f t="shared" si="3"/>
        <v>11561.495039977208</v>
      </c>
      <c r="AW30" s="299"/>
      <c r="AX30" s="163">
        <f t="shared" si="8"/>
        <v>13261.282350960704</v>
      </c>
      <c r="AZ30" s="154">
        <f>+IF(AZ29&gt;$G$13+$G$14,XX,AZ29+1)</f>
        <v>2018</v>
      </c>
      <c r="BA30" s="124"/>
      <c r="BB30" s="162">
        <f t="shared" ref="BB30:BB47" si="16">BB29*(1+$E30)</f>
        <v>67.454761982520594</v>
      </c>
      <c r="BC30" s="3"/>
      <c r="BD30" s="162">
        <f t="shared" ref="BD30:BD47" si="17">BD29*(1+$E30)</f>
        <v>11.362858678059315</v>
      </c>
      <c r="BE30" s="3"/>
      <c r="BF30" s="161">
        <f t="shared" si="9"/>
        <v>311.29299117393271</v>
      </c>
      <c r="BG30" s="3"/>
      <c r="BH30" s="165"/>
    </row>
    <row r="31" spans="1:60" ht="12">
      <c r="B31" s="2"/>
      <c r="C31" s="6">
        <f>+IF(C30&gt;$G$13+$G$14,XX,C30+1)</f>
        <v>2019</v>
      </c>
      <c r="D31" s="6"/>
      <c r="E31" s="292">
        <f>+INDEX('(2.2)_Forward_Price_Curve'!$R:$R,MATCH($C31,'(2.2)_Forward_Price_Curve'!C:C,0))</f>
        <v>1.9E-2</v>
      </c>
      <c r="F31" s="6"/>
      <c r="G31" s="20">
        <v>127860.85710543953</v>
      </c>
      <c r="H31" s="6"/>
      <c r="I31" s="30">
        <f t="shared" si="10"/>
        <v>0</v>
      </c>
      <c r="J31" s="6"/>
      <c r="K31" s="30">
        <v>30.551739549180329</v>
      </c>
      <c r="L31" s="6"/>
      <c r="M31" s="30">
        <f t="shared" si="11"/>
        <v>0</v>
      </c>
      <c r="N31" s="6"/>
      <c r="O31" s="295">
        <f>'(2.2)_Forward_Price_Curve'!W31</f>
        <v>0.84184011201256737</v>
      </c>
      <c r="P31" s="6"/>
      <c r="Q31" s="30"/>
      <c r="R31" s="6"/>
      <c r="S31" s="20">
        <f t="shared" si="4"/>
        <v>4014.0100030880176</v>
      </c>
      <c r="T31" s="6"/>
      <c r="U31" s="20">
        <f t="shared" si="0"/>
        <v>13613.687619318862</v>
      </c>
      <c r="V31" s="6"/>
      <c r="W31" s="20">
        <f t="shared" si="1"/>
        <v>-9599.6776162308452</v>
      </c>
      <c r="X31" s="6"/>
      <c r="Y31" s="296">
        <f t="shared" si="5"/>
        <v>-75.079096398630753</v>
      </c>
      <c r="Z31" s="255"/>
      <c r="AB31" s="154">
        <f>+IF(AB30&gt;$G$13+$G$14,XX,AB30+1)</f>
        <v>2019</v>
      </c>
      <c r="AC31" s="124"/>
      <c r="AD31" s="159">
        <f t="shared" si="2"/>
        <v>127860.85710543953</v>
      </c>
      <c r="AE31" s="3"/>
      <c r="AF31" s="162">
        <f t="shared" si="12"/>
        <v>75.834339429412864</v>
      </c>
      <c r="AG31" s="3"/>
      <c r="AH31" s="162">
        <f t="shared" si="13"/>
        <v>8.3188338316112649</v>
      </c>
      <c r="AI31" s="3"/>
      <c r="AJ31" s="162">
        <f t="shared" si="14"/>
        <v>2.8173609927721248</v>
      </c>
      <c r="AK31" s="3"/>
      <c r="AL31" s="161">
        <f t="shared" si="6"/>
        <v>2047.4622264189243</v>
      </c>
      <c r="AM31" s="3"/>
      <c r="AN31" s="162">
        <f>INDEX('(2.2)_Forward_Price_Curve'!$L:$L,MATCH($AB31,'(2.2)_Forward_Price_Curve'!$C:$C,0),1)</f>
        <v>11.752083333333331</v>
      </c>
      <c r="AO31" s="3"/>
      <c r="AP31" s="162">
        <f>AN31*$AF$14/1000+$AJ$14*(1+E31)</f>
        <v>89.566786014709294</v>
      </c>
      <c r="AQ31" s="3"/>
      <c r="AR31" s="162">
        <f t="shared" si="15"/>
        <v>3.3735650820035064</v>
      </c>
      <c r="AS31" s="162"/>
      <c r="AT31" s="161">
        <f t="shared" si="7"/>
        <v>1730.2546684126869</v>
      </c>
      <c r="AU31" s="3"/>
      <c r="AV31" s="161">
        <f t="shared" si="3"/>
        <v>11883.432950906175</v>
      </c>
      <c r="AW31" s="299"/>
      <c r="AX31" s="163">
        <f t="shared" si="8"/>
        <v>13613.687619318862</v>
      </c>
      <c r="AZ31" s="154">
        <f>+IF(AZ30&gt;$G$13+$G$14,XX,AZ30+1)</f>
        <v>2019</v>
      </c>
      <c r="BA31" s="124"/>
      <c r="BB31" s="162">
        <f t="shared" si="16"/>
        <v>68.736402460188472</v>
      </c>
      <c r="BC31" s="3"/>
      <c r="BD31" s="162">
        <f t="shared" si="17"/>
        <v>11.578752992942441</v>
      </c>
      <c r="BE31" s="3"/>
      <c r="BF31" s="161">
        <f t="shared" si="9"/>
        <v>317.20755800623738</v>
      </c>
      <c r="BG31" s="3"/>
      <c r="BH31" s="165"/>
    </row>
    <row r="32" spans="1:60" ht="12">
      <c r="B32" s="2"/>
      <c r="C32" s="6">
        <f>+IF(C31&gt;$G$13+$G$14,XX,C31+1)</f>
        <v>2020</v>
      </c>
      <c r="D32" s="6"/>
      <c r="E32" s="292">
        <f>+INDEX('(2.2)_Forward_Price_Curve'!$R:$R,MATCH($C32,'(2.2)_Forward_Price_Curve'!C:C,0))</f>
        <v>1.9E-2</v>
      </c>
      <c r="F32" s="6"/>
      <c r="G32" s="20">
        <v>127211.80947391938</v>
      </c>
      <c r="H32" s="6"/>
      <c r="I32" s="30">
        <f t="shared" si="10"/>
        <v>0</v>
      </c>
      <c r="J32" s="6"/>
      <c r="K32" s="30">
        <v>31.574595440958952</v>
      </c>
      <c r="L32" s="6"/>
      <c r="M32" s="30">
        <f t="shared" si="11"/>
        <v>0</v>
      </c>
      <c r="N32" s="6"/>
      <c r="O32" s="295">
        <f>'(2.2)_Forward_Price_Curve'!W32</f>
        <v>0.85699323402879357</v>
      </c>
      <c r="P32" s="6"/>
      <c r="Q32" s="30"/>
      <c r="R32" s="6"/>
      <c r="S32" s="20">
        <f t="shared" si="4"/>
        <v>4125.6810794590619</v>
      </c>
      <c r="T32" s="6"/>
      <c r="U32" s="20">
        <f t="shared" si="0"/>
        <v>13361.291630876731</v>
      </c>
      <c r="V32" s="6"/>
      <c r="W32" s="20">
        <f t="shared" si="1"/>
        <v>-9235.6105514176688</v>
      </c>
      <c r="X32" s="6"/>
      <c r="Y32" s="296">
        <f t="shared" si="5"/>
        <v>-72.600260853227851</v>
      </c>
      <c r="Z32" s="255"/>
      <c r="AB32" s="154">
        <f>+IF(AB31&gt;$G$13+$G$14,XX,AB31+1)</f>
        <v>2020</v>
      </c>
      <c r="AC32" s="124"/>
      <c r="AD32" s="159">
        <f t="shared" si="2"/>
        <v>127211.80947391938</v>
      </c>
      <c r="AE32" s="3"/>
      <c r="AF32" s="162">
        <f t="shared" si="12"/>
        <v>77.275191878571704</v>
      </c>
      <c r="AG32" s="3"/>
      <c r="AH32" s="162">
        <f t="shared" si="13"/>
        <v>8.4768916744118776</v>
      </c>
      <c r="AI32" s="3"/>
      <c r="AJ32" s="162">
        <f t="shared" si="14"/>
        <v>2.8708908516347948</v>
      </c>
      <c r="AK32" s="3"/>
      <c r="AL32" s="161">
        <f t="shared" si="6"/>
        <v>2084.5006638132772</v>
      </c>
      <c r="AM32" s="3"/>
      <c r="AN32" s="162">
        <f>INDEX('(2.2)_Forward_Price_Curve'!$L:$L,MATCH($AB32,'(2.2)_Forward_Price_Curve'!$C:$C,0),1)</f>
        <v>11.473750000000003</v>
      </c>
      <c r="AO32" s="3"/>
      <c r="AP32" s="162">
        <f t="shared" ref="AP32:AP47" si="18">AN32*$AF$14/1000+$AJ$14*(1+E32)</f>
        <v>87.749040024856555</v>
      </c>
      <c r="AQ32" s="3"/>
      <c r="AR32" s="162">
        <f t="shared" si="15"/>
        <v>3.4376628185615727</v>
      </c>
      <c r="AS32" s="162"/>
      <c r="AT32" s="161">
        <f t="shared" si="7"/>
        <v>1761.2661622049213</v>
      </c>
      <c r="AU32" s="3"/>
      <c r="AV32" s="161">
        <f t="shared" si="3"/>
        <v>11600.025468671809</v>
      </c>
      <c r="AW32" s="299"/>
      <c r="AX32" s="163">
        <f t="shared" si="8"/>
        <v>13361.291630876731</v>
      </c>
      <c r="AZ32" s="154">
        <f>+IF(AZ31&gt;$G$13+$G$14,XX,AZ31+1)</f>
        <v>2020</v>
      </c>
      <c r="BA32" s="124"/>
      <c r="BB32" s="162">
        <f t="shared" si="16"/>
        <v>70.042394106932051</v>
      </c>
      <c r="BC32" s="3"/>
      <c r="BD32" s="162">
        <f t="shared" si="17"/>
        <v>11.798749299808346</v>
      </c>
      <c r="BE32" s="3"/>
      <c r="BF32" s="161">
        <f t="shared" si="9"/>
        <v>323.23450160835591</v>
      </c>
      <c r="BG32" s="3"/>
      <c r="BH32" s="165"/>
    </row>
    <row r="33" spans="2:60" ht="12">
      <c r="B33" s="2"/>
      <c r="C33" s="6">
        <f>+IF(C32&gt;$G$13+$G$14,XX,C32+1)</f>
        <v>2021</v>
      </c>
      <c r="D33" s="6"/>
      <c r="E33" s="292">
        <f>+INDEX('(2.2)_Forward_Price_Curve'!$R:$R,MATCH($C33,'(2.2)_Forward_Price_Curve'!C:C,0))</f>
        <v>1.7999999999999999E-2</v>
      </c>
      <c r="F33" s="6"/>
      <c r="G33" s="20">
        <v>126562.76184239922</v>
      </c>
      <c r="H33" s="6"/>
      <c r="I33" s="30">
        <f t="shared" si="10"/>
        <v>0</v>
      </c>
      <c r="J33" s="6"/>
      <c r="K33" s="30">
        <v>34.346687529274</v>
      </c>
      <c r="L33" s="6"/>
      <c r="M33" s="30">
        <f t="shared" si="11"/>
        <v>0</v>
      </c>
      <c r="N33" s="6"/>
      <c r="O33" s="295">
        <f>'(2.2)_Forward_Price_Curve'!W33</f>
        <v>0.87241911224131186</v>
      </c>
      <c r="P33" s="6"/>
      <c r="Q33" s="30"/>
      <c r="R33" s="6"/>
      <c r="S33" s="20">
        <f t="shared" si="4"/>
        <v>4457.4274061721626</v>
      </c>
      <c r="T33" s="6"/>
      <c r="U33" s="20">
        <f t="shared" si="0"/>
        <v>13518.61808673391</v>
      </c>
      <c r="V33" s="6"/>
      <c r="W33" s="20">
        <f t="shared" si="1"/>
        <v>-9061.1906805617473</v>
      </c>
      <c r="X33" s="6"/>
      <c r="Y33" s="296">
        <f t="shared" si="5"/>
        <v>-71.594444911411514</v>
      </c>
      <c r="Z33" s="255"/>
      <c r="AB33" s="154">
        <f>+IF(AB32&gt;$G$13+$G$14,XX,AB32+1)</f>
        <v>2021</v>
      </c>
      <c r="AC33" s="124"/>
      <c r="AD33" s="159">
        <f t="shared" si="2"/>
        <v>126562.76184239922</v>
      </c>
      <c r="AE33" s="3"/>
      <c r="AF33" s="162">
        <f t="shared" si="12"/>
        <v>78.666145332385994</v>
      </c>
      <c r="AG33" s="3"/>
      <c r="AH33" s="162">
        <f t="shared" si="13"/>
        <v>8.6294757245512912</v>
      </c>
      <c r="AI33" s="3"/>
      <c r="AJ33" s="162">
        <f t="shared" si="14"/>
        <v>2.9225668869642214</v>
      </c>
      <c r="AK33" s="3"/>
      <c r="AL33" s="161">
        <f t="shared" si="6"/>
        <v>2120.124790645973</v>
      </c>
      <c r="AM33" s="3"/>
      <c r="AN33" s="162">
        <f>INDEX('(2.2)_Forward_Price_Curve'!$L:$L,MATCH($AB33,'(2.2)_Forward_Price_Curve'!$C:$C,0),1)</f>
        <v>11.692083333333334</v>
      </c>
      <c r="AO33" s="3"/>
      <c r="AP33" s="162">
        <f>AN33*$AF$14/1000+$AJ$14*(1+E33)</f>
        <v>89.162359544321731</v>
      </c>
      <c r="AQ33" s="3"/>
      <c r="AR33" s="162">
        <f t="shared" si="15"/>
        <v>3.4995407492956812</v>
      </c>
      <c r="AS33" s="162"/>
      <c r="AT33" s="161">
        <f t="shared" si="7"/>
        <v>1791.0720680086667</v>
      </c>
      <c r="AU33" s="3"/>
      <c r="AV33" s="161">
        <f t="shared" si="3"/>
        <v>11727.546018725243</v>
      </c>
      <c r="AW33" s="299"/>
      <c r="AX33" s="163">
        <f t="shared" si="8"/>
        <v>13518.61808673391</v>
      </c>
      <c r="AZ33" s="154">
        <f>+IF(AZ32&gt;$G$13+$G$14,XX,AZ32+1)</f>
        <v>2021</v>
      </c>
      <c r="BA33" s="124"/>
      <c r="BB33" s="162">
        <f t="shared" si="16"/>
        <v>71.30315720085683</v>
      </c>
      <c r="BC33" s="3"/>
      <c r="BD33" s="162">
        <f t="shared" si="17"/>
        <v>12.011126787204896</v>
      </c>
      <c r="BE33" s="3"/>
      <c r="BF33" s="161">
        <f t="shared" si="9"/>
        <v>329.05272263730632</v>
      </c>
      <c r="BG33" s="3"/>
      <c r="BH33" s="165"/>
    </row>
    <row r="34" spans="2:60" ht="12">
      <c r="B34" s="2"/>
      <c r="C34" s="6">
        <f>+IF(C33&gt;$G$13+$G$14,XX,C33+1)</f>
        <v>2022</v>
      </c>
      <c r="D34" s="6"/>
      <c r="E34" s="292">
        <f>+INDEX('(2.2)_Forward_Price_Curve'!$R:$R,MATCH($C34,'(2.2)_Forward_Price_Curve'!C:C,0))</f>
        <v>1.7999999999999999E-2</v>
      </c>
      <c r="F34" s="6"/>
      <c r="G34" s="20">
        <v>125913.71421087904</v>
      </c>
      <c r="H34" s="6"/>
      <c r="I34" s="30">
        <f t="shared" si="10"/>
        <v>0</v>
      </c>
      <c r="J34" s="6"/>
      <c r="K34" s="30">
        <v>39.547031552754838</v>
      </c>
      <c r="L34" s="6"/>
      <c r="M34" s="30">
        <f t="shared" si="11"/>
        <v>0</v>
      </c>
      <c r="N34" s="6"/>
      <c r="O34" s="295">
        <f>'(2.2)_Forward_Price_Curve'!W34</f>
        <v>0.88899507537389666</v>
      </c>
      <c r="P34" s="6"/>
      <c r="Q34" s="30"/>
      <c r="R34" s="6"/>
      <c r="S34" s="20">
        <f t="shared" si="4"/>
        <v>5091.4503006776959</v>
      </c>
      <c r="T34" s="6"/>
      <c r="U34" s="20">
        <f t="shared" si="0"/>
        <v>13678.311623170237</v>
      </c>
      <c r="V34" s="6"/>
      <c r="W34" s="20">
        <f t="shared" si="1"/>
        <v>-8586.8613224925411</v>
      </c>
      <c r="X34" s="6"/>
      <c r="Y34" s="296">
        <f t="shared" si="5"/>
        <v>-68.196394461935668</v>
      </c>
      <c r="Z34" s="255"/>
      <c r="AB34" s="154">
        <f>+IF(AB33&gt;$G$13+$G$14,XX,AB33+1)</f>
        <v>2022</v>
      </c>
      <c r="AC34" s="124"/>
      <c r="AD34" s="159">
        <f t="shared" si="2"/>
        <v>125913.71421087904</v>
      </c>
      <c r="AE34" s="3"/>
      <c r="AF34" s="162">
        <f t="shared" si="12"/>
        <v>80.082135948368943</v>
      </c>
      <c r="AG34" s="3"/>
      <c r="AH34" s="162">
        <f t="shared" si="13"/>
        <v>8.7848062875932147</v>
      </c>
      <c r="AI34" s="3"/>
      <c r="AJ34" s="162">
        <f t="shared" si="14"/>
        <v>2.9751730909295775</v>
      </c>
      <c r="AK34" s="3"/>
      <c r="AL34" s="161">
        <f t="shared" si="6"/>
        <v>2156.35600782957</v>
      </c>
      <c r="AM34" s="3"/>
      <c r="AN34" s="162">
        <f>INDEX('(2.2)_Forward_Price_Curve'!$L:$L,MATCH($AB34,'(2.2)_Forward_Price_Curve'!$C:$C,0),1)</f>
        <v>11.912916666666668</v>
      </c>
      <c r="AO34" s="3"/>
      <c r="AP34" s="162">
        <f t="shared" si="18"/>
        <v>90.604583159025282</v>
      </c>
      <c r="AQ34" s="3"/>
      <c r="AR34" s="162">
        <f t="shared" si="15"/>
        <v>3.5625324827830034</v>
      </c>
      <c r="AS34" s="162"/>
      <c r="AT34" s="161">
        <f t="shared" si="7"/>
        <v>1821.3803361847922</v>
      </c>
      <c r="AU34" s="3"/>
      <c r="AV34" s="161">
        <f t="shared" si="3"/>
        <v>11856.931286985446</v>
      </c>
      <c r="AW34" s="299"/>
      <c r="AX34" s="163">
        <f t="shared" si="8"/>
        <v>13678.311623170237</v>
      </c>
      <c r="AZ34" s="154">
        <f>+IF(AZ33&gt;$G$13+$G$14,XX,AZ33+1)</f>
        <v>2022</v>
      </c>
      <c r="BA34" s="124"/>
      <c r="BB34" s="162">
        <f t="shared" si="16"/>
        <v>72.586614030472248</v>
      </c>
      <c r="BC34" s="3"/>
      <c r="BD34" s="162">
        <f t="shared" si="17"/>
        <v>12.227327069374585</v>
      </c>
      <c r="BE34" s="3"/>
      <c r="BF34" s="161">
        <f t="shared" si="9"/>
        <v>334.97567164477778</v>
      </c>
      <c r="BG34" s="3"/>
      <c r="BH34" s="165"/>
    </row>
    <row r="35" spans="2:60" ht="12">
      <c r="B35" s="2"/>
      <c r="C35" s="6">
        <f>+IF(C34&gt;$G$13+$G$14,XX,C34+1)</f>
        <v>2023</v>
      </c>
      <c r="D35" s="6"/>
      <c r="E35" s="292">
        <f>+INDEX('(2.2)_Forward_Price_Curve'!$R:$R,MATCH($C35,'(2.2)_Forward_Price_Curve'!C:C,0))</f>
        <v>1.9E-2</v>
      </c>
      <c r="F35" s="6"/>
      <c r="G35" s="20">
        <v>125264.66657935892</v>
      </c>
      <c r="H35" s="6"/>
      <c r="I35" s="30">
        <f t="shared" si="10"/>
        <v>0</v>
      </c>
      <c r="J35" s="6"/>
      <c r="K35" s="30">
        <v>38.277601366633789</v>
      </c>
      <c r="L35" s="6"/>
      <c r="M35" s="30">
        <f t="shared" si="11"/>
        <v>0</v>
      </c>
      <c r="N35" s="6"/>
      <c r="O35" s="295">
        <f>'(2.2)_Forward_Price_Curve'!W35</f>
        <v>0.90588598180600066</v>
      </c>
      <c r="P35" s="6"/>
      <c r="Q35" s="30"/>
      <c r="R35" s="6"/>
      <c r="S35" s="20">
        <f t="shared" si="4"/>
        <v>4908.3064781188386</v>
      </c>
      <c r="T35" s="6"/>
      <c r="U35" s="20">
        <f t="shared" si="0"/>
        <v>13844.976510078133</v>
      </c>
      <c r="V35" s="6"/>
      <c r="W35" s="20">
        <f t="shared" si="1"/>
        <v>-8936.6700319592946</v>
      </c>
      <c r="X35" s="6"/>
      <c r="Y35" s="296">
        <f t="shared" si="5"/>
        <v>-71.342304865336047</v>
      </c>
      <c r="Z35" s="255"/>
      <c r="AB35" s="154">
        <f>+IF(AB34&gt;$G$13+$G$14,XX,AB34+1)</f>
        <v>2023</v>
      </c>
      <c r="AC35" s="124"/>
      <c r="AD35" s="159">
        <f t="shared" si="2"/>
        <v>125264.66657935892</v>
      </c>
      <c r="AE35" s="3"/>
      <c r="AF35" s="162">
        <f t="shared" si="12"/>
        <v>81.603696531387939</v>
      </c>
      <c r="AG35" s="3"/>
      <c r="AH35" s="162">
        <f t="shared" si="13"/>
        <v>8.9517176070574855</v>
      </c>
      <c r="AI35" s="3"/>
      <c r="AJ35" s="162">
        <f t="shared" si="14"/>
        <v>3.0317013796572394</v>
      </c>
      <c r="AK35" s="3"/>
      <c r="AL35" s="161">
        <f t="shared" si="6"/>
        <v>2195.3590533783886</v>
      </c>
      <c r="AM35" s="3"/>
      <c r="AN35" s="162">
        <f>INDEX('(2.2)_Forward_Price_Curve'!$L:$L,MATCH($AB35,'(2.2)_Forward_Price_Curve'!$C:$C,0),1)</f>
        <v>12.139166666666668</v>
      </c>
      <c r="AO35" s="3"/>
      <c r="AP35" s="162">
        <f t="shared" si="18"/>
        <v>92.094759105387794</v>
      </c>
      <c r="AQ35" s="3"/>
      <c r="AR35" s="162">
        <f t="shared" si="15"/>
        <v>3.6302205999558801</v>
      </c>
      <c r="AS35" s="162"/>
      <c r="AT35" s="161">
        <f t="shared" si="7"/>
        <v>1854.0188439723599</v>
      </c>
      <c r="AU35" s="3"/>
      <c r="AV35" s="161">
        <f t="shared" si="3"/>
        <v>11990.957666105773</v>
      </c>
      <c r="AW35" s="299"/>
      <c r="AX35" s="163">
        <f t="shared" si="8"/>
        <v>13844.976510078133</v>
      </c>
      <c r="AZ35" s="154">
        <f>+IF(AZ34&gt;$G$13+$G$14,XX,AZ34+1)</f>
        <v>2023</v>
      </c>
      <c r="BA35" s="124"/>
      <c r="BB35" s="162">
        <f t="shared" si="16"/>
        <v>73.965759697051212</v>
      </c>
      <c r="BC35" s="3"/>
      <c r="BD35" s="162">
        <f t="shared" si="17"/>
        <v>12.459646283692701</v>
      </c>
      <c r="BE35" s="3"/>
      <c r="BF35" s="161">
        <f t="shared" si="9"/>
        <v>341.34020940602858</v>
      </c>
      <c r="BG35" s="3"/>
      <c r="BH35" s="165"/>
    </row>
    <row r="36" spans="2:60" ht="12">
      <c r="B36" s="2"/>
      <c r="C36" s="6">
        <f>+IF(C35&gt;$G$13+$G$14,XX,C35+1)</f>
        <v>2024</v>
      </c>
      <c r="D36" s="6"/>
      <c r="E36" s="292">
        <f>+INDEX('(2.2)_Forward_Price_Curve'!$R:$R,MATCH($C36,'(2.2)_Forward_Price_Curve'!C:C,0))</f>
        <v>1.9E-2</v>
      </c>
      <c r="F36" s="6"/>
      <c r="G36" s="20">
        <v>124615.61894783875</v>
      </c>
      <c r="H36" s="6"/>
      <c r="I36" s="30">
        <f t="shared" si="10"/>
        <v>0</v>
      </c>
      <c r="J36" s="6"/>
      <c r="K36" s="30">
        <v>42.720615285652649</v>
      </c>
      <c r="L36" s="6"/>
      <c r="M36" s="30">
        <f t="shared" si="11"/>
        <v>0</v>
      </c>
      <c r="N36" s="6"/>
      <c r="O36" s="295">
        <f>'(2.2)_Forward_Price_Curve'!W36</f>
        <v>0.92309781546031455</v>
      </c>
      <c r="P36" s="6"/>
      <c r="Q36" s="30"/>
      <c r="R36" s="6"/>
      <c r="S36" s="20">
        <f t="shared" si="4"/>
        <v>5438.6883212770908</v>
      </c>
      <c r="T36" s="6"/>
      <c r="U36" s="20">
        <f t="shared" si="0"/>
        <v>14013.54227144078</v>
      </c>
      <c r="V36" s="6"/>
      <c r="W36" s="20">
        <f t="shared" si="1"/>
        <v>-8574.8539501636878</v>
      </c>
      <c r="X36" s="6"/>
      <c r="Y36" s="296">
        <f t="shared" si="5"/>
        <v>-68.81042699593641</v>
      </c>
      <c r="Z36" s="255"/>
      <c r="AB36" s="154">
        <f>+IF(AB35&gt;$G$13+$G$14,XX,AB35+1)</f>
        <v>2024</v>
      </c>
      <c r="AC36" s="124"/>
      <c r="AD36" s="159">
        <f t="shared" si="2"/>
        <v>124615.61894783875</v>
      </c>
      <c r="AE36" s="3"/>
      <c r="AF36" s="162">
        <f t="shared" si="12"/>
        <v>83.154166765484305</v>
      </c>
      <c r="AG36" s="3"/>
      <c r="AH36" s="162">
        <f t="shared" si="13"/>
        <v>9.1218002415915773</v>
      </c>
      <c r="AI36" s="3"/>
      <c r="AJ36" s="162">
        <f t="shared" si="14"/>
        <v>3.0893037058707264</v>
      </c>
      <c r="AK36" s="3"/>
      <c r="AL36" s="161">
        <f t="shared" si="6"/>
        <v>2235.0657701392361</v>
      </c>
      <c r="AM36" s="3"/>
      <c r="AN36" s="162">
        <f>INDEX('(2.2)_Forward_Price_Curve'!$L:$L,MATCH($AB36,'(2.2)_Forward_Price_Curve'!$C:$C,0),1)</f>
        <v>12.371250000000002</v>
      </c>
      <c r="AO36" s="3"/>
      <c r="AP36" s="162">
        <f t="shared" si="18"/>
        <v>93.610454489142285</v>
      </c>
      <c r="AQ36" s="3"/>
      <c r="AR36" s="162">
        <f t="shared" si="15"/>
        <v>3.6991947913550414</v>
      </c>
      <c r="AS36" s="162"/>
      <c r="AT36" s="161">
        <f t="shared" si="7"/>
        <v>1887.2400967544932</v>
      </c>
      <c r="AU36" s="3"/>
      <c r="AV36" s="161">
        <f t="shared" si="3"/>
        <v>12126.302174686287</v>
      </c>
      <c r="AW36" s="299"/>
      <c r="AX36" s="163">
        <f t="shared" si="8"/>
        <v>14013.54227144078</v>
      </c>
      <c r="AZ36" s="154">
        <f>+IF(AZ35&gt;$G$13+$G$14,XX,AZ35+1)</f>
        <v>2024</v>
      </c>
      <c r="BA36" s="124"/>
      <c r="BB36" s="162">
        <f t="shared" si="16"/>
        <v>75.371109131295171</v>
      </c>
      <c r="BC36" s="3"/>
      <c r="BD36" s="162">
        <f t="shared" si="17"/>
        <v>12.696379563082861</v>
      </c>
      <c r="BE36" s="3"/>
      <c r="BF36" s="161">
        <f t="shared" si="9"/>
        <v>347.82567338474303</v>
      </c>
      <c r="BG36" s="3"/>
      <c r="BH36" s="165"/>
    </row>
    <row r="37" spans="2:60" ht="12">
      <c r="B37" s="2"/>
      <c r="C37" s="6">
        <f>+IF(C36&gt;$G$13+$G$14,XX,C36+1)</f>
        <v>2025</v>
      </c>
      <c r="D37" s="6"/>
      <c r="E37" s="292">
        <f>+INDEX('(2.2)_Forward_Price_Curve'!$R:$R,MATCH($C37,'(2.2)_Forward_Price_Curve'!C:C,0))</f>
        <v>1.9E-2</v>
      </c>
      <c r="F37" s="6"/>
      <c r="G37" s="20">
        <v>123966.57131631857</v>
      </c>
      <c r="H37" s="6"/>
      <c r="I37" s="30">
        <f t="shared" si="10"/>
        <v>0</v>
      </c>
      <c r="J37" s="6"/>
      <c r="K37" s="30">
        <v>47.530202223283624</v>
      </c>
      <c r="L37" s="6"/>
      <c r="M37" s="30">
        <f t="shared" si="11"/>
        <v>0</v>
      </c>
      <c r="N37" s="6"/>
      <c r="O37" s="295">
        <f>'(2.2)_Forward_Price_Curve'!W37</f>
        <v>0.94063667395406048</v>
      </c>
      <c r="P37" s="6"/>
      <c r="Q37" s="30"/>
      <c r="R37" s="6"/>
      <c r="S37" s="20">
        <f t="shared" si="4"/>
        <v>6008.7637069162038</v>
      </c>
      <c r="T37" s="6"/>
      <c r="U37" s="20">
        <f t="shared" si="0"/>
        <v>14172.373173499918</v>
      </c>
      <c r="V37" s="6"/>
      <c r="W37" s="20">
        <f t="shared" si="1"/>
        <v>-8163.6094665837145</v>
      </c>
      <c r="X37" s="6"/>
      <c r="Y37" s="296">
        <f t="shared" si="5"/>
        <v>-65.853313356171554</v>
      </c>
      <c r="Z37" s="255"/>
      <c r="AB37" s="154">
        <f>+IF(AB36&gt;$G$13+$G$14,XX,AB36+1)</f>
        <v>2025</v>
      </c>
      <c r="AC37" s="124"/>
      <c r="AD37" s="159">
        <f t="shared" si="2"/>
        <v>123966.57131631857</v>
      </c>
      <c r="AE37" s="3"/>
      <c r="AF37" s="162">
        <f t="shared" si="12"/>
        <v>84.734095934028502</v>
      </c>
      <c r="AG37" s="3"/>
      <c r="AH37" s="162">
        <f t="shared" si="13"/>
        <v>9.2951144461818167</v>
      </c>
      <c r="AI37" s="3"/>
      <c r="AJ37" s="162">
        <f t="shared" si="14"/>
        <v>3.1480004762822698</v>
      </c>
      <c r="AK37" s="3"/>
      <c r="AL37" s="161">
        <f t="shared" si="6"/>
        <v>2275.4888175187261</v>
      </c>
      <c r="AM37" s="3"/>
      <c r="AN37" s="162">
        <f>INDEX('(2.2)_Forward_Price_Curve'!$L:$L,MATCH($AB37,'(2.2)_Forward_Price_Curve'!$C:$C,0),1)</f>
        <v>12.592916666666667</v>
      </c>
      <c r="AO37" s="3"/>
      <c r="AP37" s="162">
        <f t="shared" si="18"/>
        <v>95.058120457108828</v>
      </c>
      <c r="AQ37" s="3"/>
      <c r="AR37" s="162">
        <f t="shared" si="15"/>
        <v>3.7694794923907868</v>
      </c>
      <c r="AS37" s="162"/>
      <c r="AT37" s="161">
        <f t="shared" si="7"/>
        <v>1921.0544563396729</v>
      </c>
      <c r="AU37" s="3"/>
      <c r="AV37" s="161">
        <f t="shared" si="3"/>
        <v>12251.318717160246</v>
      </c>
      <c r="AW37" s="299"/>
      <c r="AX37" s="163">
        <f t="shared" si="8"/>
        <v>14172.373173499918</v>
      </c>
      <c r="AZ37" s="154">
        <f>+IF(AZ36&gt;$G$13+$G$14,XX,AZ36+1)</f>
        <v>2025</v>
      </c>
      <c r="BA37" s="124"/>
      <c r="BB37" s="162">
        <f t="shared" si="16"/>
        <v>76.803160204789776</v>
      </c>
      <c r="BC37" s="3"/>
      <c r="BD37" s="162">
        <f t="shared" si="17"/>
        <v>12.937610774781433</v>
      </c>
      <c r="BE37" s="3"/>
      <c r="BF37" s="161">
        <f t="shared" si="9"/>
        <v>354.4343611790531</v>
      </c>
      <c r="BG37" s="3"/>
      <c r="BH37" s="165"/>
    </row>
    <row r="38" spans="2:60" ht="12">
      <c r="B38" s="2"/>
      <c r="C38" s="6">
        <f>+IF(C37&gt;$G$13+$G$14,XX,C37+1)</f>
        <v>2026</v>
      </c>
      <c r="D38" s="6"/>
      <c r="E38" s="292">
        <f>+INDEX('(2.2)_Forward_Price_Curve'!$R:$R,MATCH($C38,'(2.2)_Forward_Price_Curve'!C:C,0))</f>
        <v>1.9E-2</v>
      </c>
      <c r="F38" s="6"/>
      <c r="G38" s="20">
        <v>123317.52368479843</v>
      </c>
      <c r="H38" s="6"/>
      <c r="I38" s="30">
        <f t="shared" si="10"/>
        <v>0</v>
      </c>
      <c r="J38" s="6"/>
      <c r="K38" s="30">
        <v>51.001442849439179</v>
      </c>
      <c r="L38" s="6"/>
      <c r="M38" s="30">
        <f t="shared" si="11"/>
        <v>0</v>
      </c>
      <c r="N38" s="6"/>
      <c r="O38" s="295">
        <f>'(2.2)_Forward_Price_Curve'!W38</f>
        <v>0.9585087707591875</v>
      </c>
      <c r="P38" s="6"/>
      <c r="Q38" s="30"/>
      <c r="R38" s="6"/>
      <c r="S38" s="20">
        <f t="shared" si="4"/>
        <v>6407.5725645847924</v>
      </c>
      <c r="T38" s="6"/>
      <c r="U38" s="20">
        <f t="shared" si="0"/>
        <v>14333.693218746606</v>
      </c>
      <c r="V38" s="6"/>
      <c r="W38" s="20">
        <f t="shared" si="1"/>
        <v>-7926.1206541618139</v>
      </c>
      <c r="X38" s="6"/>
      <c r="Y38" s="296">
        <f t="shared" si="5"/>
        <v>-64.274082201172845</v>
      </c>
      <c r="Z38" s="255"/>
      <c r="AB38" s="154">
        <f>+IF(AB37&gt;$G$13+$G$14,XX,AB37+1)</f>
        <v>2026</v>
      </c>
      <c r="AC38" s="124"/>
      <c r="AD38" s="159">
        <f t="shared" si="2"/>
        <v>123317.52368479843</v>
      </c>
      <c r="AE38" s="3"/>
      <c r="AF38" s="162">
        <f t="shared" si="12"/>
        <v>86.344043756775037</v>
      </c>
      <c r="AG38" s="3"/>
      <c r="AH38" s="162">
        <f t="shared" si="13"/>
        <v>9.4717216206592703</v>
      </c>
      <c r="AI38" s="3"/>
      <c r="AJ38" s="162">
        <f t="shared" si="14"/>
        <v>3.2078124853316328</v>
      </c>
      <c r="AK38" s="3"/>
      <c r="AL38" s="161">
        <f t="shared" si="6"/>
        <v>2316.6410819556163</v>
      </c>
      <c r="AM38" s="3"/>
      <c r="AN38" s="162">
        <f>INDEX('(2.2)_Forward_Price_Curve'!$L:$L,MATCH($AB38,'(2.2)_Forward_Price_Curve'!$C:$C,0),1)</f>
        <v>12.819166666666668</v>
      </c>
      <c r="AO38" s="3"/>
      <c r="AP38" s="162">
        <f t="shared" si="18"/>
        <v>96.535719368022086</v>
      </c>
      <c r="AQ38" s="3"/>
      <c r="AR38" s="162">
        <f t="shared" si="15"/>
        <v>3.8410996027462114</v>
      </c>
      <c r="AS38" s="162"/>
      <c r="AT38" s="161">
        <f t="shared" si="7"/>
        <v>1955.4724679141611</v>
      </c>
      <c r="AU38" s="3"/>
      <c r="AV38" s="161">
        <f t="shared" si="3"/>
        <v>12378.220750832445</v>
      </c>
      <c r="AW38" s="299"/>
      <c r="AX38" s="163">
        <f t="shared" si="8"/>
        <v>14333.693218746606</v>
      </c>
      <c r="AZ38" s="154">
        <f>+IF(AZ37&gt;$G$13+$G$14,XX,AZ37+1)</f>
        <v>2026</v>
      </c>
      <c r="BA38" s="124"/>
      <c r="BB38" s="162">
        <f t="shared" si="16"/>
        <v>78.262420248680769</v>
      </c>
      <c r="BC38" s="3"/>
      <c r="BD38" s="162">
        <f t="shared" si="17"/>
        <v>13.183425379502278</v>
      </c>
      <c r="BE38" s="3"/>
      <c r="BF38" s="161">
        <f t="shared" si="9"/>
        <v>361.1686140414551</v>
      </c>
      <c r="BG38" s="3"/>
      <c r="BH38" s="165"/>
    </row>
    <row r="39" spans="2:60" ht="12">
      <c r="B39" s="2"/>
      <c r="C39" s="6">
        <f>+IF(C38&gt;$G$13+$G$14,XX,C38+1)</f>
        <v>2027</v>
      </c>
      <c r="D39" s="6"/>
      <c r="E39" s="292">
        <f>+INDEX('(2.2)_Forward_Price_Curve'!$R:$R,MATCH($C39,'(2.2)_Forward_Price_Curve'!C:C,0))</f>
        <v>1.9E-2</v>
      </c>
      <c r="F39" s="6"/>
      <c r="G39" s="20">
        <v>122668.4760532783</v>
      </c>
      <c r="H39" s="6"/>
      <c r="I39" s="30">
        <f t="shared" si="10"/>
        <v>0</v>
      </c>
      <c r="J39" s="6"/>
      <c r="K39" s="30">
        <v>51.460675468384075</v>
      </c>
      <c r="L39" s="6"/>
      <c r="M39" s="30">
        <f t="shared" si="11"/>
        <v>0</v>
      </c>
      <c r="N39" s="6"/>
      <c r="O39" s="295">
        <f>'(2.2)_Forward_Price_Curve'!W39</f>
        <v>0.97672043740361192</v>
      </c>
      <c r="P39" s="6"/>
      <c r="Q39" s="30"/>
      <c r="R39" s="6"/>
      <c r="S39" s="20">
        <f t="shared" si="4"/>
        <v>6432.4154439653903</v>
      </c>
      <c r="T39" s="6"/>
      <c r="U39" s="20">
        <f t="shared" si="0"/>
        <v>14508.470852947745</v>
      </c>
      <c r="V39" s="6"/>
      <c r="W39" s="20">
        <f t="shared" si="1"/>
        <v>-8076.0554089823545</v>
      </c>
      <c r="X39" s="6"/>
      <c r="Y39" s="296">
        <f t="shared" si="5"/>
        <v>-65.836437109357263</v>
      </c>
      <c r="Z39" s="255"/>
      <c r="AB39" s="154">
        <f>+IF(AB38&gt;$G$13+$G$14,XX,AB38+1)</f>
        <v>2027</v>
      </c>
      <c r="AC39" s="124"/>
      <c r="AD39" s="159">
        <f t="shared" si="2"/>
        <v>122668.4760532783</v>
      </c>
      <c r="AE39" s="3"/>
      <c r="AF39" s="162">
        <f t="shared" si="12"/>
        <v>87.984580588153747</v>
      </c>
      <c r="AG39" s="3"/>
      <c r="AH39" s="162">
        <f t="shared" si="13"/>
        <v>9.6516843314517953</v>
      </c>
      <c r="AI39" s="3"/>
      <c r="AJ39" s="162">
        <f t="shared" si="14"/>
        <v>3.2687609225529335</v>
      </c>
      <c r="AK39" s="3"/>
      <c r="AL39" s="161">
        <f t="shared" si="6"/>
        <v>2358.5356809779842</v>
      </c>
      <c r="AM39" s="3"/>
      <c r="AN39" s="162">
        <f>INDEX('(2.2)_Forward_Price_Curve'!$L:$L,MATCH($AB39,'(2.2)_Forward_Price_Curve'!$C:$C,0),1)</f>
        <v>13.063749999999999</v>
      </c>
      <c r="AO39" s="3"/>
      <c r="AP39" s="162">
        <f t="shared" si="18"/>
        <v>98.133050050722034</v>
      </c>
      <c r="AQ39" s="3"/>
      <c r="AR39" s="162">
        <f t="shared" si="15"/>
        <v>3.9140804951983892</v>
      </c>
      <c r="AS39" s="162"/>
      <c r="AT39" s="161">
        <f t="shared" si="7"/>
        <v>1990.5048632697415</v>
      </c>
      <c r="AU39" s="3"/>
      <c r="AV39" s="161">
        <f t="shared" si="3"/>
        <v>12517.965989678003</v>
      </c>
      <c r="AW39" s="299"/>
      <c r="AX39" s="163">
        <f t="shared" si="8"/>
        <v>14508.470852947745</v>
      </c>
      <c r="AZ39" s="154">
        <f>+IF(AZ38&gt;$G$13+$G$14,XX,AZ38+1)</f>
        <v>2027</v>
      </c>
      <c r="BA39" s="124"/>
      <c r="BB39" s="162">
        <f t="shared" si="16"/>
        <v>79.749406233405693</v>
      </c>
      <c r="BC39" s="3"/>
      <c r="BD39" s="162">
        <f t="shared" si="17"/>
        <v>13.43391046171282</v>
      </c>
      <c r="BE39" s="3"/>
      <c r="BF39" s="161">
        <f t="shared" si="9"/>
        <v>368.03081770824269</v>
      </c>
      <c r="BG39" s="3"/>
      <c r="BH39" s="165"/>
    </row>
    <row r="40" spans="2:60" ht="12">
      <c r="B40" s="2"/>
      <c r="C40" s="6">
        <f>+IF(C39&gt;$G$13+$G$14,XX,C39+1)</f>
        <v>2028</v>
      </c>
      <c r="D40" s="6"/>
      <c r="E40" s="292">
        <f>+INDEX('(2.2)_Forward_Price_Curve'!$R:$R,MATCH($C40,'(2.2)_Forward_Price_Curve'!C:C,0))</f>
        <v>1.9E-2</v>
      </c>
      <c r="F40" s="6"/>
      <c r="G40" s="20">
        <v>122019.42842175813</v>
      </c>
      <c r="H40" s="6"/>
      <c r="I40" s="30">
        <f t="shared" si="10"/>
        <v>0</v>
      </c>
      <c r="J40" s="6"/>
      <c r="K40" s="30">
        <v>74.590707942499691</v>
      </c>
      <c r="L40" s="6"/>
      <c r="M40" s="30">
        <f t="shared" si="11"/>
        <v>0</v>
      </c>
      <c r="N40" s="6"/>
      <c r="O40" s="295">
        <f>'(2.2)_Forward_Price_Curve'!W40</f>
        <v>0.99527812571428043</v>
      </c>
      <c r="P40" s="6"/>
      <c r="Q40" s="30"/>
      <c r="R40" s="6"/>
      <c r="S40" s="20">
        <f t="shared" si="4"/>
        <v>9222.9588167384409</v>
      </c>
      <c r="T40" s="6"/>
      <c r="U40" s="20">
        <f t="shared" si="0"/>
        <v>14684.531057054544</v>
      </c>
      <c r="V40" s="6"/>
      <c r="W40" s="20">
        <f t="shared" si="1"/>
        <v>-5461.5722403161035</v>
      </c>
      <c r="X40" s="6"/>
      <c r="Y40" s="296">
        <f t="shared" si="5"/>
        <v>-44.759857597744755</v>
      </c>
      <c r="Z40" s="255"/>
      <c r="AB40" s="154">
        <f>+IF(AB39&gt;$G$13+$G$14,XX,AB39+1)</f>
        <v>2028</v>
      </c>
      <c r="AC40" s="124"/>
      <c r="AD40" s="159">
        <f t="shared" si="2"/>
        <v>122019.42842175813</v>
      </c>
      <c r="AE40" s="3"/>
      <c r="AF40" s="162">
        <f t="shared" si="12"/>
        <v>89.656287619328666</v>
      </c>
      <c r="AG40" s="3"/>
      <c r="AH40" s="162">
        <f t="shared" si="13"/>
        <v>9.8350663337493778</v>
      </c>
      <c r="AI40" s="3"/>
      <c r="AJ40" s="162">
        <f t="shared" si="14"/>
        <v>3.3308673800814388</v>
      </c>
      <c r="AK40" s="3"/>
      <c r="AL40" s="161">
        <f t="shared" si="6"/>
        <v>2401.1859673326162</v>
      </c>
      <c r="AM40" s="3"/>
      <c r="AN40" s="162">
        <f>INDEX('(2.2)_Forward_Price_Curve'!$L:$L,MATCH($AB40,'(2.2)_Forward_Price_Curve'!$C:$C,0),1)</f>
        <v>13.311666666666667</v>
      </c>
      <c r="AO40" s="3"/>
      <c r="AP40" s="162">
        <f t="shared" si="18"/>
        <v>99.75215014647415</v>
      </c>
      <c r="AQ40" s="3"/>
      <c r="AR40" s="162">
        <f t="shared" si="15"/>
        <v>3.9884480246071581</v>
      </c>
      <c r="AS40" s="162"/>
      <c r="AT40" s="161">
        <f t="shared" si="7"/>
        <v>2026.162564087917</v>
      </c>
      <c r="AU40" s="3"/>
      <c r="AV40" s="161">
        <f t="shared" si="3"/>
        <v>12658.368492966627</v>
      </c>
      <c r="AW40" s="299"/>
      <c r="AX40" s="163">
        <f t="shared" si="8"/>
        <v>14684.531057054544</v>
      </c>
      <c r="AZ40" s="154">
        <f>+IF(AZ39&gt;$G$13+$G$14,XX,AZ39+1)</f>
        <v>2028</v>
      </c>
      <c r="BA40" s="124"/>
      <c r="BB40" s="162">
        <f t="shared" si="16"/>
        <v>81.264644951840395</v>
      </c>
      <c r="BC40" s="3"/>
      <c r="BD40" s="162">
        <f t="shared" si="17"/>
        <v>13.689154760485362</v>
      </c>
      <c r="BE40" s="3"/>
      <c r="BF40" s="161">
        <f t="shared" si="9"/>
        <v>375.02340324469924</v>
      </c>
      <c r="BG40" s="3"/>
      <c r="BH40" s="165"/>
    </row>
    <row r="41" spans="2:60" ht="12">
      <c r="B41" s="2"/>
      <c r="C41" s="6">
        <f>+IF(C40&gt;$G$13+$G$14,XX,C40+1)</f>
        <v>2029</v>
      </c>
      <c r="D41" s="6"/>
      <c r="E41" s="292">
        <f>+INDEX('(2.2)_Forward_Price_Curve'!$R:$R,MATCH($C41,'(2.2)_Forward_Price_Curve'!C:C,0))</f>
        <v>1.7999999999999999E-2</v>
      </c>
      <c r="F41" s="6"/>
      <c r="G41" s="20">
        <v>121370.38079023796</v>
      </c>
      <c r="H41" s="6"/>
      <c r="I41" s="30">
        <f t="shared" si="10"/>
        <v>0</v>
      </c>
      <c r="J41" s="6"/>
      <c r="K41" s="30">
        <v>78.095042351781117</v>
      </c>
      <c r="L41" s="6"/>
      <c r="M41" s="30">
        <f t="shared" si="11"/>
        <v>0</v>
      </c>
      <c r="N41" s="6"/>
      <c r="O41" s="295">
        <f>'(2.2)_Forward_Price_Curve'!W41</f>
        <v>1.0141884101028518</v>
      </c>
      <c r="P41" s="6"/>
      <c r="Q41" s="30"/>
      <c r="R41" s="6"/>
      <c r="S41" s="20">
        <f t="shared" si="4"/>
        <v>9601.5174615926626</v>
      </c>
      <c r="T41" s="6"/>
      <c r="U41" s="20">
        <f t="shared" si="0"/>
        <v>14860.120387476116</v>
      </c>
      <c r="V41" s="6"/>
      <c r="W41" s="20">
        <f t="shared" si="1"/>
        <v>-5258.6029258834533</v>
      </c>
      <c r="X41" s="6"/>
      <c r="Y41" s="296">
        <f t="shared" si="5"/>
        <v>-43.32690473280951</v>
      </c>
      <c r="Z41" s="255"/>
      <c r="AB41" s="154">
        <f>+IF(AB40&gt;$G$13+$G$14,XX,AB40+1)</f>
        <v>2029</v>
      </c>
      <c r="AC41" s="124"/>
      <c r="AD41" s="159">
        <f t="shared" si="2"/>
        <v>121370.38079023796</v>
      </c>
      <c r="AE41" s="3"/>
      <c r="AF41" s="162">
        <f t="shared" si="12"/>
        <v>91.270100796476584</v>
      </c>
      <c r="AG41" s="3"/>
      <c r="AH41" s="162">
        <f t="shared" si="13"/>
        <v>10.012097527756866</v>
      </c>
      <c r="AI41" s="3"/>
      <c r="AJ41" s="162">
        <f t="shared" si="14"/>
        <v>3.3908229929229048</v>
      </c>
      <c r="AK41" s="3"/>
      <c r="AL41" s="161">
        <f t="shared" si="6"/>
        <v>2442.2065091121426</v>
      </c>
      <c r="AM41" s="3"/>
      <c r="AN41" s="162">
        <f>INDEX('(2.2)_Forward_Price_Curve'!$L:$L,MATCH($AB41,'(2.2)_Forward_Price_Curve'!$C:$C,0),1)</f>
        <v>13.565833333333336</v>
      </c>
      <c r="AO41" s="3"/>
      <c r="AP41" s="162">
        <f t="shared" si="18"/>
        <v>101.39949085624971</v>
      </c>
      <c r="AQ41" s="3"/>
      <c r="AR41" s="162">
        <f t="shared" si="15"/>
        <v>4.0602400890500867</v>
      </c>
      <c r="AS41" s="162"/>
      <c r="AT41" s="161">
        <f t="shared" si="7"/>
        <v>2060.4326846090389</v>
      </c>
      <c r="AU41" s="3"/>
      <c r="AV41" s="161">
        <f t="shared" si="3"/>
        <v>12799.687702867077</v>
      </c>
      <c r="AW41" s="299"/>
      <c r="AX41" s="163">
        <f t="shared" si="8"/>
        <v>14860.120387476116</v>
      </c>
      <c r="AZ41" s="154">
        <f>+IF(AZ40&gt;$G$13+$G$14,XX,AZ40+1)</f>
        <v>2029</v>
      </c>
      <c r="BA41" s="124"/>
      <c r="BB41" s="162">
        <f t="shared" si="16"/>
        <v>82.727408560973529</v>
      </c>
      <c r="BC41" s="3"/>
      <c r="BD41" s="162">
        <f t="shared" si="17"/>
        <v>13.935559546174099</v>
      </c>
      <c r="BE41" s="3"/>
      <c r="BF41" s="161">
        <f t="shared" si="9"/>
        <v>381.77382450310387</v>
      </c>
      <c r="BG41" s="3"/>
      <c r="BH41" s="165"/>
    </row>
    <row r="42" spans="2:60" ht="12">
      <c r="B42" s="2"/>
      <c r="C42" s="6">
        <f>+IF(C41&gt;$G$13+$G$14,XX,C41+1)</f>
        <v>2030</v>
      </c>
      <c r="D42" s="6"/>
      <c r="E42" s="292">
        <f>+INDEX('(2.2)_Forward_Price_Curve'!$R:$R,MATCH($C42,'(2.2)_Forward_Price_Curve'!C:C,0))</f>
        <v>1.7999999999999999E-2</v>
      </c>
      <c r="F42" s="6"/>
      <c r="G42" s="20">
        <v>120721.33315871783</v>
      </c>
      <c r="H42" s="6"/>
      <c r="I42" s="30">
        <f t="shared" si="10"/>
        <v>0</v>
      </c>
      <c r="J42" s="6"/>
      <c r="K42" s="30">
        <v>90.065417169974097</v>
      </c>
      <c r="L42" s="6"/>
      <c r="M42" s="30">
        <f t="shared" si="11"/>
        <v>0</v>
      </c>
      <c r="N42" s="6"/>
      <c r="O42" s="295">
        <f>'(2.2)_Forward_Price_Curve'!W42</f>
        <v>1.0344721783049089</v>
      </c>
      <c r="P42" s="6"/>
      <c r="Q42" s="30"/>
      <c r="R42" s="6"/>
      <c r="S42" s="20">
        <f t="shared" si="4"/>
        <v>10997.70009273592</v>
      </c>
      <c r="T42" s="6"/>
      <c r="U42" s="20">
        <f t="shared" si="0"/>
        <v>15037.372207302278</v>
      </c>
      <c r="V42" s="6"/>
      <c r="W42" s="20">
        <f t="shared" si="1"/>
        <v>-4039.6721145663578</v>
      </c>
      <c r="X42" s="6"/>
      <c r="Y42" s="296">
        <f t="shared" si="5"/>
        <v>-33.462785813135589</v>
      </c>
      <c r="Z42" s="255"/>
      <c r="AB42" s="154">
        <f>+IF(AB41&gt;$G$13+$G$14,XX,AB41+1)</f>
        <v>2030</v>
      </c>
      <c r="AC42" s="124"/>
      <c r="AD42" s="159">
        <f t="shared" si="2"/>
        <v>120721.33315871783</v>
      </c>
      <c r="AE42" s="3"/>
      <c r="AF42" s="162">
        <f t="shared" si="12"/>
        <v>92.912962610813167</v>
      </c>
      <c r="AG42" s="3"/>
      <c r="AH42" s="162">
        <f t="shared" si="13"/>
        <v>10.192315283256491</v>
      </c>
      <c r="AI42" s="3"/>
      <c r="AJ42" s="162">
        <f t="shared" si="14"/>
        <v>3.451857806795517</v>
      </c>
      <c r="AK42" s="3"/>
      <c r="AL42" s="161">
        <f t="shared" si="6"/>
        <v>2483.9258061423161</v>
      </c>
      <c r="AM42" s="3"/>
      <c r="AN42" s="162">
        <f>INDEX('(2.2)_Forward_Price_Curve'!$L:$L,MATCH($AB42,'(2.2)_Forward_Price_Curve'!$C:$C,0),1)</f>
        <v>13.822083333333332</v>
      </c>
      <c r="AO42" s="3"/>
      <c r="AP42" s="162">
        <f t="shared" si="18"/>
        <v>103.07301448463211</v>
      </c>
      <c r="AQ42" s="3"/>
      <c r="AR42" s="162">
        <f t="shared" si="15"/>
        <v>4.1333244106529881</v>
      </c>
      <c r="AS42" s="162"/>
      <c r="AT42" s="161">
        <f t="shared" si="7"/>
        <v>2095.2800527981562</v>
      </c>
      <c r="AU42" s="3"/>
      <c r="AV42" s="161">
        <f t="shared" si="3"/>
        <v>12942.092154504122</v>
      </c>
      <c r="AW42" s="299"/>
      <c r="AX42" s="163">
        <f t="shared" si="8"/>
        <v>15037.372207302278</v>
      </c>
      <c r="AZ42" s="154">
        <f>+IF(AZ41&gt;$G$13+$G$14,XX,AZ41+1)</f>
        <v>2030</v>
      </c>
      <c r="BA42" s="124"/>
      <c r="BB42" s="162">
        <f t="shared" si="16"/>
        <v>84.216501915071049</v>
      </c>
      <c r="BC42" s="3"/>
      <c r="BD42" s="162">
        <f t="shared" si="17"/>
        <v>14.186399618005233</v>
      </c>
      <c r="BE42" s="3"/>
      <c r="BF42" s="161">
        <f t="shared" si="9"/>
        <v>388.64575334415974</v>
      </c>
      <c r="BG42" s="3"/>
      <c r="BH42" s="165"/>
    </row>
    <row r="43" spans="2:60" ht="12">
      <c r="B43" s="2"/>
      <c r="C43" s="6">
        <f>+IF(C42&gt;$G$13+$G$14,XX,C42+1)</f>
        <v>2031</v>
      </c>
      <c r="D43" s="6"/>
      <c r="E43" s="292">
        <f>+INDEX('(2.2)_Forward_Price_Curve'!$R:$R,MATCH($C43,'(2.2)_Forward_Price_Curve'!C:C,0))</f>
        <v>1.7999999999999999E-2</v>
      </c>
      <c r="F43" s="6"/>
      <c r="G43" s="20">
        <v>120072.28552719764</v>
      </c>
      <c r="H43" s="6"/>
      <c r="I43" s="30">
        <f t="shared" si="10"/>
        <v>0</v>
      </c>
      <c r="J43" s="6"/>
      <c r="K43" s="30">
        <v>91.015433603475913</v>
      </c>
      <c r="L43" s="6"/>
      <c r="M43" s="30">
        <f t="shared" si="11"/>
        <v>0</v>
      </c>
      <c r="N43" s="6"/>
      <c r="O43" s="295">
        <f>'(2.2)_Forward_Price_Curve'!W43</f>
        <v>1.0551616218710071</v>
      </c>
      <c r="P43" s="6"/>
      <c r="Q43" s="30"/>
      <c r="R43" s="6"/>
      <c r="S43" s="20">
        <f t="shared" si="4"/>
        <v>11055.126798556896</v>
      </c>
      <c r="T43" s="6"/>
      <c r="U43" s="20">
        <f t="shared" si="0"/>
        <v>15218.329452274236</v>
      </c>
      <c r="V43" s="6"/>
      <c r="W43" s="20">
        <f t="shared" si="1"/>
        <v>-4163.2026537173406</v>
      </c>
      <c r="X43" s="6"/>
      <c r="Y43" s="296">
        <f t="shared" si="5"/>
        <v>-34.672469466522571</v>
      </c>
      <c r="Z43" s="255"/>
      <c r="AB43" s="154">
        <f>+IF(AB42&gt;$G$13+$G$14,XX,AB42+1)</f>
        <v>2031</v>
      </c>
      <c r="AC43" s="124"/>
      <c r="AD43" s="159">
        <f t="shared" si="2"/>
        <v>120072.28552719764</v>
      </c>
      <c r="AE43" s="3"/>
      <c r="AF43" s="162">
        <f t="shared" si="12"/>
        <v>94.585395937807803</v>
      </c>
      <c r="AG43" s="3"/>
      <c r="AH43" s="162">
        <f t="shared" si="13"/>
        <v>10.375776958355107</v>
      </c>
      <c r="AI43" s="3"/>
      <c r="AJ43" s="162">
        <f t="shared" si="14"/>
        <v>3.5139912473178363</v>
      </c>
      <c r="AK43" s="3"/>
      <c r="AL43" s="161">
        <f t="shared" si="6"/>
        <v>2526.355722956624</v>
      </c>
      <c r="AM43" s="3"/>
      <c r="AN43" s="162">
        <f>INDEX('(2.2)_Forward_Price_Curve'!$L:$L,MATCH($AB43,'(2.2)_Forward_Price_Curve'!$C:$C,0),1)</f>
        <v>14.084999999999999</v>
      </c>
      <c r="AO43" s="3"/>
      <c r="AP43" s="162">
        <f t="shared" si="18"/>
        <v>104.79007693911878</v>
      </c>
      <c r="AQ43" s="3"/>
      <c r="AR43" s="162">
        <f t="shared" si="15"/>
        <v>4.207724250044742</v>
      </c>
      <c r="AS43" s="162"/>
      <c r="AT43" s="161">
        <f>AL43-BF43</f>
        <v>2130.7143460522693</v>
      </c>
      <c r="AU43" s="3"/>
      <c r="AV43" s="161">
        <f t="shared" si="3"/>
        <v>13087.615106221967</v>
      </c>
      <c r="AW43" s="299"/>
      <c r="AX43" s="163">
        <f t="shared" si="8"/>
        <v>15218.329452274236</v>
      </c>
      <c r="AZ43" s="154">
        <f>+IF(AZ42&gt;$G$13+$G$14,XX,AZ42+1)</f>
        <v>2031</v>
      </c>
      <c r="BA43" s="124"/>
      <c r="BB43" s="162">
        <f t="shared" si="16"/>
        <v>85.732398949542329</v>
      </c>
      <c r="BC43" s="3"/>
      <c r="BD43" s="162">
        <f t="shared" si="17"/>
        <v>14.441754811129327</v>
      </c>
      <c r="BE43" s="3"/>
      <c r="BF43" s="161">
        <f t="shared" si="9"/>
        <v>395.64137690435462</v>
      </c>
      <c r="BG43" s="3"/>
      <c r="BH43" s="165"/>
    </row>
    <row r="44" spans="2:60" ht="12">
      <c r="B44" s="2"/>
      <c r="C44" s="6">
        <f>+IF(C43&gt;$G$13+$G$14,XX,C43+1)</f>
        <v>2032</v>
      </c>
      <c r="D44" s="6"/>
      <c r="E44" s="292">
        <f>+INDEX('(2.2)_Forward_Price_Curve'!$R:$R,MATCH($C44,'(2.2)_Forward_Price_Curve'!C:C,0))</f>
        <v>1.7999999999999999E-2</v>
      </c>
      <c r="F44" s="6"/>
      <c r="G44" s="20">
        <v>119423.23789567752</v>
      </c>
      <c r="H44" s="6"/>
      <c r="I44" s="30">
        <f t="shared" si="10"/>
        <v>0</v>
      </c>
      <c r="J44" s="6"/>
      <c r="K44" s="30">
        <v>91.77902197091089</v>
      </c>
      <c r="L44" s="6"/>
      <c r="M44" s="30">
        <f t="shared" si="11"/>
        <v>0</v>
      </c>
      <c r="N44" s="6"/>
      <c r="O44" s="295">
        <f>'(2.2)_Forward_Price_Curve'!W44</f>
        <v>1.0773200159302982</v>
      </c>
      <c r="P44" s="6"/>
      <c r="Q44" s="30"/>
      <c r="R44" s="6"/>
      <c r="S44" s="20">
        <f t="shared" si="4"/>
        <v>11089.205019216924</v>
      </c>
      <c r="T44" s="6"/>
      <c r="U44" s="20">
        <f t="shared" si="0"/>
        <v>15400.642649121579</v>
      </c>
      <c r="V44" s="6"/>
      <c r="W44" s="20">
        <f t="shared" si="1"/>
        <v>-4311.4376299046544</v>
      </c>
      <c r="X44" s="6"/>
      <c r="Y44" s="296">
        <f t="shared" si="5"/>
        <v>-36.102166595674809</v>
      </c>
      <c r="Z44" s="255"/>
      <c r="AB44" s="154">
        <f>+IF(AB43&gt;$G$13+$G$14,XX,AB43+1)</f>
        <v>2032</v>
      </c>
      <c r="AC44" s="124"/>
      <c r="AD44" s="159">
        <f t="shared" si="2"/>
        <v>119423.23789567752</v>
      </c>
      <c r="AE44" s="3"/>
      <c r="AF44" s="162">
        <f t="shared" si="12"/>
        <v>96.287933064688346</v>
      </c>
      <c r="AG44" s="3"/>
      <c r="AH44" s="162">
        <f t="shared" si="13"/>
        <v>10.5625409436055</v>
      </c>
      <c r="AI44" s="3"/>
      <c r="AJ44" s="162">
        <f t="shared" si="14"/>
        <v>3.5772430897695573</v>
      </c>
      <c r="AK44" s="3"/>
      <c r="AL44" s="161">
        <f t="shared" si="6"/>
        <v>2569.5083248150559</v>
      </c>
      <c r="AM44" s="3"/>
      <c r="AN44" s="162">
        <f>INDEX('(2.2)_Forward_Price_Curve'!$L:$L,MATCH($AB44,'(2.2)_Forward_Price_Curve'!$C:$C,0),1)</f>
        <v>14.351666666666667</v>
      </c>
      <c r="AO44" s="3"/>
      <c r="AP44" s="162">
        <f t="shared" si="18"/>
        <v>106.53162998328909</v>
      </c>
      <c r="AQ44" s="3"/>
      <c r="AR44" s="162">
        <f t="shared" si="15"/>
        <v>4.2834632865455475</v>
      </c>
      <c r="AS44" s="162"/>
      <c r="AT44" s="161">
        <f t="shared" si="7"/>
        <v>2166.7454031264228</v>
      </c>
      <c r="AU44" s="3"/>
      <c r="AV44" s="161">
        <f t="shared" si="3"/>
        <v>13233.897245995156</v>
      </c>
      <c r="AW44" s="299"/>
      <c r="AX44" s="163">
        <f t="shared" si="8"/>
        <v>15400.642649121579</v>
      </c>
      <c r="AZ44" s="154">
        <f>+IF(AZ43&gt;$G$13+$G$14,XX,AZ43+1)</f>
        <v>2032</v>
      </c>
      <c r="BA44" s="124"/>
      <c r="BB44" s="162">
        <f t="shared" si="16"/>
        <v>87.275582130634092</v>
      </c>
      <c r="BC44" s="3"/>
      <c r="BD44" s="162">
        <f t="shared" si="17"/>
        <v>14.701706397729655</v>
      </c>
      <c r="BE44" s="3"/>
      <c r="BF44" s="161">
        <f t="shared" si="9"/>
        <v>402.76292168863296</v>
      </c>
      <c r="BG44" s="3"/>
      <c r="BH44" s="165"/>
    </row>
    <row r="45" spans="2:60" ht="12">
      <c r="B45" s="2"/>
      <c r="C45" s="6">
        <f>+IF(C44&gt;$G$13+$G$14,XX,C44+1)</f>
        <v>2033</v>
      </c>
      <c r="D45" s="6"/>
      <c r="E45" s="292">
        <f>+INDEX('(2.2)_Forward_Price_Curve'!$R:$R,MATCH($C45,'(2.2)_Forward_Price_Curve'!C:C,0))</f>
        <v>1.9E-2</v>
      </c>
      <c r="F45" s="6"/>
      <c r="G45" s="20">
        <v>118774.19026415733</v>
      </c>
      <c r="H45" s="6"/>
      <c r="I45" s="30">
        <f t="shared" si="10"/>
        <v>0</v>
      </c>
      <c r="J45" s="6"/>
      <c r="K45" s="30">
        <v>92.205057825403685</v>
      </c>
      <c r="L45" s="6"/>
      <c r="M45" s="30">
        <f t="shared" si="11"/>
        <v>0</v>
      </c>
      <c r="N45" s="6"/>
      <c r="O45" s="295">
        <f>'(2.2)_Forward_Price_Curve'!W45</f>
        <v>1.0999437362648343</v>
      </c>
      <c r="P45" s="6"/>
      <c r="Q45" s="30"/>
      <c r="R45" s="6"/>
      <c r="S45" s="20">
        <f t="shared" si="4"/>
        <v>11082.226008083113</v>
      </c>
      <c r="T45" s="6"/>
      <c r="U45" s="20">
        <f t="shared" si="0"/>
        <v>15579.714835272389</v>
      </c>
      <c r="V45" s="6"/>
      <c r="W45" s="20">
        <f t="shared" si="1"/>
        <v>-4497.488827189276</v>
      </c>
      <c r="X45" s="6"/>
      <c r="Y45" s="296">
        <f t="shared" si="5"/>
        <v>-37.865876561117588</v>
      </c>
      <c r="Z45" s="255"/>
      <c r="AB45" s="154">
        <f>+IF(AB44&gt;$G$13+$G$14,XX,AB44+1)</f>
        <v>2033</v>
      </c>
      <c r="AC45" s="124"/>
      <c r="AD45" s="159">
        <f t="shared" si="2"/>
        <v>118774.19026415733</v>
      </c>
      <c r="AE45" s="3"/>
      <c r="AF45" s="162">
        <f t="shared" si="12"/>
        <v>98.117403792917415</v>
      </c>
      <c r="AG45" s="3"/>
      <c r="AH45" s="162">
        <f t="shared" si="13"/>
        <v>10.763229221534003</v>
      </c>
      <c r="AI45" s="3"/>
      <c r="AJ45" s="162">
        <f t="shared" si="14"/>
        <v>3.6452107084751786</v>
      </c>
      <c r="AK45" s="3"/>
      <c r="AL45" s="161">
        <f t="shared" si="6"/>
        <v>2615.9630676098141</v>
      </c>
      <c r="AM45" s="3"/>
      <c r="AN45" s="162">
        <f>INDEX('(2.2)_Forward_Price_Curve'!$L:$L,MATCH($AB45,'(2.2)_Forward_Price_Curve'!$C:$C,0),1)</f>
        <v>14.610833333333332</v>
      </c>
      <c r="AO45" s="3"/>
      <c r="AP45" s="162">
        <f t="shared" si="18"/>
        <v>108.23677888354138</v>
      </c>
      <c r="AQ45" s="3"/>
      <c r="AR45" s="162">
        <f t="shared" si="15"/>
        <v>4.3648490889899128</v>
      </c>
      <c r="AS45" s="162"/>
      <c r="AT45" s="161">
        <f t="shared" si="7"/>
        <v>2205.5476504090971</v>
      </c>
      <c r="AU45" s="3"/>
      <c r="AV45" s="161">
        <f t="shared" si="3"/>
        <v>13374.167184863292</v>
      </c>
      <c r="AW45" s="299"/>
      <c r="AX45" s="163">
        <f t="shared" si="8"/>
        <v>15579.714835272389</v>
      </c>
      <c r="AZ45" s="154">
        <f>+IF(AZ44&gt;$G$13+$G$14,XX,AZ44+1)</f>
        <v>2033</v>
      </c>
      <c r="BA45" s="124"/>
      <c r="BB45" s="162">
        <f t="shared" si="16"/>
        <v>88.933818191116131</v>
      </c>
      <c r="BC45" s="3"/>
      <c r="BD45" s="162">
        <f t="shared" si="17"/>
        <v>14.981038819286518</v>
      </c>
      <c r="BE45" s="3"/>
      <c r="BF45" s="161">
        <f t="shared" si="9"/>
        <v>410.41541720071694</v>
      </c>
      <c r="BG45" s="3"/>
      <c r="BH45" s="165"/>
    </row>
    <row r="46" spans="2:60" ht="12">
      <c r="B46" s="2"/>
      <c r="C46" s="6">
        <f>+IF(C45&gt;$G$13+$G$14,XX,C45+1)</f>
        <v>2034</v>
      </c>
      <c r="D46" s="6"/>
      <c r="E46" s="292">
        <f>+INDEX('(2.2)_Forward_Price_Curve'!$R:$R,MATCH($C46,'(2.2)_Forward_Price_Curve'!C:C,0))</f>
        <v>1.7999999999999999E-2</v>
      </c>
      <c r="F46" s="6"/>
      <c r="G46" s="20">
        <v>118125.14263263717</v>
      </c>
      <c r="H46" s="6"/>
      <c r="I46" s="30">
        <f t="shared" si="10"/>
        <v>0</v>
      </c>
      <c r="J46" s="6"/>
      <c r="K46" s="30">
        <v>92.658601508381608</v>
      </c>
      <c r="L46" s="6"/>
      <c r="M46" s="30">
        <f t="shared" si="11"/>
        <v>0</v>
      </c>
      <c r="N46" s="6"/>
      <c r="O46" s="295">
        <f>'(2.2)_Forward_Price_Curve'!W46</f>
        <v>1.1230425547263958</v>
      </c>
      <c r="P46" s="6"/>
      <c r="Q46" s="30"/>
      <c r="R46" s="6"/>
      <c r="S46" s="20">
        <f t="shared" si="4"/>
        <v>11077.970081277843</v>
      </c>
      <c r="T46" s="6"/>
      <c r="U46" s="20">
        <f t="shared" si="0"/>
        <v>15755.510044139308</v>
      </c>
      <c r="V46" s="6"/>
      <c r="W46" s="20">
        <f t="shared" si="1"/>
        <v>-4677.539962861465</v>
      </c>
      <c r="X46" s="6"/>
      <c r="Y46" s="296">
        <f t="shared" si="5"/>
        <v>-39.598174094133057</v>
      </c>
      <c r="Z46" s="255"/>
      <c r="AB46" s="154">
        <f>+IF(AB45&gt;$G$13+$G$14,XX,AB45+1)</f>
        <v>2034</v>
      </c>
      <c r="AC46" s="124"/>
      <c r="AD46" s="159">
        <f t="shared" si="2"/>
        <v>118125.14263263717</v>
      </c>
      <c r="AE46" s="3"/>
      <c r="AF46" s="162">
        <f t="shared" si="12"/>
        <v>99.883517061189934</v>
      </c>
      <c r="AG46" s="3"/>
      <c r="AH46" s="162">
        <f t="shared" si="13"/>
        <v>10.956967347521616</v>
      </c>
      <c r="AI46" s="3"/>
      <c r="AJ46" s="162">
        <f t="shared" si="14"/>
        <v>3.7108245012277319</v>
      </c>
      <c r="AK46" s="3"/>
      <c r="AL46" s="161">
        <f t="shared" si="6"/>
        <v>2660.6419009732817</v>
      </c>
      <c r="AM46" s="3"/>
      <c r="AN46" s="162">
        <f>INDEX('(2.2)_Forward_Price_Curve'!$L:$L,MATCH($AB46,'(2.2)_Forward_Price_Curve'!$C:$C,0),1)</f>
        <v>14.875000000000002</v>
      </c>
      <c r="AO46" s="3"/>
      <c r="AP46" s="162">
        <f t="shared" si="18"/>
        <v>109.94942783247336</v>
      </c>
      <c r="AQ46" s="3"/>
      <c r="AR46" s="162">
        <f t="shared" si="15"/>
        <v>4.4434163725917308</v>
      </c>
      <c r="AS46" s="162"/>
      <c r="AT46" s="161">
        <f t="shared" si="7"/>
        <v>2242.8390062629519</v>
      </c>
      <c r="AU46" s="3"/>
      <c r="AV46" s="161">
        <f t="shared" si="3"/>
        <v>13512.671037876356</v>
      </c>
      <c r="AW46" s="299"/>
      <c r="AX46" s="163">
        <f t="shared" si="8"/>
        <v>15755.510044139308</v>
      </c>
      <c r="AZ46" s="154">
        <f>+IF(AZ45&gt;$G$13+$G$14,XX,AZ45+1)</f>
        <v>2034</v>
      </c>
      <c r="BA46" s="124"/>
      <c r="BB46" s="162">
        <f t="shared" si="16"/>
        <v>90.534626918556228</v>
      </c>
      <c r="BC46" s="3"/>
      <c r="BD46" s="162">
        <f t="shared" si="17"/>
        <v>15.250697518033675</v>
      </c>
      <c r="BE46" s="3"/>
      <c r="BF46" s="161">
        <f t="shared" si="9"/>
        <v>417.80289471032989</v>
      </c>
      <c r="BG46" s="3"/>
      <c r="BH46" s="165"/>
    </row>
    <row r="47" spans="2:60" ht="12">
      <c r="B47" s="2"/>
      <c r="C47" s="6">
        <f>+IF(C46&gt;$G$13+$G$14,XX,C46+1)</f>
        <v>2035</v>
      </c>
      <c r="D47" s="6"/>
      <c r="E47" s="292">
        <f>+INDEX('(2.2)_Forward_Price_Curve'!$R:$R,MATCH($C47,'(2.2)_Forward_Price_Curve'!C:C,0))</f>
        <v>1.7999999999999999E-2</v>
      </c>
      <c r="F47" s="6"/>
      <c r="G47" s="20">
        <v>117476.09500111702</v>
      </c>
      <c r="H47" s="6"/>
      <c r="I47" s="30">
        <f t="shared" si="10"/>
        <v>0</v>
      </c>
      <c r="J47" s="6"/>
      <c r="K47" s="30">
        <v>92.870577694749159</v>
      </c>
      <c r="L47" s="6"/>
      <c r="M47" s="30"/>
      <c r="N47" s="6"/>
      <c r="O47" s="295">
        <f>'(2.2)_Forward_Price_Curve'!W47</f>
        <v>1.1466264483756501</v>
      </c>
      <c r="P47" s="6"/>
      <c r="Q47" s="30"/>
      <c r="R47" s="6"/>
      <c r="S47" s="20">
        <f t="shared" si="4"/>
        <v>11044.774005657144</v>
      </c>
      <c r="T47" s="6"/>
      <c r="U47" s="20">
        <f t="shared" si="0"/>
        <v>15932.530304898986</v>
      </c>
      <c r="V47" s="6"/>
      <c r="W47" s="20">
        <f t="shared" si="1"/>
        <v>-4887.7562992418425</v>
      </c>
      <c r="X47" s="6"/>
      <c r="Y47" s="296">
        <f t="shared" si="5"/>
        <v>-41.606390637987815</v>
      </c>
      <c r="Z47" s="255"/>
      <c r="AB47" s="154">
        <f>+IF(AB46&gt;$G$13+$G$14,XX,AB46+1)</f>
        <v>2035</v>
      </c>
      <c r="AC47" s="124"/>
      <c r="AD47" s="159">
        <f t="shared" si="2"/>
        <v>117476.09500111702</v>
      </c>
      <c r="AE47" s="3"/>
      <c r="AF47" s="162">
        <f t="shared" si="12"/>
        <v>101.68142036829136</v>
      </c>
      <c r="AG47" s="3"/>
      <c r="AH47" s="162">
        <f t="shared" si="13"/>
        <v>11.154192759777004</v>
      </c>
      <c r="AI47" s="3"/>
      <c r="AJ47" s="162">
        <f t="shared" si="14"/>
        <v>3.7776193422498312</v>
      </c>
      <c r="AK47" s="3"/>
      <c r="AL47" s="161">
        <f t="shared" si="6"/>
        <v>2706.0816003039295</v>
      </c>
      <c r="AM47" s="3"/>
      <c r="AN47" s="162">
        <f>INDEX('(2.2)_Forward_Price_Curve'!$L:$L,MATCH($AB47,'(2.2)_Forward_Price_Curve'!$C:$C,0),1)</f>
        <v>15.140833333333333</v>
      </c>
      <c r="AO47" s="3"/>
      <c r="AP47" s="162">
        <f t="shared" si="18"/>
        <v>111.68553852338063</v>
      </c>
      <c r="AQ47" s="3"/>
      <c r="AR47" s="162">
        <f t="shared" si="15"/>
        <v>4.5233978672983817</v>
      </c>
      <c r="AS47" s="162"/>
      <c r="AT47" s="161">
        <f t="shared" si="7"/>
        <v>2280.7582534888134</v>
      </c>
      <c r="AU47" s="3"/>
      <c r="AV47" s="161">
        <f t="shared" si="3"/>
        <v>13651.772051410173</v>
      </c>
      <c r="AW47" s="299"/>
      <c r="AX47" s="163">
        <f t="shared" si="8"/>
        <v>15932.530304898986</v>
      </c>
      <c r="AZ47" s="154">
        <f>+IF(AZ46&gt;$G$13+$G$14,XX,AZ46+1)</f>
        <v>2035</v>
      </c>
      <c r="BA47" s="124"/>
      <c r="BB47" s="162">
        <f t="shared" si="16"/>
        <v>92.164250203090248</v>
      </c>
      <c r="BC47" s="3"/>
      <c r="BD47" s="162">
        <f t="shared" si="17"/>
        <v>15.525210073358283</v>
      </c>
      <c r="BE47" s="3"/>
      <c r="BF47" s="161">
        <f t="shared" si="9"/>
        <v>425.32334681511588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6.66%</v>
      </c>
      <c r="E58" s="178"/>
      <c r="F58" s="3"/>
      <c r="G58" s="317">
        <f>+-PMT($G$18,$G$14,NPV($G$18,G28:G56))</f>
        <v>124996.30382150566</v>
      </c>
      <c r="H58" s="6"/>
      <c r="I58" s="30">
        <f>+-PMT($G$18,$G$14,NPV($G$18,I28:I56))</f>
        <v>0</v>
      </c>
      <c r="J58" s="30"/>
      <c r="K58" s="30">
        <f>+-PMT($G$18,$G$14,NPV($G$18,K28:K56))</f>
        <v>48.54711497849015</v>
      </c>
      <c r="L58" s="6"/>
      <c r="M58" s="30">
        <f>+-PMT($G$18,$G$14,NPV($G$18,M28:M56))</f>
        <v>0</v>
      </c>
      <c r="N58" s="6"/>
      <c r="O58" s="30">
        <f>+-PMT($G$18,$G$14,NPV($G$18,O28:O56))</f>
        <v>0.91989632023798074</v>
      </c>
      <c r="P58" s="6"/>
      <c r="Q58" s="30">
        <f>+-PMT($G$18,$G$14,NPV($G$18,Q28:Q56))</f>
        <v>0</v>
      </c>
      <c r="R58" s="6"/>
      <c r="S58" s="20">
        <f>+-PMT($G$18,$G$14,NPV($G$18,S28:S56))</f>
        <v>6099.5727164523514</v>
      </c>
      <c r="T58" s="6"/>
      <c r="U58" s="20">
        <f>+-PMT($G$18,$G$14,NPV($G$18,U28:U56))</f>
        <v>13771.474997509195</v>
      </c>
      <c r="V58" s="3"/>
      <c r="W58" s="20">
        <f>+-PMT($G$18,$G$14,NPV($G$18,W28:W56))</f>
        <v>-7671.9022810568467</v>
      </c>
      <c r="X58" s="3"/>
      <c r="Y58" s="296">
        <f>+-PMT($G$18,$G$14,NPV($G$18,Y28:Y56))</f>
        <v>-61.068508183530625</v>
      </c>
      <c r="Z58" s="255"/>
      <c r="AB58" s="2"/>
      <c r="AC58" s="3"/>
      <c r="AD58" s="159">
        <f>+-PMT($G$18,$G$14,NPV($G$18,AD28:AD56))</f>
        <v>124996.30382150566</v>
      </c>
      <c r="AE58" s="3"/>
      <c r="AF58" s="162">
        <f>+-PMT($G$18,$G$14,NPV($G$18,AF28:AF56))</f>
        <v>82.685631868945421</v>
      </c>
      <c r="AG58" s="3"/>
      <c r="AH58" s="162">
        <f>+-PMT($G$18,$G$14,NPV($G$18,AH28:AH56))</f>
        <v>9.0704031571316257</v>
      </c>
      <c r="AI58" s="3"/>
      <c r="AJ58" s="162">
        <f>+-PMT($G$18,$G$14,NPV($G$18,AJ28:AJ56))</f>
        <v>3.0718969221999886</v>
      </c>
      <c r="AK58" s="3"/>
      <c r="AL58" s="161">
        <f>+-PMT($G$18,$G$14,NPV($G$18,AL28:AL56))</f>
        <v>2222.4900213311867</v>
      </c>
      <c r="AM58" s="3"/>
      <c r="AN58" s="162">
        <f>+-PMT($G$18,$G$14,NPV($G$18,AN28:AN56))</f>
        <v>12.102008187620727</v>
      </c>
      <c r="AO58" s="3"/>
      <c r="AP58" s="162">
        <f>+-PMT($G$18,$G$14,NPV($G$18,AP28:AP56))</f>
        <v>91.788090335742382</v>
      </c>
      <c r="AQ58" s="3"/>
      <c r="AR58" s="162">
        <f>+-PMT($G$18,$G$14,NPV($G$18,AR28:AR56))</f>
        <v>3.6783515562381197</v>
      </c>
      <c r="AS58" s="162"/>
      <c r="AT58" s="161">
        <f>+-PMT($G$18,$G$14,NPV($G$18,AT28:AT56))</f>
        <v>1876.6241831805878</v>
      </c>
      <c r="AU58" s="3"/>
      <c r="AV58" s="161">
        <f>+-PMT($G$18,$G$14,NPV($G$18,AV28:AV56))</f>
        <v>11894.850814328609</v>
      </c>
      <c r="AW58" s="299"/>
      <c r="AX58" s="163">
        <f>+-PMT($G$18,$G$14,NPV($G$18,AX28:AX56))</f>
        <v>13771.474997509195</v>
      </c>
      <c r="AZ58" s="2"/>
      <c r="BA58" s="3"/>
      <c r="BB58" s="162">
        <f>+-PMT($G$18,$G$14,NPV($G$18,BB28:BB56))</f>
        <v>74.946428129819381</v>
      </c>
      <c r="BC58" s="3"/>
      <c r="BD58" s="162">
        <f>+-PMT($G$18,$G$14,NPV($G$18,BD28:BD56))</f>
        <v>12.624841393482965</v>
      </c>
      <c r="BE58" s="3"/>
      <c r="BF58" s="161">
        <f>+-PMT($G$18,$G$14,NPV($G$18,BF28:BF56))</f>
        <v>345.86583815059896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4544D-58BE-4D15-B631-EFD084DB6AB2}">
  <sheetPr codeName="Sheet10">
    <tabColor theme="0" tint="-0.249977111117893"/>
    <pageSetUpPr fitToPage="1"/>
  </sheetPr>
  <dimension ref="A1:BH84"/>
  <sheetViews>
    <sheetView topLeftCell="C38" workbookViewId="0">
      <selection activeCell="M47" sqref="M47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308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338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'[5]Pioneer Wind'!$X$12</f>
        <v>79.8</v>
      </c>
      <c r="H11" s="275"/>
      <c r="AB11" s="129" t="s">
        <v>99</v>
      </c>
      <c r="AC11" s="130"/>
      <c r="AD11" s="130"/>
      <c r="AE11" s="130"/>
      <c r="AF11" s="312">
        <f>+G11*(G12/AJ16)</f>
        <v>45.114940740507585</v>
      </c>
      <c r="AG11" s="134"/>
      <c r="AH11" s="130" t="s">
        <v>100</v>
      </c>
      <c r="AI11" s="131"/>
      <c r="AJ11" s="174">
        <f>'(2.1)_Proxy Resources'!L43</f>
        <v>7.7079648513634842</v>
      </c>
      <c r="AK11" s="255"/>
      <c r="AZ11" s="129" t="s">
        <v>99</v>
      </c>
      <c r="BA11" s="130"/>
      <c r="BB11" s="130"/>
      <c r="BC11" s="130"/>
      <c r="BD11" s="141">
        <f>(AF11*AF13-G11*G19)</f>
        <v>33.543940740507587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'[5]Pioneer Wind'!$X$13</f>
        <v>0.40304252148419134</v>
      </c>
      <c r="H12" s="275"/>
      <c r="AB12" s="129" t="s">
        <v>32</v>
      </c>
      <c r="AC12" s="130"/>
      <c r="AD12" s="130"/>
      <c r="AE12" s="130"/>
      <c r="AF12" s="138">
        <f>+AD58/8760/AF11</f>
        <v>0.71290572534711616</v>
      </c>
      <c r="AG12" s="134"/>
      <c r="AH12" s="124" t="s">
        <v>101</v>
      </c>
      <c r="AI12" s="125"/>
      <c r="AJ12" s="124">
        <v>2014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2016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Resources'!O43</f>
        <v>2.6104764135772984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Resources'!H43</f>
        <v>6530.8239156386799</v>
      </c>
      <c r="AG14" s="134"/>
      <c r="AH14" s="124" t="s">
        <v>326</v>
      </c>
      <c r="AI14" s="125"/>
      <c r="AJ14" s="174">
        <f>'(2.1)_Proxy Resources'!P43</f>
        <v>12.577035449261281</v>
      </c>
      <c r="AK14" s="255"/>
      <c r="AZ14" s="129" t="s">
        <v>192</v>
      </c>
      <c r="BA14" s="130"/>
      <c r="BB14" s="130"/>
      <c r="BC14" s="130"/>
      <c r="BD14" s="175">
        <f>'(2.1)_Proxy Resources'!J44</f>
        <v>820.02180312689813</v>
      </c>
      <c r="BE14" s="139"/>
    </row>
    <row r="15" spans="1:57" ht="12">
      <c r="A15" s="143" t="s">
        <v>325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192</v>
      </c>
      <c r="AC15" s="130"/>
      <c r="AD15" s="130"/>
      <c r="AE15" s="130"/>
      <c r="AF15" s="175">
        <f>'(2.1)_Proxy Resources'!J43</f>
        <v>914.64278393587574</v>
      </c>
      <c r="AG15" s="134"/>
      <c r="AH15" s="124" t="s">
        <v>145</v>
      </c>
      <c r="AI15" s="125"/>
      <c r="AJ15" s="174">
        <f>'(2.1)_Proxy Resources'!Q43</f>
        <v>3.1258372991005694</v>
      </c>
      <c r="AK15" s="255"/>
      <c r="AZ15" s="129" t="s">
        <v>108</v>
      </c>
      <c r="BA15" s="130"/>
      <c r="BB15" s="130"/>
      <c r="BC15" s="130"/>
      <c r="BD15" s="144">
        <f>'(2.1)_Proxy Resources'!K44</f>
        <v>7.7667383499954168E-2</v>
      </c>
      <c r="BE15" s="139"/>
    </row>
    <row r="16" spans="1:57" ht="12">
      <c r="A16" s="143" t="s">
        <v>325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Resources'!K41</f>
        <v>7.682307239305719E-2</v>
      </c>
      <c r="AG16" s="134"/>
      <c r="AH16" s="124" t="s">
        <v>110</v>
      </c>
      <c r="AI16" s="131"/>
      <c r="AJ16" s="145">
        <f>'(2.1)_Proxy Resources'!D43</f>
        <v>0.7129078014184399</v>
      </c>
      <c r="AK16" s="255"/>
      <c r="AZ16" s="129" t="s">
        <v>100</v>
      </c>
      <c r="BA16" s="131"/>
      <c r="BB16" s="174">
        <f>'(2.1)_Proxy Resources'!N44</f>
        <v>10.728501482152289</v>
      </c>
      <c r="BC16" s="3"/>
      <c r="BD16" s="3"/>
      <c r="BE16" s="137"/>
    </row>
    <row r="17" spans="1:60" ht="12">
      <c r="A17" s="143" t="s">
        <v>325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2014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'(2.2)_Forward_Price_Curve'!W7</f>
        <v>6.6600000000000006E-2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'(2.2)_Forward_Price_Curve'!F80</f>
        <v>0.14499999999999999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2016</v>
      </c>
      <c r="D28" s="6"/>
      <c r="E28" s="292">
        <f>+INDEX('(2.2)_Forward_Price_Curve'!$R:$R,MATCH($C28,'(2.2)_Forward_Price_Curve'!C:C,0))</f>
        <v>0.02</v>
      </c>
      <c r="F28" s="6"/>
      <c r="G28" s="20">
        <v>282371.75</v>
      </c>
      <c r="H28" s="6"/>
      <c r="I28" s="293">
        <f>$G$15*(1+E28)</f>
        <v>0</v>
      </c>
      <c r="J28" s="293"/>
      <c r="K28" s="293">
        <v>60.327279878937979</v>
      </c>
      <c r="L28" s="294"/>
      <c r="M28" s="293">
        <f>$G$17</f>
        <v>0</v>
      </c>
      <c r="N28" s="6"/>
      <c r="O28" s="295">
        <f>'(2.2)_Forward_Price_Curve'!V27</f>
        <v>3.1150800000000003</v>
      </c>
      <c r="P28" s="6"/>
      <c r="Q28" s="30"/>
      <c r="R28" s="6"/>
      <c r="S28" s="20">
        <f>(I28*$G$11*1000+(K28+M28+O28+Q28)*G28)/1000</f>
        <v>17914.330183145503</v>
      </c>
      <c r="T28" s="6"/>
      <c r="U28" s="20">
        <f t="shared" ref="U28:U47" si="0">AX28</f>
        <v>22691.860674766733</v>
      </c>
      <c r="V28" s="6"/>
      <c r="W28" s="20">
        <f t="shared" ref="W28:W47" si="1">S28-U28</f>
        <v>-4777.5304916212299</v>
      </c>
      <c r="X28" s="6"/>
      <c r="Y28" s="296">
        <f>+W28*1000/G28</f>
        <v>-16.919293419477089</v>
      </c>
      <c r="Z28" s="255"/>
      <c r="AB28" s="154">
        <f>$C$28</f>
        <v>2016</v>
      </c>
      <c r="AC28" s="124"/>
      <c r="AD28" s="159">
        <f t="shared" ref="AD28:AD47" si="2">G28</f>
        <v>282371.75</v>
      </c>
      <c r="AE28" s="3"/>
      <c r="AF28" s="160">
        <f>$AF$15*$AF$16*(1+E28)</f>
        <v>71.670982180175017</v>
      </c>
      <c r="AG28" s="297"/>
      <c r="AH28" s="160">
        <f>$AJ$11*(1+E28)</f>
        <v>7.8621241483907536</v>
      </c>
      <c r="AI28" s="297"/>
      <c r="AJ28" s="160">
        <f>$AJ$13*(1+E28)</f>
        <v>2.6626859418488444</v>
      </c>
      <c r="AK28" s="298"/>
      <c r="AL28" s="161">
        <f>((AF28+AH28)*$AF$11*1000+AJ28*AD28)/1000</f>
        <v>4339.9986680219899</v>
      </c>
      <c r="AM28" s="3"/>
      <c r="AN28" s="162">
        <f>INDEX('(2.2)_Forward_Price_Curve'!$L:$L,MATCH($AB28,'(2.2)_Forward_Price_Curve'!$C:$C,0),1)</f>
        <v>8.9541666666666657</v>
      </c>
      <c r="AO28" s="310"/>
      <c r="AP28" s="162">
        <f>AN28*$AF$14/1000+$AJ$14/(1+E29)</f>
        <v>70.820613239408203</v>
      </c>
      <c r="AQ28" s="297"/>
      <c r="AR28" s="160">
        <f>$AJ$15*(1+E28)</f>
        <v>3.1883540450825807</v>
      </c>
      <c r="AS28" s="160"/>
      <c r="AT28" s="161">
        <f>AL28-BF28</f>
        <v>1793.8190669523237</v>
      </c>
      <c r="AU28" s="298"/>
      <c r="AV28" s="161">
        <f t="shared" ref="AV28:AV47" si="3">(AP28+AR28)*AD28/1000</f>
        <v>20898.041607814408</v>
      </c>
      <c r="AW28" s="299"/>
      <c r="AX28" s="163">
        <f>AT28+AV28</f>
        <v>22691.860674766733</v>
      </c>
      <c r="AZ28" s="154">
        <f>$C$28</f>
        <v>2016</v>
      </c>
      <c r="BA28" s="124"/>
      <c r="BB28" s="160">
        <f>$BD$14*$BD$15*(1+E28)</f>
        <v>64.962726819016325</v>
      </c>
      <c r="BC28" s="3"/>
      <c r="BD28" s="160">
        <f>$BB$16*(1+E28)</f>
        <v>10.943071511795335</v>
      </c>
      <c r="BE28" s="297"/>
      <c r="BF28" s="161">
        <f>(BB28+BD28)*$BD$11</f>
        <v>2546.1796010696662</v>
      </c>
      <c r="BG28" s="297"/>
      <c r="BH28" s="164"/>
    </row>
    <row r="29" spans="1:60" ht="12">
      <c r="B29" s="2"/>
      <c r="C29" s="6">
        <f>+IF(C28&gt;$G$13+$G$14,XX,C28+1)</f>
        <v>2017</v>
      </c>
      <c r="D29" s="6"/>
      <c r="E29" s="292">
        <f>+INDEX('(2.2)_Forward_Price_Curve'!$R:$R,MATCH($C29,'(2.2)_Forward_Price_Curve'!C:C,0))</f>
        <v>1.9E-2</v>
      </c>
      <c r="F29" s="6"/>
      <c r="G29" s="20">
        <v>281508</v>
      </c>
      <c r="H29" s="6"/>
      <c r="I29" s="30">
        <f>I28*(1+$E29)</f>
        <v>0</v>
      </c>
      <c r="J29" s="6"/>
      <c r="K29" s="30">
        <v>60.327279878937979</v>
      </c>
      <c r="L29" s="6"/>
      <c r="M29" s="30">
        <f>M28*(1+$E29)</f>
        <v>0</v>
      </c>
      <c r="N29" s="6"/>
      <c r="O29" s="295">
        <f>'(2.2)_Forward_Price_Curve'!V28</f>
        <v>3.1711514400000005</v>
      </c>
      <c r="P29" s="6"/>
      <c r="Q29" s="30"/>
      <c r="R29" s="6"/>
      <c r="S29" s="20">
        <f t="shared" ref="S29:S47" si="4">(I29*$G$11*1000+(K29+M29+O29+Q29)*G29)/1000</f>
        <v>17875.316403731591</v>
      </c>
      <c r="T29" s="6"/>
      <c r="U29" s="20">
        <f t="shared" si="0"/>
        <v>24007.464147259532</v>
      </c>
      <c r="V29" s="6"/>
      <c r="W29" s="20">
        <f t="shared" si="1"/>
        <v>-6132.1477435279412</v>
      </c>
      <c r="X29" s="6"/>
      <c r="Y29" s="296">
        <f t="shared" ref="Y29:Y47" si="5">+W29*1000/G29</f>
        <v>-21.783209512795164</v>
      </c>
      <c r="Z29" s="255"/>
      <c r="AB29" s="154">
        <f>+IF(AB28&gt;$G$13+$G$14,XX,AB28+1)</f>
        <v>2017</v>
      </c>
      <c r="AC29" s="124"/>
      <c r="AD29" s="159">
        <f t="shared" si="2"/>
        <v>281508</v>
      </c>
      <c r="AE29" s="3"/>
      <c r="AF29" s="162">
        <f>AF28*(1+$E29)</f>
        <v>73.032730841598337</v>
      </c>
      <c r="AG29" s="3"/>
      <c r="AH29" s="162">
        <f>AH28*(1+$E29)</f>
        <v>8.0115045072101765</v>
      </c>
      <c r="AI29" s="3"/>
      <c r="AJ29" s="162">
        <f>AJ28*(1+$E29)</f>
        <v>2.7132769747439722</v>
      </c>
      <c r="AK29" s="3"/>
      <c r="AL29" s="161">
        <f t="shared" ref="AL29:AL47" si="6">((AF29+AH29)*$AF$11*1000+AJ29*AD29)/1000</f>
        <v>4420.1150497274721</v>
      </c>
      <c r="AM29" s="3"/>
      <c r="AN29" s="162">
        <f>INDEX('(2.2)_Forward_Price_Curve'!$L:$L,MATCH($AB29,'(2.2)_Forward_Price_Curve'!$C:$C,0),1)</f>
        <v>9.6420833333333338</v>
      </c>
      <c r="AO29" s="3"/>
      <c r="AP29" s="162">
        <f>AN29*$AF$14/1000+$AJ$14</f>
        <v>75.547783879175739</v>
      </c>
      <c r="AQ29" s="3"/>
      <c r="AR29" s="162">
        <f>AR28*(1+$E29)</f>
        <v>3.2489327719391494</v>
      </c>
      <c r="AS29" s="162"/>
      <c r="AT29" s="161">
        <f t="shared" ref="AT29:AT47" si="7">AL29-BF29</f>
        <v>1825.5580362374831</v>
      </c>
      <c r="AU29" s="3"/>
      <c r="AV29" s="161">
        <f t="shared" si="3"/>
        <v>22181.90611102205</v>
      </c>
      <c r="AW29" s="299"/>
      <c r="AX29" s="163">
        <f t="shared" ref="AX29:AX47" si="8">AT29+AV29</f>
        <v>24007.464147259532</v>
      </c>
      <c r="AZ29" s="154">
        <f>+IF(AZ28&gt;$G$13+$G$14,XX,AZ28+1)</f>
        <v>2017</v>
      </c>
      <c r="BA29" s="124"/>
      <c r="BB29" s="162">
        <f>BB28*(1+$E29)</f>
        <v>66.197018628577624</v>
      </c>
      <c r="BC29" s="3"/>
      <c r="BD29" s="162">
        <f>BD28*(1+$E29)</f>
        <v>11.150989870519446</v>
      </c>
      <c r="BE29" s="3"/>
      <c r="BF29" s="161">
        <f t="shared" ref="BF29:BF47" si="9">(BB29+BD29)*$BD$11</f>
        <v>2594.557013489989</v>
      </c>
      <c r="BG29" s="3"/>
      <c r="BH29" s="165"/>
    </row>
    <row r="30" spans="1:60" ht="12">
      <c r="B30" s="2"/>
      <c r="C30" s="6">
        <f>+IF(C29&gt;$G$13+$G$14,XX,C29+1)</f>
        <v>2018</v>
      </c>
      <c r="D30" s="6"/>
      <c r="E30" s="292">
        <f>+INDEX('(2.2)_Forward_Price_Curve'!$R:$R,MATCH($C30,'(2.2)_Forward_Price_Curve'!C:C,0))</f>
        <v>1.9E-2</v>
      </c>
      <c r="F30" s="6"/>
      <c r="G30" s="20">
        <v>281508</v>
      </c>
      <c r="H30" s="6"/>
      <c r="I30" s="30">
        <f t="shared" ref="I30:I47" si="10">I29*(1+$E30)</f>
        <v>0</v>
      </c>
      <c r="J30" s="6"/>
      <c r="K30" s="30">
        <v>60.327279878937979</v>
      </c>
      <c r="L30" s="6"/>
      <c r="M30" s="30">
        <f t="shared" ref="M30:M46" si="11">M29*(1+$E30)</f>
        <v>0</v>
      </c>
      <c r="N30" s="6"/>
      <c r="O30" s="295">
        <f>'(2.2)_Forward_Price_Curve'!V29</f>
        <v>3.2282321659200006</v>
      </c>
      <c r="P30" s="6"/>
      <c r="Q30" s="30"/>
      <c r="R30" s="6"/>
      <c r="S30" s="20">
        <f t="shared" si="4"/>
        <v>17891.385084723879</v>
      </c>
      <c r="T30" s="6"/>
      <c r="U30" s="20">
        <f t="shared" si="0"/>
        <v>27186.333113318546</v>
      </c>
      <c r="V30" s="6"/>
      <c r="W30" s="20">
        <f t="shared" si="1"/>
        <v>-9294.9480285946665</v>
      </c>
      <c r="X30" s="6"/>
      <c r="Y30" s="296">
        <f t="shared" si="5"/>
        <v>-33.018415208785072</v>
      </c>
      <c r="Z30" s="255"/>
      <c r="AB30" s="154">
        <f>+IF(AB29&gt;$G$13+$G$14,XX,AB29+1)</f>
        <v>2018</v>
      </c>
      <c r="AC30" s="124"/>
      <c r="AD30" s="159">
        <f t="shared" si="2"/>
        <v>281508</v>
      </c>
      <c r="AE30" s="3"/>
      <c r="AF30" s="162">
        <f t="shared" ref="AF30:AF47" si="12">AF29*(1+$E30)</f>
        <v>74.420352727588693</v>
      </c>
      <c r="AG30" s="3"/>
      <c r="AH30" s="162">
        <f t="shared" ref="AH30:AH47" si="13">AH29*(1+$E30)</f>
        <v>8.1637230928471691</v>
      </c>
      <c r="AI30" s="3"/>
      <c r="AJ30" s="162">
        <f t="shared" ref="AJ30:AJ47" si="14">AJ29*(1+$E30)</f>
        <v>2.7648292372641072</v>
      </c>
      <c r="AK30" s="3"/>
      <c r="AL30" s="161">
        <f t="shared" si="6"/>
        <v>4504.0972356722932</v>
      </c>
      <c r="AM30" s="3"/>
      <c r="AN30" s="162">
        <f>INDEX('(2.2)_Forward_Price_Curve'!$L:$L,MATCH($AB30,'(2.2)_Forward_Price_Curve'!$C:$C,0),1)</f>
        <v>11.30625</v>
      </c>
      <c r="AO30" s="3"/>
      <c r="AP30" s="162">
        <f>AN30*$AF$14/1000+$AJ$14*(1+E30)</f>
        <v>86.655127018987059</v>
      </c>
      <c r="AQ30" s="3"/>
      <c r="AR30" s="162">
        <f t="shared" ref="AR30:AR47" si="15">AR29*(1+$E30)</f>
        <v>3.3106624946059928</v>
      </c>
      <c r="AS30" s="162"/>
      <c r="AT30" s="161">
        <f t="shared" si="7"/>
        <v>1860.2436389259942</v>
      </c>
      <c r="AU30" s="3"/>
      <c r="AV30" s="161">
        <f t="shared" si="3"/>
        <v>25326.089474392553</v>
      </c>
      <c r="AW30" s="299"/>
      <c r="AX30" s="163">
        <f t="shared" si="8"/>
        <v>27186.333113318546</v>
      </c>
      <c r="AZ30" s="154">
        <f>+IF(AZ29&gt;$G$13+$G$14,XX,AZ29+1)</f>
        <v>2018</v>
      </c>
      <c r="BA30" s="124"/>
      <c r="BB30" s="162">
        <f t="shared" ref="BB30:BB47" si="16">BB29*(1+$E30)</f>
        <v>67.454761982520594</v>
      </c>
      <c r="BC30" s="3"/>
      <c r="BD30" s="162">
        <f t="shared" ref="BD30:BD47" si="17">BD29*(1+$E30)</f>
        <v>11.362858678059315</v>
      </c>
      <c r="BE30" s="3"/>
      <c r="BF30" s="161">
        <f t="shared" si="9"/>
        <v>2643.853596746299</v>
      </c>
      <c r="BG30" s="3"/>
      <c r="BH30" s="165"/>
    </row>
    <row r="31" spans="1:60" ht="12">
      <c r="B31" s="2"/>
      <c r="C31" s="6">
        <f>+IF(C30&gt;$G$13+$G$14,XX,C30+1)</f>
        <v>2019</v>
      </c>
      <c r="D31" s="6"/>
      <c r="E31" s="292">
        <f>+INDEX('(2.2)_Forward_Price_Curve'!$R:$R,MATCH($C31,'(2.2)_Forward_Price_Curve'!C:C,0))</f>
        <v>1.9E-2</v>
      </c>
      <c r="F31" s="6"/>
      <c r="G31" s="20">
        <v>281508</v>
      </c>
      <c r="H31" s="6"/>
      <c r="I31" s="30">
        <f t="shared" si="10"/>
        <v>0</v>
      </c>
      <c r="J31" s="6"/>
      <c r="K31" s="30">
        <v>60.327279878937979</v>
      </c>
      <c r="L31" s="6"/>
      <c r="M31" s="30">
        <f t="shared" si="11"/>
        <v>0</v>
      </c>
      <c r="N31" s="6"/>
      <c r="O31" s="295">
        <f>'(2.2)_Forward_Price_Curve'!V30</f>
        <v>3.2863403449065607</v>
      </c>
      <c r="P31" s="6"/>
      <c r="Q31" s="30"/>
      <c r="R31" s="6"/>
      <c r="S31" s="20">
        <f t="shared" si="4"/>
        <v>17907.743001974028</v>
      </c>
      <c r="T31" s="6"/>
      <c r="U31" s="20">
        <f t="shared" si="0"/>
        <v>28059.040624599016</v>
      </c>
      <c r="V31" s="6"/>
      <c r="W31" s="20">
        <f t="shared" si="1"/>
        <v>-10151.297622624988</v>
      </c>
      <c r="X31" s="6"/>
      <c r="Y31" s="296">
        <f t="shared" si="5"/>
        <v>-36.060423229979214</v>
      </c>
      <c r="Z31" s="255"/>
      <c r="AB31" s="154">
        <f>+IF(AB30&gt;$G$13+$G$14,XX,AB30+1)</f>
        <v>2019</v>
      </c>
      <c r="AC31" s="124"/>
      <c r="AD31" s="159">
        <f t="shared" si="2"/>
        <v>281508</v>
      </c>
      <c r="AE31" s="3"/>
      <c r="AF31" s="162">
        <f t="shared" si="12"/>
        <v>75.834339429412864</v>
      </c>
      <c r="AG31" s="3"/>
      <c r="AH31" s="162">
        <f t="shared" si="13"/>
        <v>8.3188338316112649</v>
      </c>
      <c r="AI31" s="3"/>
      <c r="AJ31" s="162">
        <f t="shared" si="14"/>
        <v>2.8173609927721248</v>
      </c>
      <c r="AK31" s="3"/>
      <c r="AL31" s="161">
        <f t="shared" si="6"/>
        <v>4589.6750831500667</v>
      </c>
      <c r="AM31" s="3"/>
      <c r="AN31" s="162">
        <f>INDEX('(2.2)_Forward_Price_Curve'!$L:$L,MATCH($AB31,'(2.2)_Forward_Price_Curve'!$C:$C,0),1)</f>
        <v>11.752083333333331</v>
      </c>
      <c r="AO31" s="3"/>
      <c r="AP31" s="162">
        <f>AN31*$AF$14/1000+$AJ$14*(1+E31)</f>
        <v>89.566786014709294</v>
      </c>
      <c r="AQ31" s="3"/>
      <c r="AR31" s="162">
        <f t="shared" si="15"/>
        <v>3.3735650820035064</v>
      </c>
      <c r="AS31" s="162"/>
      <c r="AT31" s="161">
        <f t="shared" si="7"/>
        <v>1895.5882680655886</v>
      </c>
      <c r="AU31" s="3"/>
      <c r="AV31" s="161">
        <f t="shared" si="3"/>
        <v>26163.452356533428</v>
      </c>
      <c r="AW31" s="299"/>
      <c r="AX31" s="163">
        <f t="shared" si="8"/>
        <v>28059.040624599016</v>
      </c>
      <c r="AZ31" s="154">
        <f>+IF(AZ30&gt;$G$13+$G$14,XX,AZ30+1)</f>
        <v>2019</v>
      </c>
      <c r="BA31" s="124"/>
      <c r="BB31" s="162">
        <f t="shared" si="16"/>
        <v>68.736402460188472</v>
      </c>
      <c r="BC31" s="3"/>
      <c r="BD31" s="162">
        <f t="shared" si="17"/>
        <v>11.578752992942441</v>
      </c>
      <c r="BE31" s="3"/>
      <c r="BF31" s="161">
        <f t="shared" si="9"/>
        <v>2694.0868150844781</v>
      </c>
      <c r="BG31" s="3"/>
      <c r="BH31" s="165"/>
    </row>
    <row r="32" spans="1:60" ht="12">
      <c r="B32" s="2"/>
      <c r="C32" s="6">
        <f>+IF(C31&gt;$G$13+$G$14,XX,C31+1)</f>
        <v>2020</v>
      </c>
      <c r="D32" s="6"/>
      <c r="E32" s="292">
        <f>+INDEX('(2.2)_Forward_Price_Curve'!$R:$R,MATCH($C32,'(2.2)_Forward_Price_Curve'!C:C,0))</f>
        <v>1.9E-2</v>
      </c>
      <c r="F32" s="6"/>
      <c r="G32" s="20">
        <v>282371.75</v>
      </c>
      <c r="H32" s="6"/>
      <c r="I32" s="30">
        <f t="shared" si="10"/>
        <v>0</v>
      </c>
      <c r="J32" s="6"/>
      <c r="K32" s="30">
        <v>60.327279878937979</v>
      </c>
      <c r="L32" s="6"/>
      <c r="M32" s="30">
        <f t="shared" si="11"/>
        <v>0</v>
      </c>
      <c r="N32" s="6"/>
      <c r="O32" s="295">
        <f>'(2.2)_Forward_Price_Curve'!V31</f>
        <v>3.3454944711148786</v>
      </c>
      <c r="P32" s="6"/>
      <c r="Q32" s="30"/>
      <c r="R32" s="6"/>
      <c r="S32" s="20">
        <f t="shared" si="4"/>
        <v>17979.392720579537</v>
      </c>
      <c r="T32" s="6"/>
      <c r="U32" s="20">
        <f t="shared" si="0"/>
        <v>27682.633035757888</v>
      </c>
      <c r="V32" s="6"/>
      <c r="W32" s="20">
        <f t="shared" si="1"/>
        <v>-9703.240315178351</v>
      </c>
      <c r="X32" s="6"/>
      <c r="Y32" s="296">
        <f t="shared" si="5"/>
        <v>-34.363353682435836</v>
      </c>
      <c r="Z32" s="255"/>
      <c r="AB32" s="154">
        <f>+IF(AB31&gt;$G$13+$G$14,XX,AB31+1)</f>
        <v>2020</v>
      </c>
      <c r="AC32" s="124"/>
      <c r="AD32" s="159">
        <f t="shared" si="2"/>
        <v>282371.75</v>
      </c>
      <c r="AE32" s="3"/>
      <c r="AF32" s="162">
        <f t="shared" si="12"/>
        <v>77.275191878571704</v>
      </c>
      <c r="AG32" s="3"/>
      <c r="AH32" s="162">
        <f t="shared" si="13"/>
        <v>8.4768916744118776</v>
      </c>
      <c r="AI32" s="3"/>
      <c r="AJ32" s="162">
        <f t="shared" si="14"/>
        <v>2.8708908516347948</v>
      </c>
      <c r="AK32" s="3"/>
      <c r="AL32" s="161">
        <f t="shared" si="6"/>
        <v>4679.3586417030174</v>
      </c>
      <c r="AM32" s="3"/>
      <c r="AN32" s="162">
        <f>INDEX('(2.2)_Forward_Price_Curve'!$L:$L,MATCH($AB32,'(2.2)_Forward_Price_Curve'!$C:$C,0),1)</f>
        <v>11.473750000000003</v>
      </c>
      <c r="AO32" s="3"/>
      <c r="AP32" s="162">
        <f t="shared" ref="AP32:AP47" si="18">AN32*$AF$14/1000+$AJ$14*(1+E32)</f>
        <v>87.749040024856555</v>
      </c>
      <c r="AQ32" s="3"/>
      <c r="AR32" s="162">
        <f t="shared" si="15"/>
        <v>3.4376628185615727</v>
      </c>
      <c r="AS32" s="162"/>
      <c r="AT32" s="161">
        <f t="shared" si="7"/>
        <v>1934.0841771319342</v>
      </c>
      <c r="AU32" s="3"/>
      <c r="AV32" s="161">
        <f t="shared" si="3"/>
        <v>25748.548858625953</v>
      </c>
      <c r="AW32" s="299"/>
      <c r="AX32" s="163">
        <f t="shared" si="8"/>
        <v>27682.633035757888</v>
      </c>
      <c r="AZ32" s="154">
        <f>+IF(AZ31&gt;$G$13+$G$14,XX,AZ31+1)</f>
        <v>2020</v>
      </c>
      <c r="BA32" s="124"/>
      <c r="BB32" s="162">
        <f t="shared" si="16"/>
        <v>70.042394106932051</v>
      </c>
      <c r="BC32" s="3"/>
      <c r="BD32" s="162">
        <f t="shared" si="17"/>
        <v>11.798749299808346</v>
      </c>
      <c r="BE32" s="3"/>
      <c r="BF32" s="161">
        <f t="shared" si="9"/>
        <v>2745.2744645710832</v>
      </c>
      <c r="BG32" s="3"/>
      <c r="BH32" s="165"/>
    </row>
    <row r="33" spans="2:60" ht="12">
      <c r="B33" s="2"/>
      <c r="C33" s="6">
        <f>+IF(C32&gt;$G$13+$G$14,XX,C32+1)</f>
        <v>2021</v>
      </c>
      <c r="D33" s="6"/>
      <c r="E33" s="292">
        <f>+INDEX('(2.2)_Forward_Price_Curve'!$R:$R,MATCH($C33,'(2.2)_Forward_Price_Curve'!C:C,0))</f>
        <v>1.7999999999999999E-2</v>
      </c>
      <c r="F33" s="6"/>
      <c r="G33" s="20">
        <v>281508</v>
      </c>
      <c r="H33" s="6"/>
      <c r="I33" s="30">
        <f t="shared" si="10"/>
        <v>0</v>
      </c>
      <c r="J33" s="6"/>
      <c r="K33" s="30">
        <v>60.327279878937979</v>
      </c>
      <c r="L33" s="6"/>
      <c r="M33" s="30">
        <f t="shared" si="11"/>
        <v>0</v>
      </c>
      <c r="N33" s="6"/>
      <c r="O33" s="295">
        <f>'(2.2)_Forward_Price_Curve'!V32</f>
        <v>3.4057133715949464</v>
      </c>
      <c r="P33" s="6"/>
      <c r="Q33" s="30"/>
      <c r="R33" s="6"/>
      <c r="S33" s="20">
        <f t="shared" si="4"/>
        <v>17941.347463971022</v>
      </c>
      <c r="T33" s="6"/>
      <c r="U33" s="20">
        <f t="shared" si="0"/>
        <v>28051.43955302734</v>
      </c>
      <c r="V33" s="6"/>
      <c r="W33" s="20">
        <f t="shared" si="1"/>
        <v>-10110.092089056317</v>
      </c>
      <c r="X33" s="6"/>
      <c r="Y33" s="296">
        <f t="shared" si="5"/>
        <v>-35.914048940194654</v>
      </c>
      <c r="Z33" s="255"/>
      <c r="AB33" s="154">
        <f>+IF(AB32&gt;$G$13+$G$14,XX,AB32+1)</f>
        <v>2021</v>
      </c>
      <c r="AC33" s="124"/>
      <c r="AD33" s="159">
        <f t="shared" si="2"/>
        <v>281508</v>
      </c>
      <c r="AE33" s="3"/>
      <c r="AF33" s="162">
        <f t="shared" si="12"/>
        <v>78.666145332385994</v>
      </c>
      <c r="AG33" s="3"/>
      <c r="AH33" s="162">
        <f t="shared" si="13"/>
        <v>8.6294757245512912</v>
      </c>
      <c r="AI33" s="3"/>
      <c r="AJ33" s="162">
        <f t="shared" si="14"/>
        <v>2.9225668869642214</v>
      </c>
      <c r="AK33" s="3"/>
      <c r="AL33" s="161">
        <f t="shared" si="6"/>
        <v>4761.0627301050554</v>
      </c>
      <c r="AM33" s="3"/>
      <c r="AN33" s="162">
        <f>INDEX('(2.2)_Forward_Price_Curve'!$L:$L,MATCH($AB33,'(2.2)_Forward_Price_Curve'!$C:$C,0),1)</f>
        <v>11.692083333333334</v>
      </c>
      <c r="AO33" s="3"/>
      <c r="AP33" s="162">
        <f>AN33*$AF$14/1000+$AJ$14*(1+E33)</f>
        <v>89.162359544321731</v>
      </c>
      <c r="AQ33" s="3"/>
      <c r="AR33" s="162">
        <f t="shared" si="15"/>
        <v>3.4995407492956812</v>
      </c>
      <c r="AS33" s="162"/>
      <c r="AT33" s="161">
        <f t="shared" si="7"/>
        <v>1966.3733251716926</v>
      </c>
      <c r="AU33" s="3"/>
      <c r="AV33" s="161">
        <f t="shared" si="3"/>
        <v>26085.066227855648</v>
      </c>
      <c r="AW33" s="299"/>
      <c r="AX33" s="163">
        <f t="shared" si="8"/>
        <v>28051.43955302734</v>
      </c>
      <c r="AZ33" s="154">
        <f>+IF(AZ32&gt;$G$13+$G$14,XX,AZ32+1)</f>
        <v>2021</v>
      </c>
      <c r="BA33" s="124"/>
      <c r="BB33" s="162">
        <f t="shared" si="16"/>
        <v>71.30315720085683</v>
      </c>
      <c r="BC33" s="3"/>
      <c r="BD33" s="162">
        <f t="shared" si="17"/>
        <v>12.011126787204896</v>
      </c>
      <c r="BE33" s="3"/>
      <c r="BF33" s="161">
        <f t="shared" si="9"/>
        <v>2794.6894049333628</v>
      </c>
      <c r="BG33" s="3"/>
      <c r="BH33" s="165"/>
    </row>
    <row r="34" spans="2:60" ht="12">
      <c r="B34" s="2"/>
      <c r="C34" s="6">
        <f>+IF(C33&gt;$G$13+$G$14,XX,C33+1)</f>
        <v>2022</v>
      </c>
      <c r="D34" s="6"/>
      <c r="E34" s="292">
        <f>+INDEX('(2.2)_Forward_Price_Curve'!$R:$R,MATCH($C34,'(2.2)_Forward_Price_Curve'!C:C,0))</f>
        <v>1.7999999999999999E-2</v>
      </c>
      <c r="F34" s="6"/>
      <c r="G34" s="20">
        <v>281508</v>
      </c>
      <c r="H34" s="6"/>
      <c r="I34" s="30">
        <f t="shared" si="10"/>
        <v>0</v>
      </c>
      <c r="J34" s="6"/>
      <c r="K34" s="30">
        <v>60.327279878937979</v>
      </c>
      <c r="L34" s="6"/>
      <c r="M34" s="30">
        <f t="shared" si="11"/>
        <v>0</v>
      </c>
      <c r="N34" s="6"/>
      <c r="O34" s="295">
        <f>'(2.2)_Forward_Price_Curve'!V33</f>
        <v>3.4670162122836556</v>
      </c>
      <c r="P34" s="6"/>
      <c r="Q34" s="30"/>
      <c r="R34" s="6"/>
      <c r="S34" s="20">
        <f t="shared" si="4"/>
        <v>17958.604704047619</v>
      </c>
      <c r="T34" s="6"/>
      <c r="U34" s="20">
        <f t="shared" si="0"/>
        <v>28510.564435118948</v>
      </c>
      <c r="V34" s="6"/>
      <c r="W34" s="20">
        <f t="shared" si="1"/>
        <v>-10551.959731071329</v>
      </c>
      <c r="X34" s="6"/>
      <c r="Y34" s="296">
        <f t="shared" si="5"/>
        <v>-37.48369400184481</v>
      </c>
      <c r="Z34" s="255"/>
      <c r="AB34" s="154">
        <f>+IF(AB33&gt;$G$13+$G$14,XX,AB33+1)</f>
        <v>2022</v>
      </c>
      <c r="AC34" s="124"/>
      <c r="AD34" s="159">
        <f t="shared" si="2"/>
        <v>281508</v>
      </c>
      <c r="AE34" s="3"/>
      <c r="AF34" s="162">
        <f t="shared" si="12"/>
        <v>80.082135948368943</v>
      </c>
      <c r="AG34" s="3"/>
      <c r="AH34" s="162">
        <f t="shared" si="13"/>
        <v>8.7848062875932147</v>
      </c>
      <c r="AI34" s="3"/>
      <c r="AJ34" s="162">
        <f t="shared" si="14"/>
        <v>2.9751730909295775</v>
      </c>
      <c r="AK34" s="3"/>
      <c r="AL34" s="161">
        <f t="shared" si="6"/>
        <v>4846.7618592469471</v>
      </c>
      <c r="AM34" s="3"/>
      <c r="AN34" s="162">
        <f>INDEX('(2.2)_Forward_Price_Curve'!$L:$L,MATCH($AB34,'(2.2)_Forward_Price_Curve'!$C:$C,0),1)</f>
        <v>11.912916666666668</v>
      </c>
      <c r="AO34" s="3"/>
      <c r="AP34" s="162">
        <f t="shared" si="18"/>
        <v>90.604583159025282</v>
      </c>
      <c r="AQ34" s="3"/>
      <c r="AR34" s="162">
        <f t="shared" si="15"/>
        <v>3.5625324827830034</v>
      </c>
      <c r="AS34" s="162"/>
      <c r="AT34" s="161">
        <f t="shared" si="7"/>
        <v>2001.768045024784</v>
      </c>
      <c r="AU34" s="3"/>
      <c r="AV34" s="161">
        <f t="shared" si="3"/>
        <v>26508.796390094165</v>
      </c>
      <c r="AW34" s="299"/>
      <c r="AX34" s="163">
        <f t="shared" si="8"/>
        <v>28510.564435118948</v>
      </c>
      <c r="AZ34" s="154">
        <f>+IF(AZ33&gt;$G$13+$G$14,XX,AZ33+1)</f>
        <v>2022</v>
      </c>
      <c r="BA34" s="124"/>
      <c r="BB34" s="162">
        <f t="shared" si="16"/>
        <v>72.586614030472248</v>
      </c>
      <c r="BC34" s="3"/>
      <c r="BD34" s="162">
        <f t="shared" si="17"/>
        <v>12.227327069374585</v>
      </c>
      <c r="BE34" s="3"/>
      <c r="BF34" s="161">
        <f t="shared" si="9"/>
        <v>2844.9938142221631</v>
      </c>
      <c r="BG34" s="3"/>
      <c r="BH34" s="165"/>
    </row>
    <row r="35" spans="2:60" ht="12">
      <c r="B35" s="2"/>
      <c r="C35" s="6">
        <f>+IF(C34&gt;$G$13+$G$14,XX,C34+1)</f>
        <v>2023</v>
      </c>
      <c r="D35" s="6"/>
      <c r="E35" s="292">
        <f>+INDEX('(2.2)_Forward_Price_Curve'!$R:$R,MATCH($C35,'(2.2)_Forward_Price_Curve'!C:C,0))</f>
        <v>1.9E-2</v>
      </c>
      <c r="F35" s="6"/>
      <c r="G35" s="20">
        <v>281508</v>
      </c>
      <c r="H35" s="6"/>
      <c r="I35" s="30">
        <f t="shared" si="10"/>
        <v>0</v>
      </c>
      <c r="J35" s="6"/>
      <c r="K35" s="30">
        <v>60.327279878937979</v>
      </c>
      <c r="L35" s="6"/>
      <c r="M35" s="30">
        <f t="shared" si="11"/>
        <v>0</v>
      </c>
      <c r="N35" s="6"/>
      <c r="O35" s="295">
        <f>'(2.2)_Forward_Price_Curve'!V34</f>
        <v>3.532889520317045</v>
      </c>
      <c r="P35" s="6"/>
      <c r="Q35" s="30"/>
      <c r="R35" s="6"/>
      <c r="S35" s="20">
        <f t="shared" si="4"/>
        <v>17977.148567245484</v>
      </c>
      <c r="T35" s="6"/>
      <c r="U35" s="20">
        <f t="shared" si="0"/>
        <v>28987.14922477214</v>
      </c>
      <c r="V35" s="6"/>
      <c r="W35" s="20">
        <f t="shared" si="1"/>
        <v>-11010.000657526656</v>
      </c>
      <c r="X35" s="6"/>
      <c r="Y35" s="296">
        <f t="shared" si="5"/>
        <v>-39.110791371920719</v>
      </c>
      <c r="Z35" s="255"/>
      <c r="AB35" s="154">
        <f>+IF(AB34&gt;$G$13+$G$14,XX,AB34+1)</f>
        <v>2023</v>
      </c>
      <c r="AC35" s="124"/>
      <c r="AD35" s="159">
        <f t="shared" si="2"/>
        <v>281508</v>
      </c>
      <c r="AE35" s="3"/>
      <c r="AF35" s="162">
        <f t="shared" si="12"/>
        <v>81.603696531387939</v>
      </c>
      <c r="AG35" s="3"/>
      <c r="AH35" s="162">
        <f t="shared" si="13"/>
        <v>8.9517176070574855</v>
      </c>
      <c r="AI35" s="3"/>
      <c r="AJ35" s="162">
        <f t="shared" si="14"/>
        <v>3.0317013796572394</v>
      </c>
      <c r="AK35" s="3"/>
      <c r="AL35" s="161">
        <f t="shared" si="6"/>
        <v>4938.8503345726385</v>
      </c>
      <c r="AM35" s="3"/>
      <c r="AN35" s="162">
        <f>INDEX('(2.2)_Forward_Price_Curve'!$L:$L,MATCH($AB35,'(2.2)_Forward_Price_Curve'!$C:$C,0),1)</f>
        <v>12.139166666666668</v>
      </c>
      <c r="AO35" s="3"/>
      <c r="AP35" s="162">
        <f t="shared" si="18"/>
        <v>92.094759105387794</v>
      </c>
      <c r="AQ35" s="3"/>
      <c r="AR35" s="162">
        <f t="shared" si="15"/>
        <v>3.6302205999558801</v>
      </c>
      <c r="AS35" s="162"/>
      <c r="AT35" s="161">
        <f t="shared" si="7"/>
        <v>2039.8016378802545</v>
      </c>
      <c r="AU35" s="3"/>
      <c r="AV35" s="161">
        <f t="shared" si="3"/>
        <v>26947.347586891887</v>
      </c>
      <c r="AW35" s="299"/>
      <c r="AX35" s="163">
        <f t="shared" si="8"/>
        <v>28987.14922477214</v>
      </c>
      <c r="AZ35" s="154">
        <f>+IF(AZ34&gt;$G$13+$G$14,XX,AZ34+1)</f>
        <v>2023</v>
      </c>
      <c r="BA35" s="124"/>
      <c r="BB35" s="162">
        <f t="shared" si="16"/>
        <v>73.965759697051212</v>
      </c>
      <c r="BC35" s="3"/>
      <c r="BD35" s="162">
        <f t="shared" si="17"/>
        <v>12.459646283692701</v>
      </c>
      <c r="BE35" s="3"/>
      <c r="BF35" s="161">
        <f t="shared" si="9"/>
        <v>2899.0486966923841</v>
      </c>
      <c r="BG35" s="3"/>
      <c r="BH35" s="165"/>
    </row>
    <row r="36" spans="2:60" ht="12">
      <c r="B36" s="2"/>
      <c r="C36" s="6">
        <f>+IF(C35&gt;$G$13+$G$14,XX,C35+1)</f>
        <v>2024</v>
      </c>
      <c r="D36" s="6"/>
      <c r="E36" s="292">
        <f>+INDEX('(2.2)_Forward_Price_Curve'!$R:$R,MATCH($C36,'(2.2)_Forward_Price_Curve'!C:C,0))</f>
        <v>1.9E-2</v>
      </c>
      <c r="F36" s="6"/>
      <c r="G36" s="20">
        <v>282371.75</v>
      </c>
      <c r="H36" s="6"/>
      <c r="I36" s="30">
        <f t="shared" si="10"/>
        <v>0</v>
      </c>
      <c r="J36" s="6"/>
      <c r="K36" s="30">
        <v>60.327279878937979</v>
      </c>
      <c r="L36" s="6"/>
      <c r="M36" s="30">
        <f t="shared" si="11"/>
        <v>0</v>
      </c>
      <c r="N36" s="6"/>
      <c r="O36" s="295">
        <f>'(2.2)_Forward_Price_Curve'!V35</f>
        <v>3.6000144212030687</v>
      </c>
      <c r="P36" s="6"/>
      <c r="Q36" s="30"/>
      <c r="R36" s="6"/>
      <c r="S36" s="20">
        <f t="shared" si="4"/>
        <v>18051.261964295853</v>
      </c>
      <c r="T36" s="6"/>
      <c r="U36" s="20">
        <f t="shared" si="0"/>
        <v>29558.722214296198</v>
      </c>
      <c r="V36" s="6"/>
      <c r="W36" s="20">
        <f t="shared" si="1"/>
        <v>-11507.460250000346</v>
      </c>
      <c r="X36" s="6"/>
      <c r="Y36" s="296">
        <f t="shared" si="5"/>
        <v>-40.75287364972008</v>
      </c>
      <c r="Z36" s="255"/>
      <c r="AB36" s="154">
        <f>+IF(AB35&gt;$G$13+$G$14,XX,AB35+1)</f>
        <v>2024</v>
      </c>
      <c r="AC36" s="124"/>
      <c r="AD36" s="159">
        <f t="shared" si="2"/>
        <v>282371.75</v>
      </c>
      <c r="AE36" s="3"/>
      <c r="AF36" s="162">
        <f t="shared" si="12"/>
        <v>83.154166765484305</v>
      </c>
      <c r="AG36" s="3"/>
      <c r="AH36" s="162">
        <f t="shared" si="13"/>
        <v>9.1218002415915773</v>
      </c>
      <c r="AI36" s="3"/>
      <c r="AJ36" s="162">
        <f t="shared" si="14"/>
        <v>3.0893037058707264</v>
      </c>
      <c r="AK36" s="3"/>
      <c r="AL36" s="161">
        <f t="shared" si="6"/>
        <v>5035.3568770054635</v>
      </c>
      <c r="AM36" s="3"/>
      <c r="AN36" s="162">
        <f>INDEX('(2.2)_Forward_Price_Curve'!$L:$L,MATCH($AB36,'(2.2)_Forward_Price_Curve'!$C:$C,0),1)</f>
        <v>12.371250000000002</v>
      </c>
      <c r="AO36" s="3"/>
      <c r="AP36" s="162">
        <f t="shared" si="18"/>
        <v>93.610454489142285</v>
      </c>
      <c r="AQ36" s="3"/>
      <c r="AR36" s="162">
        <f t="shared" si="15"/>
        <v>3.6991947913550414</v>
      </c>
      <c r="AS36" s="162"/>
      <c r="AT36" s="161">
        <f t="shared" si="7"/>
        <v>2081.2262550759251</v>
      </c>
      <c r="AU36" s="3"/>
      <c r="AV36" s="161">
        <f t="shared" si="3"/>
        <v>27477.495959220272</v>
      </c>
      <c r="AW36" s="299"/>
      <c r="AX36" s="163">
        <f t="shared" si="8"/>
        <v>29558.722214296198</v>
      </c>
      <c r="AZ36" s="154">
        <f>+IF(AZ35&gt;$G$13+$G$14,XX,AZ35+1)</f>
        <v>2024</v>
      </c>
      <c r="BA36" s="124"/>
      <c r="BB36" s="162">
        <f t="shared" si="16"/>
        <v>75.371109131295171</v>
      </c>
      <c r="BC36" s="3"/>
      <c r="BD36" s="162">
        <f t="shared" si="17"/>
        <v>12.696379563082861</v>
      </c>
      <c r="BE36" s="3"/>
      <c r="BF36" s="161">
        <f t="shared" si="9"/>
        <v>2954.1306219295384</v>
      </c>
      <c r="BG36" s="3"/>
      <c r="BH36" s="165"/>
    </row>
    <row r="37" spans="2:60" ht="12">
      <c r="B37" s="2"/>
      <c r="C37" s="6">
        <f>+IF(C36&gt;$G$13+$G$14,XX,C36+1)</f>
        <v>2025</v>
      </c>
      <c r="D37" s="6"/>
      <c r="E37" s="292">
        <f>+INDEX('(2.2)_Forward_Price_Curve'!$R:$R,MATCH($C37,'(2.2)_Forward_Price_Curve'!C:C,0))</f>
        <v>1.9E-2</v>
      </c>
      <c r="F37" s="6"/>
      <c r="G37" s="20">
        <v>281508</v>
      </c>
      <c r="H37" s="6"/>
      <c r="I37" s="30">
        <f t="shared" si="10"/>
        <v>0</v>
      </c>
      <c r="J37" s="6"/>
      <c r="K37" s="30">
        <v>60.327279878937979</v>
      </c>
      <c r="L37" s="6"/>
      <c r="M37" s="30">
        <f t="shared" si="11"/>
        <v>0</v>
      </c>
      <c r="N37" s="6"/>
      <c r="O37" s="295">
        <f>'(2.2)_Forward_Price_Curve'!V36</f>
        <v>3.6684146952059264</v>
      </c>
      <c r="P37" s="6"/>
      <c r="Q37" s="30"/>
      <c r="R37" s="6"/>
      <c r="S37" s="20">
        <f t="shared" si="4"/>
        <v>18015.2999881781</v>
      </c>
      <c r="T37" s="6"/>
      <c r="U37" s="20">
        <f t="shared" si="0"/>
        <v>29938.810475094717</v>
      </c>
      <c r="V37" s="6"/>
      <c r="W37" s="20">
        <f t="shared" si="1"/>
        <v>-11923.510486916617</v>
      </c>
      <c r="X37" s="6"/>
      <c r="Y37" s="296">
        <f t="shared" si="5"/>
        <v>-42.355849520854171</v>
      </c>
      <c r="Z37" s="255"/>
      <c r="AB37" s="154">
        <f>+IF(AB36&gt;$G$13+$G$14,XX,AB36+1)</f>
        <v>2025</v>
      </c>
      <c r="AC37" s="124"/>
      <c r="AD37" s="159">
        <f t="shared" si="2"/>
        <v>281508</v>
      </c>
      <c r="AE37" s="3"/>
      <c r="AF37" s="162">
        <f t="shared" si="12"/>
        <v>84.734095934028502</v>
      </c>
      <c r="AG37" s="3"/>
      <c r="AH37" s="162">
        <f t="shared" si="13"/>
        <v>9.2951144461818167</v>
      </c>
      <c r="AI37" s="3"/>
      <c r="AJ37" s="162">
        <f t="shared" si="14"/>
        <v>3.1480004762822698</v>
      </c>
      <c r="AK37" s="3"/>
      <c r="AL37" s="161">
        <f t="shared" si="6"/>
        <v>5128.3095722571779</v>
      </c>
      <c r="AM37" s="3"/>
      <c r="AN37" s="162">
        <f>INDEX('(2.2)_Forward_Price_Curve'!$L:$L,MATCH($AB37,'(2.2)_Forward_Price_Curve'!$C:$C,0),1)</f>
        <v>12.592916666666667</v>
      </c>
      <c r="AO37" s="3"/>
      <c r="AP37" s="162">
        <f t="shared" si="18"/>
        <v>95.058120457108828</v>
      </c>
      <c r="AQ37" s="3"/>
      <c r="AR37" s="162">
        <f t="shared" si="15"/>
        <v>3.7694794923907868</v>
      </c>
      <c r="AS37" s="162"/>
      <c r="AT37" s="161">
        <f t="shared" si="7"/>
        <v>2118.0504685109781</v>
      </c>
      <c r="AU37" s="3"/>
      <c r="AV37" s="161">
        <f t="shared" si="3"/>
        <v>27820.76000658374</v>
      </c>
      <c r="AW37" s="299"/>
      <c r="AX37" s="163">
        <f t="shared" si="8"/>
        <v>29938.810475094717</v>
      </c>
      <c r="AZ37" s="154">
        <f>+IF(AZ36&gt;$G$13+$G$14,XX,AZ36+1)</f>
        <v>2025</v>
      </c>
      <c r="BA37" s="124"/>
      <c r="BB37" s="162">
        <f t="shared" si="16"/>
        <v>76.803160204789776</v>
      </c>
      <c r="BC37" s="3"/>
      <c r="BD37" s="162">
        <f t="shared" si="17"/>
        <v>12.937610774781433</v>
      </c>
      <c r="BE37" s="3"/>
      <c r="BF37" s="161">
        <f t="shared" si="9"/>
        <v>3010.2591037461998</v>
      </c>
      <c r="BG37" s="3"/>
      <c r="BH37" s="165"/>
    </row>
    <row r="38" spans="2:60" ht="12">
      <c r="B38" s="2"/>
      <c r="C38" s="6">
        <f>+IF(C37&gt;$G$13+$G$14,XX,C37+1)</f>
        <v>2026</v>
      </c>
      <c r="D38" s="6"/>
      <c r="E38" s="292">
        <f>+INDEX('(2.2)_Forward_Price_Curve'!$R:$R,MATCH($C38,'(2.2)_Forward_Price_Curve'!C:C,0))</f>
        <v>1.9E-2</v>
      </c>
      <c r="F38" s="6"/>
      <c r="G38" s="20">
        <v>281508</v>
      </c>
      <c r="H38" s="6"/>
      <c r="I38" s="30">
        <f t="shared" si="10"/>
        <v>0</v>
      </c>
      <c r="J38" s="6"/>
      <c r="K38" s="30">
        <v>60.327279878937979</v>
      </c>
      <c r="L38" s="6"/>
      <c r="M38" s="30">
        <f t="shared" si="11"/>
        <v>0</v>
      </c>
      <c r="N38" s="6"/>
      <c r="O38" s="295">
        <f>'(2.2)_Forward_Price_Curve'!V37</f>
        <v>3.7381145744148387</v>
      </c>
      <c r="P38" s="6"/>
      <c r="Q38" s="30"/>
      <c r="R38" s="6"/>
      <c r="S38" s="20">
        <f t="shared" si="4"/>
        <v>18034.921061774447</v>
      </c>
      <c r="T38" s="6"/>
      <c r="U38" s="20">
        <f t="shared" si="0"/>
        <v>30415.17098223573</v>
      </c>
      <c r="V38" s="6"/>
      <c r="W38" s="20">
        <f t="shared" si="1"/>
        <v>-12380.249920461283</v>
      </c>
      <c r="X38" s="6"/>
      <c r="Y38" s="296">
        <f t="shared" si="5"/>
        <v>-43.978323601678404</v>
      </c>
      <c r="Z38" s="255"/>
      <c r="AB38" s="154">
        <f>+IF(AB37&gt;$G$13+$G$14,XX,AB37+1)</f>
        <v>2026</v>
      </c>
      <c r="AC38" s="124"/>
      <c r="AD38" s="159">
        <f t="shared" si="2"/>
        <v>281508</v>
      </c>
      <c r="AE38" s="3"/>
      <c r="AF38" s="162">
        <f t="shared" si="12"/>
        <v>86.344043756775037</v>
      </c>
      <c r="AG38" s="3"/>
      <c r="AH38" s="162">
        <f t="shared" si="13"/>
        <v>9.4717216206592703</v>
      </c>
      <c r="AI38" s="3"/>
      <c r="AJ38" s="162">
        <f t="shared" si="14"/>
        <v>3.2078124853316328</v>
      </c>
      <c r="AK38" s="3"/>
      <c r="AL38" s="161">
        <f t="shared" si="6"/>
        <v>5225.7474541300644</v>
      </c>
      <c r="AM38" s="3"/>
      <c r="AN38" s="162">
        <f>INDEX('(2.2)_Forward_Price_Curve'!$L:$L,MATCH($AB38,'(2.2)_Forward_Price_Curve'!$C:$C,0),1)</f>
        <v>12.819166666666668</v>
      </c>
      <c r="AO38" s="3"/>
      <c r="AP38" s="162">
        <f t="shared" si="18"/>
        <v>96.535719368022086</v>
      </c>
      <c r="AQ38" s="3"/>
      <c r="AR38" s="162">
        <f t="shared" si="15"/>
        <v>3.8410996027462114</v>
      </c>
      <c r="AS38" s="162"/>
      <c r="AT38" s="161">
        <f t="shared" si="7"/>
        <v>2158.2934274126874</v>
      </c>
      <c r="AU38" s="3"/>
      <c r="AV38" s="161">
        <f t="shared" si="3"/>
        <v>28256.877554823041</v>
      </c>
      <c r="AW38" s="299"/>
      <c r="AX38" s="163">
        <f t="shared" si="8"/>
        <v>30415.17098223573</v>
      </c>
      <c r="AZ38" s="154">
        <f>+IF(AZ37&gt;$G$13+$G$14,XX,AZ37+1)</f>
        <v>2026</v>
      </c>
      <c r="BA38" s="124"/>
      <c r="BB38" s="162">
        <f t="shared" si="16"/>
        <v>78.262420248680769</v>
      </c>
      <c r="BC38" s="3"/>
      <c r="BD38" s="162">
        <f t="shared" si="17"/>
        <v>13.183425379502278</v>
      </c>
      <c r="BE38" s="3"/>
      <c r="BF38" s="161">
        <f t="shared" si="9"/>
        <v>3067.454026717377</v>
      </c>
      <c r="BG38" s="3"/>
      <c r="BH38" s="165"/>
    </row>
    <row r="39" spans="2:60" ht="12">
      <c r="B39" s="2"/>
      <c r="C39" s="6">
        <f>+IF(C38&gt;$G$13+$G$14,XX,C38+1)</f>
        <v>2027</v>
      </c>
      <c r="D39" s="6"/>
      <c r="E39" s="292">
        <f>+INDEX('(2.2)_Forward_Price_Curve'!$R:$R,MATCH($C39,'(2.2)_Forward_Price_Curve'!C:C,0))</f>
        <v>1.9E-2</v>
      </c>
      <c r="F39" s="6"/>
      <c r="G39" s="20">
        <v>281508</v>
      </c>
      <c r="H39" s="6"/>
      <c r="I39" s="30">
        <f t="shared" si="10"/>
        <v>0</v>
      </c>
      <c r="J39" s="6"/>
      <c r="K39" s="30">
        <v>60.327279878937979</v>
      </c>
      <c r="L39" s="6"/>
      <c r="M39" s="30">
        <f t="shared" si="11"/>
        <v>0</v>
      </c>
      <c r="N39" s="6"/>
      <c r="O39" s="295">
        <f>'(2.2)_Forward_Price_Curve'!V38</f>
        <v>3.8091387513287205</v>
      </c>
      <c r="P39" s="6"/>
      <c r="Q39" s="30"/>
      <c r="R39" s="6"/>
      <c r="S39" s="20">
        <f t="shared" si="4"/>
        <v>18054.914935769117</v>
      </c>
      <c r="T39" s="6"/>
      <c r="U39" s="20">
        <f t="shared" si="0"/>
        <v>30926.384628254495</v>
      </c>
      <c r="V39" s="6"/>
      <c r="W39" s="20">
        <f t="shared" si="1"/>
        <v>-12871.469692485378</v>
      </c>
      <c r="X39" s="6"/>
      <c r="Y39" s="296">
        <f t="shared" si="5"/>
        <v>-45.723282082517642</v>
      </c>
      <c r="Z39" s="255"/>
      <c r="AB39" s="154">
        <f>+IF(AB38&gt;$G$13+$G$14,XX,AB38+1)</f>
        <v>2027</v>
      </c>
      <c r="AC39" s="124"/>
      <c r="AD39" s="159">
        <f t="shared" si="2"/>
        <v>281508</v>
      </c>
      <c r="AE39" s="3"/>
      <c r="AF39" s="162">
        <f t="shared" si="12"/>
        <v>87.984580588153747</v>
      </c>
      <c r="AG39" s="3"/>
      <c r="AH39" s="162">
        <f t="shared" si="13"/>
        <v>9.6516843314517953</v>
      </c>
      <c r="AI39" s="3"/>
      <c r="AJ39" s="162">
        <f t="shared" si="14"/>
        <v>3.2687609225529335</v>
      </c>
      <c r="AK39" s="3"/>
      <c r="AL39" s="161">
        <f t="shared" si="6"/>
        <v>5325.0366557585348</v>
      </c>
      <c r="AM39" s="3"/>
      <c r="AN39" s="162">
        <f>INDEX('(2.2)_Forward_Price_Curve'!$L:$L,MATCH($AB39,'(2.2)_Forward_Price_Curve'!$C:$C,0),1)</f>
        <v>13.063749999999999</v>
      </c>
      <c r="AO39" s="3"/>
      <c r="AP39" s="162">
        <f t="shared" si="18"/>
        <v>98.133050050722034</v>
      </c>
      <c r="AQ39" s="3"/>
      <c r="AR39" s="162">
        <f t="shared" si="15"/>
        <v>3.9140804951983892</v>
      </c>
      <c r="AS39" s="162"/>
      <c r="AT39" s="161">
        <f t="shared" si="7"/>
        <v>2199.3010025335279</v>
      </c>
      <c r="AU39" s="3"/>
      <c r="AV39" s="161">
        <f t="shared" si="3"/>
        <v>28727.083625720967</v>
      </c>
      <c r="AW39" s="299"/>
      <c r="AX39" s="163">
        <f t="shared" si="8"/>
        <v>30926.384628254495</v>
      </c>
      <c r="AZ39" s="154">
        <f>+IF(AZ38&gt;$G$13+$G$14,XX,AZ38+1)</f>
        <v>2027</v>
      </c>
      <c r="BA39" s="124"/>
      <c r="BB39" s="162">
        <f t="shared" si="16"/>
        <v>79.749406233405693</v>
      </c>
      <c r="BC39" s="3"/>
      <c r="BD39" s="162">
        <f t="shared" si="17"/>
        <v>13.43391046171282</v>
      </c>
      <c r="BE39" s="3"/>
      <c r="BF39" s="161">
        <f t="shared" si="9"/>
        <v>3125.7356532250069</v>
      </c>
      <c r="BG39" s="3"/>
      <c r="BH39" s="165"/>
    </row>
    <row r="40" spans="2:60" ht="12">
      <c r="B40" s="2"/>
      <c r="C40" s="6">
        <f>+IF(C39&gt;$G$13+$G$14,XX,C39+1)</f>
        <v>2028</v>
      </c>
      <c r="D40" s="6"/>
      <c r="E40" s="292">
        <f>+INDEX('(2.2)_Forward_Price_Curve'!$R:$R,MATCH($C40,'(2.2)_Forward_Price_Curve'!C:C,0))</f>
        <v>1.9E-2</v>
      </c>
      <c r="F40" s="6"/>
      <c r="G40" s="20">
        <v>282371.75</v>
      </c>
      <c r="H40" s="6"/>
      <c r="I40" s="30">
        <f t="shared" si="10"/>
        <v>0</v>
      </c>
      <c r="J40" s="6"/>
      <c r="K40" s="30">
        <v>60.327279878937979</v>
      </c>
      <c r="L40" s="6"/>
      <c r="M40" s="30">
        <f t="shared" si="11"/>
        <v>0</v>
      </c>
      <c r="N40" s="6"/>
      <c r="O40" s="295">
        <f>'(2.2)_Forward_Price_Curve'!V39</f>
        <v>3.8815123876039657</v>
      </c>
      <c r="P40" s="6"/>
      <c r="Q40" s="30"/>
      <c r="R40" s="6"/>
      <c r="S40" s="20">
        <f t="shared" si="4"/>
        <v>18130.749037689915</v>
      </c>
      <c r="T40" s="6"/>
      <c r="U40" s="20">
        <f t="shared" si="0"/>
        <v>31537.379009896234</v>
      </c>
      <c r="V40" s="6"/>
      <c r="W40" s="20">
        <f t="shared" si="1"/>
        <v>-13406.62997220632</v>
      </c>
      <c r="X40" s="6"/>
      <c r="Y40" s="296">
        <f t="shared" si="5"/>
        <v>-47.478651714296205</v>
      </c>
      <c r="Z40" s="255"/>
      <c r="AB40" s="154">
        <f>+IF(AB39&gt;$G$13+$G$14,XX,AB39+1)</f>
        <v>2028</v>
      </c>
      <c r="AC40" s="124"/>
      <c r="AD40" s="159">
        <f t="shared" si="2"/>
        <v>282371.75</v>
      </c>
      <c r="AE40" s="3"/>
      <c r="AF40" s="162">
        <f t="shared" si="12"/>
        <v>89.656287619328666</v>
      </c>
      <c r="AG40" s="3"/>
      <c r="AH40" s="162">
        <f t="shared" si="13"/>
        <v>9.8350663337493778</v>
      </c>
      <c r="AI40" s="3"/>
      <c r="AJ40" s="162">
        <f t="shared" si="14"/>
        <v>3.3308673800814388</v>
      </c>
      <c r="AK40" s="3"/>
      <c r="AL40" s="161">
        <f t="shared" si="6"/>
        <v>5429.0893889174922</v>
      </c>
      <c r="AM40" s="3"/>
      <c r="AN40" s="162">
        <f>INDEX('(2.2)_Forward_Price_Curve'!$L:$L,MATCH($AB40,'(2.2)_Forward_Price_Curve'!$C:$C,0),1)</f>
        <v>13.311666666666667</v>
      </c>
      <c r="AO40" s="3"/>
      <c r="AP40" s="162">
        <f t="shared" si="18"/>
        <v>99.75215014647415</v>
      </c>
      <c r="AQ40" s="3"/>
      <c r="AR40" s="162">
        <f t="shared" si="15"/>
        <v>3.9884480246071581</v>
      </c>
      <c r="AS40" s="162"/>
      <c r="AT40" s="161">
        <f t="shared" si="7"/>
        <v>2243.9647582812104</v>
      </c>
      <c r="AU40" s="3"/>
      <c r="AV40" s="161">
        <f t="shared" si="3"/>
        <v>29293.414251615024</v>
      </c>
      <c r="AW40" s="299"/>
      <c r="AX40" s="163">
        <f t="shared" si="8"/>
        <v>31537.379009896234</v>
      </c>
      <c r="AZ40" s="154">
        <f>+IF(AZ39&gt;$G$13+$G$14,XX,AZ39+1)</f>
        <v>2028</v>
      </c>
      <c r="BA40" s="124"/>
      <c r="BB40" s="162">
        <f t="shared" si="16"/>
        <v>81.264644951840395</v>
      </c>
      <c r="BC40" s="3"/>
      <c r="BD40" s="162">
        <f t="shared" si="17"/>
        <v>13.689154760485362</v>
      </c>
      <c r="BE40" s="3"/>
      <c r="BF40" s="161">
        <f t="shared" si="9"/>
        <v>3185.1246306362818</v>
      </c>
      <c r="BG40" s="3"/>
      <c r="BH40" s="165"/>
    </row>
    <row r="41" spans="2:60" ht="12">
      <c r="B41" s="2"/>
      <c r="C41" s="6">
        <f>+IF(C40&gt;$G$13+$G$14,XX,C40+1)</f>
        <v>2029</v>
      </c>
      <c r="D41" s="6"/>
      <c r="E41" s="292">
        <f>+INDEX('(2.2)_Forward_Price_Curve'!$R:$R,MATCH($C41,'(2.2)_Forward_Price_Curve'!C:C,0))</f>
        <v>1.7999999999999999E-2</v>
      </c>
      <c r="F41" s="6"/>
      <c r="G41" s="20">
        <v>281508</v>
      </c>
      <c r="H41" s="6"/>
      <c r="I41" s="30">
        <f t="shared" si="10"/>
        <v>0</v>
      </c>
      <c r="J41" s="6"/>
      <c r="K41" s="30">
        <v>60.327279878937979</v>
      </c>
      <c r="L41" s="6"/>
      <c r="M41" s="30">
        <f t="shared" si="11"/>
        <v>0</v>
      </c>
      <c r="N41" s="6"/>
      <c r="O41" s="295">
        <f>'(2.2)_Forward_Price_Curve'!V40</f>
        <v>3.9552611229684405</v>
      </c>
      <c r="P41" s="6"/>
      <c r="Q41" s="30"/>
      <c r="R41" s="6"/>
      <c r="S41" s="20">
        <f t="shared" si="4"/>
        <v>18096.049552364675</v>
      </c>
      <c r="T41" s="6"/>
      <c r="U41" s="20">
        <f t="shared" si="0"/>
        <v>31969.185239519589</v>
      </c>
      <c r="V41" s="6"/>
      <c r="W41" s="20">
        <f t="shared" si="1"/>
        <v>-13873.135687154914</v>
      </c>
      <c r="X41" s="6"/>
      <c r="Y41" s="296">
        <f t="shared" si="5"/>
        <v>-49.281497105428315</v>
      </c>
      <c r="Z41" s="255"/>
      <c r="AB41" s="154">
        <f>+IF(AB40&gt;$G$13+$G$14,XX,AB40+1)</f>
        <v>2029</v>
      </c>
      <c r="AC41" s="124"/>
      <c r="AD41" s="159">
        <f t="shared" si="2"/>
        <v>281508</v>
      </c>
      <c r="AE41" s="3"/>
      <c r="AF41" s="162">
        <f t="shared" si="12"/>
        <v>91.270100796476584</v>
      </c>
      <c r="AG41" s="3"/>
      <c r="AH41" s="162">
        <f t="shared" si="13"/>
        <v>10.012097527756866</v>
      </c>
      <c r="AI41" s="3"/>
      <c r="AJ41" s="162">
        <f t="shared" si="14"/>
        <v>3.3908229929229048</v>
      </c>
      <c r="AK41" s="3"/>
      <c r="AL41" s="161">
        <f t="shared" si="6"/>
        <v>5523.8841745578702</v>
      </c>
      <c r="AM41" s="3"/>
      <c r="AN41" s="162">
        <f>INDEX('(2.2)_Forward_Price_Curve'!$L:$L,MATCH($AB41,'(2.2)_Forward_Price_Curve'!$C:$C,0),1)</f>
        <v>13.565833333333336</v>
      </c>
      <c r="AO41" s="3"/>
      <c r="AP41" s="162">
        <f t="shared" si="18"/>
        <v>101.39949085624971</v>
      </c>
      <c r="AQ41" s="3"/>
      <c r="AR41" s="162">
        <f t="shared" si="15"/>
        <v>4.0602400890500867</v>
      </c>
      <c r="AS41" s="162"/>
      <c r="AT41" s="161">
        <f t="shared" si="7"/>
        <v>2281.4273005701352</v>
      </c>
      <c r="AU41" s="3"/>
      <c r="AV41" s="161">
        <f t="shared" si="3"/>
        <v>29687.757938949453</v>
      </c>
      <c r="AW41" s="299"/>
      <c r="AX41" s="163">
        <f t="shared" si="8"/>
        <v>31969.185239519589</v>
      </c>
      <c r="AZ41" s="154">
        <f>+IF(AZ40&gt;$G$13+$G$14,XX,AZ40+1)</f>
        <v>2029</v>
      </c>
      <c r="BA41" s="124"/>
      <c r="BB41" s="162">
        <f t="shared" si="16"/>
        <v>82.727408560973529</v>
      </c>
      <c r="BC41" s="3"/>
      <c r="BD41" s="162">
        <f t="shared" si="17"/>
        <v>13.935559546174099</v>
      </c>
      <c r="BE41" s="3"/>
      <c r="BF41" s="161">
        <f t="shared" si="9"/>
        <v>3242.456873987735</v>
      </c>
      <c r="BG41" s="3"/>
      <c r="BH41" s="165"/>
    </row>
    <row r="42" spans="2:60" ht="12">
      <c r="B42" s="2"/>
      <c r="C42" s="6">
        <f>+IF(C41&gt;$G$13+$G$14,XX,C41+1)</f>
        <v>2030</v>
      </c>
      <c r="D42" s="6"/>
      <c r="E42" s="292">
        <f>+INDEX('(2.2)_Forward_Price_Curve'!$R:$R,MATCH($C42,'(2.2)_Forward_Price_Curve'!C:C,0))</f>
        <v>1.7999999999999999E-2</v>
      </c>
      <c r="F42" s="6"/>
      <c r="G42" s="20">
        <v>281508</v>
      </c>
      <c r="H42" s="6"/>
      <c r="I42" s="30">
        <f t="shared" si="10"/>
        <v>0</v>
      </c>
      <c r="J42" s="6"/>
      <c r="K42" s="30">
        <v>60.327279878937979</v>
      </c>
      <c r="L42" s="6"/>
      <c r="M42" s="30">
        <f t="shared" si="11"/>
        <v>0</v>
      </c>
      <c r="N42" s="6"/>
      <c r="O42" s="295">
        <f>'(2.2)_Forward_Price_Curve'!V41</f>
        <v>4.0304110843048404</v>
      </c>
      <c r="P42" s="6"/>
      <c r="Q42" s="30"/>
      <c r="R42" s="6"/>
      <c r="S42" s="20">
        <f t="shared" si="4"/>
        <v>18117.204867680557</v>
      </c>
      <c r="T42" s="6"/>
      <c r="U42" s="20">
        <f t="shared" si="0"/>
        <v>32501.935041714318</v>
      </c>
      <c r="V42" s="6"/>
      <c r="W42" s="20">
        <f t="shared" si="1"/>
        <v>-14384.730174033761</v>
      </c>
      <c r="X42" s="6"/>
      <c r="Y42" s="296">
        <f t="shared" si="5"/>
        <v>-51.098832622993882</v>
      </c>
      <c r="Z42" s="255"/>
      <c r="AB42" s="154">
        <f>+IF(AB41&gt;$G$13+$G$14,XX,AB41+1)</f>
        <v>2030</v>
      </c>
      <c r="AC42" s="124"/>
      <c r="AD42" s="159">
        <f t="shared" si="2"/>
        <v>281508</v>
      </c>
      <c r="AE42" s="3"/>
      <c r="AF42" s="162">
        <f t="shared" si="12"/>
        <v>92.912962610813167</v>
      </c>
      <c r="AG42" s="3"/>
      <c r="AH42" s="162">
        <f t="shared" si="13"/>
        <v>10.192315283256491</v>
      </c>
      <c r="AI42" s="3"/>
      <c r="AJ42" s="162">
        <f t="shared" si="14"/>
        <v>3.451857806795517</v>
      </c>
      <c r="AK42" s="3"/>
      <c r="AL42" s="161">
        <f t="shared" si="6"/>
        <v>5623.3140896999112</v>
      </c>
      <c r="AM42" s="3"/>
      <c r="AN42" s="162">
        <f>INDEX('(2.2)_Forward_Price_Curve'!$L:$L,MATCH($AB42,'(2.2)_Forward_Price_Curve'!$C:$C,0),1)</f>
        <v>13.822083333333332</v>
      </c>
      <c r="AO42" s="3"/>
      <c r="AP42" s="162">
        <f t="shared" si="18"/>
        <v>103.07301448463211</v>
      </c>
      <c r="AQ42" s="3"/>
      <c r="AR42" s="162">
        <f t="shared" si="15"/>
        <v>4.1333244106529881</v>
      </c>
      <c r="AS42" s="162"/>
      <c r="AT42" s="161">
        <f t="shared" si="7"/>
        <v>2322.4929919803972</v>
      </c>
      <c r="AU42" s="3"/>
      <c r="AV42" s="161">
        <f t="shared" si="3"/>
        <v>30179.44204973392</v>
      </c>
      <c r="AW42" s="299"/>
      <c r="AX42" s="163">
        <f t="shared" si="8"/>
        <v>32501.935041714318</v>
      </c>
      <c r="AZ42" s="154">
        <f>+IF(AZ41&gt;$G$13+$G$14,XX,AZ41+1)</f>
        <v>2030</v>
      </c>
      <c r="BA42" s="124"/>
      <c r="BB42" s="162">
        <f t="shared" si="16"/>
        <v>84.216501915071049</v>
      </c>
      <c r="BC42" s="3"/>
      <c r="BD42" s="162">
        <f t="shared" si="17"/>
        <v>14.186399618005233</v>
      </c>
      <c r="BE42" s="3"/>
      <c r="BF42" s="161">
        <f t="shared" si="9"/>
        <v>3300.821097719514</v>
      </c>
      <c r="BG42" s="3"/>
      <c r="BH42" s="165"/>
    </row>
    <row r="43" spans="2:60" ht="12">
      <c r="B43" s="2"/>
      <c r="C43" s="6">
        <f>+IF(C42&gt;$G$13+$G$14,XX,C42+1)</f>
        <v>2031</v>
      </c>
      <c r="D43" s="6"/>
      <c r="E43" s="292">
        <f>+INDEX('(2.2)_Forward_Price_Curve'!$R:$R,MATCH($C43,'(2.2)_Forward_Price_Curve'!C:C,0))</f>
        <v>1.7999999999999999E-2</v>
      </c>
      <c r="F43" s="6"/>
      <c r="G43" s="20">
        <v>281508</v>
      </c>
      <c r="H43" s="6"/>
      <c r="I43" s="30">
        <f t="shared" si="10"/>
        <v>0</v>
      </c>
      <c r="J43" s="6"/>
      <c r="K43" s="30">
        <v>60.327279878937979</v>
      </c>
      <c r="L43" s="6"/>
      <c r="M43" s="30">
        <f t="shared" si="11"/>
        <v>0</v>
      </c>
      <c r="N43" s="6"/>
      <c r="O43" s="295">
        <f>'(2.2)_Forward_Price_Curve'!V42</f>
        <v>4.1110193059909372</v>
      </c>
      <c r="P43" s="6"/>
      <c r="Q43" s="30"/>
      <c r="R43" s="6"/>
      <c r="S43" s="20">
        <f t="shared" si="4"/>
        <v>18139.89672695097</v>
      </c>
      <c r="T43" s="6"/>
      <c r="U43" s="20">
        <f t="shared" si="0"/>
        <v>33048.050882995092</v>
      </c>
      <c r="V43" s="6"/>
      <c r="W43" s="20">
        <f t="shared" si="1"/>
        <v>-14908.154156044122</v>
      </c>
      <c r="X43" s="6"/>
      <c r="Y43" s="296">
        <f t="shared" si="5"/>
        <v>-52.958190019623324</v>
      </c>
      <c r="Z43" s="255"/>
      <c r="AB43" s="154">
        <f>+IF(AB42&gt;$G$13+$G$14,XX,AB42+1)</f>
        <v>2031</v>
      </c>
      <c r="AC43" s="124"/>
      <c r="AD43" s="159">
        <f t="shared" si="2"/>
        <v>281508</v>
      </c>
      <c r="AE43" s="3"/>
      <c r="AF43" s="162">
        <f t="shared" si="12"/>
        <v>94.585395937807803</v>
      </c>
      <c r="AG43" s="3"/>
      <c r="AH43" s="162">
        <f t="shared" si="13"/>
        <v>10.375776958355107</v>
      </c>
      <c r="AI43" s="3"/>
      <c r="AJ43" s="162">
        <f t="shared" si="14"/>
        <v>3.5139912473178363</v>
      </c>
      <c r="AK43" s="3"/>
      <c r="AL43" s="161">
        <f t="shared" si="6"/>
        <v>5724.5337433145105</v>
      </c>
      <c r="AM43" s="3"/>
      <c r="AN43" s="162">
        <f>INDEX('(2.2)_Forward_Price_Curve'!$L:$L,MATCH($AB43,'(2.2)_Forward_Price_Curve'!$C:$C,0),1)</f>
        <v>14.084999999999999</v>
      </c>
      <c r="AO43" s="3"/>
      <c r="AP43" s="162">
        <f t="shared" si="18"/>
        <v>104.79007693911878</v>
      </c>
      <c r="AQ43" s="3"/>
      <c r="AR43" s="162">
        <f t="shared" si="15"/>
        <v>4.207724250044742</v>
      </c>
      <c r="AS43" s="162"/>
      <c r="AT43" s="161">
        <f>AL43-BF43</f>
        <v>2364.2978658360453</v>
      </c>
      <c r="AU43" s="3"/>
      <c r="AV43" s="161">
        <f t="shared" si="3"/>
        <v>30683.753017159044</v>
      </c>
      <c r="AW43" s="299"/>
      <c r="AX43" s="163">
        <f t="shared" si="8"/>
        <v>33048.050882995092</v>
      </c>
      <c r="AZ43" s="154">
        <f>+IF(AZ42&gt;$G$13+$G$14,XX,AZ42+1)</f>
        <v>2031</v>
      </c>
      <c r="BA43" s="124"/>
      <c r="BB43" s="162">
        <f t="shared" si="16"/>
        <v>85.732398949542329</v>
      </c>
      <c r="BC43" s="3"/>
      <c r="BD43" s="162">
        <f t="shared" si="17"/>
        <v>14.441754811129327</v>
      </c>
      <c r="BE43" s="3"/>
      <c r="BF43" s="161">
        <f t="shared" si="9"/>
        <v>3360.2358774784652</v>
      </c>
      <c r="BG43" s="3"/>
      <c r="BH43" s="165"/>
    </row>
    <row r="44" spans="2:60" ht="12">
      <c r="B44" s="2"/>
      <c r="C44" s="6">
        <f>+IF(C43&gt;$G$13+$G$14,XX,C43+1)</f>
        <v>2032</v>
      </c>
      <c r="D44" s="6"/>
      <c r="E44" s="292">
        <f>+INDEX('(2.2)_Forward_Price_Curve'!$R:$R,MATCH($C44,'(2.2)_Forward_Price_Curve'!C:C,0))</f>
        <v>1.7999999999999999E-2</v>
      </c>
      <c r="F44" s="6"/>
      <c r="G44" s="20">
        <v>282371.75</v>
      </c>
      <c r="H44" s="6"/>
      <c r="I44" s="30">
        <f t="shared" si="10"/>
        <v>0</v>
      </c>
      <c r="J44" s="6"/>
      <c r="K44" s="30">
        <v>60.327279878937979</v>
      </c>
      <c r="L44" s="6"/>
      <c r="M44" s="30">
        <f t="shared" si="11"/>
        <v>0</v>
      </c>
      <c r="N44" s="6"/>
      <c r="O44" s="295">
        <f>'(2.2)_Forward_Price_Curve'!V43</f>
        <v>4.1932396921107564</v>
      </c>
      <c r="P44" s="6"/>
      <c r="Q44" s="30"/>
      <c r="R44" s="6"/>
      <c r="S44" s="20">
        <f t="shared" si="4"/>
        <v>18218.772022186284</v>
      </c>
      <c r="T44" s="6"/>
      <c r="U44" s="20">
        <f t="shared" si="0"/>
        <v>33700.996884156317</v>
      </c>
      <c r="V44" s="6"/>
      <c r="W44" s="20">
        <f t="shared" si="1"/>
        <v>-15482.224861970033</v>
      </c>
      <c r="X44" s="6"/>
      <c r="Y44" s="296">
        <f t="shared" si="5"/>
        <v>-54.82922729334657</v>
      </c>
      <c r="Z44" s="255"/>
      <c r="AB44" s="154">
        <f>+IF(AB43&gt;$G$13+$G$14,XX,AB43+1)</f>
        <v>2032</v>
      </c>
      <c r="AC44" s="124"/>
      <c r="AD44" s="159">
        <f t="shared" si="2"/>
        <v>282371.75</v>
      </c>
      <c r="AE44" s="3"/>
      <c r="AF44" s="162">
        <f t="shared" si="12"/>
        <v>96.287933064688346</v>
      </c>
      <c r="AG44" s="3"/>
      <c r="AH44" s="162">
        <f t="shared" si="13"/>
        <v>10.5625409436055</v>
      </c>
      <c r="AI44" s="3"/>
      <c r="AJ44" s="162">
        <f t="shared" si="14"/>
        <v>3.5772430897695573</v>
      </c>
      <c r="AK44" s="3"/>
      <c r="AL44" s="161">
        <f t="shared" si="6"/>
        <v>5830.6651944129599</v>
      </c>
      <c r="AM44" s="3"/>
      <c r="AN44" s="162">
        <f>INDEX('(2.2)_Forward_Price_Curve'!$L:$L,MATCH($AB44,'(2.2)_Forward_Price_Curve'!$C:$C,0),1)</f>
        <v>14.351666666666667</v>
      </c>
      <c r="AO44" s="3"/>
      <c r="AP44" s="162">
        <f t="shared" si="18"/>
        <v>106.53162998328909</v>
      </c>
      <c r="AQ44" s="3"/>
      <c r="AR44" s="162">
        <f t="shared" si="15"/>
        <v>4.2834632865455475</v>
      </c>
      <c r="AS44" s="162"/>
      <c r="AT44" s="161">
        <f t="shared" si="7"/>
        <v>2409.9450711398822</v>
      </c>
      <c r="AU44" s="3"/>
      <c r="AV44" s="161">
        <f t="shared" si="3"/>
        <v>31291.051813016435</v>
      </c>
      <c r="AW44" s="299"/>
      <c r="AX44" s="163">
        <f t="shared" si="8"/>
        <v>33700.996884156317</v>
      </c>
      <c r="AZ44" s="154">
        <f>+IF(AZ43&gt;$G$13+$G$14,XX,AZ43+1)</f>
        <v>2032</v>
      </c>
      <c r="BA44" s="124"/>
      <c r="BB44" s="162">
        <f t="shared" si="16"/>
        <v>87.275582130634092</v>
      </c>
      <c r="BC44" s="3"/>
      <c r="BD44" s="162">
        <f t="shared" si="17"/>
        <v>14.701706397729655</v>
      </c>
      <c r="BE44" s="3"/>
      <c r="BF44" s="161">
        <f t="shared" si="9"/>
        <v>3420.7201232730777</v>
      </c>
      <c r="BG44" s="3"/>
      <c r="BH44" s="165"/>
    </row>
    <row r="45" spans="2:60" ht="12">
      <c r="B45" s="2"/>
      <c r="C45" s="6">
        <f>+IF(C44&gt;$G$13+$G$14,XX,C44+1)</f>
        <v>2033</v>
      </c>
      <c r="D45" s="6"/>
      <c r="E45" s="292">
        <f>+INDEX('(2.2)_Forward_Price_Curve'!$R:$R,MATCH($C45,'(2.2)_Forward_Price_Curve'!C:C,0))</f>
        <v>1.9E-2</v>
      </c>
      <c r="F45" s="6"/>
      <c r="G45" s="20">
        <v>281508</v>
      </c>
      <c r="H45" s="6"/>
      <c r="I45" s="30">
        <f t="shared" si="10"/>
        <v>0</v>
      </c>
      <c r="J45" s="6"/>
      <c r="K45" s="30">
        <v>60.327279878937979</v>
      </c>
      <c r="L45" s="6"/>
      <c r="M45" s="30">
        <f t="shared" si="11"/>
        <v>0</v>
      </c>
      <c r="N45" s="6"/>
      <c r="O45" s="295">
        <f>'(2.2)_Forward_Price_Curve'!V44</f>
        <v>4.2812977256450822</v>
      </c>
      <c r="P45" s="6"/>
      <c r="Q45" s="30"/>
      <c r="R45" s="6"/>
      <c r="S45" s="20">
        <f t="shared" si="4"/>
        <v>18187.83146431097</v>
      </c>
      <c r="T45" s="6"/>
      <c r="U45" s="20">
        <f t="shared" si="0"/>
        <v>34150.844564033432</v>
      </c>
      <c r="V45" s="6"/>
      <c r="W45" s="20">
        <f t="shared" si="1"/>
        <v>-15963.013099722462</v>
      </c>
      <c r="X45" s="6"/>
      <c r="Y45" s="296">
        <f t="shared" si="5"/>
        <v>-56.705362191207577</v>
      </c>
      <c r="Z45" s="255"/>
      <c r="AB45" s="154">
        <f>+IF(AB44&gt;$G$13+$G$14,XX,AB44+1)</f>
        <v>2033</v>
      </c>
      <c r="AC45" s="124"/>
      <c r="AD45" s="159">
        <f t="shared" si="2"/>
        <v>281508</v>
      </c>
      <c r="AE45" s="3"/>
      <c r="AF45" s="162">
        <f t="shared" si="12"/>
        <v>98.117403792917415</v>
      </c>
      <c r="AG45" s="3"/>
      <c r="AH45" s="162">
        <f t="shared" si="13"/>
        <v>10.763229221534003</v>
      </c>
      <c r="AI45" s="3"/>
      <c r="AJ45" s="162">
        <f t="shared" si="14"/>
        <v>3.6452107084751786</v>
      </c>
      <c r="AK45" s="3"/>
      <c r="AL45" s="161">
        <f t="shared" si="6"/>
        <v>5938.2992823573595</v>
      </c>
      <c r="AM45" s="3"/>
      <c r="AN45" s="162">
        <f>INDEX('(2.2)_Forward_Price_Curve'!$L:$L,MATCH($AB45,'(2.2)_Forward_Price_Curve'!$C:$C,0),1)</f>
        <v>14.610833333333332</v>
      </c>
      <c r="AO45" s="3"/>
      <c r="AP45" s="162">
        <f t="shared" si="18"/>
        <v>108.23677888354138</v>
      </c>
      <c r="AQ45" s="3"/>
      <c r="AR45" s="162">
        <f t="shared" si="15"/>
        <v>4.3648490889899128</v>
      </c>
      <c r="AS45" s="162"/>
      <c r="AT45" s="161">
        <f t="shared" si="7"/>
        <v>2452.5854767420938</v>
      </c>
      <c r="AU45" s="3"/>
      <c r="AV45" s="161">
        <f t="shared" si="3"/>
        <v>31698.259087291339</v>
      </c>
      <c r="AW45" s="299"/>
      <c r="AX45" s="163">
        <f t="shared" si="8"/>
        <v>34150.844564033432</v>
      </c>
      <c r="AZ45" s="154">
        <f>+IF(AZ44&gt;$G$13+$G$14,XX,AZ44+1)</f>
        <v>2033</v>
      </c>
      <c r="BA45" s="124"/>
      <c r="BB45" s="162">
        <f t="shared" si="16"/>
        <v>88.933818191116131</v>
      </c>
      <c r="BC45" s="3"/>
      <c r="BD45" s="162">
        <f t="shared" si="17"/>
        <v>14.981038819286518</v>
      </c>
      <c r="BE45" s="3"/>
      <c r="BF45" s="161">
        <f t="shared" si="9"/>
        <v>3485.7138056152658</v>
      </c>
      <c r="BG45" s="3"/>
      <c r="BH45" s="165"/>
    </row>
    <row r="46" spans="2:60" ht="12">
      <c r="B46" s="2"/>
      <c r="C46" s="6">
        <f>+IF(C45&gt;$G$13+$G$14,XX,C45+1)</f>
        <v>2034</v>
      </c>
      <c r="D46" s="6"/>
      <c r="E46" s="292">
        <f>+INDEX('(2.2)_Forward_Price_Curve'!$R:$R,MATCH($C46,'(2.2)_Forward_Price_Curve'!C:C,0))</f>
        <v>1.7999999999999999E-2</v>
      </c>
      <c r="F46" s="6"/>
      <c r="G46" s="20">
        <v>281508</v>
      </c>
      <c r="H46" s="6"/>
      <c r="I46" s="30">
        <f t="shared" si="10"/>
        <v>0</v>
      </c>
      <c r="J46" s="6"/>
      <c r="K46" s="30">
        <v>60.327279878937979</v>
      </c>
      <c r="L46" s="6"/>
      <c r="M46" s="30">
        <f t="shared" si="11"/>
        <v>0</v>
      </c>
      <c r="N46" s="6"/>
      <c r="O46" s="295">
        <f>'(2.2)_Forward_Price_Curve'!V45</f>
        <v>4.3712049778836288</v>
      </c>
      <c r="P46" s="6"/>
      <c r="Q46" s="30"/>
      <c r="R46" s="6"/>
      <c r="S46" s="20">
        <f t="shared" si="4"/>
        <v>18213.141075074138</v>
      </c>
      <c r="T46" s="6"/>
      <c r="U46" s="20">
        <f t="shared" si="0"/>
        <v>34699.232801802915</v>
      </c>
      <c r="V46" s="6"/>
      <c r="W46" s="20">
        <f t="shared" si="1"/>
        <v>-16486.091726728777</v>
      </c>
      <c r="X46" s="6"/>
      <c r="Y46" s="296">
        <f t="shared" si="5"/>
        <v>-58.563492784321497</v>
      </c>
      <c r="Z46" s="255"/>
      <c r="AB46" s="154">
        <f>+IF(AB45&gt;$G$13+$G$14,XX,AB45+1)</f>
        <v>2034</v>
      </c>
      <c r="AC46" s="124"/>
      <c r="AD46" s="159">
        <f t="shared" si="2"/>
        <v>281508</v>
      </c>
      <c r="AE46" s="3"/>
      <c r="AF46" s="162">
        <f t="shared" si="12"/>
        <v>99.883517061189934</v>
      </c>
      <c r="AG46" s="3"/>
      <c r="AH46" s="162">
        <f t="shared" si="13"/>
        <v>10.956967347521616</v>
      </c>
      <c r="AI46" s="3"/>
      <c r="AJ46" s="162">
        <f t="shared" si="14"/>
        <v>3.7108245012277319</v>
      </c>
      <c r="AK46" s="3"/>
      <c r="AL46" s="161">
        <f t="shared" si="6"/>
        <v>6045.1886694397926</v>
      </c>
      <c r="AM46" s="3"/>
      <c r="AN46" s="162">
        <f>INDEX('(2.2)_Forward_Price_Curve'!$L:$L,MATCH($AB46,'(2.2)_Forward_Price_Curve'!$C:$C,0),1)</f>
        <v>14.875000000000002</v>
      </c>
      <c r="AO46" s="3"/>
      <c r="AP46" s="162">
        <f t="shared" si="18"/>
        <v>109.94942783247336</v>
      </c>
      <c r="AQ46" s="3"/>
      <c r="AR46" s="162">
        <f t="shared" si="15"/>
        <v>4.4434163725917308</v>
      </c>
      <c r="AS46" s="162"/>
      <c r="AT46" s="161">
        <f t="shared" si="7"/>
        <v>2496.7320153234518</v>
      </c>
      <c r="AU46" s="3"/>
      <c r="AV46" s="161">
        <f t="shared" si="3"/>
        <v>32202.500786479461</v>
      </c>
      <c r="AW46" s="299"/>
      <c r="AX46" s="163">
        <f t="shared" si="8"/>
        <v>34699.232801802915</v>
      </c>
      <c r="AZ46" s="154">
        <f>+IF(AZ45&gt;$G$13+$G$14,XX,AZ45+1)</f>
        <v>2034</v>
      </c>
      <c r="BA46" s="124"/>
      <c r="BB46" s="162">
        <f t="shared" si="16"/>
        <v>90.534626918556228</v>
      </c>
      <c r="BC46" s="3"/>
      <c r="BD46" s="162">
        <f t="shared" si="17"/>
        <v>15.250697518033675</v>
      </c>
      <c r="BE46" s="3"/>
      <c r="BF46" s="161">
        <f t="shared" si="9"/>
        <v>3548.4566541163408</v>
      </c>
      <c r="BG46" s="3"/>
      <c r="BH46" s="165"/>
    </row>
    <row r="47" spans="2:60" ht="12">
      <c r="B47" s="2"/>
      <c r="C47" s="6">
        <f>+IF(C46&gt;$G$13+$G$14,XX,C46+1)</f>
        <v>2035</v>
      </c>
      <c r="D47" s="6"/>
      <c r="E47" s="292">
        <f>+INDEX('(2.2)_Forward_Price_Curve'!$R:$R,MATCH($C47,'(2.2)_Forward_Price_Curve'!C:C,0))</f>
        <v>1.7999999999999999E-2</v>
      </c>
      <c r="F47" s="6"/>
      <c r="G47" s="20">
        <v>281508</v>
      </c>
      <c r="H47" s="6"/>
      <c r="I47" s="30">
        <f t="shared" si="10"/>
        <v>0</v>
      </c>
      <c r="J47" s="6"/>
      <c r="K47" s="30">
        <v>60.327279878937979</v>
      </c>
      <c r="L47" s="6"/>
      <c r="M47" s="30"/>
      <c r="N47" s="6"/>
      <c r="O47" s="295">
        <f>'(2.2)_Forward_Price_Curve'!V46</f>
        <v>4.463000282419185</v>
      </c>
      <c r="P47" s="6"/>
      <c r="Q47" s="30"/>
      <c r="R47" s="6"/>
      <c r="S47" s="20">
        <f t="shared" si="4"/>
        <v>18238.982187663332</v>
      </c>
      <c r="T47" s="6"/>
      <c r="U47" s="20">
        <f t="shared" si="0"/>
        <v>35255.418457066538</v>
      </c>
      <c r="V47" s="6"/>
      <c r="W47" s="20">
        <f t="shared" si="1"/>
        <v>-17016.436269403206</v>
      </c>
      <c r="X47" s="6"/>
      <c r="Y47" s="296">
        <f t="shared" si="5"/>
        <v>-60.447434067249262</v>
      </c>
      <c r="Z47" s="255"/>
      <c r="AB47" s="154">
        <f>+IF(AB46&gt;$G$13+$G$14,XX,AB46+1)</f>
        <v>2035</v>
      </c>
      <c r="AC47" s="124"/>
      <c r="AD47" s="159">
        <f t="shared" si="2"/>
        <v>281508</v>
      </c>
      <c r="AE47" s="3"/>
      <c r="AF47" s="162">
        <f t="shared" si="12"/>
        <v>101.68142036829136</v>
      </c>
      <c r="AG47" s="3"/>
      <c r="AH47" s="162">
        <f t="shared" si="13"/>
        <v>11.154192759777004</v>
      </c>
      <c r="AI47" s="3"/>
      <c r="AJ47" s="162">
        <f t="shared" si="14"/>
        <v>3.7776193422498312</v>
      </c>
      <c r="AK47" s="3"/>
      <c r="AL47" s="161">
        <f t="shared" si="6"/>
        <v>6154.0020654897098</v>
      </c>
      <c r="AM47" s="3"/>
      <c r="AN47" s="162">
        <f>INDEX('(2.2)_Forward_Price_Curve'!$L:$L,MATCH($AB47,'(2.2)_Forward_Price_Curve'!$C:$C,0),1)</f>
        <v>15.140833333333333</v>
      </c>
      <c r="AO47" s="3"/>
      <c r="AP47" s="162">
        <f t="shared" si="18"/>
        <v>111.68553852338063</v>
      </c>
      <c r="AQ47" s="3"/>
      <c r="AR47" s="162">
        <f t="shared" si="15"/>
        <v>4.5233978672983817</v>
      </c>
      <c r="AS47" s="162"/>
      <c r="AT47" s="161">
        <f t="shared" si="7"/>
        <v>2541.6731915992746</v>
      </c>
      <c r="AU47" s="3"/>
      <c r="AV47" s="161">
        <f t="shared" si="3"/>
        <v>32713.745265467267</v>
      </c>
      <c r="AW47" s="299"/>
      <c r="AX47" s="163">
        <f t="shared" si="8"/>
        <v>35255.418457066538</v>
      </c>
      <c r="AZ47" s="154">
        <f>+IF(AZ46&gt;$G$13+$G$14,XX,AZ46+1)</f>
        <v>2035</v>
      </c>
      <c r="BA47" s="124"/>
      <c r="BB47" s="162">
        <f t="shared" si="16"/>
        <v>92.164250203090248</v>
      </c>
      <c r="BC47" s="3"/>
      <c r="BD47" s="162">
        <f t="shared" si="17"/>
        <v>15.525210073358283</v>
      </c>
      <c r="BE47" s="3"/>
      <c r="BF47" s="161">
        <f t="shared" si="9"/>
        <v>3612.3288738904353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6.66%</v>
      </c>
      <c r="E58" s="178"/>
      <c r="F58" s="3"/>
      <c r="G58" s="20">
        <f>+-PMT($G$18,$G$14,NPV($G$18,G28:G56))</f>
        <v>281745.24808080855</v>
      </c>
      <c r="H58" s="6"/>
      <c r="I58" s="30">
        <f>+-PMT($G$18,$G$14,NPV($G$18,I28:I56))</f>
        <v>0</v>
      </c>
      <c r="J58" s="30"/>
      <c r="K58" s="30">
        <f>+-PMT($G$18,$G$14,NPV($G$18,K28:K56))</f>
        <v>60.327279878937993</v>
      </c>
      <c r="L58" s="6"/>
      <c r="M58" s="30">
        <f>+-PMT($G$18,$G$14,NPV($G$18,M28:M56))</f>
        <v>0</v>
      </c>
      <c r="N58" s="6"/>
      <c r="O58" s="30">
        <f>+-PMT($G$18,$G$14,NPV($G$18,O28:O56))</f>
        <v>3.5877214328050853</v>
      </c>
      <c r="P58" s="6"/>
      <c r="Q58" s="30">
        <f>+-PMT($G$18,$G$14,NPV($G$18,Q28:Q56))</f>
        <v>0</v>
      </c>
      <c r="R58" s="6"/>
      <c r="S58" s="20">
        <f>+-PMT($G$18,$G$14,NPV($G$18,S28:S56))</f>
        <v>18007.725487954118</v>
      </c>
      <c r="T58" s="6"/>
      <c r="U58" s="20">
        <f>+-PMT($G$18,$G$14,NPV($G$18,U28:U56))</f>
        <v>28963.70230801063</v>
      </c>
      <c r="V58" s="3"/>
      <c r="W58" s="20">
        <f>+-PMT($G$18,$G$14,NPV($G$18,W28:W56))</f>
        <v>-10955.976820056512</v>
      </c>
      <c r="X58" s="3"/>
      <c r="Y58" s="296">
        <f>+-PMT($G$18,$G$14,NPV($G$18,Y28:Y56))</f>
        <v>-38.889997337800139</v>
      </c>
      <c r="Z58" s="255"/>
      <c r="AB58" s="2"/>
      <c r="AC58" s="3"/>
      <c r="AD58" s="159">
        <f>+-PMT($G$18,$G$14,NPV($G$18,AD28:AD56))</f>
        <v>281745.24808080855</v>
      </c>
      <c r="AE58" s="3"/>
      <c r="AF58" s="162">
        <f>+-PMT($G$18,$G$14,NPV($G$18,AF28:AF56))</f>
        <v>82.685631868945421</v>
      </c>
      <c r="AG58" s="3"/>
      <c r="AH58" s="162">
        <f>+-PMT($G$18,$G$14,NPV($G$18,AH28:AH56))</f>
        <v>9.0704031571316257</v>
      </c>
      <c r="AI58" s="3"/>
      <c r="AJ58" s="162">
        <f>+-PMT($G$18,$G$14,NPV($G$18,AJ28:AJ56))</f>
        <v>3.0718969221999886</v>
      </c>
      <c r="AK58" s="3"/>
      <c r="AL58" s="161">
        <f>+-PMT($G$18,$G$14,NPV($G$18,AL28:AL56))</f>
        <v>5005.0414965824921</v>
      </c>
      <c r="AM58" s="3"/>
      <c r="AN58" s="162">
        <f>+-PMT($G$18,$G$14,NPV($G$18,AN28:AN56))</f>
        <v>12.102008187620727</v>
      </c>
      <c r="AO58" s="3"/>
      <c r="AP58" s="162">
        <f>+-PMT($G$18,$G$14,NPV($G$18,AP28:AP56))</f>
        <v>91.788090335742382</v>
      </c>
      <c r="AQ58" s="3"/>
      <c r="AR58" s="162">
        <f>+-PMT($G$18,$G$14,NPV($G$18,AR28:AR56))</f>
        <v>3.6783515562381197</v>
      </c>
      <c r="AS58" s="162"/>
      <c r="AT58" s="161">
        <f>+-PMT($G$18,$G$14,NPV($G$18,AT28:AT56))</f>
        <v>2067.5560211218212</v>
      </c>
      <c r="AU58" s="3"/>
      <c r="AV58" s="161">
        <f>+-PMT($G$18,$G$14,NPV($G$18,AV28:AV56))</f>
        <v>26896.146286888812</v>
      </c>
      <c r="AW58" s="299"/>
      <c r="AX58" s="163">
        <f>+-PMT($G$18,$G$14,NPV($G$18,AX28:AX56))</f>
        <v>28963.70230801063</v>
      </c>
      <c r="AZ58" s="2"/>
      <c r="BA58" s="3"/>
      <c r="BB58" s="162">
        <f>+-PMT($G$18,$G$14,NPV($G$18,BB28:BB56))</f>
        <v>74.946428129819381</v>
      </c>
      <c r="BC58" s="3"/>
      <c r="BD58" s="162">
        <f>+-PMT($G$18,$G$14,NPV($G$18,BD28:BD56))</f>
        <v>12.624841393482965</v>
      </c>
      <c r="BE58" s="3"/>
      <c r="BF58" s="161">
        <f>+-PMT($G$18,$G$14,NPV($G$18,BF28:BF56))</f>
        <v>2937.4854754606713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DC657-D415-4728-B9AC-113630FF2215}">
  <sheetPr codeName="Sheet4"/>
  <dimension ref="A1:O66"/>
  <sheetViews>
    <sheetView zoomScaleNormal="100" workbookViewId="0">
      <selection activeCell="A27" sqref="A27:XFD28"/>
    </sheetView>
  </sheetViews>
  <sheetFormatPr defaultRowHeight="11.25"/>
  <cols>
    <col min="1" max="1" width="31.5" customWidth="1"/>
    <col min="2" max="2" width="5.83203125" hidden="1" customWidth="1"/>
    <col min="3" max="3" width="9.83203125" hidden="1" customWidth="1"/>
    <col min="4" max="4" width="13.5" hidden="1" customWidth="1"/>
    <col min="5" max="5" width="13.33203125" hidden="1" customWidth="1"/>
    <col min="6" max="6" width="4.1640625" hidden="1" customWidth="1"/>
    <col min="7" max="7" width="13.33203125" hidden="1" customWidth="1"/>
    <col min="8" max="8" width="3.33203125" hidden="1" customWidth="1"/>
    <col min="9" max="9" width="18.1640625" hidden="1" customWidth="1"/>
    <col min="10" max="10" width="2.6640625" hidden="1" customWidth="1"/>
    <col min="11" max="11" width="12.6640625" hidden="1" customWidth="1"/>
    <col min="12" max="12" width="3.5" hidden="1" customWidth="1"/>
    <col min="13" max="13" width="12.83203125" customWidth="1"/>
  </cols>
  <sheetData>
    <row r="1" spans="1:13" s="5" customFormat="1"/>
    <row r="2" spans="1:13" s="5" customFormat="1"/>
    <row r="3" spans="1:13" s="5" customFormat="1"/>
    <row r="4" spans="1:13" s="5" customFormat="1"/>
    <row r="5" spans="1:13" s="5" customFormat="1"/>
    <row r="6" spans="1:13">
      <c r="A6" s="5"/>
    </row>
    <row r="7" spans="1:13">
      <c r="G7" s="781" t="s">
        <v>25</v>
      </c>
      <c r="H7" s="781"/>
      <c r="I7" s="781"/>
      <c r="J7" s="781"/>
      <c r="K7" s="781"/>
      <c r="L7" s="781"/>
      <c r="M7" s="781"/>
    </row>
    <row r="8" spans="1:13" ht="45.75">
      <c r="A8" s="627" t="s">
        <v>272</v>
      </c>
      <c r="B8" s="627" t="s">
        <v>275</v>
      </c>
      <c r="C8" s="627" t="s">
        <v>276</v>
      </c>
      <c r="D8" s="627" t="s">
        <v>282</v>
      </c>
      <c r="E8" s="627" t="s">
        <v>292</v>
      </c>
      <c r="F8" s="629"/>
      <c r="G8" s="628" t="s">
        <v>27</v>
      </c>
      <c r="H8" s="628"/>
      <c r="I8" s="628" t="s">
        <v>28</v>
      </c>
      <c r="J8" s="628"/>
      <c r="K8" s="628" t="s">
        <v>29</v>
      </c>
      <c r="L8" s="629"/>
      <c r="M8" s="628" t="s">
        <v>30</v>
      </c>
    </row>
    <row r="9" spans="1:13">
      <c r="A9" s="11" t="s">
        <v>218</v>
      </c>
      <c r="B9" s="11" t="s">
        <v>275</v>
      </c>
      <c r="C9" s="11" t="s">
        <v>277</v>
      </c>
      <c r="D9" s="11"/>
      <c r="E9" s="11" t="s">
        <v>386</v>
      </c>
      <c r="F9" s="772"/>
      <c r="G9" s="773">
        <v>0</v>
      </c>
      <c r="H9" s="773"/>
      <c r="I9" s="773">
        <v>0</v>
      </c>
      <c r="J9" s="773"/>
      <c r="K9" s="773">
        <v>0</v>
      </c>
      <c r="L9" s="773"/>
      <c r="M9" s="773">
        <v>1.4</v>
      </c>
    </row>
    <row r="10" spans="1:13">
      <c r="A10" s="11" t="s">
        <v>219</v>
      </c>
      <c r="B10" s="11" t="s">
        <v>275</v>
      </c>
      <c r="C10" s="11" t="s">
        <v>277</v>
      </c>
      <c r="D10" s="11"/>
      <c r="E10" s="11" t="s">
        <v>386</v>
      </c>
      <c r="F10" s="772"/>
      <c r="G10" s="773">
        <v>0</v>
      </c>
      <c r="H10" s="773"/>
      <c r="I10" s="773">
        <v>0</v>
      </c>
      <c r="J10" s="773"/>
      <c r="K10" s="773">
        <v>0</v>
      </c>
      <c r="L10" s="773"/>
      <c r="M10" s="773">
        <v>1.4</v>
      </c>
    </row>
    <row r="11" spans="1:13">
      <c r="A11" s="11" t="s">
        <v>270</v>
      </c>
      <c r="B11" s="11"/>
      <c r="C11" s="11" t="s">
        <v>280</v>
      </c>
      <c r="D11" s="11"/>
      <c r="E11" s="11" t="s">
        <v>171</v>
      </c>
      <c r="F11" s="772"/>
      <c r="G11" s="773">
        <f>'Big Fork (2003IRP)'!S59</f>
        <v>61.588085716151504</v>
      </c>
      <c r="H11" s="773"/>
      <c r="I11" s="773">
        <f>'Big Fork (2003IRP)'!U59</f>
        <v>105.19606522217667</v>
      </c>
      <c r="J11" s="773"/>
      <c r="K11" s="773">
        <f>'Big Fork (2003IRP)'!W59</f>
        <v>-43.60797950602516</v>
      </c>
      <c r="L11" s="773"/>
      <c r="M11" s="773">
        <f>'Big Fork (2003IRP)'!Y59</f>
        <v>-19.338350113536656</v>
      </c>
    </row>
    <row r="12" spans="1:13">
      <c r="A12" s="11" t="s">
        <v>273</v>
      </c>
      <c r="B12" s="11"/>
      <c r="C12" s="11" t="s">
        <v>278</v>
      </c>
      <c r="D12" s="11"/>
      <c r="E12" s="11" t="s">
        <v>322</v>
      </c>
      <c r="F12" s="772"/>
      <c r="G12" s="773">
        <v>0</v>
      </c>
      <c r="H12" s="773"/>
      <c r="I12" s="773">
        <v>0</v>
      </c>
      <c r="J12" s="773"/>
      <c r="K12" s="773">
        <v>0</v>
      </c>
      <c r="L12" s="773"/>
      <c r="M12" s="773">
        <v>0</v>
      </c>
    </row>
    <row r="13" spans="1:13">
      <c r="A13" s="11" t="s">
        <v>274</v>
      </c>
      <c r="B13" s="11"/>
      <c r="C13" s="11" t="s">
        <v>278</v>
      </c>
      <c r="D13" s="11"/>
      <c r="E13" s="11" t="s">
        <v>184</v>
      </c>
      <c r="F13" s="772"/>
      <c r="G13" s="773">
        <f>'Blundell 2'!S64</f>
        <v>2819.202047347113</v>
      </c>
      <c r="H13" s="773"/>
      <c r="I13" s="773">
        <f>'Blundell 2'!U64</f>
        <v>8829.2935321472123</v>
      </c>
      <c r="J13" s="773"/>
      <c r="K13" s="773">
        <f>'Blundell 2'!W64</f>
        <v>-6010.0914848000994</v>
      </c>
      <c r="L13" s="773"/>
      <c r="M13" s="773">
        <f>'Blundell 2'!Y64</f>
        <v>-63.542288348681581</v>
      </c>
    </row>
    <row r="14" spans="1:13">
      <c r="A14" s="11" t="s">
        <v>220</v>
      </c>
      <c r="B14" s="11" t="s">
        <v>275</v>
      </c>
      <c r="C14" s="11" t="s">
        <v>277</v>
      </c>
      <c r="D14" s="11"/>
      <c r="E14" s="11" t="s">
        <v>386</v>
      </c>
      <c r="F14" s="772"/>
      <c r="G14" s="773">
        <v>0</v>
      </c>
      <c r="H14" s="773"/>
      <c r="I14" s="773">
        <v>0</v>
      </c>
      <c r="J14" s="773"/>
      <c r="K14" s="773">
        <v>0</v>
      </c>
      <c r="L14" s="773"/>
      <c r="M14" s="773">
        <v>1.4</v>
      </c>
    </row>
    <row r="15" spans="1:13">
      <c r="A15" s="11" t="s">
        <v>222</v>
      </c>
      <c r="B15" s="11"/>
      <c r="C15" s="11" t="s">
        <v>279</v>
      </c>
      <c r="D15" s="11"/>
      <c r="E15" s="11" t="s">
        <v>184</v>
      </c>
      <c r="F15" s="772"/>
      <c r="G15" s="773">
        <f>'Cambell Hill (PPA)'!S58</f>
        <v>20609.598859325553</v>
      </c>
      <c r="H15" s="773"/>
      <c r="I15" s="773">
        <f>'Cambell Hill (PPA)'!U58</f>
        <v>29273.264706634131</v>
      </c>
      <c r="J15" s="773">
        <f>'Cambell Hill (PPA)'!V58</f>
        <v>0</v>
      </c>
      <c r="K15" s="773">
        <f>'Cambell Hill (PPA)'!W58</f>
        <v>-8663.6658473085809</v>
      </c>
      <c r="L15" s="773"/>
      <c r="M15" s="773">
        <f>'Cambell Hill (PPA)'!Y58</f>
        <v>-35.513823799757304</v>
      </c>
    </row>
    <row r="16" spans="1:13">
      <c r="A16" s="11" t="s">
        <v>388</v>
      </c>
      <c r="B16" s="11"/>
      <c r="C16" s="11" t="s">
        <v>279</v>
      </c>
      <c r="D16" s="11"/>
      <c r="E16" s="11" t="s">
        <v>287</v>
      </c>
      <c r="F16" s="772"/>
      <c r="G16" s="773">
        <f>'Cedar Springs I (PPA)'!S58</f>
        <v>12647.624295574342</v>
      </c>
      <c r="H16" s="773"/>
      <c r="I16" s="773">
        <f>'Cedar Springs I (PPA)'!U58</f>
        <v>36666.223596023403</v>
      </c>
      <c r="J16" s="773">
        <f>'Cedar Springs I (PPA)'!V58</f>
        <v>0</v>
      </c>
      <c r="K16" s="773">
        <f>'Cedar Springs I (PPA)'!W58</f>
        <v>-24018.599300449048</v>
      </c>
      <c r="L16" s="773"/>
      <c r="M16" s="773">
        <f>'Cedar Springs I (PPA)'!Y58</f>
        <v>-32.078001741936873</v>
      </c>
    </row>
    <row r="17" spans="1:13">
      <c r="A17" s="11" t="s">
        <v>389</v>
      </c>
      <c r="B17" s="11"/>
      <c r="C17" s="11" t="s">
        <v>279</v>
      </c>
      <c r="D17" s="11"/>
      <c r="E17" s="11" t="s">
        <v>287</v>
      </c>
      <c r="F17" s="772"/>
      <c r="G17" s="773">
        <f>'Cedar Springs II'!S68</f>
        <v>1288.2309635277825</v>
      </c>
      <c r="H17" s="773"/>
      <c r="I17" s="773">
        <f>'Cedar Springs II'!U68</f>
        <v>37799.677011087806</v>
      </c>
      <c r="J17" s="773"/>
      <c r="K17" s="773">
        <f>'Cedar Springs II'!W68</f>
        <v>-36511.446047560028</v>
      </c>
      <c r="L17" s="773"/>
      <c r="M17" s="773">
        <f>'Cedar Springs II'!Y68</f>
        <v>33.484495796648424</v>
      </c>
    </row>
    <row r="18" spans="1:13">
      <c r="A18" s="11" t="s">
        <v>387</v>
      </c>
      <c r="B18" s="11"/>
      <c r="C18" s="11" t="s">
        <v>279</v>
      </c>
      <c r="D18" s="11"/>
      <c r="E18" s="11" t="s">
        <v>287</v>
      </c>
      <c r="F18" s="772"/>
      <c r="G18" s="773">
        <f>'Cedar Springs III (PPA)'!S58</f>
        <v>8153.6623952735999</v>
      </c>
      <c r="H18" s="773"/>
      <c r="I18" s="773">
        <f>'Cedar Springs III (PPA)'!U58</f>
        <v>23515.342020079479</v>
      </c>
      <c r="J18" s="773">
        <f>'Cedar Springs III (PPA)'!V58</f>
        <v>0</v>
      </c>
      <c r="K18" s="773">
        <f>'Cedar Springs III (PPA)'!W58</f>
        <v>-15361.679624805871</v>
      </c>
      <c r="L18" s="773"/>
      <c r="M18" s="773">
        <f>'Cedar Springs III (PPA)'!Y58</f>
        <v>-31.823985208310333</v>
      </c>
    </row>
    <row r="19" spans="1:13">
      <c r="A19" s="11" t="s">
        <v>203</v>
      </c>
      <c r="B19" s="11"/>
      <c r="C19" s="11" t="s">
        <v>279</v>
      </c>
      <c r="D19" s="11" t="s">
        <v>282</v>
      </c>
      <c r="E19" s="11" t="s">
        <v>295</v>
      </c>
      <c r="F19" s="772"/>
      <c r="G19" s="773">
        <f>'Dunlap - Repower'!S75</f>
        <v>20108.704376956124</v>
      </c>
      <c r="H19" s="773"/>
      <c r="I19" s="773">
        <f>'Dunlap - Repower'!U75</f>
        <v>28774.506728027667</v>
      </c>
      <c r="J19" s="773"/>
      <c r="K19" s="773">
        <f>'Dunlap - Repower'!W75</f>
        <v>-8665.8023510715375</v>
      </c>
      <c r="L19" s="773"/>
      <c r="M19" s="773">
        <f>'Dunlap - Repower'!Y75</f>
        <v>-23.515096713077824</v>
      </c>
    </row>
    <row r="20" spans="1:13">
      <c r="A20" s="11" t="s">
        <v>252</v>
      </c>
      <c r="B20" s="11"/>
      <c r="C20" s="11" t="s">
        <v>279</v>
      </c>
      <c r="D20" s="11"/>
      <c r="E20" s="11" t="s">
        <v>248</v>
      </c>
      <c r="F20" s="772"/>
      <c r="G20" s="773">
        <f>'Ekola Flats Wind'!S59</f>
        <v>4902.7770679884516</v>
      </c>
      <c r="H20" s="773"/>
      <c r="I20" s="773">
        <f>'Ekola Flats Wind'!U59</f>
        <v>39568.626951186539</v>
      </c>
      <c r="J20" s="773"/>
      <c r="K20" s="773">
        <f>'Ekola Flats Wind'!W59</f>
        <v>-34665.849883198091</v>
      </c>
      <c r="L20" s="773"/>
      <c r="M20" s="773">
        <f>'Ekola Flats Wind'!Y59</f>
        <v>-40.565681070494129</v>
      </c>
    </row>
    <row r="21" spans="1:13">
      <c r="A21" s="11" t="s">
        <v>221</v>
      </c>
      <c r="B21" s="11" t="s">
        <v>275</v>
      </c>
      <c r="C21" s="11" t="s">
        <v>277</v>
      </c>
      <c r="D21" s="11"/>
      <c r="E21" s="11" t="s">
        <v>386</v>
      </c>
      <c r="F21" s="772"/>
      <c r="G21" s="773">
        <v>0</v>
      </c>
      <c r="H21" s="773"/>
      <c r="I21" s="773">
        <v>0</v>
      </c>
      <c r="J21" s="773"/>
      <c r="K21" s="773">
        <v>0</v>
      </c>
      <c r="L21" s="773"/>
      <c r="M21" s="773">
        <v>1.4</v>
      </c>
    </row>
    <row r="22" spans="1:13">
      <c r="A22" s="11" t="s">
        <v>215</v>
      </c>
      <c r="B22" s="11" t="s">
        <v>275</v>
      </c>
      <c r="C22" s="11" t="s">
        <v>277</v>
      </c>
      <c r="D22" s="11"/>
      <c r="E22" s="11" t="s">
        <v>386</v>
      </c>
      <c r="F22" s="772"/>
      <c r="G22" s="773">
        <v>0</v>
      </c>
      <c r="H22" s="773"/>
      <c r="I22" s="773">
        <v>0</v>
      </c>
      <c r="J22" s="773"/>
      <c r="K22" s="773">
        <v>0</v>
      </c>
      <c r="L22" s="773"/>
      <c r="M22" s="773">
        <v>1.9</v>
      </c>
    </row>
    <row r="23" spans="1:13">
      <c r="A23" s="11" t="s">
        <v>253</v>
      </c>
      <c r="B23" s="11"/>
      <c r="C23" s="11" t="s">
        <v>279</v>
      </c>
      <c r="D23" s="11" t="s">
        <v>282</v>
      </c>
      <c r="E23" s="11" t="s">
        <v>322</v>
      </c>
      <c r="F23" s="772"/>
      <c r="G23" s="773">
        <v>0</v>
      </c>
      <c r="H23" s="773"/>
      <c r="I23" s="773">
        <v>0</v>
      </c>
      <c r="J23" s="773">
        <v>0</v>
      </c>
      <c r="K23" s="773">
        <v>0</v>
      </c>
      <c r="L23" s="773"/>
      <c r="M23" s="773">
        <v>0</v>
      </c>
    </row>
    <row r="24" spans="1:13">
      <c r="A24" s="11" t="s">
        <v>204</v>
      </c>
      <c r="B24" s="11"/>
      <c r="C24" s="11" t="s">
        <v>279</v>
      </c>
      <c r="D24" s="11" t="s">
        <v>282</v>
      </c>
      <c r="E24" s="11" t="s">
        <v>294</v>
      </c>
      <c r="F24" s="772"/>
      <c r="G24" s="773">
        <f>'Glenrock I - Repower'!S70</f>
        <v>19684.218778822196</v>
      </c>
      <c r="H24" s="773"/>
      <c r="I24" s="773">
        <f>'Glenrock I - Repower'!U70</f>
        <v>20945.849711875107</v>
      </c>
      <c r="J24" s="773"/>
      <c r="K24" s="773">
        <f>'Glenrock I - Repower'!W70</f>
        <v>-1261.63093305291</v>
      </c>
      <c r="L24" s="773"/>
      <c r="M24" s="773">
        <f>'Glenrock I - Repower'!Y70</f>
        <v>-4.5792577629076945</v>
      </c>
    </row>
    <row r="25" spans="1:13">
      <c r="A25" s="11" t="s">
        <v>254</v>
      </c>
      <c r="B25" s="11"/>
      <c r="C25" s="11" t="s">
        <v>279</v>
      </c>
      <c r="D25" s="11" t="s">
        <v>282</v>
      </c>
      <c r="E25" s="11" t="s">
        <v>294</v>
      </c>
      <c r="F25" s="772"/>
      <c r="G25" s="773">
        <f>'Glenrock III - Repower'!S70</f>
        <v>7645.4604601328538</v>
      </c>
      <c r="H25" s="773"/>
      <c r="I25" s="773">
        <f>'Glenrock III - Repower'!U70</f>
        <v>8020.2042537516527</v>
      </c>
      <c r="J25" s="773"/>
      <c r="K25" s="773">
        <f>'Glenrock III - Repower'!W70</f>
        <v>-374.74379361879983</v>
      </c>
      <c r="L25" s="773"/>
      <c r="M25" s="773">
        <f>'Glenrock III - Repower'!Y70</f>
        <v>-3.8522891249440252</v>
      </c>
    </row>
    <row r="26" spans="1:13">
      <c r="A26" s="11" t="s">
        <v>12</v>
      </c>
      <c r="B26" s="11"/>
      <c r="C26" s="11" t="s">
        <v>279</v>
      </c>
      <c r="D26" s="11" t="s">
        <v>282</v>
      </c>
      <c r="E26" s="11" t="s">
        <v>293</v>
      </c>
      <c r="F26" s="772"/>
      <c r="G26" s="773">
        <f>'Goodnoe_Hills - Repower'!S71</f>
        <v>20279.851149041704</v>
      </c>
      <c r="H26" s="773"/>
      <c r="I26" s="773">
        <f>'Goodnoe_Hills - Repower'!U71</f>
        <v>15628.68978043069</v>
      </c>
      <c r="J26" s="773"/>
      <c r="K26" s="773">
        <f>'Goodnoe_Hills - Repower'!W71</f>
        <v>4651.1613686110186</v>
      </c>
      <c r="L26" s="773"/>
      <c r="M26" s="773">
        <f>'Goodnoe_Hills - Repower'!Y71</f>
        <v>17.08953726360841</v>
      </c>
    </row>
    <row r="27" spans="1:13">
      <c r="A27" s="6" t="s">
        <v>255</v>
      </c>
      <c r="B27" s="6"/>
      <c r="C27" s="6" t="s">
        <v>279</v>
      </c>
      <c r="D27" s="6" t="s">
        <v>282</v>
      </c>
      <c r="E27" s="6" t="s">
        <v>294</v>
      </c>
      <c r="F27" s="776"/>
      <c r="G27" s="777">
        <f>'High Plains - Repower'!S70</f>
        <v>21864.068872841104</v>
      </c>
      <c r="H27" s="777"/>
      <c r="I27" s="777">
        <f>'High Plains - Repower'!U70</f>
        <v>21008.0821569115</v>
      </c>
      <c r="J27" s="777"/>
      <c r="K27" s="777">
        <f>'High Plains - Repower'!W70</f>
        <v>855.9867159296133</v>
      </c>
      <c r="L27" s="777"/>
      <c r="M27" s="777">
        <f>'High Plains - Repower'!Y70</f>
        <v>0.42153243388039824</v>
      </c>
    </row>
    <row r="28" spans="1:13">
      <c r="A28" s="6" t="s">
        <v>201</v>
      </c>
      <c r="B28" s="6"/>
      <c r="C28" s="6" t="s">
        <v>280</v>
      </c>
      <c r="D28" s="6"/>
      <c r="E28" s="6" t="s">
        <v>171</v>
      </c>
      <c r="F28" s="776"/>
      <c r="G28" s="777">
        <f>'JC Boyle (2004 IRP)'!S47</f>
        <v>113.44495737553754</v>
      </c>
      <c r="H28" s="777"/>
      <c r="I28" s="777">
        <f>'JC Boyle (2004 IRP)'!U47</f>
        <v>2336.8699264847774</v>
      </c>
      <c r="J28" s="777"/>
      <c r="K28" s="777">
        <f>'JC Boyle (2004 IRP)'!W47</f>
        <v>-2223.42496910924</v>
      </c>
      <c r="L28" s="777"/>
      <c r="M28" s="777">
        <f>'JC Boyle (2004 IRP)'!Y47</f>
        <v>-66.436339352473794</v>
      </c>
    </row>
    <row r="29" spans="1:13">
      <c r="A29" s="6" t="s">
        <v>256</v>
      </c>
      <c r="B29" s="6" t="s">
        <v>275</v>
      </c>
      <c r="C29" s="6" t="s">
        <v>279</v>
      </c>
      <c r="D29" s="6"/>
      <c r="E29" s="6" t="s">
        <v>308</v>
      </c>
      <c r="F29" s="776"/>
      <c r="G29" s="777">
        <f>'Latigo (PPA)'!S58</f>
        <v>10292.323167750461</v>
      </c>
      <c r="H29" s="777"/>
      <c r="I29" s="777">
        <f>'Latigo (PPA)'!U58</f>
        <v>16145.776679071489</v>
      </c>
      <c r="J29" s="777">
        <f>'Latigo (PPA)'!V58</f>
        <v>0</v>
      </c>
      <c r="K29" s="777">
        <f>'Latigo (PPA)'!W58</f>
        <v>-5853.4535113210322</v>
      </c>
      <c r="L29" s="777"/>
      <c r="M29" s="777">
        <f>'Latigo (PPA)'!Y58</f>
        <v>-36.351856688816731</v>
      </c>
    </row>
    <row r="30" spans="1:13">
      <c r="A30" s="6" t="s">
        <v>13</v>
      </c>
      <c r="B30" s="6"/>
      <c r="C30" s="6" t="s">
        <v>279</v>
      </c>
      <c r="D30" s="6" t="s">
        <v>282</v>
      </c>
      <c r="E30" s="6" t="s">
        <v>294</v>
      </c>
      <c r="F30" s="776"/>
      <c r="G30" s="777">
        <f>'Leaning Juniper -Repower'!S73</f>
        <v>21752.206130388346</v>
      </c>
      <c r="H30" s="777"/>
      <c r="I30" s="777">
        <f>'Leaning Juniper -Repower'!U73</f>
        <v>17111.301003855828</v>
      </c>
      <c r="J30" s="777"/>
      <c r="K30" s="777">
        <f>'Leaning Juniper -Repower'!W73</f>
        <v>4640.9051265325033</v>
      </c>
      <c r="L30" s="777"/>
      <c r="M30" s="777">
        <f>'Leaning Juniper -Repower'!Y73</f>
        <v>18.282770860147256</v>
      </c>
    </row>
    <row r="31" spans="1:13">
      <c r="A31" s="778" t="s">
        <v>20</v>
      </c>
      <c r="B31" s="6"/>
      <c r="C31" s="6" t="s">
        <v>280</v>
      </c>
      <c r="D31" s="6"/>
      <c r="E31" s="6" t="s">
        <v>184</v>
      </c>
      <c r="F31" s="776"/>
      <c r="G31" s="777">
        <f>'Lemolo 1 (2003IRP)'!S66</f>
        <v>51.351375492717658</v>
      </c>
      <c r="H31" s="777"/>
      <c r="I31" s="777">
        <f>'Lemolo 1 (2003IRP)'!U66</f>
        <v>645.67385605629227</v>
      </c>
      <c r="J31" s="777"/>
      <c r="K31" s="777">
        <f>'Lemolo 1 (2003IRP)'!W66</f>
        <v>-594.32248056357446</v>
      </c>
      <c r="L31" s="777"/>
      <c r="M31" s="777">
        <f>'Lemolo 1 (2003IRP)'!Y66</f>
        <v>-45.230021351870242</v>
      </c>
    </row>
    <row r="32" spans="1:13">
      <c r="A32" s="746" t="s">
        <v>21</v>
      </c>
      <c r="B32" s="11"/>
      <c r="C32" s="11" t="s">
        <v>280</v>
      </c>
      <c r="D32" s="11"/>
      <c r="E32" s="11" t="s">
        <v>184</v>
      </c>
      <c r="F32" s="772"/>
      <c r="G32" s="773">
        <f>'Lemolo 2 (2008 IRP)'!S58</f>
        <v>885.53156555422208</v>
      </c>
      <c r="H32" s="773"/>
      <c r="I32" s="773">
        <f>'Lemolo 2 (2008 IRP)'!U58</f>
        <v>2014.8542606002784</v>
      </c>
      <c r="J32" s="773"/>
      <c r="K32" s="773">
        <f>'Lemolo 2 (2008 IRP)'!W58</f>
        <v>-1129.3226950460569</v>
      </c>
      <c r="L32" s="773"/>
      <c r="M32" s="773">
        <f>'Lemolo 2 (2008 IRP)'!Y58</f>
        <v>-65.650662425651461</v>
      </c>
    </row>
    <row r="33" spans="1:15">
      <c r="A33" s="11" t="s">
        <v>15</v>
      </c>
      <c r="B33" s="11"/>
      <c r="C33" s="11" t="s">
        <v>279</v>
      </c>
      <c r="D33" s="11" t="s">
        <v>282</v>
      </c>
      <c r="E33" s="11" t="s">
        <v>294</v>
      </c>
      <c r="F33" s="772"/>
      <c r="G33" s="773">
        <f>'Marengo - Repower'!S72</f>
        <v>31676.043010066885</v>
      </c>
      <c r="H33" s="773"/>
      <c r="I33" s="773">
        <f>'Marengo - Repower'!U72</f>
        <v>25020.675635753447</v>
      </c>
      <c r="J33" s="773"/>
      <c r="K33" s="773">
        <f>'Marengo - Repower'!W72</f>
        <v>6655.367374313445</v>
      </c>
      <c r="L33" s="773"/>
      <c r="M33" s="773">
        <f>'Marengo - Repower'!Y72</f>
        <v>14.603774424903307</v>
      </c>
    </row>
    <row r="34" spans="1:15">
      <c r="A34" s="11" t="s">
        <v>16</v>
      </c>
      <c r="B34" s="11"/>
      <c r="C34" s="11" t="s">
        <v>279</v>
      </c>
      <c r="D34" s="11" t="s">
        <v>282</v>
      </c>
      <c r="E34" s="11" t="s">
        <v>294</v>
      </c>
      <c r="F34" s="772"/>
      <c r="G34" s="773">
        <f>'Marengo 2 - Repower'!S71</f>
        <v>16532.487205203957</v>
      </c>
      <c r="H34" s="773"/>
      <c r="I34" s="773">
        <f>'Marengo 2 - Repower'!U71</f>
        <v>12151.199710988592</v>
      </c>
      <c r="J34" s="773"/>
      <c r="K34" s="773">
        <f>'Marengo 2 - Repower'!W71</f>
        <v>4381.2874942153694</v>
      </c>
      <c r="L34" s="773"/>
      <c r="M34" s="773">
        <f>'Marengo 2 - Repower'!Y71</f>
        <v>20.499368155733791</v>
      </c>
    </row>
    <row r="35" spans="1:15">
      <c r="A35" s="11" t="s">
        <v>257</v>
      </c>
      <c r="B35" s="11"/>
      <c r="C35" s="11" t="s">
        <v>279</v>
      </c>
      <c r="D35" s="11" t="s">
        <v>282</v>
      </c>
      <c r="E35" s="11" t="s">
        <v>294</v>
      </c>
      <c r="F35" s="772"/>
      <c r="G35" s="773">
        <f>'McFadden Ridge - Repower'!S70</f>
        <v>5432.0693520449195</v>
      </c>
      <c r="H35" s="773"/>
      <c r="I35" s="773">
        <f>'McFadden Ridge - Repower'!U70</f>
        <v>6037.0661372824388</v>
      </c>
      <c r="J35" s="773"/>
      <c r="K35" s="773">
        <f>'McFadden Ridge - Repower'!W70</f>
        <v>-604.99678523752084</v>
      </c>
      <c r="L35" s="773"/>
      <c r="M35" s="773">
        <f>'McFadden Ridge - Repower'!Y70</f>
        <v>-8.5890776126560624</v>
      </c>
    </row>
    <row r="36" spans="1:15">
      <c r="A36" s="11" t="s">
        <v>258</v>
      </c>
      <c r="B36" s="11" t="s">
        <v>275</v>
      </c>
      <c r="C36" s="11" t="s">
        <v>279</v>
      </c>
      <c r="D36" s="11"/>
      <c r="E36" s="11" t="s">
        <v>191</v>
      </c>
      <c r="F36" s="772"/>
      <c r="G36" s="773">
        <f>'Mountain Wind I (PPA)'!S61</f>
        <v>9950.4655594777869</v>
      </c>
      <c r="H36" s="773"/>
      <c r="I36" s="773">
        <f>'Mountain Wind I (PPA)'!U61</f>
        <v>12085.736136931313</v>
      </c>
      <c r="J36" s="773">
        <f>'Mountain Wind I (PPA)'!V61</f>
        <v>0</v>
      </c>
      <c r="K36" s="773">
        <f>'Mountain Wind I (PPA)'!W61</f>
        <v>-2135.2705774535248</v>
      </c>
      <c r="L36" s="773"/>
      <c r="M36" s="773">
        <f>'Mountain Wind I (PPA)'!Y61</f>
        <v>-13.295947923628464</v>
      </c>
    </row>
    <row r="37" spans="1:15">
      <c r="A37" s="11" t="s">
        <v>259</v>
      </c>
      <c r="B37" s="11" t="s">
        <v>275</v>
      </c>
      <c r="C37" s="11" t="s">
        <v>279</v>
      </c>
      <c r="D37" s="11"/>
      <c r="E37" s="11" t="s">
        <v>191</v>
      </c>
      <c r="F37" s="772"/>
      <c r="G37" s="773">
        <f>'Mountain Wind II (PPA)'!S61</f>
        <v>15470.417563327237</v>
      </c>
      <c r="H37" s="773"/>
      <c r="I37" s="773">
        <f>'Mountain Wind II (PPA)'!U61</f>
        <v>16447.371602235849</v>
      </c>
      <c r="J37" s="773"/>
      <c r="K37" s="773">
        <f>'Mountain Wind II (PPA)'!W61</f>
        <v>-976.95403890861473</v>
      </c>
      <c r="L37" s="773"/>
      <c r="M37" s="773">
        <f>'Mountain Wind II (PPA)'!Y61</f>
        <v>-4.4568797057952274</v>
      </c>
    </row>
    <row r="38" spans="1:15">
      <c r="A38" s="11" t="s">
        <v>214</v>
      </c>
      <c r="B38" s="11" t="s">
        <v>275</v>
      </c>
      <c r="C38" s="11" t="s">
        <v>277</v>
      </c>
      <c r="D38" s="11"/>
      <c r="E38" s="11" t="s">
        <v>386</v>
      </c>
      <c r="F38" s="772"/>
      <c r="G38" s="773">
        <v>0</v>
      </c>
      <c r="H38" s="773"/>
      <c r="I38" s="773">
        <v>0</v>
      </c>
      <c r="J38" s="773"/>
      <c r="K38" s="773">
        <v>0</v>
      </c>
      <c r="L38" s="773"/>
      <c r="M38" s="773">
        <v>1.5</v>
      </c>
    </row>
    <row r="39" spans="1:15">
      <c r="A39" s="11" t="s">
        <v>265</v>
      </c>
      <c r="B39" s="11" t="s">
        <v>275</v>
      </c>
      <c r="C39" s="11" t="s">
        <v>277</v>
      </c>
      <c r="D39" s="11"/>
      <c r="E39" s="11" t="s">
        <v>308</v>
      </c>
      <c r="F39" s="772"/>
      <c r="G39" s="773">
        <f>'Pavant II (PPA)'!S58</f>
        <v>6099.5727164523514</v>
      </c>
      <c r="H39" s="773"/>
      <c r="I39" s="773">
        <f>'Pavant II (PPA)'!U58</f>
        <v>13771.474997509195</v>
      </c>
      <c r="J39" s="773">
        <f>'Pavant II (PPA)'!V58</f>
        <v>0</v>
      </c>
      <c r="K39" s="773">
        <f>'Pavant II (PPA)'!W58</f>
        <v>-7671.9022810568467</v>
      </c>
      <c r="L39" s="773"/>
      <c r="M39" s="773">
        <f>'Pavant II (PPA)'!Y58</f>
        <v>-61.068508183530625</v>
      </c>
    </row>
    <row r="40" spans="1:15">
      <c r="A40" s="11" t="s">
        <v>260</v>
      </c>
      <c r="B40" s="11" t="s">
        <v>275</v>
      </c>
      <c r="C40" s="11" t="s">
        <v>279</v>
      </c>
      <c r="D40" s="11"/>
      <c r="E40" s="11" t="s">
        <v>308</v>
      </c>
      <c r="F40" s="772"/>
      <c r="G40" s="773">
        <f>'Pioneer Wind (PPA)'!S58</f>
        <v>18007.725487954118</v>
      </c>
      <c r="H40" s="773"/>
      <c r="I40" s="773">
        <f>'Pioneer Wind (PPA)'!U58</f>
        <v>28963.70230801063</v>
      </c>
      <c r="J40" s="773">
        <f>'Pioneer Wind (PPA)'!V58</f>
        <v>0</v>
      </c>
      <c r="K40" s="773">
        <f>'Pioneer Wind (PPA)'!W58</f>
        <v>-10955.976820056512</v>
      </c>
      <c r="L40" s="773"/>
      <c r="M40" s="773">
        <f>'Pioneer Wind (PPA)'!Y58</f>
        <v>-38.889997337800139</v>
      </c>
    </row>
    <row r="41" spans="1:15">
      <c r="A41" s="746" t="s">
        <v>19</v>
      </c>
      <c r="B41" s="11"/>
      <c r="C41" s="11" t="s">
        <v>280</v>
      </c>
      <c r="D41" s="11"/>
      <c r="E41" s="11" t="s">
        <v>171</v>
      </c>
      <c r="F41" s="772"/>
      <c r="G41" s="773">
        <f>'Prospect 2 (2003 IRP)'!S66</f>
        <v>39.061852998687137</v>
      </c>
      <c r="H41" s="773"/>
      <c r="I41" s="773">
        <f>'Prospect 2 (2003 IRP)'!U66</f>
        <v>411.16375667828771</v>
      </c>
      <c r="J41" s="773"/>
      <c r="K41" s="773">
        <f>'Prospect 2 (2003 IRP)'!W66</f>
        <v>-372.10190367960053</v>
      </c>
      <c r="L41" s="773"/>
      <c r="M41" s="773">
        <f>'Prospect 2 (2003 IRP)'!Y66</f>
        <v>-40.273516972999651</v>
      </c>
    </row>
    <row r="42" spans="1:15">
      <c r="A42" s="11" t="s">
        <v>261</v>
      </c>
      <c r="B42" s="11"/>
      <c r="C42" s="11" t="s">
        <v>279</v>
      </c>
      <c r="D42" s="11"/>
      <c r="E42" s="11" t="s">
        <v>171</v>
      </c>
      <c r="F42" s="772"/>
      <c r="G42" s="773">
        <f>'Rock River (PPA)'!S52</f>
        <v>7052.2950576296835</v>
      </c>
      <c r="H42" s="773"/>
      <c r="I42" s="773">
        <f>'Rock River (PPA)'!U52</f>
        <v>5419.8604861047306</v>
      </c>
      <c r="J42" s="773"/>
      <c r="K42" s="773">
        <f>'Rock River (PPA)'!W52</f>
        <v>1632.4345715249522</v>
      </c>
      <c r="L42" s="773"/>
      <c r="M42" s="773">
        <f>'Rock River (PPA)'!Y52</f>
        <v>11.721954657913106</v>
      </c>
    </row>
    <row r="43" spans="1:15">
      <c r="A43" s="6" t="s">
        <v>289</v>
      </c>
      <c r="B43" s="6"/>
      <c r="C43" s="6" t="s">
        <v>279</v>
      </c>
      <c r="D43" s="6" t="s">
        <v>282</v>
      </c>
      <c r="E43" s="6" t="s">
        <v>294</v>
      </c>
      <c r="F43" s="776"/>
      <c r="G43" s="777">
        <f>'Rolling Hills - Repower'!S70</f>
        <v>16990.625702525427</v>
      </c>
      <c r="H43" s="777"/>
      <c r="I43" s="777">
        <f>'Rolling Hills - Repower'!U70</f>
        <v>19410.26634290806</v>
      </c>
      <c r="J43" s="777"/>
      <c r="K43" s="777">
        <f>'Rolling Hills - Repower'!W70</f>
        <v>-2419.64064038263</v>
      </c>
      <c r="L43" s="777"/>
      <c r="M43" s="777">
        <f>'Rolling Hills - Repower'!Y70</f>
        <v>-8.8136173210603506</v>
      </c>
      <c r="N43" s="143"/>
      <c r="O43" s="143"/>
    </row>
    <row r="44" spans="1:15">
      <c r="A44" s="6" t="s">
        <v>266</v>
      </c>
      <c r="B44" s="6" t="s">
        <v>275</v>
      </c>
      <c r="C44" s="6" t="s">
        <v>277</v>
      </c>
      <c r="D44" s="6"/>
      <c r="E44" s="6" t="s">
        <v>248</v>
      </c>
      <c r="F44" s="776"/>
      <c r="G44" s="777">
        <f>'Sage Solar I (PPA)'!S58</f>
        <v>2106.8780649583409</v>
      </c>
      <c r="H44" s="777"/>
      <c r="I44" s="777">
        <f>'Sage Solar I (PPA)'!U58</f>
        <v>2722.7840655659088</v>
      </c>
      <c r="J44" s="777"/>
      <c r="K44" s="777">
        <f>'Sage Solar I (PPA)'!W58</f>
        <v>-615.90600060756753</v>
      </c>
      <c r="L44" s="777"/>
      <c r="M44" s="777">
        <f>'Sage Solar I (PPA)'!Y58</f>
        <v>-22.011095141487989</v>
      </c>
      <c r="N44" s="143"/>
      <c r="O44" s="143"/>
    </row>
    <row r="45" spans="1:15">
      <c r="A45" s="6" t="s">
        <v>267</v>
      </c>
      <c r="B45" s="6" t="s">
        <v>275</v>
      </c>
      <c r="C45" s="6" t="s">
        <v>277</v>
      </c>
      <c r="D45" s="6"/>
      <c r="E45" s="6" t="s">
        <v>248</v>
      </c>
      <c r="F45" s="776"/>
      <c r="G45" s="777">
        <f>'Sage Solar II (PPA)'!S58</f>
        <v>2024.1456388655315</v>
      </c>
      <c r="H45" s="777"/>
      <c r="I45" s="777">
        <f>'Sage Solar II (PPA)'!U58</f>
        <v>2722.7840655659088</v>
      </c>
      <c r="J45" s="777"/>
      <c r="K45" s="777">
        <f>'Sage Solar II (PPA)'!W58</f>
        <v>-698.63842670037661</v>
      </c>
      <c r="L45" s="777"/>
      <c r="M45" s="777">
        <f>'Sage Solar II (PPA)'!Y58</f>
        <v>-23.877816875748543</v>
      </c>
      <c r="N45" s="143"/>
      <c r="O45" s="143"/>
    </row>
    <row r="46" spans="1:15">
      <c r="A46" s="6" t="s">
        <v>268</v>
      </c>
      <c r="B46" s="6" t="s">
        <v>275</v>
      </c>
      <c r="C46" s="6" t="s">
        <v>277</v>
      </c>
      <c r="D46" s="6"/>
      <c r="E46" s="6" t="s">
        <v>248</v>
      </c>
      <c r="F46" s="776"/>
      <c r="G46" s="777">
        <f>'Sage Solar III (PPA)'!S58</f>
        <v>1749.2904990977061</v>
      </c>
      <c r="H46" s="777"/>
      <c r="I46" s="777">
        <f>'Sage Solar III (PPA)'!U58</f>
        <v>2308.1861000949484</v>
      </c>
      <c r="J46" s="777"/>
      <c r="K46" s="777">
        <f>'Sage Solar III (PPA)'!W58</f>
        <v>-558.89560099724258</v>
      </c>
      <c r="L46" s="777"/>
      <c r="M46" s="777">
        <f>'Sage Solar III (PPA)'!Y58</f>
        <v>-23.525723259751</v>
      </c>
      <c r="N46" s="143"/>
      <c r="O46" s="143"/>
    </row>
    <row r="47" spans="1:15">
      <c r="A47" s="6" t="s">
        <v>212</v>
      </c>
      <c r="B47" s="6"/>
      <c r="C47" s="6" t="s">
        <v>279</v>
      </c>
      <c r="D47" s="6" t="s">
        <v>282</v>
      </c>
      <c r="E47" s="6" t="s">
        <v>294</v>
      </c>
      <c r="F47" s="776"/>
      <c r="G47" s="777">
        <f>'Seven Mile Hill I- Repower'!S70</f>
        <v>17170.797639483721</v>
      </c>
      <c r="H47" s="777"/>
      <c r="I47" s="777">
        <f>'Seven Mile Hill I- Repower'!U70</f>
        <v>22852.715510645838</v>
      </c>
      <c r="J47" s="777"/>
      <c r="K47" s="777">
        <f>'Seven Mile Hill I- Repower'!W70</f>
        <v>-5681.9178711621162</v>
      </c>
      <c r="L47" s="777"/>
      <c r="M47" s="777">
        <f>'Seven Mile Hill I- Repower'!Y70</f>
        <v>-17.131349246162966</v>
      </c>
      <c r="N47" s="143"/>
      <c r="O47" s="143"/>
    </row>
    <row r="48" spans="1:15">
      <c r="A48" s="6" t="s">
        <v>340</v>
      </c>
      <c r="B48" s="6"/>
      <c r="C48" s="6" t="s">
        <v>279</v>
      </c>
      <c r="D48" s="6" t="s">
        <v>282</v>
      </c>
      <c r="E48" s="6" t="s">
        <v>294</v>
      </c>
      <c r="F48" s="776"/>
      <c r="G48" s="777">
        <f>'Seven Mile Hill II- Repower'!S70</f>
        <v>3400.0133622822136</v>
      </c>
      <c r="H48" s="777"/>
      <c r="I48" s="777">
        <f>'Seven Mile Hill II- Repower'!U70</f>
        <v>4666.1877005497518</v>
      </c>
      <c r="J48" s="777"/>
      <c r="K48" s="777">
        <f>'Seven Mile Hill II- Repower'!W70</f>
        <v>-1266.1743382675368</v>
      </c>
      <c r="L48" s="777"/>
      <c r="M48" s="777">
        <f>'Seven Mile Hill II- Repower'!Y70</f>
        <v>-18.131904427486738</v>
      </c>
      <c r="N48" s="143"/>
      <c r="O48" s="143"/>
    </row>
    <row r="49" spans="1:15">
      <c r="A49" s="6" t="s">
        <v>269</v>
      </c>
      <c r="B49" s="6" t="s">
        <v>275</v>
      </c>
      <c r="C49" s="6" t="s">
        <v>277</v>
      </c>
      <c r="D49" s="6"/>
      <c r="E49" s="6" t="s">
        <v>248</v>
      </c>
      <c r="F49" s="776"/>
      <c r="G49" s="777">
        <f>'Sweetwater (PPA)'!S58</f>
        <v>7425.4102837180862</v>
      </c>
      <c r="H49" s="777"/>
      <c r="I49" s="777">
        <f>'Sweetwater (PPA)'!U58</f>
        <v>10548.341187205147</v>
      </c>
      <c r="J49" s="777"/>
      <c r="K49" s="777">
        <f>'Sweetwater (PPA)'!W58</f>
        <v>-3122.9309034870635</v>
      </c>
      <c r="L49" s="777"/>
      <c r="M49" s="777">
        <f>'Sweetwater (PPA)'!Y58</f>
        <v>-45.766488860629515</v>
      </c>
      <c r="N49" s="143"/>
      <c r="O49" s="143"/>
    </row>
    <row r="50" spans="1:15">
      <c r="A50" s="11" t="s">
        <v>17</v>
      </c>
      <c r="B50" s="11"/>
      <c r="C50" s="11" t="s">
        <v>279</v>
      </c>
      <c r="D50" s="11"/>
      <c r="E50" s="11" t="s">
        <v>184</v>
      </c>
      <c r="F50" s="772"/>
      <c r="G50" s="773">
        <f>'Top of World (PPA)'!S58</f>
        <v>41834.485142780723</v>
      </c>
      <c r="H50" s="773"/>
      <c r="I50" s="773">
        <f>'Top of World (PPA)'!U58</f>
        <v>59316.512743396423</v>
      </c>
      <c r="J50" s="773"/>
      <c r="K50" s="773">
        <f>'Top of World (PPA)'!W58</f>
        <v>-17482.0276006157</v>
      </c>
      <c r="L50" s="773"/>
      <c r="M50" s="773">
        <f>'Top of World (PPA)'!Y58</f>
        <v>-30.545912363617266</v>
      </c>
    </row>
    <row r="51" spans="1:15">
      <c r="A51" s="11" t="s">
        <v>290</v>
      </c>
      <c r="B51" s="11"/>
      <c r="C51" s="11" t="s">
        <v>279</v>
      </c>
      <c r="D51" s="11"/>
      <c r="E51" s="11" t="s">
        <v>248</v>
      </c>
      <c r="F51" s="772"/>
      <c r="G51" s="773">
        <f>'TB Flats I Wind'!S59</f>
        <v>18860.759462185975</v>
      </c>
      <c r="H51" s="773"/>
      <c r="I51" s="773">
        <f>'TB Flats I Wind'!U59</f>
        <v>52615.493781632853</v>
      </c>
      <c r="J51" s="773"/>
      <c r="K51" s="773">
        <f>'TB Flats I Wind'!W59</f>
        <v>-33754.734319446878</v>
      </c>
      <c r="L51" s="773"/>
      <c r="M51" s="773">
        <f>'TB Flats I Wind'!Y59</f>
        <v>-32.835481170434676</v>
      </c>
    </row>
    <row r="52" spans="1:15">
      <c r="A52" s="11" t="s">
        <v>291</v>
      </c>
      <c r="B52" s="11"/>
      <c r="C52" s="11" t="s">
        <v>279</v>
      </c>
      <c r="D52" s="11"/>
      <c r="E52" s="11" t="s">
        <v>248</v>
      </c>
      <c r="F52" s="772"/>
      <c r="G52" s="773">
        <f>'TB Flats II Wind'!S59</f>
        <v>8415.5931049048413</v>
      </c>
      <c r="H52" s="773"/>
      <c r="I52" s="773">
        <f>'TB Flats II Wind'!U59</f>
        <v>33074.687742292917</v>
      </c>
      <c r="J52" s="773"/>
      <c r="K52" s="773">
        <f>'TB Flats II Wind'!W59</f>
        <v>-24659.094637388065</v>
      </c>
      <c r="L52" s="773"/>
      <c r="M52" s="773">
        <f>'TB Flats II Wind'!Y59</f>
        <v>-38.332150081912332</v>
      </c>
    </row>
    <row r="53" spans="1:15">
      <c r="A53" s="11" t="s">
        <v>262</v>
      </c>
      <c r="B53" s="11"/>
      <c r="C53" s="11" t="s">
        <v>279</v>
      </c>
      <c r="D53" s="11"/>
      <c r="E53" s="11" t="s">
        <v>176</v>
      </c>
      <c r="F53" s="772"/>
      <c r="G53" s="773">
        <f>'Wolverine Creek PPA'!S50</f>
        <v>10883.36556959516</v>
      </c>
      <c r="H53" s="773"/>
      <c r="I53" s="773">
        <f>'Wolverine Creek PPA'!U50</f>
        <v>9016.4648363367778</v>
      </c>
      <c r="J53" s="773"/>
      <c r="K53" s="773">
        <f>'Wolverine Creek PPA'!W50</f>
        <v>1866.9007332583785</v>
      </c>
      <c r="L53" s="773"/>
      <c r="M53" s="773">
        <f>'Wolverine Creek PPA'!Y50</f>
        <v>10.668004190047878</v>
      </c>
    </row>
    <row r="54" spans="1:15">
      <c r="A54" s="385"/>
      <c r="B54" s="385"/>
      <c r="C54" s="385"/>
      <c r="D54" s="385"/>
      <c r="E54" s="385"/>
      <c r="F54" s="385"/>
    </row>
    <row r="66" spans="1:1">
      <c r="A66" s="723"/>
    </row>
  </sheetData>
  <autoFilter ref="A8:M53" xr:uid="{99B2D641-B65C-496C-8AE2-035B26979C1E}"/>
  <mergeCells count="1">
    <mergeCell ref="G7:M7"/>
  </mergeCells>
  <phoneticPr fontId="6" type="noConversion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2">
    <tabColor theme="0" tint="-0.249977111117893"/>
    <pageSetUpPr fitToPage="1"/>
  </sheetPr>
  <dimension ref="A1:BH92"/>
  <sheetViews>
    <sheetView topLeftCell="H62" workbookViewId="0">
      <selection activeCell="U40" sqref="U40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195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1.6</v>
      </c>
      <c r="H11" s="275"/>
      <c r="AB11" s="129" t="s">
        <v>99</v>
      </c>
      <c r="AC11" s="130"/>
      <c r="AD11" s="130"/>
      <c r="AE11" s="130"/>
      <c r="AF11" s="312">
        <f>+G11*(G12/AJ16)</f>
        <v>1.3669664617983466</v>
      </c>
      <c r="AG11" s="134"/>
      <c r="AH11" s="130" t="s">
        <v>100</v>
      </c>
      <c r="AI11" s="131"/>
      <c r="AJ11" s="174">
        <f>'(2.1)_Proxy Resources'!$N$82</f>
        <v>6.6035087719298247</v>
      </c>
      <c r="AK11" s="255"/>
      <c r="AZ11" s="129" t="s">
        <v>99</v>
      </c>
      <c r="BA11" s="130"/>
      <c r="BB11" s="130"/>
      <c r="BC11" s="130"/>
      <c r="BD11" s="312">
        <f>(AF11*AF13-G11*G19)</f>
        <v>0.31224391811604368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0.65920158980143928</v>
      </c>
      <c r="H12" s="275"/>
      <c r="AB12" s="129" t="s">
        <v>32</v>
      </c>
      <c r="AC12" s="130"/>
      <c r="AD12" s="130"/>
      <c r="AE12" s="130"/>
      <c r="AF12" s="138">
        <f>+AD66/8760/AF11</f>
        <v>0.75638624229954932</v>
      </c>
      <c r="AG12" s="134"/>
      <c r="AH12" s="124" t="s">
        <v>101</v>
      </c>
      <c r="AI12" s="125"/>
      <c r="AJ12" s="124">
        <v>2002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1999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Resources'!$O$82</f>
        <v>1.5426421100500227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39</v>
      </c>
      <c r="H14" s="275"/>
      <c r="AB14" s="129" t="s">
        <v>104</v>
      </c>
      <c r="AC14" s="130"/>
      <c r="AD14" s="130"/>
      <c r="AE14" s="130"/>
      <c r="AF14" s="141">
        <f>'(2.1)_Proxy Resources'!$H$82</f>
        <v>7163.7407912687586</v>
      </c>
      <c r="AG14" s="134"/>
      <c r="AH14" s="124"/>
      <c r="AI14" s="125"/>
      <c r="AJ14" s="174"/>
      <c r="AK14" s="255"/>
      <c r="AZ14" s="129" t="s">
        <v>105</v>
      </c>
      <c r="BA14" s="130"/>
      <c r="BB14" s="130"/>
      <c r="BC14" s="130"/>
      <c r="BD14" s="175">
        <f>'(2.1)_Proxy Resources'!$J$83</f>
        <v>482</v>
      </c>
      <c r="BE14" s="139"/>
    </row>
    <row r="15" spans="1:57" ht="12">
      <c r="A15" s="143" t="s">
        <v>196</v>
      </c>
      <c r="B15" s="272"/>
      <c r="C15" s="273" t="s">
        <v>107</v>
      </c>
      <c r="D15" s="273"/>
      <c r="E15" s="273"/>
      <c r="F15" s="273"/>
      <c r="G15" s="314">
        <f>S28*1000/(G11*1000)</f>
        <v>318.75</v>
      </c>
      <c r="H15" s="275"/>
      <c r="AB15" s="129" t="s">
        <v>197</v>
      </c>
      <c r="AC15" s="130"/>
      <c r="AD15" s="130"/>
      <c r="AE15" s="130"/>
      <c r="AF15" s="175">
        <f>'(2.1)_Proxy Resources'!$J$82</f>
        <v>625</v>
      </c>
      <c r="AG15" s="134"/>
      <c r="AH15" s="124" t="s">
        <v>145</v>
      </c>
      <c r="AI15" s="125"/>
      <c r="AJ15" s="174">
        <f>'(2.1)_Proxy Resources'!$P$82</f>
        <v>3.1491524416152528</v>
      </c>
      <c r="AK15" s="255"/>
      <c r="AZ15" s="129" t="s">
        <v>108</v>
      </c>
      <c r="BA15" s="130"/>
      <c r="BB15" s="130"/>
      <c r="BC15" s="130"/>
      <c r="BD15" s="144">
        <f>'(2.1)_Proxy Resources'!$K$83</f>
        <v>9.5899999999999999E-2</v>
      </c>
      <c r="BE15" s="139"/>
    </row>
    <row r="16" spans="1:57" ht="12">
      <c r="A16" s="143" t="s">
        <v>196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Resources'!$K$80</f>
        <v>8.6099999999999996E-2</v>
      </c>
      <c r="AG16" s="134"/>
      <c r="AH16" s="124" t="s">
        <v>110</v>
      </c>
      <c r="AI16" s="131"/>
      <c r="AJ16" s="145">
        <f>'(2.1)_Proxy Resources'!$D$82</f>
        <v>0.77157894736842092</v>
      </c>
      <c r="AK16" s="255"/>
      <c r="AZ16" s="129" t="s">
        <v>100</v>
      </c>
      <c r="BA16" s="131"/>
      <c r="BB16" s="174">
        <f>'(2.1)_Proxy Resources'!N83</f>
        <v>10.050000000000001</v>
      </c>
      <c r="BC16" s="3"/>
      <c r="BD16" s="3"/>
      <c r="BE16" s="137"/>
    </row>
    <row r="17" spans="1:60" ht="12">
      <c r="A17" s="143" t="s">
        <v>196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2002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v>7.8200000000000006E-2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v>0.65920158980143928</v>
      </c>
      <c r="H19" s="282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1999</v>
      </c>
      <c r="D28" s="6"/>
      <c r="E28" s="292">
        <f>'(2.2)_Forward_Price_Curve'!$CH$40</f>
        <v>2.5000000000000001E-2</v>
      </c>
      <c r="F28" s="6"/>
      <c r="G28" s="20">
        <v>9239.3694826569736</v>
      </c>
      <c r="H28" s="6"/>
      <c r="I28" s="316">
        <f>$G$15</f>
        <v>318.75</v>
      </c>
      <c r="J28" s="293"/>
      <c r="K28" s="293">
        <f>$G$16</f>
        <v>0</v>
      </c>
      <c r="L28" s="294"/>
      <c r="M28" s="293">
        <f>$G$17</f>
        <v>0</v>
      </c>
      <c r="N28" s="6"/>
      <c r="O28" s="295"/>
      <c r="P28" s="6"/>
      <c r="Q28" s="30"/>
      <c r="R28" s="6"/>
      <c r="S28" s="20">
        <v>510</v>
      </c>
      <c r="T28" s="6"/>
      <c r="U28" s="20">
        <f>AX28</f>
        <v>323.51601894429632</v>
      </c>
      <c r="V28" s="6"/>
      <c r="W28" s="20">
        <f>S28-U28</f>
        <v>186.48398105570368</v>
      </c>
      <c r="X28" s="6"/>
      <c r="Y28" s="296">
        <f>+W28*1000/G28</f>
        <v>20.183626318413701</v>
      </c>
      <c r="Z28" s="255"/>
      <c r="AB28" s="154">
        <f>$C$28</f>
        <v>1999</v>
      </c>
      <c r="AC28" s="124"/>
      <c r="AD28" s="159">
        <f t="shared" ref="AD28:AD62" si="0">G28</f>
        <v>9239.3694826569736</v>
      </c>
      <c r="AE28" s="3"/>
      <c r="AF28" s="247">
        <f>AF29/(1+E28)</f>
        <v>49.970255800118991</v>
      </c>
      <c r="AG28" s="297"/>
      <c r="AH28" s="247">
        <f>AH29/(1+$E28)</f>
        <v>6.1320143556174296</v>
      </c>
      <c r="AI28" s="297"/>
      <c r="AJ28" s="247">
        <f>AJ29/(1+$E28)</f>
        <v>1.4324965546524495</v>
      </c>
      <c r="AK28" s="298"/>
      <c r="AL28" s="161">
        <f>((AF28+AH28)*$AF$11*1000+AJ28*AD28)/1000</f>
        <v>89.925286684709093</v>
      </c>
      <c r="AM28" s="3"/>
      <c r="AN28" s="247">
        <f>AN29/(1+E28)</f>
        <v>3.3674848357922609</v>
      </c>
      <c r="AO28" s="310"/>
      <c r="AP28" s="162">
        <f>AN28*$AF$14/1000</f>
        <v>24.123788482143993</v>
      </c>
      <c r="AQ28" s="297"/>
      <c r="AR28" s="247">
        <f>AR29/(1+$E28)</f>
        <v>2.9243011021804128</v>
      </c>
      <c r="AS28" s="160"/>
      <c r="AT28" s="161">
        <f t="shared" ref="AT28:AT62" si="1">AL28-BF28</f>
        <v>73.608725474717488</v>
      </c>
      <c r="AU28" s="298"/>
      <c r="AV28" s="161">
        <f t="shared" ref="AV28:AV62" si="2">(AP28+AR28)*AD28/1000</f>
        <v>249.90729346957883</v>
      </c>
      <c r="AW28" s="299"/>
      <c r="AX28" s="163">
        <f>AT28+AV28</f>
        <v>323.51601894429632</v>
      </c>
      <c r="AZ28" s="154">
        <f>$C$28</f>
        <v>1999</v>
      </c>
      <c r="BA28" s="124"/>
      <c r="BB28" s="247">
        <f>BB29/(1+$E28)</f>
        <v>42.92339345047229</v>
      </c>
      <c r="BC28" s="3"/>
      <c r="BD28" s="247">
        <f t="shared" ref="BD28:BD30" si="3">BD29/(1+$E28)</f>
        <v>9.3324240797434772</v>
      </c>
      <c r="BE28" s="297"/>
      <c r="BF28" s="161">
        <f>(BB28+BD28)*$BD$11</f>
        <v>16.316561209991612</v>
      </c>
      <c r="BG28" s="297"/>
      <c r="BH28" s="164"/>
    </row>
    <row r="29" spans="1:60" ht="12">
      <c r="B29" s="2"/>
      <c r="C29" s="6">
        <f>+IF(C28&gt;$G$13+$G$14,XX,C28+1)</f>
        <v>2000</v>
      </c>
      <c r="D29" s="6"/>
      <c r="E29" s="292">
        <f>E28</f>
        <v>2.5000000000000001E-2</v>
      </c>
      <c r="F29" s="6"/>
      <c r="G29" s="20">
        <f>$G$28</f>
        <v>9239.3694826569736</v>
      </c>
      <c r="H29" s="6"/>
      <c r="I29" s="30">
        <f>I28*(1+$E29)</f>
        <v>326.71875</v>
      </c>
      <c r="J29" s="6"/>
      <c r="K29" s="30">
        <f>K28*(1+$E29)</f>
        <v>0</v>
      </c>
      <c r="L29" s="6"/>
      <c r="M29" s="30">
        <f>M28*(1+$E29)</f>
        <v>0</v>
      </c>
      <c r="N29" s="6"/>
      <c r="O29" s="295"/>
      <c r="P29" s="6"/>
      <c r="Q29" s="30"/>
      <c r="R29" s="6"/>
      <c r="S29" s="20">
        <v>0</v>
      </c>
      <c r="T29" s="6"/>
      <c r="U29" s="20">
        <f t="shared" ref="U29:U62" si="4">AX29</f>
        <v>331.60391941790374</v>
      </c>
      <c r="V29" s="6"/>
      <c r="W29" s="20">
        <f t="shared" ref="W29:W62" si="5">S29-U29</f>
        <v>-331.60391941790374</v>
      </c>
      <c r="X29" s="6"/>
      <c r="Y29" s="296">
        <f t="shared" ref="Y29:Y62" si="6">+W29*1000/G29</f>
        <v>-35.890319143568242</v>
      </c>
      <c r="Z29" s="255"/>
      <c r="AB29" s="154">
        <f>+IF(AB28&gt;$G$13+$G$14,XX,AB28+1)</f>
        <v>2000</v>
      </c>
      <c r="AC29" s="124"/>
      <c r="AD29" s="159">
        <f t="shared" si="0"/>
        <v>9239.3694826569736</v>
      </c>
      <c r="AE29" s="3"/>
      <c r="AF29" s="247">
        <f>AF30/(1+E29)</f>
        <v>51.219512195121965</v>
      </c>
      <c r="AG29" s="3"/>
      <c r="AH29" s="247">
        <f>AH30/(1+$E29)</f>
        <v>6.2853147145078649</v>
      </c>
      <c r="AI29" s="3"/>
      <c r="AJ29" s="247">
        <f>AJ30/(1+$E29)</f>
        <v>1.4683089685187607</v>
      </c>
      <c r="AK29" s="3"/>
      <c r="AL29" s="161">
        <f t="shared" ref="AL29:AL62" si="7">((AF29+AH29)*$AF$11*1000+AJ29*AD29)/1000</f>
        <v>92.17341885182681</v>
      </c>
      <c r="AM29" s="3"/>
      <c r="AN29" s="247">
        <f>AN30/(1+E29)</f>
        <v>3.4516719566870671</v>
      </c>
      <c r="AO29" s="3"/>
      <c r="AP29" s="162">
        <f t="shared" ref="AP29:AP62" si="8">AN29*$AF$14/1000</f>
        <v>24.726883194197594</v>
      </c>
      <c r="AQ29" s="3"/>
      <c r="AR29" s="247">
        <f>AR30/(1+$E29)</f>
        <v>2.9974086297349229</v>
      </c>
      <c r="AS29" s="162"/>
      <c r="AT29" s="161">
        <f t="shared" si="1"/>
        <v>75.448943611585406</v>
      </c>
      <c r="AU29" s="3"/>
      <c r="AV29" s="161">
        <f t="shared" si="2"/>
        <v>256.15497580631836</v>
      </c>
      <c r="AW29" s="299"/>
      <c r="AX29" s="163">
        <f t="shared" ref="AX29:AX62" si="9">AT29+AV29</f>
        <v>331.60391941790374</v>
      </c>
      <c r="AZ29" s="154">
        <f>+IF(AZ28&gt;$G$13+$G$14,XX,AZ28+1)</f>
        <v>2000</v>
      </c>
      <c r="BA29" s="124"/>
      <c r="BB29" s="247">
        <f>BB30/(1+$E29)</f>
        <v>43.996478286734096</v>
      </c>
      <c r="BC29" s="3"/>
      <c r="BD29" s="247">
        <f t="shared" si="3"/>
        <v>9.5657346817370641</v>
      </c>
      <c r="BE29" s="3"/>
      <c r="BF29" s="161">
        <f t="shared" ref="BF29:BF62" si="10">(BB29+BD29)*$BD$11</f>
        <v>16.7244752402414</v>
      </c>
      <c r="BG29" s="3"/>
      <c r="BH29" s="165"/>
    </row>
    <row r="30" spans="1:60" ht="12">
      <c r="B30" s="2"/>
      <c r="C30" s="6">
        <f>+IF(C29&gt;$G$13+$G$14,XX,C29+1)</f>
        <v>2001</v>
      </c>
      <c r="D30" s="6"/>
      <c r="E30" s="292">
        <f t="shared" ref="E30:E62" si="11">E29</f>
        <v>2.5000000000000001E-2</v>
      </c>
      <c r="F30" s="6"/>
      <c r="G30" s="20">
        <f t="shared" ref="G30:G62" si="12">$G$28</f>
        <v>9239.3694826569736</v>
      </c>
      <c r="H30" s="6"/>
      <c r="I30" s="30">
        <f t="shared" ref="I30:I62" si="13">I29*(1+$E30)</f>
        <v>334.88671874999994</v>
      </c>
      <c r="J30" s="6"/>
      <c r="K30" s="30">
        <f t="shared" ref="K30:K62" si="14">K29*(1+$E30)</f>
        <v>0</v>
      </c>
      <c r="L30" s="6"/>
      <c r="M30" s="30">
        <f t="shared" ref="M30:M62" si="15">M29*(1+$E30)</f>
        <v>0</v>
      </c>
      <c r="N30" s="6"/>
      <c r="O30" s="295"/>
      <c r="P30" s="6"/>
      <c r="Q30" s="30"/>
      <c r="R30" s="6"/>
      <c r="S30" s="20">
        <v>0</v>
      </c>
      <c r="T30" s="6"/>
      <c r="U30" s="20">
        <f t="shared" si="4"/>
        <v>339.89401740335137</v>
      </c>
      <c r="V30" s="6"/>
      <c r="W30" s="20">
        <f t="shared" si="5"/>
        <v>-339.89401740335137</v>
      </c>
      <c r="X30" s="6"/>
      <c r="Y30" s="296">
        <f t="shared" si="6"/>
        <v>-36.787577122157451</v>
      </c>
      <c r="Z30" s="255"/>
      <c r="AB30" s="154">
        <f>+IF(AB29&gt;$G$13+$G$14,XX,AB29+1)</f>
        <v>2001</v>
      </c>
      <c r="AC30" s="124"/>
      <c r="AD30" s="159">
        <f t="shared" si="0"/>
        <v>9239.3694826569736</v>
      </c>
      <c r="AE30" s="3"/>
      <c r="AF30" s="247">
        <f>AF31/(1+$E30)</f>
        <v>52.500000000000007</v>
      </c>
      <c r="AG30" s="3"/>
      <c r="AH30" s="247">
        <f>AH31/(1+$E30)</f>
        <v>6.4424475823705611</v>
      </c>
      <c r="AI30" s="3"/>
      <c r="AJ30" s="247">
        <f>AJ31/(1+$E30)</f>
        <v>1.5050166927317297</v>
      </c>
      <c r="AK30" s="3"/>
      <c r="AL30" s="161">
        <f t="shared" si="7"/>
        <v>94.477754323122468</v>
      </c>
      <c r="AM30" s="3"/>
      <c r="AN30" s="247">
        <f>AN31/(1+E30)</f>
        <v>3.5379637556042436</v>
      </c>
      <c r="AO30" s="3"/>
      <c r="AP30" s="162">
        <f t="shared" si="8"/>
        <v>25.345055274052534</v>
      </c>
      <c r="AQ30" s="3"/>
      <c r="AR30" s="247">
        <f>AR31/(1+$E30)</f>
        <v>3.0723438454782959</v>
      </c>
      <c r="AS30" s="162"/>
      <c r="AT30" s="161">
        <f t="shared" si="1"/>
        <v>77.335167201875038</v>
      </c>
      <c r="AU30" s="3"/>
      <c r="AV30" s="161">
        <f t="shared" si="2"/>
        <v>262.55885020147633</v>
      </c>
      <c r="AW30" s="299"/>
      <c r="AX30" s="163">
        <f t="shared" si="9"/>
        <v>339.89401740335137</v>
      </c>
      <c r="AZ30" s="154">
        <f>+IF(AZ29&gt;$G$13+$G$14,XX,AZ29+1)</f>
        <v>2001</v>
      </c>
      <c r="BA30" s="124"/>
      <c r="BB30" s="247">
        <f>BB31/(1+$E30)</f>
        <v>45.096390243902441</v>
      </c>
      <c r="BC30" s="3"/>
      <c r="BD30" s="247">
        <f t="shared" si="3"/>
        <v>9.8048780487804894</v>
      </c>
      <c r="BE30" s="3"/>
      <c r="BF30" s="161">
        <f t="shared" si="10"/>
        <v>17.142587121247434</v>
      </c>
      <c r="BG30" s="3"/>
      <c r="BH30" s="165"/>
    </row>
    <row r="31" spans="1:60" ht="12">
      <c r="B31" s="2"/>
      <c r="C31" s="6">
        <f>+IF(C30&gt;$G$13+$G$14,XX,C30+1)</f>
        <v>2002</v>
      </c>
      <c r="D31" s="6"/>
      <c r="E31" s="292">
        <f t="shared" si="11"/>
        <v>2.5000000000000001E-2</v>
      </c>
      <c r="F31" s="6"/>
      <c r="G31" s="20">
        <f t="shared" si="12"/>
        <v>9239.3694826569736</v>
      </c>
      <c r="H31" s="6"/>
      <c r="I31" s="30">
        <f t="shared" si="13"/>
        <v>343.25888671874992</v>
      </c>
      <c r="J31" s="6"/>
      <c r="K31" s="30">
        <f t="shared" si="14"/>
        <v>0</v>
      </c>
      <c r="L31" s="6"/>
      <c r="M31" s="30">
        <f t="shared" si="15"/>
        <v>0</v>
      </c>
      <c r="N31" s="6"/>
      <c r="O31" s="295"/>
      <c r="P31" s="6"/>
      <c r="Q31" s="30"/>
      <c r="R31" s="6"/>
      <c r="S31" s="20">
        <v>0</v>
      </c>
      <c r="T31" s="6"/>
      <c r="U31" s="20">
        <f t="shared" si="4"/>
        <v>348.39136783843503</v>
      </c>
      <c r="V31" s="6"/>
      <c r="W31" s="20">
        <f t="shared" si="5"/>
        <v>-348.39136783843503</v>
      </c>
      <c r="X31" s="6"/>
      <c r="Y31" s="296">
        <f t="shared" si="6"/>
        <v>-37.707266550211372</v>
      </c>
      <c r="Z31" s="255"/>
      <c r="AB31" s="154">
        <f>+IF(AB30&gt;$G$13+$G$14,XX,AB30+1)</f>
        <v>2002</v>
      </c>
      <c r="AC31" s="124"/>
      <c r="AD31" s="159">
        <f t="shared" si="0"/>
        <v>9239.3694826569736</v>
      </c>
      <c r="AE31" s="3"/>
      <c r="AF31" s="160">
        <f>$AF$15*$AF$16</f>
        <v>53.8125</v>
      </c>
      <c r="AG31" s="3"/>
      <c r="AH31" s="160">
        <f>$AJ$11</f>
        <v>6.6035087719298247</v>
      </c>
      <c r="AI31" s="3"/>
      <c r="AJ31" s="160">
        <f>$AJ$13</f>
        <v>1.5426421100500227</v>
      </c>
      <c r="AK31" s="3"/>
      <c r="AL31" s="161">
        <f t="shared" si="7"/>
        <v>96.839698181200504</v>
      </c>
      <c r="AM31" s="3"/>
      <c r="AN31" s="247">
        <f>AN32/(1+E31)</f>
        <v>3.6264128494943493</v>
      </c>
      <c r="AO31" s="3"/>
      <c r="AP31" s="162">
        <f t="shared" si="8"/>
        <v>25.978681655903841</v>
      </c>
      <c r="AQ31" s="3"/>
      <c r="AR31" s="160">
        <f>$AJ$15</f>
        <v>3.1491524416152528</v>
      </c>
      <c r="AS31" s="162"/>
      <c r="AT31" s="161">
        <f t="shared" si="1"/>
        <v>79.26854638192188</v>
      </c>
      <c r="AU31" s="3"/>
      <c r="AV31" s="161">
        <f t="shared" si="2"/>
        <v>269.12282145651312</v>
      </c>
      <c r="AW31" s="299"/>
      <c r="AX31" s="163">
        <f t="shared" si="9"/>
        <v>348.39136783843503</v>
      </c>
      <c r="AZ31" s="154">
        <f>+IF(AZ30&gt;$G$13+$G$14,XX,AZ30+1)</f>
        <v>2002</v>
      </c>
      <c r="BA31" s="124"/>
      <c r="BB31" s="160">
        <f>$BD$14*$BD$15</f>
        <v>46.223799999999997</v>
      </c>
      <c r="BC31" s="3"/>
      <c r="BD31" s="160">
        <f>$BB$16</f>
        <v>10.050000000000001</v>
      </c>
      <c r="BE31" s="3"/>
      <c r="BF31" s="161">
        <f t="shared" si="10"/>
        <v>17.571151799278617</v>
      </c>
      <c r="BG31" s="3"/>
      <c r="BH31" s="165"/>
    </row>
    <row r="32" spans="1:60" ht="12">
      <c r="B32" s="2"/>
      <c r="C32" s="6">
        <f>+IF(C31&gt;$G$13+$G$14,XX,C31+1)</f>
        <v>2003</v>
      </c>
      <c r="D32" s="6"/>
      <c r="E32" s="292">
        <f t="shared" si="11"/>
        <v>2.5000000000000001E-2</v>
      </c>
      <c r="F32" s="6"/>
      <c r="G32" s="20">
        <f t="shared" si="12"/>
        <v>9239.3694826569736</v>
      </c>
      <c r="H32" s="6"/>
      <c r="I32" s="30">
        <f t="shared" si="13"/>
        <v>351.84035888671866</v>
      </c>
      <c r="J32" s="6"/>
      <c r="K32" s="30">
        <f t="shared" si="14"/>
        <v>0</v>
      </c>
      <c r="L32" s="6"/>
      <c r="M32" s="30">
        <f t="shared" si="15"/>
        <v>0</v>
      </c>
      <c r="N32" s="6"/>
      <c r="O32" s="295"/>
      <c r="P32" s="6"/>
      <c r="Q32" s="30"/>
      <c r="R32" s="6"/>
      <c r="S32" s="20">
        <v>0</v>
      </c>
      <c r="T32" s="6"/>
      <c r="U32" s="20">
        <f t="shared" si="4"/>
        <v>357.10115203439591</v>
      </c>
      <c r="V32" s="6"/>
      <c r="W32" s="20">
        <f t="shared" si="5"/>
        <v>-357.10115203439591</v>
      </c>
      <c r="X32" s="6"/>
      <c r="Y32" s="296">
        <f t="shared" si="6"/>
        <v>-38.649948213966653</v>
      </c>
      <c r="Z32" s="255"/>
      <c r="AB32" s="154">
        <f>+IF(AB31&gt;$G$13+$G$14,XX,AB31+1)</f>
        <v>2003</v>
      </c>
      <c r="AC32" s="124"/>
      <c r="AD32" s="159">
        <f t="shared" si="0"/>
        <v>9239.3694826569736</v>
      </c>
      <c r="AE32" s="3"/>
      <c r="AF32" s="162">
        <f t="shared" ref="AF32:AF62" si="16">AF31*(1+$E32)</f>
        <v>55.157812499999999</v>
      </c>
      <c r="AG32" s="3"/>
      <c r="AH32" s="162">
        <f t="shared" ref="AH32:AH62" si="17">AH31*(1+$E32)</f>
        <v>6.7685964912280694</v>
      </c>
      <c r="AI32" s="3"/>
      <c r="AJ32" s="162">
        <f t="shared" ref="AJ32:AJ62" si="18">AJ31*(1+$E32)</f>
        <v>1.5812081628012731</v>
      </c>
      <c r="AK32" s="3"/>
      <c r="AL32" s="161">
        <f t="shared" si="7"/>
        <v>99.260690635730526</v>
      </c>
      <c r="AM32" s="3"/>
      <c r="AN32" s="162">
        <f>INDEX('(2.2)_Forward_Price_Curve'!$I:$I,MATCH($AB32,'(2.2)_Forward_Price_Curve'!$C:$C,0),1)</f>
        <v>3.7170731707317075</v>
      </c>
      <c r="AO32" s="3"/>
      <c r="AP32" s="162">
        <f t="shared" si="8"/>
        <v>26.628148697301437</v>
      </c>
      <c r="AQ32" s="3"/>
      <c r="AR32" s="162">
        <f t="shared" ref="AR32:AR62" si="19">AR31*(1+$E32)</f>
        <v>3.2278812526556337</v>
      </c>
      <c r="AS32" s="162"/>
      <c r="AT32" s="161">
        <f t="shared" si="1"/>
        <v>81.250260041469943</v>
      </c>
      <c r="AU32" s="3"/>
      <c r="AV32" s="161">
        <f t="shared" si="2"/>
        <v>275.85089199292594</v>
      </c>
      <c r="AW32" s="299"/>
      <c r="AX32" s="163">
        <f t="shared" si="9"/>
        <v>357.10115203439591</v>
      </c>
      <c r="AZ32" s="154">
        <f>+IF(AZ31&gt;$G$13+$G$14,XX,AZ31+1)</f>
        <v>2003</v>
      </c>
      <c r="BA32" s="124"/>
      <c r="BB32" s="162">
        <f t="shared" ref="BB32:BB62" si="20">BB31*(1+$E32)</f>
        <v>47.379394999999995</v>
      </c>
      <c r="BC32" s="3"/>
      <c r="BD32" s="162">
        <f t="shared" ref="BD32:BD62" si="21">BD31*(1+$E32)</f>
        <v>10.30125</v>
      </c>
      <c r="BE32" s="3"/>
      <c r="BF32" s="161">
        <f t="shared" si="10"/>
        <v>18.010430594260583</v>
      </c>
      <c r="BG32" s="3"/>
      <c r="BH32" s="165"/>
    </row>
    <row r="33" spans="2:60" ht="12">
      <c r="B33" s="2"/>
      <c r="C33" s="6">
        <f>+IF(C32&gt;$G$13+$G$14,XX,C32+1)</f>
        <v>2004</v>
      </c>
      <c r="D33" s="6"/>
      <c r="E33" s="292">
        <f t="shared" si="11"/>
        <v>2.5000000000000001E-2</v>
      </c>
      <c r="F33" s="6"/>
      <c r="G33" s="20">
        <f t="shared" si="12"/>
        <v>9239.3694826569736</v>
      </c>
      <c r="H33" s="6"/>
      <c r="I33" s="30">
        <f t="shared" si="13"/>
        <v>360.63636785888662</v>
      </c>
      <c r="J33" s="6"/>
      <c r="K33" s="30">
        <f t="shared" si="14"/>
        <v>0</v>
      </c>
      <c r="L33" s="6"/>
      <c r="M33" s="30">
        <f t="shared" si="15"/>
        <v>0</v>
      </c>
      <c r="N33" s="6"/>
      <c r="O33" s="295"/>
      <c r="P33" s="6"/>
      <c r="Q33" s="30"/>
      <c r="R33" s="6"/>
      <c r="S33" s="20">
        <v>0</v>
      </c>
      <c r="T33" s="6"/>
      <c r="U33" s="20">
        <f t="shared" si="4"/>
        <v>366.02868083525573</v>
      </c>
      <c r="V33" s="6"/>
      <c r="W33" s="20">
        <f t="shared" si="5"/>
        <v>-366.02868083525573</v>
      </c>
      <c r="X33" s="6"/>
      <c r="Y33" s="296">
        <f t="shared" si="6"/>
        <v>-39.616196919315811</v>
      </c>
      <c r="Z33" s="255"/>
      <c r="AB33" s="154">
        <f>+IF(AB32&gt;$G$13+$G$14,XX,AB32+1)</f>
        <v>2004</v>
      </c>
      <c r="AC33" s="124"/>
      <c r="AD33" s="159">
        <f t="shared" si="0"/>
        <v>9239.3694826569736</v>
      </c>
      <c r="AE33" s="3"/>
      <c r="AF33" s="162">
        <f t="shared" si="16"/>
        <v>56.536757812499992</v>
      </c>
      <c r="AG33" s="3"/>
      <c r="AH33" s="162">
        <f t="shared" si="17"/>
        <v>6.9378114035087703</v>
      </c>
      <c r="AI33" s="3"/>
      <c r="AJ33" s="162">
        <f t="shared" si="18"/>
        <v>1.6207383668713047</v>
      </c>
      <c r="AK33" s="3"/>
      <c r="AL33" s="161">
        <f t="shared" si="7"/>
        <v>101.74220790162379</v>
      </c>
      <c r="AM33" s="3"/>
      <c r="AN33" s="162">
        <f>INDEX('(2.2)_Forward_Price_Curve'!$I:$I,MATCH($AB33,'(2.2)_Forward_Price_Curve'!$C:$C,0),1)</f>
        <v>3.81</v>
      </c>
      <c r="AO33" s="3"/>
      <c r="AP33" s="162">
        <f t="shared" si="8"/>
        <v>27.293852414733969</v>
      </c>
      <c r="AQ33" s="3"/>
      <c r="AR33" s="162">
        <f t="shared" si="19"/>
        <v>3.3085782839720244</v>
      </c>
      <c r="AS33" s="162"/>
      <c r="AT33" s="161">
        <f t="shared" si="1"/>
        <v>83.281516542506694</v>
      </c>
      <c r="AU33" s="3"/>
      <c r="AV33" s="161">
        <f t="shared" si="2"/>
        <v>282.74716429274906</v>
      </c>
      <c r="AW33" s="299"/>
      <c r="AX33" s="163">
        <f t="shared" si="9"/>
        <v>366.02868083525573</v>
      </c>
      <c r="AZ33" s="154">
        <f>+IF(AZ32&gt;$G$13+$G$14,XX,AZ32+1)</f>
        <v>2004</v>
      </c>
      <c r="BA33" s="124"/>
      <c r="BB33" s="162">
        <f t="shared" si="20"/>
        <v>48.563879874999991</v>
      </c>
      <c r="BC33" s="3"/>
      <c r="BD33" s="162">
        <f t="shared" si="21"/>
        <v>10.558781249999999</v>
      </c>
      <c r="BE33" s="3"/>
      <c r="BF33" s="161">
        <f t="shared" si="10"/>
        <v>18.460691359117096</v>
      </c>
      <c r="BG33" s="3"/>
      <c r="BH33" s="165"/>
    </row>
    <row r="34" spans="2:60" ht="12">
      <c r="B34" s="2"/>
      <c r="C34" s="6">
        <f>+IF(C33&gt;$G$13+$G$14,XX,C33+1)</f>
        <v>2005</v>
      </c>
      <c r="D34" s="6"/>
      <c r="E34" s="292">
        <f t="shared" si="11"/>
        <v>2.5000000000000001E-2</v>
      </c>
      <c r="F34" s="6"/>
      <c r="G34" s="20">
        <f t="shared" si="12"/>
        <v>9239.3694826569736</v>
      </c>
      <c r="H34" s="6"/>
      <c r="I34" s="30">
        <f t="shared" si="13"/>
        <v>369.65227705535875</v>
      </c>
      <c r="J34" s="6"/>
      <c r="K34" s="30">
        <f t="shared" si="14"/>
        <v>0</v>
      </c>
      <c r="L34" s="6"/>
      <c r="M34" s="30">
        <f t="shared" si="15"/>
        <v>0</v>
      </c>
      <c r="N34" s="6"/>
      <c r="O34" s="295"/>
      <c r="P34" s="6"/>
      <c r="Q34" s="30"/>
      <c r="R34" s="6"/>
      <c r="S34" s="20">
        <v>0</v>
      </c>
      <c r="T34" s="6"/>
      <c r="U34" s="20">
        <f t="shared" si="4"/>
        <v>378.80321538679323</v>
      </c>
      <c r="V34" s="6"/>
      <c r="W34" s="20">
        <f t="shared" si="5"/>
        <v>-378.80321538679323</v>
      </c>
      <c r="X34" s="6"/>
      <c r="Y34" s="296">
        <f t="shared" si="6"/>
        <v>-40.998816650620675</v>
      </c>
      <c r="Z34" s="255"/>
      <c r="AB34" s="154">
        <f>+IF(AB33&gt;$G$13+$G$14,XX,AB33+1)</f>
        <v>2005</v>
      </c>
      <c r="AC34" s="124"/>
      <c r="AD34" s="159">
        <f t="shared" si="0"/>
        <v>9239.3694826569736</v>
      </c>
      <c r="AE34" s="3"/>
      <c r="AF34" s="162">
        <f t="shared" si="16"/>
        <v>57.950176757812486</v>
      </c>
      <c r="AG34" s="3"/>
      <c r="AH34" s="162">
        <f t="shared" si="17"/>
        <v>7.1112566885964892</v>
      </c>
      <c r="AI34" s="3"/>
      <c r="AJ34" s="162">
        <f t="shared" si="18"/>
        <v>1.6612568260430871</v>
      </c>
      <c r="AK34" s="3"/>
      <c r="AL34" s="161">
        <f t="shared" si="7"/>
        <v>104.28576309916436</v>
      </c>
      <c r="AM34" s="3"/>
      <c r="AN34" s="162">
        <f>INDEX('(2.2)_Forward_Price_Curve'!$I:$I,MATCH($AB34,'(2.2)_Forward_Price_Curve'!$C:$C,0),1)</f>
        <v>3.96</v>
      </c>
      <c r="AO34" s="3"/>
      <c r="AP34" s="162">
        <f t="shared" si="8"/>
        <v>28.368413533424281</v>
      </c>
      <c r="AQ34" s="3"/>
      <c r="AR34" s="162">
        <f t="shared" si="19"/>
        <v>3.3912927410713247</v>
      </c>
      <c r="AS34" s="162"/>
      <c r="AT34" s="161">
        <f t="shared" si="1"/>
        <v>85.363554456069338</v>
      </c>
      <c r="AU34" s="3"/>
      <c r="AV34" s="161">
        <f t="shared" si="2"/>
        <v>293.4396609307239</v>
      </c>
      <c r="AW34" s="299"/>
      <c r="AX34" s="163">
        <f t="shared" si="9"/>
        <v>378.80321538679323</v>
      </c>
      <c r="AZ34" s="154">
        <f>+IF(AZ33&gt;$G$13+$G$14,XX,AZ33+1)</f>
        <v>2005</v>
      </c>
      <c r="BA34" s="124"/>
      <c r="BB34" s="162">
        <f t="shared" si="20"/>
        <v>49.777976871874984</v>
      </c>
      <c r="BC34" s="3"/>
      <c r="BD34" s="162">
        <f t="shared" si="21"/>
        <v>10.822750781249999</v>
      </c>
      <c r="BE34" s="3"/>
      <c r="BF34" s="161">
        <f t="shared" si="10"/>
        <v>18.922208643095022</v>
      </c>
      <c r="BG34" s="3"/>
      <c r="BH34" s="165"/>
    </row>
    <row r="35" spans="2:60" ht="12">
      <c r="B35" s="2"/>
      <c r="C35" s="6">
        <f>+IF(C34&gt;$G$13+$G$14,XX,C34+1)</f>
        <v>2006</v>
      </c>
      <c r="D35" s="6"/>
      <c r="E35" s="292">
        <f t="shared" si="11"/>
        <v>2.5000000000000001E-2</v>
      </c>
      <c r="F35" s="6"/>
      <c r="G35" s="20">
        <f t="shared" si="12"/>
        <v>9239.3694826569736</v>
      </c>
      <c r="H35" s="6"/>
      <c r="I35" s="30">
        <f t="shared" si="13"/>
        <v>378.89358398174267</v>
      </c>
      <c r="J35" s="6"/>
      <c r="K35" s="30">
        <f t="shared" si="14"/>
        <v>0</v>
      </c>
      <c r="L35" s="6"/>
      <c r="M35" s="30">
        <f t="shared" si="15"/>
        <v>0</v>
      </c>
      <c r="N35" s="6"/>
      <c r="O35" s="295"/>
      <c r="P35" s="6"/>
      <c r="Q35" s="30"/>
      <c r="R35" s="6"/>
      <c r="S35" s="20">
        <v>0</v>
      </c>
      <c r="T35" s="6"/>
      <c r="U35" s="20">
        <f t="shared" si="4"/>
        <v>384.36817733660075</v>
      </c>
      <c r="V35" s="6"/>
      <c r="W35" s="20">
        <f t="shared" si="5"/>
        <v>-384.36817733660075</v>
      </c>
      <c r="X35" s="6"/>
      <c r="Y35" s="296">
        <f t="shared" si="6"/>
        <v>-41.601126360201327</v>
      </c>
      <c r="Z35" s="255"/>
      <c r="AB35" s="154">
        <f>+IF(AB34&gt;$G$13+$G$14,XX,AB34+1)</f>
        <v>2006</v>
      </c>
      <c r="AC35" s="124"/>
      <c r="AD35" s="159">
        <f t="shared" si="0"/>
        <v>9239.3694826569736</v>
      </c>
      <c r="AE35" s="3"/>
      <c r="AF35" s="162">
        <f t="shared" si="16"/>
        <v>59.398931176757792</v>
      </c>
      <c r="AG35" s="3"/>
      <c r="AH35" s="162">
        <f t="shared" si="17"/>
        <v>7.2890381058114011</v>
      </c>
      <c r="AI35" s="3"/>
      <c r="AJ35" s="162">
        <f t="shared" si="18"/>
        <v>1.7027882466941642</v>
      </c>
      <c r="AK35" s="3"/>
      <c r="AL35" s="161">
        <f t="shared" si="7"/>
        <v>106.89290717664346</v>
      </c>
      <c r="AM35" s="3"/>
      <c r="AN35" s="162">
        <f>INDEX('(2.2)_Forward_Price_Curve'!$I:$I,MATCH($AB35,'(2.2)_Forward_Price_Curve'!$C:$C,0),1)</f>
        <v>4</v>
      </c>
      <c r="AO35" s="3"/>
      <c r="AP35" s="162">
        <f t="shared" si="8"/>
        <v>28.654963165075035</v>
      </c>
      <c r="AQ35" s="3"/>
      <c r="AR35" s="162">
        <f t="shared" si="19"/>
        <v>3.4760750595981076</v>
      </c>
      <c r="AS35" s="162"/>
      <c r="AT35" s="161">
        <f t="shared" si="1"/>
        <v>87.497643317471073</v>
      </c>
      <c r="AU35" s="3"/>
      <c r="AV35" s="161">
        <f t="shared" si="2"/>
        <v>296.87053401912971</v>
      </c>
      <c r="AW35" s="299"/>
      <c r="AX35" s="163">
        <f t="shared" si="9"/>
        <v>384.36817733660075</v>
      </c>
      <c r="AZ35" s="154">
        <f>+IF(AZ34&gt;$G$13+$G$14,XX,AZ34+1)</f>
        <v>2006</v>
      </c>
      <c r="BA35" s="124"/>
      <c r="BB35" s="162">
        <f t="shared" si="20"/>
        <v>51.022426293671856</v>
      </c>
      <c r="BC35" s="3"/>
      <c r="BD35" s="162">
        <f t="shared" si="21"/>
        <v>11.093319550781247</v>
      </c>
      <c r="BE35" s="3"/>
      <c r="BF35" s="161">
        <f t="shared" si="10"/>
        <v>19.395263859172395</v>
      </c>
      <c r="BG35" s="3"/>
      <c r="BH35" s="165"/>
    </row>
    <row r="36" spans="2:60" ht="12">
      <c r="B36" s="2"/>
      <c r="C36" s="6">
        <f>+IF(C35&gt;$G$13+$G$14,XX,C35+1)</f>
        <v>2007</v>
      </c>
      <c r="D36" s="6"/>
      <c r="E36" s="292">
        <f t="shared" si="11"/>
        <v>2.5000000000000001E-2</v>
      </c>
      <c r="F36" s="6"/>
      <c r="G36" s="20">
        <f t="shared" si="12"/>
        <v>9239.3694826569736</v>
      </c>
      <c r="H36" s="6"/>
      <c r="I36" s="30">
        <f t="shared" si="13"/>
        <v>388.36592358128621</v>
      </c>
      <c r="J36" s="6"/>
      <c r="K36" s="30">
        <f t="shared" si="14"/>
        <v>0</v>
      </c>
      <c r="L36" s="6"/>
      <c r="M36" s="30">
        <f t="shared" si="15"/>
        <v>0</v>
      </c>
      <c r="N36" s="6"/>
      <c r="O36" s="295"/>
      <c r="P36" s="6"/>
      <c r="Q36" s="30"/>
      <c r="R36" s="6"/>
      <c r="S36" s="20">
        <v>0</v>
      </c>
      <c r="T36" s="6"/>
      <c r="U36" s="20">
        <f t="shared" si="4"/>
        <v>401.91999553583747</v>
      </c>
      <c r="V36" s="6"/>
      <c r="W36" s="20">
        <f t="shared" si="5"/>
        <v>-401.91999553583747</v>
      </c>
      <c r="X36" s="6"/>
      <c r="Y36" s="296">
        <f t="shared" si="6"/>
        <v>-43.500803414158625</v>
      </c>
      <c r="Z36" s="255"/>
      <c r="AB36" s="154">
        <f>+IF(AB35&gt;$G$13+$G$14,XX,AB35+1)</f>
        <v>2007</v>
      </c>
      <c r="AC36" s="124"/>
      <c r="AD36" s="159">
        <f t="shared" si="0"/>
        <v>9239.3694826569736</v>
      </c>
      <c r="AE36" s="3"/>
      <c r="AF36" s="162">
        <f t="shared" si="16"/>
        <v>60.88390445617673</v>
      </c>
      <c r="AG36" s="3"/>
      <c r="AH36" s="162">
        <f t="shared" si="17"/>
        <v>7.4712640584566854</v>
      </c>
      <c r="AI36" s="3"/>
      <c r="AJ36" s="162">
        <f t="shared" si="18"/>
        <v>1.7453579528615182</v>
      </c>
      <c r="AK36" s="3"/>
      <c r="AL36" s="161">
        <f t="shared" si="7"/>
        <v>109.56522985605953</v>
      </c>
      <c r="AM36" s="3"/>
      <c r="AN36" s="162">
        <f>INDEX('(2.2)_Forward_Price_Curve'!$I:$I,MATCH($AB36,'(2.2)_Forward_Price_Curve'!$C:$C,0),1)</f>
        <v>4.22</v>
      </c>
      <c r="AO36" s="3"/>
      <c r="AP36" s="162">
        <f t="shared" si="8"/>
        <v>30.230986139154162</v>
      </c>
      <c r="AQ36" s="3"/>
      <c r="AR36" s="162">
        <f t="shared" si="19"/>
        <v>3.5629769360880599</v>
      </c>
      <c r="AS36" s="162"/>
      <c r="AT36" s="161">
        <f t="shared" si="1"/>
        <v>89.685084400407831</v>
      </c>
      <c r="AU36" s="3"/>
      <c r="AV36" s="161">
        <f t="shared" si="2"/>
        <v>312.23491113542963</v>
      </c>
      <c r="AW36" s="299"/>
      <c r="AX36" s="163">
        <f t="shared" si="9"/>
        <v>401.91999553583747</v>
      </c>
      <c r="AZ36" s="154">
        <f>+IF(AZ35&gt;$G$13+$G$14,XX,AZ35+1)</f>
        <v>2007</v>
      </c>
      <c r="BA36" s="124"/>
      <c r="BB36" s="162">
        <f t="shared" si="20"/>
        <v>52.297986951013648</v>
      </c>
      <c r="BC36" s="3"/>
      <c r="BD36" s="162">
        <f t="shared" si="21"/>
        <v>11.370652539550777</v>
      </c>
      <c r="BE36" s="3"/>
      <c r="BF36" s="161">
        <f t="shared" si="10"/>
        <v>19.880145455651704</v>
      </c>
      <c r="BG36" s="3"/>
      <c r="BH36" s="165"/>
    </row>
    <row r="37" spans="2:60" ht="12">
      <c r="B37" s="2"/>
      <c r="C37" s="6">
        <f>+IF(C36&gt;$G$13+$G$14,XX,C36+1)</f>
        <v>2008</v>
      </c>
      <c r="D37" s="6"/>
      <c r="E37" s="292">
        <f t="shared" si="11"/>
        <v>2.5000000000000001E-2</v>
      </c>
      <c r="F37" s="6"/>
      <c r="G37" s="20">
        <f t="shared" si="12"/>
        <v>9239.3694826569736</v>
      </c>
      <c r="H37" s="6"/>
      <c r="I37" s="30">
        <f t="shared" si="13"/>
        <v>398.07507167081832</v>
      </c>
      <c r="J37" s="6"/>
      <c r="K37" s="30">
        <f t="shared" si="14"/>
        <v>0</v>
      </c>
      <c r="L37" s="6"/>
      <c r="M37" s="30">
        <f t="shared" si="15"/>
        <v>0</v>
      </c>
      <c r="N37" s="6"/>
      <c r="O37" s="295"/>
      <c r="P37" s="6"/>
      <c r="Q37" s="30"/>
      <c r="R37" s="6"/>
      <c r="S37" s="20">
        <v>0</v>
      </c>
      <c r="T37" s="6"/>
      <c r="U37" s="20">
        <f t="shared" si="4"/>
        <v>418.22280376481785</v>
      </c>
      <c r="V37" s="6"/>
      <c r="W37" s="20">
        <f t="shared" si="5"/>
        <v>-418.22280376481785</v>
      </c>
      <c r="X37" s="6"/>
      <c r="Y37" s="296">
        <f t="shared" si="6"/>
        <v>-45.265297004287476</v>
      </c>
      <c r="Z37" s="255"/>
      <c r="AB37" s="154">
        <f>+IF(AB36&gt;$G$13+$G$14,XX,AB36+1)</f>
        <v>2008</v>
      </c>
      <c r="AC37" s="124"/>
      <c r="AD37" s="159">
        <f t="shared" si="0"/>
        <v>9239.3694826569736</v>
      </c>
      <c r="AE37" s="3"/>
      <c r="AF37" s="162">
        <f t="shared" si="16"/>
        <v>62.406002067581142</v>
      </c>
      <c r="AG37" s="3"/>
      <c r="AH37" s="162">
        <f t="shared" si="17"/>
        <v>7.6580456599181019</v>
      </c>
      <c r="AI37" s="3"/>
      <c r="AJ37" s="162">
        <f t="shared" si="18"/>
        <v>1.788991901683056</v>
      </c>
      <c r="AK37" s="3"/>
      <c r="AL37" s="161">
        <f t="shared" si="7"/>
        <v>112.30436060246103</v>
      </c>
      <c r="AM37" s="3"/>
      <c r="AN37" s="162">
        <f>INDEX('(2.2)_Forward_Price_Curve'!$I:$I,MATCH($AB37,'(2.2)_Forward_Price_Curve'!$C:$C,0),1)</f>
        <v>4.42</v>
      </c>
      <c r="AO37" s="3"/>
      <c r="AP37" s="162">
        <f t="shared" si="8"/>
        <v>31.66373429740791</v>
      </c>
      <c r="AQ37" s="3"/>
      <c r="AR37" s="162">
        <f t="shared" si="19"/>
        <v>3.6520513594902613</v>
      </c>
      <c r="AS37" s="162"/>
      <c r="AT37" s="161">
        <f t="shared" si="1"/>
        <v>91.927211510418033</v>
      </c>
      <c r="AU37" s="3"/>
      <c r="AV37" s="161">
        <f t="shared" si="2"/>
        <v>326.29559225439982</v>
      </c>
      <c r="AW37" s="299"/>
      <c r="AX37" s="163">
        <f t="shared" si="9"/>
        <v>418.22280376481785</v>
      </c>
      <c r="AZ37" s="154">
        <f>+IF(AZ36&gt;$G$13+$G$14,XX,AZ36+1)</f>
        <v>2008</v>
      </c>
      <c r="BA37" s="124"/>
      <c r="BB37" s="162">
        <f t="shared" si="20"/>
        <v>53.605436624788986</v>
      </c>
      <c r="BC37" s="3"/>
      <c r="BD37" s="162">
        <f t="shared" si="21"/>
        <v>11.654918853039545</v>
      </c>
      <c r="BE37" s="3"/>
      <c r="BF37" s="161">
        <f t="shared" si="10"/>
        <v>20.377149092042995</v>
      </c>
      <c r="BG37" s="3"/>
      <c r="BH37" s="165"/>
    </row>
    <row r="38" spans="2:60" ht="12">
      <c r="B38" s="2"/>
      <c r="C38" s="6">
        <f>+IF(C37&gt;$G$13+$G$14,XX,C37+1)</f>
        <v>2009</v>
      </c>
      <c r="D38" s="6"/>
      <c r="E38" s="292">
        <f t="shared" si="11"/>
        <v>2.5000000000000001E-2</v>
      </c>
      <c r="F38" s="6"/>
      <c r="G38" s="20">
        <f t="shared" si="12"/>
        <v>9239.3694826569736</v>
      </c>
      <c r="H38" s="6"/>
      <c r="I38" s="30">
        <f t="shared" si="13"/>
        <v>408.02694846258873</v>
      </c>
      <c r="J38" s="6"/>
      <c r="K38" s="30">
        <f t="shared" si="14"/>
        <v>0</v>
      </c>
      <c r="L38" s="6"/>
      <c r="M38" s="30">
        <f t="shared" si="15"/>
        <v>0</v>
      </c>
      <c r="N38" s="6"/>
      <c r="O38" s="295"/>
      <c r="P38" s="6"/>
      <c r="Q38" s="30"/>
      <c r="R38" s="6"/>
      <c r="S38" s="20">
        <v>0</v>
      </c>
      <c r="T38" s="6"/>
      <c r="U38" s="20">
        <f t="shared" si="4"/>
        <v>412.76005210327077</v>
      </c>
      <c r="V38" s="6"/>
      <c r="W38" s="20">
        <f t="shared" si="5"/>
        <v>-412.76005210327077</v>
      </c>
      <c r="X38" s="6"/>
      <c r="Y38" s="296">
        <f t="shared" si="6"/>
        <v>-44.674049769094523</v>
      </c>
      <c r="Z38" s="255"/>
      <c r="AB38" s="154">
        <f>+IF(AB37&gt;$G$13+$G$14,XX,AB37+1)</f>
        <v>2009</v>
      </c>
      <c r="AC38" s="124"/>
      <c r="AD38" s="159">
        <f t="shared" si="0"/>
        <v>9239.3694826569736</v>
      </c>
      <c r="AE38" s="3"/>
      <c r="AF38" s="162">
        <f t="shared" si="16"/>
        <v>63.966152119270667</v>
      </c>
      <c r="AG38" s="3"/>
      <c r="AH38" s="162">
        <f t="shared" si="17"/>
        <v>7.8494968014160538</v>
      </c>
      <c r="AI38" s="3"/>
      <c r="AJ38" s="162">
        <f t="shared" si="18"/>
        <v>1.8337166992251321</v>
      </c>
      <c r="AK38" s="3"/>
      <c r="AL38" s="161">
        <f t="shared" si="7"/>
        <v>115.11196961752253</v>
      </c>
      <c r="AM38" s="3"/>
      <c r="AN38" s="162">
        <f>INDEX('(2.2)_Forward_Price_Curve'!$I:$I,MATCH($AB38,'(2.2)_Forward_Price_Curve'!$C:$C,0),1)</f>
        <v>4.29</v>
      </c>
      <c r="AO38" s="3"/>
      <c r="AP38" s="162">
        <f t="shared" si="8"/>
        <v>30.732447994542973</v>
      </c>
      <c r="AQ38" s="3"/>
      <c r="AR38" s="162">
        <f t="shared" si="19"/>
        <v>3.7433526434775173</v>
      </c>
      <c r="AS38" s="162"/>
      <c r="AT38" s="161">
        <f t="shared" si="1"/>
        <v>94.225391798178464</v>
      </c>
      <c r="AU38" s="3"/>
      <c r="AV38" s="161">
        <f t="shared" si="2"/>
        <v>318.5346603050923</v>
      </c>
      <c r="AW38" s="299"/>
      <c r="AX38" s="163">
        <f t="shared" si="9"/>
        <v>412.76005210327077</v>
      </c>
      <c r="AZ38" s="154">
        <f>+IF(AZ37&gt;$G$13+$G$14,XX,AZ37+1)</f>
        <v>2009</v>
      </c>
      <c r="BA38" s="124"/>
      <c r="BB38" s="162">
        <f t="shared" si="20"/>
        <v>54.945572540408705</v>
      </c>
      <c r="BC38" s="3"/>
      <c r="BD38" s="162">
        <f t="shared" si="21"/>
        <v>11.946291824365533</v>
      </c>
      <c r="BE38" s="3"/>
      <c r="BF38" s="161">
        <f t="shared" si="10"/>
        <v>20.886577819344065</v>
      </c>
      <c r="BG38" s="3"/>
      <c r="BH38" s="165"/>
    </row>
    <row r="39" spans="2:60" ht="12">
      <c r="B39" s="2"/>
      <c r="C39" s="6">
        <f>+IF(C38&gt;$G$13+$G$14,XX,C38+1)</f>
        <v>2010</v>
      </c>
      <c r="D39" s="6"/>
      <c r="E39" s="292">
        <f t="shared" si="11"/>
        <v>2.5000000000000001E-2</v>
      </c>
      <c r="F39" s="6"/>
      <c r="G39" s="20">
        <f t="shared" si="12"/>
        <v>9239.3694826569736</v>
      </c>
      <c r="H39" s="6"/>
      <c r="I39" s="30">
        <f t="shared" si="13"/>
        <v>418.2276221741534</v>
      </c>
      <c r="J39" s="6"/>
      <c r="K39" s="30">
        <f t="shared" si="14"/>
        <v>0</v>
      </c>
      <c r="L39" s="6"/>
      <c r="M39" s="30">
        <f t="shared" si="15"/>
        <v>0</v>
      </c>
      <c r="N39" s="6"/>
      <c r="O39" s="295"/>
      <c r="P39" s="6"/>
      <c r="Q39" s="30"/>
      <c r="R39" s="6"/>
      <c r="S39" s="20">
        <v>0</v>
      </c>
      <c r="T39" s="6"/>
      <c r="U39" s="20">
        <f t="shared" si="4"/>
        <v>381.56234936742248</v>
      </c>
      <c r="V39" s="6"/>
      <c r="W39" s="20">
        <f t="shared" si="5"/>
        <v>-381.56234936742248</v>
      </c>
      <c r="X39" s="6"/>
      <c r="Y39" s="296">
        <f t="shared" si="6"/>
        <v>-41.297444601998556</v>
      </c>
      <c r="Z39" s="255"/>
      <c r="AB39" s="154">
        <f>+IF(AB38&gt;$G$13+$G$14,XX,AB38+1)</f>
        <v>2010</v>
      </c>
      <c r="AC39" s="124"/>
      <c r="AD39" s="159">
        <f t="shared" si="0"/>
        <v>9239.3694826569736</v>
      </c>
      <c r="AE39" s="3"/>
      <c r="AF39" s="162">
        <f t="shared" si="16"/>
        <v>65.565305922252435</v>
      </c>
      <c r="AG39" s="3"/>
      <c r="AH39" s="162">
        <f t="shared" si="17"/>
        <v>8.045734221451454</v>
      </c>
      <c r="AI39" s="3"/>
      <c r="AJ39" s="162">
        <f t="shared" si="18"/>
        <v>1.8795596167057602</v>
      </c>
      <c r="AK39" s="3"/>
      <c r="AL39" s="161">
        <f t="shared" si="7"/>
        <v>117.98976885796058</v>
      </c>
      <c r="AM39" s="3"/>
      <c r="AN39" s="162">
        <f>INDEX('(2.2)_Forward_Price_Curve'!$I:$I,MATCH($AB39,'(2.2)_Forward_Price_Curve'!$C:$C,0),1)</f>
        <v>3.77</v>
      </c>
      <c r="AO39" s="3"/>
      <c r="AP39" s="162">
        <f t="shared" si="8"/>
        <v>27.007302783083222</v>
      </c>
      <c r="AQ39" s="3"/>
      <c r="AR39" s="162">
        <f t="shared" si="19"/>
        <v>3.8369364595644551</v>
      </c>
      <c r="AS39" s="162"/>
      <c r="AT39" s="161">
        <f t="shared" si="1"/>
        <v>96.581026593132918</v>
      </c>
      <c r="AU39" s="3"/>
      <c r="AV39" s="161">
        <f t="shared" si="2"/>
        <v>284.98132277428959</v>
      </c>
      <c r="AW39" s="299"/>
      <c r="AX39" s="163">
        <f t="shared" si="9"/>
        <v>381.56234936742248</v>
      </c>
      <c r="AZ39" s="154">
        <f>+IF(AZ38&gt;$G$13+$G$14,XX,AZ38+1)</f>
        <v>2010</v>
      </c>
      <c r="BA39" s="124"/>
      <c r="BB39" s="162">
        <f t="shared" si="20"/>
        <v>56.319211853918915</v>
      </c>
      <c r="BC39" s="3"/>
      <c r="BD39" s="162">
        <f t="shared" si="21"/>
        <v>12.24494911997467</v>
      </c>
      <c r="BE39" s="3"/>
      <c r="BF39" s="161">
        <f t="shared" si="10"/>
        <v>21.408742264827669</v>
      </c>
      <c r="BG39" s="3"/>
      <c r="BH39" s="165"/>
    </row>
    <row r="40" spans="2:60" ht="12">
      <c r="B40" s="2"/>
      <c r="C40" s="6">
        <f>+IF(C39&gt;$G$13+$G$14,XX,C39+1)</f>
        <v>2011</v>
      </c>
      <c r="D40" s="6"/>
      <c r="E40" s="292">
        <f t="shared" si="11"/>
        <v>2.5000000000000001E-2</v>
      </c>
      <c r="F40" s="6"/>
      <c r="G40" s="20">
        <f t="shared" si="12"/>
        <v>9239.3694826569736</v>
      </c>
      <c r="H40" s="6"/>
      <c r="I40" s="30">
        <f t="shared" si="13"/>
        <v>428.68331272850719</v>
      </c>
      <c r="J40" s="6"/>
      <c r="K40" s="30">
        <f t="shared" si="14"/>
        <v>0</v>
      </c>
      <c r="L40" s="6"/>
      <c r="M40" s="30">
        <f t="shared" si="15"/>
        <v>0</v>
      </c>
      <c r="N40" s="6"/>
      <c r="O40" s="295"/>
      <c r="P40" s="6"/>
      <c r="Q40" s="30"/>
      <c r="R40" s="6"/>
      <c r="S40" s="20">
        <v>0</v>
      </c>
      <c r="T40" s="6"/>
      <c r="U40" s="20">
        <f t="shared" si="4"/>
        <v>394.12952959982755</v>
      </c>
      <c r="V40" s="6"/>
      <c r="W40" s="20">
        <f t="shared" si="5"/>
        <v>-394.12952959982755</v>
      </c>
      <c r="X40" s="6"/>
      <c r="Y40" s="296">
        <f t="shared" si="6"/>
        <v>-42.657621858249072</v>
      </c>
      <c r="Z40" s="255"/>
      <c r="AB40" s="154">
        <f>+IF(AB39&gt;$G$13+$G$14,XX,AB39+1)</f>
        <v>2011</v>
      </c>
      <c r="AC40" s="124"/>
      <c r="AD40" s="159">
        <f t="shared" si="0"/>
        <v>9239.3694826569736</v>
      </c>
      <c r="AE40" s="3"/>
      <c r="AF40" s="162">
        <f t="shared" si="16"/>
        <v>67.204438570308739</v>
      </c>
      <c r="AG40" s="3"/>
      <c r="AH40" s="162">
        <f t="shared" si="17"/>
        <v>8.2468775769877389</v>
      </c>
      <c r="AI40" s="3"/>
      <c r="AJ40" s="162">
        <f t="shared" si="18"/>
        <v>1.9265486071234041</v>
      </c>
      <c r="AK40" s="3"/>
      <c r="AL40" s="161">
        <f t="shared" si="7"/>
        <v>120.93951307940961</v>
      </c>
      <c r="AM40" s="3"/>
      <c r="AN40" s="162">
        <f>INDEX('(2.2)_Forward_Price_Curve'!$I:$I,MATCH($AB40,'(2.2)_Forward_Price_Curve'!$C:$C,0),1)</f>
        <v>3.91</v>
      </c>
      <c r="AO40" s="3"/>
      <c r="AP40" s="162">
        <f t="shared" si="8"/>
        <v>28.010226493860845</v>
      </c>
      <c r="AQ40" s="3"/>
      <c r="AR40" s="162">
        <f t="shared" si="19"/>
        <v>3.9328598710535663</v>
      </c>
      <c r="AS40" s="162"/>
      <c r="AT40" s="161">
        <f t="shared" si="1"/>
        <v>98.995552257961251</v>
      </c>
      <c r="AU40" s="3"/>
      <c r="AV40" s="161">
        <f t="shared" si="2"/>
        <v>295.13397734186628</v>
      </c>
      <c r="AW40" s="299"/>
      <c r="AX40" s="163">
        <f t="shared" si="9"/>
        <v>394.12952959982755</v>
      </c>
      <c r="AZ40" s="154">
        <f>+IF(AZ39&gt;$G$13+$G$14,XX,AZ39+1)</f>
        <v>2011</v>
      </c>
      <c r="BA40" s="124"/>
      <c r="BB40" s="162">
        <f t="shared" si="20"/>
        <v>57.72719215026688</v>
      </c>
      <c r="BC40" s="3"/>
      <c r="BD40" s="162">
        <f t="shared" si="21"/>
        <v>12.551072847974035</v>
      </c>
      <c r="BE40" s="3"/>
      <c r="BF40" s="161">
        <f t="shared" si="10"/>
        <v>21.943960821448353</v>
      </c>
      <c r="BG40" s="3"/>
      <c r="BH40" s="165"/>
    </row>
    <row r="41" spans="2:60" ht="12">
      <c r="B41" s="2"/>
      <c r="C41" s="6">
        <f>+IF(C40&gt;$G$13+$G$14,XX,C40+1)</f>
        <v>2012</v>
      </c>
      <c r="D41" s="6"/>
      <c r="E41" s="292">
        <f t="shared" si="11"/>
        <v>2.5000000000000001E-2</v>
      </c>
      <c r="F41" s="6"/>
      <c r="G41" s="20">
        <f t="shared" si="12"/>
        <v>9239.3694826569736</v>
      </c>
      <c r="H41" s="6"/>
      <c r="I41" s="30">
        <f t="shared" si="13"/>
        <v>439.40039554671984</v>
      </c>
      <c r="J41" s="6"/>
      <c r="K41" s="30">
        <f t="shared" si="14"/>
        <v>0</v>
      </c>
      <c r="L41" s="6"/>
      <c r="M41" s="30">
        <f t="shared" si="15"/>
        <v>0</v>
      </c>
      <c r="N41" s="6"/>
      <c r="O41" s="295"/>
      <c r="P41" s="6"/>
      <c r="Q41" s="30"/>
      <c r="R41" s="6"/>
      <c r="S41" s="20">
        <v>0</v>
      </c>
      <c r="T41" s="6"/>
      <c r="U41" s="20">
        <f t="shared" si="4"/>
        <v>429.94518658685274</v>
      </c>
      <c r="V41" s="6"/>
      <c r="W41" s="20">
        <f t="shared" si="5"/>
        <v>-429.94518658685274</v>
      </c>
      <c r="X41" s="6"/>
      <c r="Y41" s="296">
        <f t="shared" si="6"/>
        <v>-46.534039730080487</v>
      </c>
      <c r="Z41" s="255"/>
      <c r="AB41" s="154">
        <f>+IF(AB40&gt;$G$13+$G$14,XX,AB40+1)</f>
        <v>2012</v>
      </c>
      <c r="AC41" s="124"/>
      <c r="AD41" s="159">
        <f t="shared" si="0"/>
        <v>9239.3694826569736</v>
      </c>
      <c r="AE41" s="3"/>
      <c r="AF41" s="162">
        <f t="shared" si="16"/>
        <v>68.884549534566446</v>
      </c>
      <c r="AG41" s="3"/>
      <c r="AH41" s="162">
        <f t="shared" si="17"/>
        <v>8.4530495164124311</v>
      </c>
      <c r="AI41" s="3"/>
      <c r="AJ41" s="162">
        <f t="shared" si="18"/>
        <v>1.9747123223014891</v>
      </c>
      <c r="AK41" s="3"/>
      <c r="AL41" s="161">
        <f t="shared" si="7"/>
        <v>123.96300090639483</v>
      </c>
      <c r="AM41" s="3"/>
      <c r="AN41" s="162">
        <f>INDEX('(2.2)_Forward_Price_Curve'!$I:$I,MATCH($AB41,'(2.2)_Forward_Price_Curve'!$C:$C,0),1)</f>
        <v>4.4000000000000004</v>
      </c>
      <c r="AO41" s="3"/>
      <c r="AP41" s="162">
        <f t="shared" si="8"/>
        <v>31.520459481582542</v>
      </c>
      <c r="AQ41" s="3"/>
      <c r="AR41" s="162">
        <f t="shared" si="19"/>
        <v>4.0311813678299053</v>
      </c>
      <c r="AS41" s="162"/>
      <c r="AT41" s="161">
        <f t="shared" si="1"/>
        <v>101.47044106441027</v>
      </c>
      <c r="AU41" s="3"/>
      <c r="AV41" s="161">
        <f t="shared" si="2"/>
        <v>328.47474552244245</v>
      </c>
      <c r="AW41" s="299"/>
      <c r="AX41" s="163">
        <f t="shared" si="9"/>
        <v>429.94518658685274</v>
      </c>
      <c r="AZ41" s="154">
        <f>+IF(AZ40&gt;$G$13+$G$14,XX,AZ40+1)</f>
        <v>2012</v>
      </c>
      <c r="BA41" s="124"/>
      <c r="BB41" s="162">
        <f t="shared" si="20"/>
        <v>59.170371954023544</v>
      </c>
      <c r="BC41" s="3"/>
      <c r="BD41" s="162">
        <f t="shared" si="21"/>
        <v>12.864849669173385</v>
      </c>
      <c r="BE41" s="3"/>
      <c r="BF41" s="161">
        <f t="shared" si="10"/>
        <v>22.492559841984562</v>
      </c>
      <c r="BG41" s="3"/>
      <c r="BH41" s="165"/>
    </row>
    <row r="42" spans="2:60" ht="12">
      <c r="B42" s="2"/>
      <c r="C42" s="6">
        <f>+IF(C41&gt;$G$13+$G$14,XX,C41+1)</f>
        <v>2013</v>
      </c>
      <c r="D42" s="6"/>
      <c r="E42" s="292">
        <f t="shared" si="11"/>
        <v>2.5000000000000001E-2</v>
      </c>
      <c r="F42" s="6"/>
      <c r="G42" s="20">
        <f t="shared" si="12"/>
        <v>9239.3694826569736</v>
      </c>
      <c r="H42" s="6"/>
      <c r="I42" s="30">
        <f t="shared" si="13"/>
        <v>450.38540543538778</v>
      </c>
      <c r="J42" s="6"/>
      <c r="K42" s="30">
        <f t="shared" si="14"/>
        <v>0</v>
      </c>
      <c r="L42" s="6"/>
      <c r="M42" s="30">
        <f t="shared" si="15"/>
        <v>0</v>
      </c>
      <c r="N42" s="6"/>
      <c r="O42" s="295"/>
      <c r="P42" s="6"/>
      <c r="Q42" s="30"/>
      <c r="R42" s="6"/>
      <c r="S42" s="20">
        <v>0</v>
      </c>
      <c r="T42" s="6"/>
      <c r="U42" s="20">
        <f t="shared" si="4"/>
        <v>449.29831449783075</v>
      </c>
      <c r="V42" s="6"/>
      <c r="W42" s="20">
        <f t="shared" si="5"/>
        <v>-449.29831449783075</v>
      </c>
      <c r="X42" s="6"/>
      <c r="Y42" s="296">
        <f t="shared" si="6"/>
        <v>-48.628677026197423</v>
      </c>
      <c r="Z42" s="255"/>
      <c r="AB42" s="154">
        <f>+IF(AB41&gt;$G$13+$G$14,XX,AB41+1)</f>
        <v>2013</v>
      </c>
      <c r="AC42" s="124"/>
      <c r="AD42" s="159">
        <f t="shared" si="0"/>
        <v>9239.3694826569736</v>
      </c>
      <c r="AE42" s="3"/>
      <c r="AF42" s="162">
        <f t="shared" si="16"/>
        <v>70.606663272930604</v>
      </c>
      <c r="AG42" s="3"/>
      <c r="AH42" s="162">
        <f t="shared" si="17"/>
        <v>8.6643757543227409</v>
      </c>
      <c r="AI42" s="3"/>
      <c r="AJ42" s="162">
        <f t="shared" si="18"/>
        <v>2.0240801303590263</v>
      </c>
      <c r="AK42" s="3"/>
      <c r="AL42" s="161">
        <f t="shared" si="7"/>
        <v>127.0620759290547</v>
      </c>
      <c r="AM42" s="3"/>
      <c r="AN42" s="162">
        <f>INDEX('(2.2)_Forward_Price_Curve'!$I:$I,MATCH($AB42,'(2.2)_Forward_Price_Curve'!$C:$C,0),1)</f>
        <v>4.6399999999999997</v>
      </c>
      <c r="AO42" s="3"/>
      <c r="AP42" s="162">
        <f t="shared" si="8"/>
        <v>33.239757271487044</v>
      </c>
      <c r="AQ42" s="3"/>
      <c r="AR42" s="162">
        <f t="shared" si="19"/>
        <v>4.1319609020256527</v>
      </c>
      <c r="AS42" s="162"/>
      <c r="AT42" s="161">
        <f t="shared" si="1"/>
        <v>104.00720209102053</v>
      </c>
      <c r="AU42" s="3"/>
      <c r="AV42" s="161">
        <f t="shared" si="2"/>
        <v>345.29111240681021</v>
      </c>
      <c r="AW42" s="299"/>
      <c r="AX42" s="163">
        <f t="shared" si="9"/>
        <v>449.29831449783075</v>
      </c>
      <c r="AZ42" s="154">
        <f>+IF(AZ41&gt;$G$13+$G$14,XX,AZ41+1)</f>
        <v>2013</v>
      </c>
      <c r="BA42" s="124"/>
      <c r="BB42" s="162">
        <f t="shared" si="20"/>
        <v>60.64963125287413</v>
      </c>
      <c r="BC42" s="3"/>
      <c r="BD42" s="162">
        <f t="shared" si="21"/>
        <v>13.186470910902719</v>
      </c>
      <c r="BE42" s="3"/>
      <c r="BF42" s="161">
        <f t="shared" si="10"/>
        <v>23.054873838034172</v>
      </c>
      <c r="BG42" s="3"/>
      <c r="BH42" s="165"/>
    </row>
    <row r="43" spans="2:60" ht="12">
      <c r="B43" s="2"/>
      <c r="C43" s="6">
        <f>+IF(C42&gt;$G$13+$G$14,XX,C42+1)</f>
        <v>2014</v>
      </c>
      <c r="D43" s="6"/>
      <c r="E43" s="292">
        <f t="shared" si="11"/>
        <v>2.5000000000000001E-2</v>
      </c>
      <c r="F43" s="6"/>
      <c r="G43" s="20">
        <f t="shared" si="12"/>
        <v>9239.3694826569736</v>
      </c>
      <c r="H43" s="6"/>
      <c r="I43" s="30">
        <f t="shared" si="13"/>
        <v>461.64504057127243</v>
      </c>
      <c r="J43" s="6"/>
      <c r="K43" s="30">
        <f t="shared" si="14"/>
        <v>0</v>
      </c>
      <c r="L43" s="6"/>
      <c r="M43" s="30">
        <f t="shared" si="15"/>
        <v>0</v>
      </c>
      <c r="N43" s="6"/>
      <c r="O43" s="295"/>
      <c r="P43" s="6"/>
      <c r="Q43" s="30"/>
      <c r="R43" s="6"/>
      <c r="S43" s="20">
        <v>0</v>
      </c>
      <c r="T43" s="6"/>
      <c r="U43" s="20">
        <f t="shared" si="4"/>
        <v>440.27710725743134</v>
      </c>
      <c r="V43" s="6"/>
      <c r="W43" s="20">
        <f t="shared" si="5"/>
        <v>-440.27710725743134</v>
      </c>
      <c r="X43" s="6"/>
      <c r="Y43" s="296">
        <f t="shared" si="6"/>
        <v>-47.652289269724115</v>
      </c>
      <c r="Z43" s="255"/>
      <c r="AB43" s="154">
        <f>+IF(AB42&gt;$G$13+$G$14,XX,AB42+1)</f>
        <v>2014</v>
      </c>
      <c r="AC43" s="124"/>
      <c r="AD43" s="159">
        <f t="shared" si="0"/>
        <v>9239.3694826569736</v>
      </c>
      <c r="AE43" s="3"/>
      <c r="AF43" s="162">
        <f t="shared" si="16"/>
        <v>72.371829854753869</v>
      </c>
      <c r="AG43" s="3"/>
      <c r="AH43" s="162">
        <f t="shared" si="17"/>
        <v>8.8809851481808089</v>
      </c>
      <c r="AI43" s="3"/>
      <c r="AJ43" s="162">
        <f t="shared" si="18"/>
        <v>2.0746821336180017</v>
      </c>
      <c r="AK43" s="3"/>
      <c r="AL43" s="161">
        <f t="shared" si="7"/>
        <v>130.23862782728105</v>
      </c>
      <c r="AM43" s="3"/>
      <c r="AN43" s="162">
        <f>INDEX('(2.2)_Forward_Price_Curve'!$I:$I,MATCH($AB43,'(2.2)_Forward_Price_Curve'!$C:$C,0),1)</f>
        <v>4.45</v>
      </c>
      <c r="AO43" s="3"/>
      <c r="AP43" s="162">
        <f t="shared" si="8"/>
        <v>31.878646521145978</v>
      </c>
      <c r="AQ43" s="3"/>
      <c r="AR43" s="162">
        <f t="shared" si="19"/>
        <v>4.2352599245762939</v>
      </c>
      <c r="AS43" s="162"/>
      <c r="AT43" s="161">
        <f t="shared" si="1"/>
        <v>106.60738214329602</v>
      </c>
      <c r="AU43" s="3"/>
      <c r="AV43" s="161">
        <f t="shared" si="2"/>
        <v>333.6697251141353</v>
      </c>
      <c r="AW43" s="299"/>
      <c r="AX43" s="163">
        <f t="shared" si="9"/>
        <v>440.27710725743134</v>
      </c>
      <c r="AZ43" s="154">
        <f>+IF(AZ42&gt;$G$13+$G$14,XX,AZ42+1)</f>
        <v>2014</v>
      </c>
      <c r="BA43" s="124"/>
      <c r="BB43" s="162">
        <f t="shared" si="20"/>
        <v>62.165872034195978</v>
      </c>
      <c r="BC43" s="3"/>
      <c r="BD43" s="162">
        <f t="shared" si="21"/>
        <v>13.516132683675286</v>
      </c>
      <c r="BE43" s="3"/>
      <c r="BF43" s="161">
        <f t="shared" si="10"/>
        <v>23.631245683985028</v>
      </c>
      <c r="BG43" s="3"/>
      <c r="BH43" s="165"/>
    </row>
    <row r="44" spans="2:60" ht="12">
      <c r="B44" s="2"/>
      <c r="C44" s="6">
        <f>+IF(C43&gt;$G$13+$G$14,XX,C43+1)</f>
        <v>2015</v>
      </c>
      <c r="D44" s="6"/>
      <c r="E44" s="292">
        <f t="shared" si="11"/>
        <v>2.5000000000000001E-2</v>
      </c>
      <c r="F44" s="6"/>
      <c r="G44" s="20">
        <f t="shared" si="12"/>
        <v>9239.3694826569736</v>
      </c>
      <c r="H44" s="6"/>
      <c r="I44" s="30">
        <f t="shared" si="13"/>
        <v>473.18616658555419</v>
      </c>
      <c r="J44" s="6"/>
      <c r="K44" s="30">
        <f t="shared" si="14"/>
        <v>0</v>
      </c>
      <c r="L44" s="6"/>
      <c r="M44" s="30">
        <f t="shared" si="15"/>
        <v>0</v>
      </c>
      <c r="N44" s="6"/>
      <c r="O44" s="295"/>
      <c r="P44" s="6"/>
      <c r="Q44" s="30"/>
      <c r="R44" s="6"/>
      <c r="S44" s="20">
        <v>0</v>
      </c>
      <c r="T44" s="6"/>
      <c r="U44" s="20">
        <f t="shared" si="4"/>
        <v>472.38160275433074</v>
      </c>
      <c r="V44" s="6"/>
      <c r="W44" s="20">
        <f t="shared" si="5"/>
        <v>-472.38160275433074</v>
      </c>
      <c r="X44" s="6"/>
      <c r="Y44" s="296">
        <f t="shared" si="6"/>
        <v>-51.127038878684125</v>
      </c>
      <c r="Z44" s="255"/>
      <c r="AB44" s="154">
        <f>+IF(AB43&gt;$G$13+$G$14,XX,AB43+1)</f>
        <v>2015</v>
      </c>
      <c r="AC44" s="124"/>
      <c r="AD44" s="159">
        <f t="shared" si="0"/>
        <v>9239.3694826569736</v>
      </c>
      <c r="AE44" s="3"/>
      <c r="AF44" s="162">
        <f t="shared" si="16"/>
        <v>74.181125601122716</v>
      </c>
      <c r="AG44" s="3"/>
      <c r="AH44" s="162">
        <f t="shared" si="17"/>
        <v>9.1030097768853278</v>
      </c>
      <c r="AI44" s="3"/>
      <c r="AJ44" s="162">
        <f t="shared" si="18"/>
        <v>2.1265491869584516</v>
      </c>
      <c r="AK44" s="3"/>
      <c r="AL44" s="161">
        <f t="shared" si="7"/>
        <v>133.49459352296307</v>
      </c>
      <c r="AM44" s="3"/>
      <c r="AN44" s="162">
        <f>INDEX('(2.2)_Forward_Price_Curve'!$I:$I,MATCH($AB44,'(2.2)_Forward_Price_Curve'!$C:$C,0),1)</f>
        <v>4.88</v>
      </c>
      <c r="AO44" s="3"/>
      <c r="AP44" s="162">
        <f t="shared" si="8"/>
        <v>34.959055061391538</v>
      </c>
      <c r="AQ44" s="3"/>
      <c r="AR44" s="162">
        <f t="shared" si="19"/>
        <v>4.3411414226907006</v>
      </c>
      <c r="AS44" s="162"/>
      <c r="AT44" s="161">
        <f t="shared" si="1"/>
        <v>109.27256669687843</v>
      </c>
      <c r="AU44" s="3"/>
      <c r="AV44" s="161">
        <f t="shared" si="2"/>
        <v>363.10903605745233</v>
      </c>
      <c r="AW44" s="299"/>
      <c r="AX44" s="163">
        <f t="shared" si="9"/>
        <v>472.38160275433074</v>
      </c>
      <c r="AZ44" s="154">
        <f>+IF(AZ43&gt;$G$13+$G$14,XX,AZ43+1)</f>
        <v>2015</v>
      </c>
      <c r="BA44" s="124"/>
      <c r="BB44" s="162">
        <f t="shared" si="20"/>
        <v>63.720018835050872</v>
      </c>
      <c r="BC44" s="3"/>
      <c r="BD44" s="162">
        <f t="shared" si="21"/>
        <v>13.854036000767167</v>
      </c>
      <c r="BE44" s="3"/>
      <c r="BF44" s="161">
        <f t="shared" si="10"/>
        <v>24.222026826084647</v>
      </c>
      <c r="BG44" s="3"/>
      <c r="BH44" s="165"/>
    </row>
    <row r="45" spans="2:60" ht="12">
      <c r="B45" s="2"/>
      <c r="C45" s="6">
        <f>+IF(C44&gt;$G$13+$G$14,XX,C44+1)</f>
        <v>2016</v>
      </c>
      <c r="D45" s="6"/>
      <c r="E45" s="292">
        <f t="shared" si="11"/>
        <v>2.5000000000000001E-2</v>
      </c>
      <c r="F45" s="6"/>
      <c r="G45" s="20">
        <f t="shared" si="12"/>
        <v>9239.3694826569736</v>
      </c>
      <c r="H45" s="6"/>
      <c r="I45" s="30">
        <f t="shared" si="13"/>
        <v>485.01582075019303</v>
      </c>
      <c r="J45" s="6"/>
      <c r="K45" s="30">
        <f t="shared" si="14"/>
        <v>0</v>
      </c>
      <c r="L45" s="6"/>
      <c r="M45" s="30">
        <f t="shared" si="15"/>
        <v>0</v>
      </c>
      <c r="N45" s="6"/>
      <c r="O45" s="295"/>
      <c r="P45" s="6"/>
      <c r="Q45" s="30"/>
      <c r="R45" s="6"/>
      <c r="S45" s="20">
        <v>0</v>
      </c>
      <c r="T45" s="6"/>
      <c r="U45" s="20">
        <f t="shared" si="4"/>
        <v>490.67761073194328</v>
      </c>
      <c r="V45" s="6"/>
      <c r="W45" s="20">
        <f t="shared" si="5"/>
        <v>-490.67761073194328</v>
      </c>
      <c r="X45" s="6"/>
      <c r="Y45" s="296">
        <f t="shared" si="6"/>
        <v>-53.107261448195565</v>
      </c>
      <c r="Z45" s="255"/>
      <c r="AB45" s="154">
        <f>+IF(AB44&gt;$G$13+$G$14,XX,AB44+1)</f>
        <v>2016</v>
      </c>
      <c r="AC45" s="124"/>
      <c r="AD45" s="159">
        <f t="shared" si="0"/>
        <v>9239.3694826569736</v>
      </c>
      <c r="AE45" s="3"/>
      <c r="AF45" s="162">
        <f t="shared" si="16"/>
        <v>76.035653741150782</v>
      </c>
      <c r="AG45" s="3"/>
      <c r="AH45" s="162">
        <f t="shared" si="17"/>
        <v>9.3305850213074599</v>
      </c>
      <c r="AI45" s="3"/>
      <c r="AJ45" s="162">
        <f t="shared" si="18"/>
        <v>2.1797129166324125</v>
      </c>
      <c r="AK45" s="3"/>
      <c r="AL45" s="161">
        <f t="shared" si="7"/>
        <v>136.83195836103712</v>
      </c>
      <c r="AM45" s="3"/>
      <c r="AN45" s="162">
        <f>INDEX('(2.2)_Forward_Price_Curve'!$I:$I,MATCH($AB45,'(2.2)_Forward_Price_Curve'!$C:$C,0),1)</f>
        <v>5.0999999999999996</v>
      </c>
      <c r="AO45" s="3"/>
      <c r="AP45" s="162">
        <f t="shared" si="8"/>
        <v>36.535078035470669</v>
      </c>
      <c r="AQ45" s="3"/>
      <c r="AR45" s="162">
        <f t="shared" si="19"/>
        <v>4.4496699582579673</v>
      </c>
      <c r="AS45" s="162"/>
      <c r="AT45" s="161">
        <f t="shared" si="1"/>
        <v>112.00438086430036</v>
      </c>
      <c r="AU45" s="3"/>
      <c r="AV45" s="161">
        <f t="shared" si="2"/>
        <v>378.67322986764293</v>
      </c>
      <c r="AW45" s="299"/>
      <c r="AX45" s="163">
        <f t="shared" si="9"/>
        <v>490.67761073194328</v>
      </c>
      <c r="AZ45" s="154">
        <f>+IF(AZ44&gt;$G$13+$G$14,XX,AZ44+1)</f>
        <v>2016</v>
      </c>
      <c r="BA45" s="124"/>
      <c r="BB45" s="162">
        <f t="shared" si="20"/>
        <v>65.313019305927142</v>
      </c>
      <c r="BC45" s="3"/>
      <c r="BD45" s="162">
        <f t="shared" si="21"/>
        <v>14.200386900786345</v>
      </c>
      <c r="BE45" s="3"/>
      <c r="BF45" s="161">
        <f t="shared" si="10"/>
        <v>24.827577496736765</v>
      </c>
      <c r="BG45" s="3"/>
      <c r="BH45" s="165"/>
    </row>
    <row r="46" spans="2:60" ht="12">
      <c r="B46" s="2"/>
      <c r="C46" s="6">
        <f>+IF(C45&gt;$G$13+$G$14,XX,C45+1)</f>
        <v>2017</v>
      </c>
      <c r="D46" s="6"/>
      <c r="E46" s="292">
        <f t="shared" si="11"/>
        <v>2.5000000000000001E-2</v>
      </c>
      <c r="F46" s="6"/>
      <c r="G46" s="20">
        <f t="shared" si="12"/>
        <v>9239.3694826569736</v>
      </c>
      <c r="H46" s="6"/>
      <c r="I46" s="30">
        <f t="shared" si="13"/>
        <v>497.1412162689478</v>
      </c>
      <c r="J46" s="6"/>
      <c r="K46" s="30">
        <f t="shared" si="14"/>
        <v>0</v>
      </c>
      <c r="L46" s="6"/>
      <c r="M46" s="30">
        <f t="shared" si="15"/>
        <v>0</v>
      </c>
      <c r="N46" s="6"/>
      <c r="O46" s="295"/>
      <c r="P46" s="6"/>
      <c r="Q46" s="30"/>
      <c r="R46" s="6"/>
      <c r="S46" s="20">
        <v>0</v>
      </c>
      <c r="T46" s="6"/>
      <c r="U46" s="20">
        <f t="shared" si="4"/>
        <v>502.44813763987804</v>
      </c>
      <c r="V46" s="6"/>
      <c r="W46" s="20">
        <f t="shared" si="5"/>
        <v>-502.44813763987804</v>
      </c>
      <c r="X46" s="6"/>
      <c r="Y46" s="296">
        <f t="shared" si="6"/>
        <v>-54.381214928465937</v>
      </c>
      <c r="Z46" s="255"/>
      <c r="AB46" s="154">
        <f>+IF(AB45&gt;$G$13+$G$14,XX,AB45+1)</f>
        <v>2017</v>
      </c>
      <c r="AC46" s="124"/>
      <c r="AD46" s="159">
        <f t="shared" si="0"/>
        <v>9239.3694826569736</v>
      </c>
      <c r="AE46" s="3"/>
      <c r="AF46" s="162">
        <f t="shared" si="16"/>
        <v>77.936545084679551</v>
      </c>
      <c r="AG46" s="3"/>
      <c r="AH46" s="162">
        <f t="shared" si="17"/>
        <v>9.5638496468401453</v>
      </c>
      <c r="AI46" s="3"/>
      <c r="AJ46" s="162">
        <f t="shared" si="18"/>
        <v>2.2342057395482224</v>
      </c>
      <c r="AK46" s="3"/>
      <c r="AL46" s="161">
        <f t="shared" si="7"/>
        <v>140.25275732006307</v>
      </c>
      <c r="AM46" s="3"/>
      <c r="AN46" s="162">
        <f>INDEX('(2.2)_Forward_Price_Curve'!$I:$I,MATCH($AB46,'(2.2)_Forward_Price_Curve'!$C:$C,0),1)</f>
        <v>5.22</v>
      </c>
      <c r="AO46" s="3"/>
      <c r="AP46" s="162">
        <f t="shared" si="8"/>
        <v>37.39472693042292</v>
      </c>
      <c r="AQ46" s="3"/>
      <c r="AR46" s="162">
        <f t="shared" si="19"/>
        <v>4.5609117072144159</v>
      </c>
      <c r="AS46" s="162"/>
      <c r="AT46" s="161">
        <f t="shared" si="1"/>
        <v>114.80449038590788</v>
      </c>
      <c r="AU46" s="3"/>
      <c r="AV46" s="161">
        <f t="shared" si="2"/>
        <v>387.64364725397019</v>
      </c>
      <c r="AW46" s="299"/>
      <c r="AX46" s="163">
        <f t="shared" si="9"/>
        <v>502.44813763987804</v>
      </c>
      <c r="AZ46" s="154">
        <f>+IF(AZ45&gt;$G$13+$G$14,XX,AZ45+1)</f>
        <v>2017</v>
      </c>
      <c r="BA46" s="124"/>
      <c r="BB46" s="162">
        <f t="shared" si="20"/>
        <v>66.945844788575315</v>
      </c>
      <c r="BC46" s="3"/>
      <c r="BD46" s="162">
        <f t="shared" si="21"/>
        <v>14.555396573306002</v>
      </c>
      <c r="BE46" s="3"/>
      <c r="BF46" s="161">
        <f t="shared" si="10"/>
        <v>25.448266934155182</v>
      </c>
      <c r="BG46" s="3"/>
      <c r="BH46" s="165"/>
    </row>
    <row r="47" spans="2:60" ht="12">
      <c r="B47" s="2"/>
      <c r="C47" s="6">
        <f>+IF(C46&gt;$G$13+$G$14,XX,C46+1)</f>
        <v>2018</v>
      </c>
      <c r="D47" s="6"/>
      <c r="E47" s="292">
        <f t="shared" si="11"/>
        <v>2.5000000000000001E-2</v>
      </c>
      <c r="F47" s="6"/>
      <c r="G47" s="20">
        <f t="shared" si="12"/>
        <v>9239.3694826569736</v>
      </c>
      <c r="H47" s="6"/>
      <c r="I47" s="30">
        <f t="shared" si="13"/>
        <v>509.56974667567147</v>
      </c>
      <c r="J47" s="6"/>
      <c r="K47" s="30">
        <f t="shared" si="14"/>
        <v>0</v>
      </c>
      <c r="L47" s="6"/>
      <c r="M47" s="30">
        <f t="shared" si="15"/>
        <v>0</v>
      </c>
      <c r="N47" s="6"/>
      <c r="O47" s="295"/>
      <c r="P47" s="6"/>
      <c r="Q47" s="30"/>
      <c r="R47" s="6"/>
      <c r="S47" s="20">
        <v>0</v>
      </c>
      <c r="T47" s="6"/>
      <c r="U47" s="20">
        <f t="shared" si="4"/>
        <v>514.31436237636558</v>
      </c>
      <c r="V47" s="6"/>
      <c r="W47" s="20">
        <f t="shared" si="5"/>
        <v>-514.31436237636558</v>
      </c>
      <c r="X47" s="6"/>
      <c r="Y47" s="296">
        <f t="shared" si="6"/>
        <v>-55.665526023369267</v>
      </c>
      <c r="Z47" s="255"/>
      <c r="AB47" s="154">
        <f>+IF(AB46&gt;$G$13+$G$14,XX,AB46+1)</f>
        <v>2018</v>
      </c>
      <c r="AC47" s="124"/>
      <c r="AD47" s="159">
        <f t="shared" si="0"/>
        <v>9239.3694826569736</v>
      </c>
      <c r="AE47" s="3"/>
      <c r="AF47" s="162">
        <f t="shared" si="16"/>
        <v>79.884958711796529</v>
      </c>
      <c r="AG47" s="3"/>
      <c r="AH47" s="162">
        <f t="shared" si="17"/>
        <v>9.8029458880111484</v>
      </c>
      <c r="AI47" s="3"/>
      <c r="AJ47" s="162">
        <f t="shared" si="18"/>
        <v>2.290060883036928</v>
      </c>
      <c r="AK47" s="3"/>
      <c r="AL47" s="161">
        <f t="shared" si="7"/>
        <v>143.75907625306465</v>
      </c>
      <c r="AM47" s="3"/>
      <c r="AN47" s="162">
        <f>INDEX('(2.2)_Forward_Price_Curve'!$I:$I,MATCH($AB47,'(2.2)_Forward_Price_Curve'!$C:$C,0),1)</f>
        <v>5.34</v>
      </c>
      <c r="AO47" s="3"/>
      <c r="AP47" s="162">
        <f t="shared" si="8"/>
        <v>38.25437582537517</v>
      </c>
      <c r="AQ47" s="3"/>
      <c r="AR47" s="162">
        <f t="shared" si="19"/>
        <v>4.6749344998947757</v>
      </c>
      <c r="AS47" s="162"/>
      <c r="AT47" s="161">
        <f t="shared" si="1"/>
        <v>117.67460264555558</v>
      </c>
      <c r="AU47" s="3"/>
      <c r="AV47" s="161">
        <f t="shared" si="2"/>
        <v>396.63975973081006</v>
      </c>
      <c r="AW47" s="299"/>
      <c r="AX47" s="163">
        <f t="shared" si="9"/>
        <v>514.31436237636558</v>
      </c>
      <c r="AZ47" s="154">
        <f>+IF(AZ46&gt;$G$13+$G$14,XX,AZ46+1)</f>
        <v>2018</v>
      </c>
      <c r="BA47" s="124"/>
      <c r="BB47" s="162">
        <f t="shared" si="20"/>
        <v>68.619490908289691</v>
      </c>
      <c r="BC47" s="3"/>
      <c r="BD47" s="162">
        <f t="shared" si="21"/>
        <v>14.919281487638651</v>
      </c>
      <c r="BE47" s="3"/>
      <c r="BF47" s="161">
        <f t="shared" si="10"/>
        <v>26.084473607509061</v>
      </c>
      <c r="BG47" s="3"/>
      <c r="BH47" s="165"/>
    </row>
    <row r="48" spans="2:60" ht="12">
      <c r="B48" s="2"/>
      <c r="C48" s="6">
        <f>+IF(C47&gt;$G$13+$G$14,XX,C47+1)</f>
        <v>2019</v>
      </c>
      <c r="D48" s="6"/>
      <c r="E48" s="292">
        <f t="shared" si="11"/>
        <v>2.5000000000000001E-2</v>
      </c>
      <c r="F48" s="6"/>
      <c r="G48" s="20">
        <f t="shared" si="12"/>
        <v>9239.3694826569736</v>
      </c>
      <c r="H48" s="6"/>
      <c r="I48" s="30">
        <f t="shared" si="13"/>
        <v>522.30899034256322</v>
      </c>
      <c r="J48" s="6"/>
      <c r="K48" s="30">
        <f t="shared" si="14"/>
        <v>0</v>
      </c>
      <c r="L48" s="6"/>
      <c r="M48" s="30">
        <f t="shared" si="15"/>
        <v>0</v>
      </c>
      <c r="N48" s="6"/>
      <c r="O48" s="295"/>
      <c r="P48" s="6"/>
      <c r="Q48" s="30"/>
      <c r="R48" s="6"/>
      <c r="S48" s="20">
        <v>0</v>
      </c>
      <c r="T48" s="6"/>
      <c r="U48" s="20">
        <f t="shared" si="4"/>
        <v>526.27867738711973</v>
      </c>
      <c r="V48" s="6"/>
      <c r="W48" s="20">
        <f t="shared" si="5"/>
        <v>-526.27867738711973</v>
      </c>
      <c r="X48" s="6"/>
      <c r="Y48" s="296">
        <f t="shared" si="6"/>
        <v>-56.96045367327136</v>
      </c>
      <c r="Z48" s="255"/>
      <c r="AB48" s="154">
        <f>+IF(AB47&gt;$G$13+$G$14,XX,AB47+1)</f>
        <v>2019</v>
      </c>
      <c r="AC48" s="124"/>
      <c r="AD48" s="159">
        <f t="shared" si="0"/>
        <v>9239.3694826569736</v>
      </c>
      <c r="AE48" s="3"/>
      <c r="AF48" s="162">
        <f t="shared" si="16"/>
        <v>81.882082679591434</v>
      </c>
      <c r="AG48" s="3"/>
      <c r="AH48" s="162">
        <f t="shared" si="17"/>
        <v>10.048019535211425</v>
      </c>
      <c r="AI48" s="3"/>
      <c r="AJ48" s="162">
        <f t="shared" si="18"/>
        <v>2.3473124051128509</v>
      </c>
      <c r="AK48" s="3"/>
      <c r="AL48" s="161">
        <f t="shared" si="7"/>
        <v>147.35305315939121</v>
      </c>
      <c r="AM48" s="3"/>
      <c r="AN48" s="162">
        <f>INDEX('(2.2)_Forward_Price_Curve'!$I:$I,MATCH($AB48,'(2.2)_Forward_Price_Curve'!$C:$C,0),1)</f>
        <v>5.46</v>
      </c>
      <c r="AO48" s="3"/>
      <c r="AP48" s="162">
        <f t="shared" si="8"/>
        <v>39.114024720327421</v>
      </c>
      <c r="AQ48" s="3"/>
      <c r="AR48" s="162">
        <f t="shared" si="19"/>
        <v>4.7918078623921447</v>
      </c>
      <c r="AS48" s="162"/>
      <c r="AT48" s="161">
        <f t="shared" si="1"/>
        <v>120.61646771169443</v>
      </c>
      <c r="AU48" s="3"/>
      <c r="AV48" s="161">
        <f t="shared" si="2"/>
        <v>405.66220967542534</v>
      </c>
      <c r="AW48" s="299"/>
      <c r="AX48" s="163">
        <f t="shared" si="9"/>
        <v>526.27867738711973</v>
      </c>
      <c r="AZ48" s="154">
        <f>+IF(AZ47&gt;$G$13+$G$14,XX,AZ47+1)</f>
        <v>2019</v>
      </c>
      <c r="BA48" s="124"/>
      <c r="BB48" s="162">
        <f t="shared" si="20"/>
        <v>70.334978180996927</v>
      </c>
      <c r="BC48" s="3"/>
      <c r="BD48" s="162">
        <f t="shared" si="21"/>
        <v>15.292263524829616</v>
      </c>
      <c r="BE48" s="3"/>
      <c r="BF48" s="161">
        <f t="shared" si="10"/>
        <v>26.736585447696786</v>
      </c>
      <c r="BG48" s="3"/>
      <c r="BH48" s="165"/>
    </row>
    <row r="49" spans="2:60" ht="12">
      <c r="B49" s="2"/>
      <c r="C49" s="6">
        <f>+IF(C48&gt;$G$13+$G$14,XX,C48+1)</f>
        <v>2020</v>
      </c>
      <c r="D49" s="6"/>
      <c r="E49" s="292">
        <f t="shared" si="11"/>
        <v>2.5000000000000001E-2</v>
      </c>
      <c r="F49" s="6"/>
      <c r="G49" s="20">
        <f t="shared" si="12"/>
        <v>9239.3694826569736</v>
      </c>
      <c r="H49" s="6"/>
      <c r="I49" s="30">
        <f t="shared" si="13"/>
        <v>535.36671510112728</v>
      </c>
      <c r="J49" s="6"/>
      <c r="K49" s="30">
        <f t="shared" si="14"/>
        <v>0</v>
      </c>
      <c r="L49" s="6"/>
      <c r="M49" s="30">
        <f t="shared" si="15"/>
        <v>0</v>
      </c>
      <c r="N49" s="6"/>
      <c r="O49" s="295"/>
      <c r="P49" s="6"/>
      <c r="Q49" s="30"/>
      <c r="R49" s="6"/>
      <c r="S49" s="20">
        <v>0</v>
      </c>
      <c r="T49" s="6"/>
      <c r="U49" s="20">
        <f t="shared" si="4"/>
        <v>539.00541940948244</v>
      </c>
      <c r="V49" s="6"/>
      <c r="W49" s="20">
        <f t="shared" si="5"/>
        <v>-539.00541940948244</v>
      </c>
      <c r="X49" s="6"/>
      <c r="Y49" s="296">
        <f t="shared" si="6"/>
        <v>-58.337900699959903</v>
      </c>
      <c r="Z49" s="255"/>
      <c r="AB49" s="154">
        <f>+IF(AB48&gt;$G$13+$G$14,XX,AB48+1)</f>
        <v>2020</v>
      </c>
      <c r="AC49" s="124"/>
      <c r="AD49" s="159">
        <f t="shared" si="0"/>
        <v>9239.3694826569736</v>
      </c>
      <c r="AE49" s="3"/>
      <c r="AF49" s="162">
        <f t="shared" si="16"/>
        <v>83.929134746581212</v>
      </c>
      <c r="AG49" s="3"/>
      <c r="AH49" s="162">
        <f t="shared" si="17"/>
        <v>10.29922002359171</v>
      </c>
      <c r="AI49" s="3"/>
      <c r="AJ49" s="162">
        <f t="shared" si="18"/>
        <v>2.4059952152406718</v>
      </c>
      <c r="AK49" s="3"/>
      <c r="AL49" s="161">
        <f t="shared" si="7"/>
        <v>151.03687948837603</v>
      </c>
      <c r="AM49" s="3"/>
      <c r="AN49" s="162">
        <f>INDEX('(2.2)_Forward_Price_Curve'!$I:$I,MATCH($AB49,'(2.2)_Forward_Price_Curve'!$C:$C,0),1)</f>
        <v>5.59</v>
      </c>
      <c r="AO49" s="3"/>
      <c r="AP49" s="162">
        <f t="shared" si="8"/>
        <v>40.045311023192355</v>
      </c>
      <c r="AQ49" s="3"/>
      <c r="AR49" s="162">
        <f t="shared" si="19"/>
        <v>4.9116030589519477</v>
      </c>
      <c r="AS49" s="162"/>
      <c r="AT49" s="161">
        <f t="shared" si="1"/>
        <v>123.63187940448682</v>
      </c>
      <c r="AU49" s="3"/>
      <c r="AV49" s="161">
        <f t="shared" si="2"/>
        <v>415.37354000499562</v>
      </c>
      <c r="AW49" s="299"/>
      <c r="AX49" s="163">
        <f t="shared" si="9"/>
        <v>539.00541940948244</v>
      </c>
      <c r="AZ49" s="154">
        <f>+IF(AZ48&gt;$G$13+$G$14,XX,AZ48+1)</f>
        <v>2020</v>
      </c>
      <c r="BA49" s="124"/>
      <c r="BB49" s="162">
        <f t="shared" si="20"/>
        <v>72.093352635521839</v>
      </c>
      <c r="BC49" s="3"/>
      <c r="BD49" s="162">
        <f t="shared" si="21"/>
        <v>15.674570112950356</v>
      </c>
      <c r="BE49" s="3"/>
      <c r="BF49" s="161">
        <f t="shared" si="10"/>
        <v>27.405000083889199</v>
      </c>
      <c r="BG49" s="3"/>
      <c r="BH49" s="165"/>
    </row>
    <row r="50" spans="2:60" ht="12">
      <c r="B50" s="2"/>
      <c r="C50" s="6">
        <f>+IF(C49&gt;$G$13+$G$14,XX,C49+1)</f>
        <v>2021</v>
      </c>
      <c r="D50" s="6"/>
      <c r="E50" s="292">
        <f t="shared" si="11"/>
        <v>2.5000000000000001E-2</v>
      </c>
      <c r="F50" s="6"/>
      <c r="G50" s="20">
        <f t="shared" si="12"/>
        <v>9239.3694826569736</v>
      </c>
      <c r="H50" s="6"/>
      <c r="I50" s="30">
        <f t="shared" si="13"/>
        <v>548.75088297865545</v>
      </c>
      <c r="J50" s="6"/>
      <c r="K50" s="30">
        <f t="shared" si="14"/>
        <v>0</v>
      </c>
      <c r="L50" s="6"/>
      <c r="M50" s="30">
        <f t="shared" si="15"/>
        <v>0</v>
      </c>
      <c r="N50" s="6"/>
      <c r="O50" s="295"/>
      <c r="P50" s="6"/>
      <c r="Q50" s="30"/>
      <c r="R50" s="6"/>
      <c r="S50" s="20">
        <v>0</v>
      </c>
      <c r="T50" s="6"/>
      <c r="U50" s="20">
        <f t="shared" si="4"/>
        <v>549.18767960430591</v>
      </c>
      <c r="V50" s="6"/>
      <c r="W50" s="20">
        <f t="shared" si="5"/>
        <v>-549.18767960430591</v>
      </c>
      <c r="X50" s="6"/>
      <c r="Y50" s="296">
        <f t="shared" si="6"/>
        <v>-59.439952113093277</v>
      </c>
      <c r="Z50" s="255"/>
      <c r="AB50" s="154">
        <f>+IF(AB49&gt;$G$13+$G$14,XX,AB49+1)</f>
        <v>2021</v>
      </c>
      <c r="AC50" s="124"/>
      <c r="AD50" s="159">
        <f t="shared" si="0"/>
        <v>9239.3694826569736</v>
      </c>
      <c r="AE50" s="3"/>
      <c r="AF50" s="162">
        <f t="shared" si="16"/>
        <v>86.027363115245734</v>
      </c>
      <c r="AG50" s="3"/>
      <c r="AH50" s="162">
        <f t="shared" si="17"/>
        <v>10.556700524181501</v>
      </c>
      <c r="AI50" s="3"/>
      <c r="AJ50" s="162">
        <f t="shared" si="18"/>
        <v>2.4661450956216884</v>
      </c>
      <c r="AK50" s="3"/>
      <c r="AL50" s="161">
        <f t="shared" si="7"/>
        <v>154.81280147558536</v>
      </c>
      <c r="AM50" s="3"/>
      <c r="AN50" s="162">
        <f>INDEX('(2.2)_Forward_Price_Curve'!$I:$I,MATCH($AB50,'(2.2)_Forward_Price_Curve'!$C:$C,0),1)</f>
        <v>5.68</v>
      </c>
      <c r="AO50" s="3"/>
      <c r="AP50" s="162">
        <f t="shared" si="8"/>
        <v>40.690047694406545</v>
      </c>
      <c r="AQ50" s="3"/>
      <c r="AR50" s="162">
        <f t="shared" si="19"/>
        <v>5.0343931354257458</v>
      </c>
      <c r="AS50" s="162"/>
      <c r="AT50" s="161">
        <f t="shared" si="1"/>
        <v>126.72267638959893</v>
      </c>
      <c r="AU50" s="3"/>
      <c r="AV50" s="161">
        <f t="shared" si="2"/>
        <v>422.46500321470694</v>
      </c>
      <c r="AW50" s="299"/>
      <c r="AX50" s="163">
        <f t="shared" si="9"/>
        <v>549.18767960430591</v>
      </c>
      <c r="AZ50" s="154">
        <f>+IF(AZ49&gt;$G$13+$G$14,XX,AZ49+1)</f>
        <v>2021</v>
      </c>
      <c r="BA50" s="124"/>
      <c r="BB50" s="162">
        <f t="shared" si="20"/>
        <v>73.895686451409873</v>
      </c>
      <c r="BC50" s="3"/>
      <c r="BD50" s="162">
        <f t="shared" si="21"/>
        <v>16.066434365774114</v>
      </c>
      <c r="BE50" s="3"/>
      <c r="BF50" s="161">
        <f t="shared" si="10"/>
        <v>28.090125085986426</v>
      </c>
      <c r="BG50" s="3"/>
      <c r="BH50" s="165"/>
    </row>
    <row r="51" spans="2:60" ht="12">
      <c r="B51" s="2"/>
      <c r="C51" s="6">
        <f>+IF(C50&gt;$G$13+$G$14,XX,C50+1)</f>
        <v>2022</v>
      </c>
      <c r="D51" s="6"/>
      <c r="E51" s="292">
        <f t="shared" si="11"/>
        <v>2.5000000000000001E-2</v>
      </c>
      <c r="F51" s="6"/>
      <c r="G51" s="20">
        <f t="shared" si="12"/>
        <v>9239.3694826569736</v>
      </c>
      <c r="H51" s="6"/>
      <c r="I51" s="30">
        <f t="shared" si="13"/>
        <v>562.46965505312176</v>
      </c>
      <c r="J51" s="6"/>
      <c r="K51" s="30">
        <f t="shared" si="14"/>
        <v>0</v>
      </c>
      <c r="L51" s="6"/>
      <c r="M51" s="30">
        <f t="shared" si="15"/>
        <v>0</v>
      </c>
      <c r="N51" s="6"/>
      <c r="O51" s="295"/>
      <c r="P51" s="6"/>
      <c r="Q51" s="30"/>
      <c r="R51" s="6"/>
      <c r="S51" s="20">
        <v>0</v>
      </c>
      <c r="T51" s="6"/>
      <c r="U51" s="20">
        <f t="shared" si="4"/>
        <v>556.16614989346522</v>
      </c>
      <c r="V51" s="6"/>
      <c r="W51" s="20">
        <f t="shared" si="5"/>
        <v>-556.16614989346522</v>
      </c>
      <c r="X51" s="6"/>
      <c r="Y51" s="296">
        <f t="shared" si="6"/>
        <v>-60.195249355211196</v>
      </c>
      <c r="Z51" s="255"/>
      <c r="AB51" s="154">
        <f>+IF(AB50&gt;$G$13+$G$14,XX,AB50+1)</f>
        <v>2022</v>
      </c>
      <c r="AC51" s="124"/>
      <c r="AD51" s="159">
        <f t="shared" si="0"/>
        <v>9239.3694826569736</v>
      </c>
      <c r="AE51" s="3"/>
      <c r="AF51" s="162">
        <f t="shared" si="16"/>
        <v>88.178047193126872</v>
      </c>
      <c r="AG51" s="3"/>
      <c r="AH51" s="162">
        <f t="shared" si="17"/>
        <v>10.820618037286037</v>
      </c>
      <c r="AI51" s="3"/>
      <c r="AJ51" s="162">
        <f t="shared" si="18"/>
        <v>2.5277987230122303</v>
      </c>
      <c r="AK51" s="3"/>
      <c r="AL51" s="161">
        <f t="shared" si="7"/>
        <v>158.68312151247503</v>
      </c>
      <c r="AM51" s="3"/>
      <c r="AN51" s="162">
        <f>INDEX('(2.2)_Forward_Price_Curve'!$I:$I,MATCH($AB51,'(2.2)_Forward_Price_Curve'!$C:$C,0),1)</f>
        <v>5.72</v>
      </c>
      <c r="AO51" s="3"/>
      <c r="AP51" s="162">
        <f t="shared" si="8"/>
        <v>40.976597326057295</v>
      </c>
      <c r="AQ51" s="3"/>
      <c r="AR51" s="162">
        <f t="shared" si="19"/>
        <v>5.1602529638113888</v>
      </c>
      <c r="AS51" s="162"/>
      <c r="AT51" s="161">
        <f t="shared" si="1"/>
        <v>129.89074329933894</v>
      </c>
      <c r="AU51" s="3"/>
      <c r="AV51" s="161">
        <f t="shared" si="2"/>
        <v>426.27540659412625</v>
      </c>
      <c r="AW51" s="299"/>
      <c r="AX51" s="163">
        <f t="shared" si="9"/>
        <v>556.16614989346522</v>
      </c>
      <c r="AZ51" s="154">
        <f>+IF(AZ50&gt;$G$13+$G$14,XX,AZ50+1)</f>
        <v>2022</v>
      </c>
      <c r="BA51" s="124"/>
      <c r="BB51" s="162">
        <f t="shared" si="20"/>
        <v>75.743078612695115</v>
      </c>
      <c r="BC51" s="3"/>
      <c r="BD51" s="162">
        <f t="shared" si="21"/>
        <v>16.468095224918464</v>
      </c>
      <c r="BE51" s="3"/>
      <c r="BF51" s="161">
        <f t="shared" si="10"/>
        <v>28.792378213136086</v>
      </c>
      <c r="BG51" s="3"/>
      <c r="BH51" s="165"/>
    </row>
    <row r="52" spans="2:60" ht="12">
      <c r="B52" s="2"/>
      <c r="C52" s="6">
        <f>+IF(C51&gt;$G$13+$G$14,XX,C51+1)</f>
        <v>2023</v>
      </c>
      <c r="D52" s="6"/>
      <c r="E52" s="292">
        <f t="shared" si="11"/>
        <v>2.5000000000000001E-2</v>
      </c>
      <c r="F52" s="6"/>
      <c r="G52" s="20">
        <f t="shared" si="12"/>
        <v>9239.3694826569736</v>
      </c>
      <c r="H52" s="6"/>
      <c r="I52" s="30">
        <f t="shared" si="13"/>
        <v>576.53139642944973</v>
      </c>
      <c r="J52" s="6"/>
      <c r="K52" s="30">
        <f t="shared" si="14"/>
        <v>0</v>
      </c>
      <c r="L52" s="6"/>
      <c r="M52" s="30">
        <f t="shared" si="15"/>
        <v>0</v>
      </c>
      <c r="N52" s="6"/>
      <c r="O52" s="295"/>
      <c r="P52" s="6"/>
      <c r="Q52" s="30"/>
      <c r="R52" s="6"/>
      <c r="S52" s="20">
        <v>0</v>
      </c>
      <c r="T52" s="6"/>
      <c r="U52" s="20">
        <f t="shared" si="4"/>
        <v>569.20985381617106</v>
      </c>
      <c r="V52" s="6"/>
      <c r="W52" s="20">
        <f t="shared" si="5"/>
        <v>-569.20985381617106</v>
      </c>
      <c r="X52" s="6"/>
      <c r="Y52" s="296">
        <f t="shared" si="6"/>
        <v>-61.607001958804972</v>
      </c>
      <c r="Z52" s="255"/>
      <c r="AB52" s="154">
        <f>+IF(AB51&gt;$G$13+$G$14,XX,AB51+1)</f>
        <v>2023</v>
      </c>
      <c r="AC52" s="124"/>
      <c r="AD52" s="159">
        <f t="shared" si="0"/>
        <v>9239.3694826569736</v>
      </c>
      <c r="AE52" s="3"/>
      <c r="AF52" s="162">
        <f t="shared" si="16"/>
        <v>90.382498372955041</v>
      </c>
      <c r="AG52" s="3"/>
      <c r="AH52" s="162">
        <f t="shared" si="17"/>
        <v>11.091133488218187</v>
      </c>
      <c r="AI52" s="3"/>
      <c r="AJ52" s="162">
        <f t="shared" si="18"/>
        <v>2.5909936910875357</v>
      </c>
      <c r="AK52" s="3"/>
      <c r="AL52" s="161">
        <f t="shared" si="7"/>
        <v>162.65019955028686</v>
      </c>
      <c r="AM52" s="3"/>
      <c r="AN52" s="162">
        <f>INDEX('(2.2)_Forward_Price_Curve'!$I:$I,MATCH($AB52,'(2.2)_Forward_Price_Curve'!$C:$C,0),1)</f>
        <v>5.85</v>
      </c>
      <c r="AO52" s="3"/>
      <c r="AP52" s="162">
        <f t="shared" si="8"/>
        <v>41.907883628922235</v>
      </c>
      <c r="AQ52" s="3"/>
      <c r="AR52" s="162">
        <f t="shared" si="19"/>
        <v>5.2892592879066731</v>
      </c>
      <c r="AS52" s="162"/>
      <c r="AT52" s="161">
        <f t="shared" si="1"/>
        <v>133.13801188182237</v>
      </c>
      <c r="AU52" s="3"/>
      <c r="AV52" s="161">
        <f t="shared" si="2"/>
        <v>436.07184193434875</v>
      </c>
      <c r="AW52" s="299"/>
      <c r="AX52" s="163">
        <f t="shared" si="9"/>
        <v>569.20985381617106</v>
      </c>
      <c r="AZ52" s="154">
        <f>+IF(AZ51&gt;$G$13+$G$14,XX,AZ51+1)</f>
        <v>2023</v>
      </c>
      <c r="BA52" s="124"/>
      <c r="BB52" s="162">
        <f t="shared" si="20"/>
        <v>77.63665557801248</v>
      </c>
      <c r="BC52" s="3"/>
      <c r="BD52" s="162">
        <f t="shared" si="21"/>
        <v>16.879797605541423</v>
      </c>
      <c r="BE52" s="3"/>
      <c r="BF52" s="161">
        <f t="shared" si="10"/>
        <v>29.512187668464481</v>
      </c>
      <c r="BG52" s="3"/>
      <c r="BH52" s="165"/>
    </row>
    <row r="53" spans="2:60" ht="12">
      <c r="B53" s="2"/>
      <c r="C53" s="6">
        <f>+IF(C52&gt;$G$13+$G$14,XX,C52+1)</f>
        <v>2024</v>
      </c>
      <c r="D53" s="6"/>
      <c r="E53" s="292">
        <f t="shared" si="11"/>
        <v>2.5000000000000001E-2</v>
      </c>
      <c r="F53" s="6"/>
      <c r="G53" s="20">
        <f t="shared" si="12"/>
        <v>9239.3694826569736</v>
      </c>
      <c r="H53" s="6"/>
      <c r="I53" s="30">
        <f t="shared" si="13"/>
        <v>590.94468134018587</v>
      </c>
      <c r="J53" s="6"/>
      <c r="K53" s="30">
        <f t="shared" si="14"/>
        <v>0</v>
      </c>
      <c r="L53" s="6"/>
      <c r="M53" s="30">
        <f t="shared" si="15"/>
        <v>0</v>
      </c>
      <c r="N53" s="6"/>
      <c r="O53" s="295"/>
      <c r="P53" s="6"/>
      <c r="Q53" s="30"/>
      <c r="R53" s="6"/>
      <c r="S53" s="20">
        <v>0</v>
      </c>
      <c r="T53" s="6"/>
      <c r="U53" s="20">
        <f t="shared" si="4"/>
        <v>583.4401001615754</v>
      </c>
      <c r="V53" s="6"/>
      <c r="W53" s="20">
        <f t="shared" si="5"/>
        <v>-583.4401001615754</v>
      </c>
      <c r="X53" s="6"/>
      <c r="Y53" s="296">
        <f t="shared" si="6"/>
        <v>-63.147177007775099</v>
      </c>
      <c r="Z53" s="255"/>
      <c r="AB53" s="154">
        <f>+IF(AB52&gt;$G$13+$G$14,XX,AB52+1)</f>
        <v>2024</v>
      </c>
      <c r="AC53" s="124"/>
      <c r="AD53" s="159">
        <f t="shared" si="0"/>
        <v>9239.3694826569736</v>
      </c>
      <c r="AE53" s="3"/>
      <c r="AF53" s="162">
        <f t="shared" si="16"/>
        <v>92.642060832278915</v>
      </c>
      <c r="AG53" s="3"/>
      <c r="AH53" s="162">
        <f t="shared" si="17"/>
        <v>11.368411825423641</v>
      </c>
      <c r="AI53" s="3"/>
      <c r="AJ53" s="162">
        <f t="shared" si="18"/>
        <v>2.6557685333647241</v>
      </c>
      <c r="AK53" s="3"/>
      <c r="AL53" s="161">
        <f t="shared" si="7"/>
        <v>166.71645453904404</v>
      </c>
      <c r="AM53" s="3"/>
      <c r="AN53" s="162">
        <f>INDEX('(2.2)_Forward_Price_Curve'!$I:$I,MATCH($AB53,'(2.2)_Forward_Price_Curve'!$C:$C,0),1)</f>
        <v>5.996249999999999</v>
      </c>
      <c r="AO53" s="3"/>
      <c r="AP53" s="162">
        <f t="shared" si="8"/>
        <v>42.95558071964529</v>
      </c>
      <c r="AQ53" s="3"/>
      <c r="AR53" s="162">
        <f t="shared" si="19"/>
        <v>5.4214907701043398</v>
      </c>
      <c r="AS53" s="162"/>
      <c r="AT53" s="161">
        <f t="shared" si="1"/>
        <v>136.46646217886794</v>
      </c>
      <c r="AU53" s="3"/>
      <c r="AV53" s="161">
        <f t="shared" si="2"/>
        <v>446.97363798270749</v>
      </c>
      <c r="AW53" s="299"/>
      <c r="AX53" s="163">
        <f t="shared" si="9"/>
        <v>583.4401001615754</v>
      </c>
      <c r="AZ53" s="154">
        <f>+IF(AZ52&gt;$G$13+$G$14,XX,AZ52+1)</f>
        <v>2024</v>
      </c>
      <c r="BA53" s="124"/>
      <c r="BB53" s="162">
        <f t="shared" si="20"/>
        <v>79.577571967462788</v>
      </c>
      <c r="BC53" s="3"/>
      <c r="BD53" s="162">
        <f t="shared" si="21"/>
        <v>17.301792545679959</v>
      </c>
      <c r="BE53" s="3"/>
      <c r="BF53" s="161">
        <f t="shared" si="10"/>
        <v>30.249992360176091</v>
      </c>
      <c r="BG53" s="3"/>
      <c r="BH53" s="165"/>
    </row>
    <row r="54" spans="2:60" ht="12">
      <c r="B54" s="2"/>
      <c r="C54" s="6">
        <f>+IF(C53&gt;$G$13+$G$14,XX,C53+1)</f>
        <v>2025</v>
      </c>
      <c r="D54" s="6"/>
      <c r="E54" s="292">
        <f t="shared" si="11"/>
        <v>2.5000000000000001E-2</v>
      </c>
      <c r="F54" s="6"/>
      <c r="G54" s="20">
        <f t="shared" si="12"/>
        <v>9239.3694826569736</v>
      </c>
      <c r="H54" s="6"/>
      <c r="I54" s="30">
        <f t="shared" si="13"/>
        <v>605.71829837369046</v>
      </c>
      <c r="J54" s="6"/>
      <c r="K54" s="30">
        <f t="shared" si="14"/>
        <v>0</v>
      </c>
      <c r="L54" s="6"/>
      <c r="M54" s="30">
        <f t="shared" si="15"/>
        <v>0</v>
      </c>
      <c r="N54" s="6"/>
      <c r="O54" s="295"/>
      <c r="P54" s="6"/>
      <c r="Q54" s="30"/>
      <c r="R54" s="6"/>
      <c r="S54" s="20">
        <v>0</v>
      </c>
      <c r="T54" s="6"/>
      <c r="U54" s="20">
        <f t="shared" si="4"/>
        <v>598.02610266561476</v>
      </c>
      <c r="V54" s="6"/>
      <c r="W54" s="20">
        <f t="shared" si="5"/>
        <v>-598.02610266561476</v>
      </c>
      <c r="X54" s="6"/>
      <c r="Y54" s="296">
        <f t="shared" si="6"/>
        <v>-64.725856432969479</v>
      </c>
      <c r="Z54" s="255"/>
      <c r="AB54" s="154">
        <f>+IF(AB53&gt;$G$13+$G$14,XX,AB53+1)</f>
        <v>2025</v>
      </c>
      <c r="AC54" s="124"/>
      <c r="AD54" s="159">
        <f t="shared" si="0"/>
        <v>9239.3694826569736</v>
      </c>
      <c r="AE54" s="3"/>
      <c r="AF54" s="162">
        <f t="shared" si="16"/>
        <v>94.95811235308588</v>
      </c>
      <c r="AG54" s="3"/>
      <c r="AH54" s="162">
        <f t="shared" si="17"/>
        <v>11.652622121059231</v>
      </c>
      <c r="AI54" s="3"/>
      <c r="AJ54" s="162">
        <f t="shared" si="18"/>
        <v>2.7221627466988418</v>
      </c>
      <c r="AK54" s="3"/>
      <c r="AL54" s="161">
        <f t="shared" si="7"/>
        <v>170.88436590252013</v>
      </c>
      <c r="AM54" s="3"/>
      <c r="AN54" s="162">
        <f>INDEX('(2.2)_Forward_Price_Curve'!$I:$I,MATCH($AB54,'(2.2)_Forward_Price_Curve'!$C:$C,0),1)</f>
        <v>6.146156249999998</v>
      </c>
      <c r="AO54" s="3"/>
      <c r="AP54" s="162">
        <f t="shared" si="8"/>
        <v>44.029470237636417</v>
      </c>
      <c r="AQ54" s="3"/>
      <c r="AR54" s="162">
        <f t="shared" si="19"/>
        <v>5.5570280393569478</v>
      </c>
      <c r="AS54" s="162"/>
      <c r="AT54" s="161">
        <f t="shared" si="1"/>
        <v>139.87812373333963</v>
      </c>
      <c r="AU54" s="3"/>
      <c r="AV54" s="161">
        <f t="shared" si="2"/>
        <v>458.14797893227512</v>
      </c>
      <c r="AW54" s="299"/>
      <c r="AX54" s="163">
        <f t="shared" si="9"/>
        <v>598.02610266561476</v>
      </c>
      <c r="AZ54" s="154">
        <f>+IF(AZ53&gt;$G$13+$G$14,XX,AZ53+1)</f>
        <v>2025</v>
      </c>
      <c r="BA54" s="124"/>
      <c r="BB54" s="162">
        <f t="shared" si="20"/>
        <v>81.567011266649345</v>
      </c>
      <c r="BC54" s="3"/>
      <c r="BD54" s="162">
        <f t="shared" si="21"/>
        <v>17.734337359321955</v>
      </c>
      <c r="BE54" s="3"/>
      <c r="BF54" s="161">
        <f t="shared" si="10"/>
        <v>31.006242169180489</v>
      </c>
      <c r="BG54" s="3"/>
      <c r="BH54" s="165"/>
    </row>
    <row r="55" spans="2:60" ht="12">
      <c r="B55" s="2"/>
      <c r="C55" s="6">
        <f>+IF(C54&gt;$G$13+$G$14,XX,C54+1)</f>
        <v>2026</v>
      </c>
      <c r="D55" s="6"/>
      <c r="E55" s="292">
        <f t="shared" si="11"/>
        <v>2.5000000000000001E-2</v>
      </c>
      <c r="F55" s="6"/>
      <c r="G55" s="20">
        <f t="shared" si="12"/>
        <v>9239.3694826569736</v>
      </c>
      <c r="H55" s="6"/>
      <c r="I55" s="30">
        <f t="shared" si="13"/>
        <v>620.86125583303271</v>
      </c>
      <c r="J55" s="6"/>
      <c r="K55" s="30">
        <f t="shared" si="14"/>
        <v>0</v>
      </c>
      <c r="L55" s="6"/>
      <c r="M55" s="30">
        <f t="shared" si="15"/>
        <v>0</v>
      </c>
      <c r="N55" s="6"/>
      <c r="O55" s="295"/>
      <c r="P55" s="6"/>
      <c r="Q55" s="30"/>
      <c r="R55" s="6"/>
      <c r="S55" s="20">
        <v>0</v>
      </c>
      <c r="T55" s="6"/>
      <c r="U55" s="20">
        <f t="shared" si="4"/>
        <v>612.97675523225496</v>
      </c>
      <c r="V55" s="6"/>
      <c r="W55" s="20">
        <f t="shared" si="5"/>
        <v>-612.97675523225496</v>
      </c>
      <c r="X55" s="6"/>
      <c r="Y55" s="296">
        <f t="shared" si="6"/>
        <v>-66.344002843793703</v>
      </c>
      <c r="Z55" s="255"/>
      <c r="AB55" s="154">
        <f>+IF(AB54&gt;$G$13+$G$14,XX,AB54+1)</f>
        <v>2026</v>
      </c>
      <c r="AC55" s="124"/>
      <c r="AD55" s="159">
        <f t="shared" si="0"/>
        <v>9239.3694826569736</v>
      </c>
      <c r="AE55" s="3"/>
      <c r="AF55" s="162">
        <f t="shared" si="16"/>
        <v>97.332065161913022</v>
      </c>
      <c r="AG55" s="3"/>
      <c r="AH55" s="162">
        <f t="shared" si="17"/>
        <v>11.943937674085712</v>
      </c>
      <c r="AI55" s="3"/>
      <c r="AJ55" s="162">
        <f t="shared" si="18"/>
        <v>2.7902168153663127</v>
      </c>
      <c r="AK55" s="3"/>
      <c r="AL55" s="161">
        <f t="shared" si="7"/>
        <v>175.15647505008312</v>
      </c>
      <c r="AM55" s="3"/>
      <c r="AN55" s="162">
        <f>INDEX('(2.2)_Forward_Price_Curve'!$I:$I,MATCH($AB55,'(2.2)_Forward_Price_Curve'!$C:$C,0),1)</f>
        <v>6.2998101562499977</v>
      </c>
      <c r="AO55" s="3"/>
      <c r="AP55" s="162">
        <f t="shared" si="8"/>
        <v>45.130206993577318</v>
      </c>
      <c r="AQ55" s="3"/>
      <c r="AR55" s="162">
        <f t="shared" si="19"/>
        <v>5.6959537403408707</v>
      </c>
      <c r="AS55" s="162"/>
      <c r="AT55" s="161">
        <f t="shared" si="1"/>
        <v>143.37507682667311</v>
      </c>
      <c r="AU55" s="3"/>
      <c r="AV55" s="161">
        <f t="shared" si="2"/>
        <v>469.60167840558188</v>
      </c>
      <c r="AW55" s="299"/>
      <c r="AX55" s="163">
        <f t="shared" si="9"/>
        <v>612.97675523225496</v>
      </c>
      <c r="AZ55" s="154">
        <f>+IF(AZ54&gt;$G$13+$G$14,XX,AZ54+1)</f>
        <v>2026</v>
      </c>
      <c r="BA55" s="124"/>
      <c r="BB55" s="162">
        <f t="shared" si="20"/>
        <v>83.606186548315577</v>
      </c>
      <c r="BC55" s="3"/>
      <c r="BD55" s="162">
        <f t="shared" si="21"/>
        <v>18.177695793305002</v>
      </c>
      <c r="BE55" s="3"/>
      <c r="BF55" s="161">
        <f t="shared" si="10"/>
        <v>31.781398223410001</v>
      </c>
      <c r="BG55" s="3"/>
      <c r="BH55" s="165"/>
    </row>
    <row r="56" spans="2:60" ht="12">
      <c r="B56" s="2"/>
      <c r="C56" s="6">
        <f>+IF(C55&gt;$G$13+$G$14,XX,C55+1)</f>
        <v>2027</v>
      </c>
      <c r="D56" s="6"/>
      <c r="E56" s="292">
        <f t="shared" si="11"/>
        <v>2.5000000000000001E-2</v>
      </c>
      <c r="F56" s="6"/>
      <c r="G56" s="20">
        <f t="shared" si="12"/>
        <v>9239.3694826569736</v>
      </c>
      <c r="H56" s="6"/>
      <c r="I56" s="30">
        <f t="shared" si="13"/>
        <v>636.38278722885843</v>
      </c>
      <c r="J56" s="6"/>
      <c r="K56" s="30">
        <f t="shared" si="14"/>
        <v>0</v>
      </c>
      <c r="L56" s="6"/>
      <c r="M56" s="30">
        <f t="shared" si="15"/>
        <v>0</v>
      </c>
      <c r="N56" s="6"/>
      <c r="O56" s="295"/>
      <c r="P56" s="6"/>
      <c r="Q56" s="30"/>
      <c r="R56" s="6"/>
      <c r="S56" s="20">
        <v>0</v>
      </c>
      <c r="T56" s="6"/>
      <c r="U56" s="20">
        <f t="shared" si="4"/>
        <v>628.30117411306128</v>
      </c>
      <c r="V56" s="6"/>
      <c r="W56" s="20">
        <f t="shared" si="5"/>
        <v>-628.30117411306128</v>
      </c>
      <c r="X56" s="6"/>
      <c r="Y56" s="296">
        <f t="shared" si="6"/>
        <v>-68.002602914888541</v>
      </c>
      <c r="Z56" s="255"/>
      <c r="AB56" s="154">
        <f>+IF(AB55&gt;$G$13+$G$14,XX,AB55+1)</f>
        <v>2027</v>
      </c>
      <c r="AC56" s="124"/>
      <c r="AD56" s="159">
        <f t="shared" si="0"/>
        <v>9239.3694826569736</v>
      </c>
      <c r="AE56" s="3"/>
      <c r="AF56" s="162">
        <f t="shared" si="16"/>
        <v>99.76536679096084</v>
      </c>
      <c r="AG56" s="3"/>
      <c r="AH56" s="162">
        <f t="shared" si="17"/>
        <v>12.242536115937854</v>
      </c>
      <c r="AI56" s="3"/>
      <c r="AJ56" s="162">
        <f t="shared" si="18"/>
        <v>2.8599722357504702</v>
      </c>
      <c r="AK56" s="3"/>
      <c r="AL56" s="161">
        <f t="shared" si="7"/>
        <v>179.53538692633518</v>
      </c>
      <c r="AM56" s="3"/>
      <c r="AN56" s="162">
        <f>INDEX('(2.2)_Forward_Price_Curve'!$I:$I,MATCH($AB56,'(2.2)_Forward_Price_Curve'!$C:$C,0),1)</f>
        <v>6.4573054101562475</v>
      </c>
      <c r="AO56" s="3"/>
      <c r="AP56" s="162">
        <f t="shared" si="8"/>
        <v>46.258462168416749</v>
      </c>
      <c r="AQ56" s="3"/>
      <c r="AR56" s="162">
        <f t="shared" si="19"/>
        <v>5.8383525838493915</v>
      </c>
      <c r="AS56" s="162"/>
      <c r="AT56" s="161">
        <f t="shared" si="1"/>
        <v>146.95945374733992</v>
      </c>
      <c r="AU56" s="3"/>
      <c r="AV56" s="161">
        <f t="shared" si="2"/>
        <v>481.34172036572136</v>
      </c>
      <c r="AW56" s="299"/>
      <c r="AX56" s="163">
        <f t="shared" si="9"/>
        <v>628.30117411306128</v>
      </c>
      <c r="AZ56" s="154">
        <f>+IF(AZ55&gt;$G$13+$G$14,XX,AZ55+1)</f>
        <v>2027</v>
      </c>
      <c r="BA56" s="124"/>
      <c r="BB56" s="162">
        <f t="shared" si="20"/>
        <v>85.696341212023455</v>
      </c>
      <c r="BC56" s="3"/>
      <c r="BD56" s="162">
        <f t="shared" si="21"/>
        <v>18.632138188137624</v>
      </c>
      <c r="BE56" s="3"/>
      <c r="BF56" s="161">
        <f t="shared" si="10"/>
        <v>32.57593317899525</v>
      </c>
      <c r="BG56" s="3"/>
      <c r="BH56" s="165"/>
    </row>
    <row r="57" spans="2:60" ht="12">
      <c r="B57" s="2"/>
      <c r="C57" s="6">
        <f>+IF(C56&gt;$G$13+$G$14,XX,C56+1)</f>
        <v>2028</v>
      </c>
      <c r="D57" s="6"/>
      <c r="E57" s="292">
        <f t="shared" si="11"/>
        <v>2.5000000000000001E-2</v>
      </c>
      <c r="F57" s="6"/>
      <c r="G57" s="20">
        <f t="shared" si="12"/>
        <v>9239.3694826569736</v>
      </c>
      <c r="H57" s="6"/>
      <c r="I57" s="30">
        <f t="shared" si="13"/>
        <v>652.29235690957989</v>
      </c>
      <c r="J57" s="6"/>
      <c r="K57" s="30">
        <f t="shared" si="14"/>
        <v>0</v>
      </c>
      <c r="L57" s="6"/>
      <c r="M57" s="30">
        <f t="shared" si="15"/>
        <v>0</v>
      </c>
      <c r="N57" s="6"/>
      <c r="O57" s="295"/>
      <c r="P57" s="6"/>
      <c r="Q57" s="30"/>
      <c r="R57" s="6"/>
      <c r="S57" s="20">
        <v>0</v>
      </c>
      <c r="T57" s="6"/>
      <c r="U57" s="20">
        <f t="shared" si="4"/>
        <v>644.00870346588783</v>
      </c>
      <c r="V57" s="6"/>
      <c r="W57" s="20">
        <f t="shared" si="5"/>
        <v>-644.00870346588783</v>
      </c>
      <c r="X57" s="6"/>
      <c r="Y57" s="296">
        <f t="shared" si="6"/>
        <v>-69.702667987760748</v>
      </c>
      <c r="Z57" s="255"/>
      <c r="AB57" s="154">
        <f>+IF(AB56&gt;$G$13+$G$14,XX,AB56+1)</f>
        <v>2028</v>
      </c>
      <c r="AC57" s="124"/>
      <c r="AD57" s="159">
        <f t="shared" si="0"/>
        <v>9239.3694826569736</v>
      </c>
      <c r="AE57" s="3"/>
      <c r="AF57" s="162">
        <f t="shared" si="16"/>
        <v>102.25950096073485</v>
      </c>
      <c r="AG57" s="3"/>
      <c r="AH57" s="162">
        <f t="shared" si="17"/>
        <v>12.5485995188363</v>
      </c>
      <c r="AI57" s="3"/>
      <c r="AJ57" s="162">
        <f t="shared" si="18"/>
        <v>2.9314715416442318</v>
      </c>
      <c r="AK57" s="3"/>
      <c r="AL57" s="161">
        <f t="shared" si="7"/>
        <v>184.02377159949353</v>
      </c>
      <c r="AM57" s="3"/>
      <c r="AN57" s="162">
        <f>INDEX('(2.2)_Forward_Price_Curve'!$I:$I,MATCH($AB57,'(2.2)_Forward_Price_Curve'!$C:$C,0),1)</f>
        <v>6.6187380454101534</v>
      </c>
      <c r="AO57" s="3"/>
      <c r="AP57" s="162">
        <f t="shared" si="8"/>
        <v>47.414923722627172</v>
      </c>
      <c r="AQ57" s="3"/>
      <c r="AR57" s="162">
        <f t="shared" si="19"/>
        <v>5.9843113984456258</v>
      </c>
      <c r="AS57" s="162"/>
      <c r="AT57" s="161">
        <f t="shared" si="1"/>
        <v>150.6334400910234</v>
      </c>
      <c r="AU57" s="3"/>
      <c r="AV57" s="161">
        <f t="shared" si="2"/>
        <v>493.37526337486446</v>
      </c>
      <c r="AW57" s="299"/>
      <c r="AX57" s="163">
        <f t="shared" si="9"/>
        <v>644.00870346588783</v>
      </c>
      <c r="AZ57" s="154">
        <f>+IF(AZ56&gt;$G$13+$G$14,XX,AZ56+1)</f>
        <v>2028</v>
      </c>
      <c r="BA57" s="124"/>
      <c r="BB57" s="162">
        <f t="shared" si="20"/>
        <v>87.83874974232404</v>
      </c>
      <c r="BC57" s="3"/>
      <c r="BD57" s="162">
        <f t="shared" si="21"/>
        <v>19.097941642841064</v>
      </c>
      <c r="BE57" s="3"/>
      <c r="BF57" s="161">
        <f t="shared" si="10"/>
        <v>33.390331508470126</v>
      </c>
      <c r="BG57" s="3"/>
      <c r="BH57" s="165"/>
    </row>
    <row r="58" spans="2:60" ht="12">
      <c r="B58" s="2"/>
      <c r="C58" s="6">
        <f>+IF(C57&gt;$G$13+$G$14,XX,C57+1)</f>
        <v>2029</v>
      </c>
      <c r="D58" s="6"/>
      <c r="E58" s="292">
        <f t="shared" si="11"/>
        <v>2.5000000000000001E-2</v>
      </c>
      <c r="F58" s="6"/>
      <c r="G58" s="20">
        <f t="shared" si="12"/>
        <v>9239.3694826569736</v>
      </c>
      <c r="H58" s="6"/>
      <c r="I58" s="30">
        <f t="shared" si="13"/>
        <v>668.59966583231937</v>
      </c>
      <c r="J58" s="6"/>
      <c r="K58" s="30">
        <f t="shared" si="14"/>
        <v>0</v>
      </c>
      <c r="L58" s="6"/>
      <c r="M58" s="30">
        <f t="shared" si="15"/>
        <v>0</v>
      </c>
      <c r="N58" s="6"/>
      <c r="O58" s="295"/>
      <c r="P58" s="6"/>
      <c r="Q58" s="30"/>
      <c r="R58" s="6"/>
      <c r="S58" s="20">
        <v>0</v>
      </c>
      <c r="T58" s="6"/>
      <c r="U58" s="20">
        <f t="shared" si="4"/>
        <v>660.10892105253504</v>
      </c>
      <c r="V58" s="6"/>
      <c r="W58" s="20">
        <f t="shared" si="5"/>
        <v>-660.10892105253504</v>
      </c>
      <c r="X58" s="6"/>
      <c r="Y58" s="296">
        <f t="shared" si="6"/>
        <v>-71.445234687454771</v>
      </c>
      <c r="Z58" s="255"/>
      <c r="AB58" s="154">
        <f>+IF(AB57&gt;$G$13+$G$14,XX,AB57+1)</f>
        <v>2029</v>
      </c>
      <c r="AC58" s="124"/>
      <c r="AD58" s="159">
        <f t="shared" si="0"/>
        <v>9239.3694826569736</v>
      </c>
      <c r="AE58" s="3"/>
      <c r="AF58" s="162">
        <f t="shared" si="16"/>
        <v>104.81598848475322</v>
      </c>
      <c r="AG58" s="3"/>
      <c r="AH58" s="162">
        <f t="shared" si="17"/>
        <v>12.862314506807206</v>
      </c>
      <c r="AI58" s="3"/>
      <c r="AJ58" s="162">
        <f t="shared" si="18"/>
        <v>3.0047583301853376</v>
      </c>
      <c r="AK58" s="3"/>
      <c r="AL58" s="161">
        <f t="shared" si="7"/>
        <v>188.62436588948086</v>
      </c>
      <c r="AM58" s="3"/>
      <c r="AN58" s="162">
        <f>INDEX('(2.2)_Forward_Price_Curve'!$I:$I,MATCH($AB58,'(2.2)_Forward_Price_Curve'!$C:$C,0),1)</f>
        <v>6.7842064965454068</v>
      </c>
      <c r="AO58" s="3"/>
      <c r="AP58" s="162">
        <f t="shared" si="8"/>
        <v>48.60029681569285</v>
      </c>
      <c r="AQ58" s="3"/>
      <c r="AR58" s="162">
        <f t="shared" si="19"/>
        <v>6.1339191834067659</v>
      </c>
      <c r="AS58" s="162"/>
      <c r="AT58" s="161">
        <f t="shared" si="1"/>
        <v>154.39927609329897</v>
      </c>
      <c r="AU58" s="3"/>
      <c r="AV58" s="161">
        <f t="shared" si="2"/>
        <v>505.70964495923607</v>
      </c>
      <c r="AW58" s="299"/>
      <c r="AX58" s="163">
        <f t="shared" si="9"/>
        <v>660.10892105253504</v>
      </c>
      <c r="AZ58" s="154">
        <f>+IF(AZ57&gt;$G$13+$G$14,XX,AZ57+1)</f>
        <v>2029</v>
      </c>
      <c r="BA58" s="124"/>
      <c r="BB58" s="162">
        <f t="shared" si="20"/>
        <v>90.034718485882138</v>
      </c>
      <c r="BC58" s="3"/>
      <c r="BD58" s="162">
        <f t="shared" si="21"/>
        <v>19.575390183912088</v>
      </c>
      <c r="BE58" s="3"/>
      <c r="BF58" s="161">
        <f t="shared" si="10"/>
        <v>34.225089796181877</v>
      </c>
      <c r="BG58" s="3"/>
      <c r="BH58" s="165"/>
    </row>
    <row r="59" spans="2:60" ht="12">
      <c r="B59" s="2"/>
      <c r="C59" s="6">
        <f>+IF(C58&gt;$G$13+$G$14,XX,C58+1)</f>
        <v>2030</v>
      </c>
      <c r="D59" s="6"/>
      <c r="E59" s="292">
        <f t="shared" si="11"/>
        <v>2.5000000000000001E-2</v>
      </c>
      <c r="F59" s="6"/>
      <c r="G59" s="20">
        <f t="shared" si="12"/>
        <v>9239.3694826569736</v>
      </c>
      <c r="H59" s="6"/>
      <c r="I59" s="30">
        <f t="shared" si="13"/>
        <v>685.31465747812729</v>
      </c>
      <c r="J59" s="6"/>
      <c r="K59" s="30">
        <f t="shared" si="14"/>
        <v>0</v>
      </c>
      <c r="L59" s="6"/>
      <c r="M59" s="30">
        <f t="shared" si="15"/>
        <v>0</v>
      </c>
      <c r="N59" s="6"/>
      <c r="O59" s="295"/>
      <c r="P59" s="6"/>
      <c r="Q59" s="30"/>
      <c r="R59" s="6"/>
      <c r="S59" s="20">
        <v>0</v>
      </c>
      <c r="T59" s="6"/>
      <c r="U59" s="20">
        <f t="shared" si="4"/>
        <v>676.61164407884837</v>
      </c>
      <c r="V59" s="6"/>
      <c r="W59" s="20">
        <f t="shared" si="5"/>
        <v>-676.61164407884837</v>
      </c>
      <c r="X59" s="6"/>
      <c r="Y59" s="296">
        <f t="shared" si="6"/>
        <v>-73.231365554641144</v>
      </c>
      <c r="Z59" s="255"/>
      <c r="AB59" s="154">
        <f>+IF(AB58&gt;$G$13+$G$14,XX,AB58+1)</f>
        <v>2030</v>
      </c>
      <c r="AC59" s="124"/>
      <c r="AD59" s="159">
        <f t="shared" si="0"/>
        <v>9239.3694826569736</v>
      </c>
      <c r="AE59" s="3"/>
      <c r="AF59" s="162">
        <f t="shared" si="16"/>
        <v>107.43638819687204</v>
      </c>
      <c r="AG59" s="3"/>
      <c r="AH59" s="162">
        <f t="shared" si="17"/>
        <v>13.183872369477385</v>
      </c>
      <c r="AI59" s="3"/>
      <c r="AJ59" s="162">
        <f t="shared" si="18"/>
        <v>3.0798772884399708</v>
      </c>
      <c r="AK59" s="3"/>
      <c r="AL59" s="161">
        <f t="shared" si="7"/>
        <v>193.3399750367179</v>
      </c>
      <c r="AM59" s="3"/>
      <c r="AN59" s="162">
        <f>INDEX('(2.2)_Forward_Price_Curve'!$I:$I,MATCH($AB59,'(2.2)_Forward_Price_Curve'!$C:$C,0),1)</f>
        <v>6.9538116589590411</v>
      </c>
      <c r="AO59" s="3"/>
      <c r="AP59" s="162">
        <f t="shared" si="8"/>
        <v>49.815304236085161</v>
      </c>
      <c r="AQ59" s="3"/>
      <c r="AR59" s="162">
        <f t="shared" si="19"/>
        <v>6.2872671629919346</v>
      </c>
      <c r="AS59" s="162"/>
      <c r="AT59" s="161">
        <f t="shared" si="1"/>
        <v>158.25925799563149</v>
      </c>
      <c r="AU59" s="3"/>
      <c r="AV59" s="161">
        <f t="shared" si="2"/>
        <v>518.35238608321686</v>
      </c>
      <c r="AW59" s="299"/>
      <c r="AX59" s="163">
        <f t="shared" si="9"/>
        <v>676.61164407884837</v>
      </c>
      <c r="AZ59" s="154">
        <f>+IF(AZ58&gt;$G$13+$G$14,XX,AZ58+1)</f>
        <v>2030</v>
      </c>
      <c r="BA59" s="124"/>
      <c r="BB59" s="162">
        <f t="shared" si="20"/>
        <v>92.285586448029179</v>
      </c>
      <c r="BC59" s="3"/>
      <c r="BD59" s="162">
        <f t="shared" si="21"/>
        <v>20.064774938509888</v>
      </c>
      <c r="BE59" s="3"/>
      <c r="BF59" s="161">
        <f t="shared" si="10"/>
        <v>35.080717041086416</v>
      </c>
      <c r="BG59" s="3"/>
      <c r="BH59" s="165"/>
    </row>
    <row r="60" spans="2:60" ht="12">
      <c r="B60" s="2"/>
      <c r="C60" s="6">
        <f>+IF(C59&gt;$G$13+$G$14,XX,C59+1)</f>
        <v>2031</v>
      </c>
      <c r="D60" s="6"/>
      <c r="E60" s="292">
        <f t="shared" si="11"/>
        <v>2.5000000000000001E-2</v>
      </c>
      <c r="F60" s="6"/>
      <c r="G60" s="20">
        <f t="shared" si="12"/>
        <v>9239.3694826569736</v>
      </c>
      <c r="H60" s="6"/>
      <c r="I60" s="30">
        <f t="shared" si="13"/>
        <v>702.44752391508041</v>
      </c>
      <c r="J60" s="6"/>
      <c r="K60" s="30">
        <f t="shared" si="14"/>
        <v>0</v>
      </c>
      <c r="L60" s="6"/>
      <c r="M60" s="30">
        <f t="shared" si="15"/>
        <v>0</v>
      </c>
      <c r="N60" s="6"/>
      <c r="O60" s="295"/>
      <c r="P60" s="6"/>
      <c r="Q60" s="30"/>
      <c r="R60" s="6"/>
      <c r="S60" s="20">
        <v>0</v>
      </c>
      <c r="T60" s="6"/>
      <c r="U60" s="20">
        <f t="shared" si="4"/>
        <v>693.52693518081946</v>
      </c>
      <c r="V60" s="6"/>
      <c r="W60" s="20">
        <f t="shared" si="5"/>
        <v>-693.52693518081946</v>
      </c>
      <c r="X60" s="6"/>
      <c r="Y60" s="296">
        <f t="shared" si="6"/>
        <v>-75.062149693507152</v>
      </c>
      <c r="Z60" s="255"/>
      <c r="AB60" s="154">
        <f>+IF(AB59&gt;$G$13+$G$14,XX,AB59+1)</f>
        <v>2031</v>
      </c>
      <c r="AC60" s="124"/>
      <c r="AD60" s="159">
        <f t="shared" si="0"/>
        <v>9239.3694826569736</v>
      </c>
      <c r="AE60" s="3"/>
      <c r="AF60" s="162">
        <f t="shared" si="16"/>
        <v>110.12229790179384</v>
      </c>
      <c r="AG60" s="3"/>
      <c r="AH60" s="162">
        <f t="shared" si="17"/>
        <v>13.513469178714319</v>
      </c>
      <c r="AI60" s="3"/>
      <c r="AJ60" s="162">
        <f t="shared" si="18"/>
        <v>3.1568742206509697</v>
      </c>
      <c r="AK60" s="3"/>
      <c r="AL60" s="161">
        <f t="shared" si="7"/>
        <v>198.17347441263581</v>
      </c>
      <c r="AM60" s="3"/>
      <c r="AN60" s="162">
        <f>INDEX('(2.2)_Forward_Price_Curve'!$I:$I,MATCH($AB60,'(2.2)_Forward_Price_Curve'!$C:$C,0),1)</f>
        <v>7.1276569504330167</v>
      </c>
      <c r="AO60" s="3"/>
      <c r="AP60" s="162">
        <f t="shared" si="8"/>
        <v>51.060686841987284</v>
      </c>
      <c r="AQ60" s="3"/>
      <c r="AR60" s="162">
        <f t="shared" si="19"/>
        <v>6.4444488420667323</v>
      </c>
      <c r="AS60" s="162"/>
      <c r="AT60" s="161">
        <f t="shared" si="1"/>
        <v>162.21573944552225</v>
      </c>
      <c r="AU60" s="3"/>
      <c r="AV60" s="161">
        <f t="shared" si="2"/>
        <v>531.31119573529725</v>
      </c>
      <c r="AW60" s="299"/>
      <c r="AX60" s="163">
        <f t="shared" si="9"/>
        <v>693.52693518081946</v>
      </c>
      <c r="AZ60" s="154">
        <f>+IF(AZ59&gt;$G$13+$G$14,XX,AZ59+1)</f>
        <v>2031</v>
      </c>
      <c r="BA60" s="124"/>
      <c r="BB60" s="162">
        <f t="shared" si="20"/>
        <v>94.592726109229901</v>
      </c>
      <c r="BC60" s="3"/>
      <c r="BD60" s="162">
        <f t="shared" si="21"/>
        <v>20.566394311972633</v>
      </c>
      <c r="BE60" s="3"/>
      <c r="BF60" s="161">
        <f t="shared" si="10"/>
        <v>35.957734967113574</v>
      </c>
      <c r="BG60" s="3"/>
      <c r="BH60" s="165"/>
    </row>
    <row r="61" spans="2:60" ht="12">
      <c r="B61" s="2"/>
      <c r="C61" s="6">
        <f>+IF(C60&gt;$G$13+$G$14,XX,C60+1)</f>
        <v>2032</v>
      </c>
      <c r="D61" s="6"/>
      <c r="E61" s="292">
        <f t="shared" si="11"/>
        <v>2.5000000000000001E-2</v>
      </c>
      <c r="F61" s="6"/>
      <c r="G61" s="20">
        <f t="shared" si="12"/>
        <v>9239.3694826569736</v>
      </c>
      <c r="H61" s="6"/>
      <c r="I61" s="30">
        <f t="shared" si="13"/>
        <v>720.0087120129574</v>
      </c>
      <c r="J61" s="6"/>
      <c r="K61" s="30">
        <f t="shared" si="14"/>
        <v>0</v>
      </c>
      <c r="L61" s="6"/>
      <c r="M61" s="30">
        <f t="shared" si="15"/>
        <v>0</v>
      </c>
      <c r="N61" s="6"/>
      <c r="O61" s="295"/>
      <c r="P61" s="6"/>
      <c r="Q61" s="30"/>
      <c r="R61" s="6"/>
      <c r="S61" s="20">
        <v>0</v>
      </c>
      <c r="T61" s="6"/>
      <c r="U61" s="20">
        <f t="shared" si="4"/>
        <v>710.86510856033988</v>
      </c>
      <c r="V61" s="6"/>
      <c r="W61" s="20">
        <f t="shared" si="5"/>
        <v>-710.86510856033988</v>
      </c>
      <c r="X61" s="6"/>
      <c r="Y61" s="296">
        <f t="shared" si="6"/>
        <v>-76.938703435844829</v>
      </c>
      <c r="Z61" s="255"/>
      <c r="AB61" s="154">
        <f>+IF(AB60&gt;$G$13+$G$14,XX,AB60+1)</f>
        <v>2032</v>
      </c>
      <c r="AC61" s="124"/>
      <c r="AD61" s="159">
        <f t="shared" si="0"/>
        <v>9239.3694826569736</v>
      </c>
      <c r="AE61" s="3"/>
      <c r="AF61" s="162">
        <f t="shared" si="16"/>
        <v>112.87535534933868</v>
      </c>
      <c r="AG61" s="3"/>
      <c r="AH61" s="162">
        <f t="shared" si="17"/>
        <v>13.851305908182175</v>
      </c>
      <c r="AI61" s="3"/>
      <c r="AJ61" s="162">
        <f t="shared" si="18"/>
        <v>3.2357960761672437</v>
      </c>
      <c r="AK61" s="3"/>
      <c r="AL61" s="161">
        <f t="shared" si="7"/>
        <v>203.12781127295167</v>
      </c>
      <c r="AM61" s="3"/>
      <c r="AN61" s="162">
        <f>INDEX('(2.2)_Forward_Price_Curve'!$I:$I,MATCH($AB61,'(2.2)_Forward_Price_Curve'!$C:$C,0),1)</f>
        <v>7.3058483741938414</v>
      </c>
      <c r="AO61" s="3"/>
      <c r="AP61" s="162">
        <f t="shared" si="8"/>
        <v>52.337204013036967</v>
      </c>
      <c r="AQ61" s="3"/>
      <c r="AR61" s="162">
        <f t="shared" si="19"/>
        <v>6.6055600631183999</v>
      </c>
      <c r="AS61" s="162"/>
      <c r="AT61" s="161">
        <f t="shared" si="1"/>
        <v>166.27113293166025</v>
      </c>
      <c r="AU61" s="3"/>
      <c r="AV61" s="161">
        <f t="shared" si="2"/>
        <v>544.59397562867969</v>
      </c>
      <c r="AW61" s="299"/>
      <c r="AX61" s="163">
        <f t="shared" si="9"/>
        <v>710.86510856033988</v>
      </c>
      <c r="AZ61" s="154">
        <f>+IF(AZ60&gt;$G$13+$G$14,XX,AZ60+1)</f>
        <v>2032</v>
      </c>
      <c r="BA61" s="124"/>
      <c r="BB61" s="162">
        <f t="shared" si="20"/>
        <v>96.957544261960635</v>
      </c>
      <c r="BC61" s="3"/>
      <c r="BD61" s="162">
        <f t="shared" si="21"/>
        <v>21.080554169771947</v>
      </c>
      <c r="BE61" s="3"/>
      <c r="BF61" s="161">
        <f t="shared" si="10"/>
        <v>36.856678341291413</v>
      </c>
      <c r="BG61" s="3"/>
      <c r="BH61" s="165"/>
    </row>
    <row r="62" spans="2:60" ht="12">
      <c r="B62" s="2"/>
      <c r="C62" s="6">
        <f>+IF(C61&gt;$G$13+$G$14,XX,C61+1)</f>
        <v>2033</v>
      </c>
      <c r="D62" s="6"/>
      <c r="E62" s="292">
        <f t="shared" si="11"/>
        <v>2.5000000000000001E-2</v>
      </c>
      <c r="F62" s="6"/>
      <c r="G62" s="20">
        <f t="shared" si="12"/>
        <v>9239.3694826569736</v>
      </c>
      <c r="H62" s="6"/>
      <c r="I62" s="30">
        <f t="shared" si="13"/>
        <v>738.00892981328127</v>
      </c>
      <c r="J62" s="6"/>
      <c r="K62" s="30">
        <f t="shared" si="14"/>
        <v>0</v>
      </c>
      <c r="L62" s="6"/>
      <c r="M62" s="30">
        <f t="shared" si="15"/>
        <v>0</v>
      </c>
      <c r="N62" s="6"/>
      <c r="O62" s="295"/>
      <c r="P62" s="6"/>
      <c r="Q62" s="30"/>
      <c r="R62" s="6"/>
      <c r="S62" s="20">
        <v>0</v>
      </c>
      <c r="T62" s="6"/>
      <c r="U62" s="20">
        <f t="shared" si="4"/>
        <v>728.63673627434832</v>
      </c>
      <c r="V62" s="6"/>
      <c r="W62" s="20">
        <f t="shared" si="5"/>
        <v>-728.63673627434832</v>
      </c>
      <c r="X62" s="6"/>
      <c r="Y62" s="296">
        <f t="shared" si="6"/>
        <v>-78.862171021740934</v>
      </c>
      <c r="Z62" s="255"/>
      <c r="AB62" s="154">
        <f>+IF(AB61&gt;$G$13+$G$14,XX,AB61+1)</f>
        <v>2033</v>
      </c>
      <c r="AC62" s="124"/>
      <c r="AD62" s="159">
        <f t="shared" si="0"/>
        <v>9239.3694826569736</v>
      </c>
      <c r="AE62" s="3"/>
      <c r="AF62" s="162">
        <f t="shared" si="16"/>
        <v>115.69723923307214</v>
      </c>
      <c r="AG62" s="3"/>
      <c r="AH62" s="162">
        <f t="shared" si="17"/>
        <v>14.197588555886728</v>
      </c>
      <c r="AI62" s="3"/>
      <c r="AJ62" s="162">
        <f t="shared" si="18"/>
        <v>3.3166909780714247</v>
      </c>
      <c r="AK62" s="3"/>
      <c r="AL62" s="161">
        <f t="shared" si="7"/>
        <v>208.20600655477548</v>
      </c>
      <c r="AM62" s="3"/>
      <c r="AN62" s="162">
        <f>INDEX('(2.2)_Forward_Price_Curve'!$I:$I,MATCH($AB62,'(2.2)_Forward_Price_Curve'!$C:$C,0),1)</f>
        <v>7.4884945835486869</v>
      </c>
      <c r="AO62" s="3"/>
      <c r="AP62" s="162">
        <f t="shared" si="8"/>
        <v>53.645634113362881</v>
      </c>
      <c r="AQ62" s="3"/>
      <c r="AR62" s="162">
        <f t="shared" si="19"/>
        <v>6.770699064696359</v>
      </c>
      <c r="AS62" s="162"/>
      <c r="AT62" s="161">
        <f t="shared" si="1"/>
        <v>170.42791125495179</v>
      </c>
      <c r="AU62" s="3"/>
      <c r="AV62" s="161">
        <f t="shared" si="2"/>
        <v>558.2088250193965</v>
      </c>
      <c r="AW62" s="299"/>
      <c r="AX62" s="163">
        <f t="shared" si="9"/>
        <v>728.63673627434832</v>
      </c>
      <c r="AZ62" s="154">
        <f>+IF(AZ61&gt;$G$13+$G$14,XX,AZ61+1)</f>
        <v>2033</v>
      </c>
      <c r="BA62" s="124"/>
      <c r="BB62" s="162">
        <f t="shared" si="20"/>
        <v>99.381482868509636</v>
      </c>
      <c r="BC62" s="3"/>
      <c r="BD62" s="162">
        <f t="shared" si="21"/>
        <v>21.607568024016242</v>
      </c>
      <c r="BE62" s="3"/>
      <c r="BF62" s="161">
        <f t="shared" si="10"/>
        <v>37.77809529982369</v>
      </c>
      <c r="BG62" s="3"/>
      <c r="BH62" s="165"/>
    </row>
    <row r="63" spans="2:60" ht="12">
      <c r="B63" s="2"/>
      <c r="C63" s="6"/>
      <c r="D63" s="6"/>
      <c r="E63" s="292"/>
      <c r="F63" s="6"/>
      <c r="G63" s="20"/>
      <c r="H63" s="6"/>
      <c r="I63" s="30"/>
      <c r="J63" s="6"/>
      <c r="K63" s="30"/>
      <c r="L63" s="6"/>
      <c r="M63" s="30"/>
      <c r="N63" s="6"/>
      <c r="O63" s="295"/>
      <c r="P63" s="6"/>
      <c r="Q63" s="30"/>
      <c r="R63" s="6"/>
      <c r="S63" s="20"/>
      <c r="T63" s="6"/>
      <c r="U63" s="20"/>
      <c r="V63" s="6"/>
      <c r="W63" s="20"/>
      <c r="X63" s="6"/>
      <c r="Y63" s="296"/>
      <c r="Z63" s="255"/>
      <c r="AB63" s="154"/>
      <c r="AC63" s="124"/>
      <c r="AD63" s="159"/>
      <c r="AE63" s="3"/>
      <c r="AF63" s="162"/>
      <c r="AG63" s="3"/>
      <c r="AH63" s="162"/>
      <c r="AI63" s="3"/>
      <c r="AJ63" s="162"/>
      <c r="AK63" s="3"/>
      <c r="AL63" s="161"/>
      <c r="AM63" s="3"/>
      <c r="AN63" s="162"/>
      <c r="AO63" s="3"/>
      <c r="AP63" s="162"/>
      <c r="AQ63" s="3"/>
      <c r="AR63" s="162"/>
      <c r="AS63" s="162"/>
      <c r="AT63" s="161"/>
      <c r="AU63" s="3"/>
      <c r="AV63" s="161"/>
      <c r="AW63" s="299"/>
      <c r="AX63" s="163"/>
      <c r="AZ63" s="154"/>
      <c r="BA63" s="124"/>
      <c r="BB63" s="162"/>
      <c r="BC63" s="3"/>
      <c r="BD63" s="162"/>
      <c r="BE63" s="3"/>
      <c r="BF63" s="161"/>
      <c r="BG63" s="3"/>
      <c r="BH63" s="165"/>
    </row>
    <row r="64" spans="2:60">
      <c r="B64" s="2"/>
      <c r="C64" s="6"/>
      <c r="D64" s="3"/>
      <c r="E64" s="178"/>
      <c r="F64" s="3"/>
      <c r="G64" s="290"/>
      <c r="H64" s="3"/>
      <c r="I64" s="290"/>
      <c r="J64" s="3"/>
      <c r="K64" s="290"/>
      <c r="L64" s="3"/>
      <c r="M64" s="290"/>
      <c r="N64" s="3"/>
      <c r="O64" s="290"/>
      <c r="P64" s="3"/>
      <c r="Q64" s="290"/>
      <c r="R64" s="3"/>
      <c r="S64" s="290"/>
      <c r="T64" s="3"/>
      <c r="U64" s="290"/>
      <c r="V64" s="3"/>
      <c r="W64" s="290"/>
      <c r="X64" s="3"/>
      <c r="Y64" s="300"/>
      <c r="Z64" s="255"/>
      <c r="AB64" s="2"/>
      <c r="AC64" s="3"/>
      <c r="AD64" s="3"/>
      <c r="AE64" s="3"/>
      <c r="AF64" s="301"/>
      <c r="AG64" s="3"/>
      <c r="AH64" s="301"/>
      <c r="AI64" s="3"/>
      <c r="AJ64" s="301"/>
      <c r="AK64" s="3"/>
      <c r="AL64" s="299"/>
      <c r="AM64" s="3"/>
      <c r="AN64" s="301"/>
      <c r="AO64" s="3"/>
      <c r="AP64" s="301"/>
      <c r="AQ64" s="3"/>
      <c r="AR64" s="301"/>
      <c r="AS64" s="301"/>
      <c r="AT64" s="301"/>
      <c r="AU64" s="3"/>
      <c r="AV64" s="299"/>
      <c r="AW64" s="299"/>
      <c r="AX64" s="302"/>
      <c r="AZ64" s="2"/>
      <c r="BA64" s="3"/>
      <c r="BB64" s="301"/>
      <c r="BC64" s="3"/>
      <c r="BD64" s="3"/>
      <c r="BE64" s="3"/>
      <c r="BF64" s="299"/>
      <c r="BG64" s="3"/>
      <c r="BH64" s="255"/>
    </row>
    <row r="65" spans="2:60">
      <c r="B65" s="2"/>
      <c r="C65" s="6"/>
      <c r="D65" s="3"/>
      <c r="E65" s="178"/>
      <c r="F65" s="3"/>
      <c r="G65" s="290"/>
      <c r="H65" s="3"/>
      <c r="I65" s="290"/>
      <c r="J65" s="3"/>
      <c r="K65" s="290"/>
      <c r="L65" s="3"/>
      <c r="M65" s="290"/>
      <c r="N65" s="3"/>
      <c r="O65" s="290"/>
      <c r="P65" s="3"/>
      <c r="Q65" s="290"/>
      <c r="R65" s="3"/>
      <c r="S65" s="290"/>
      <c r="T65" s="3"/>
      <c r="U65" s="290"/>
      <c r="V65" s="3"/>
      <c r="W65" s="290"/>
      <c r="X65" s="3"/>
      <c r="Y65" s="300"/>
      <c r="Z65" s="255"/>
      <c r="AB65" s="2"/>
      <c r="AC65" s="3"/>
      <c r="AD65" s="3"/>
      <c r="AE65" s="3"/>
      <c r="AF65" s="301"/>
      <c r="AG65" s="3"/>
      <c r="AH65" s="301"/>
      <c r="AI65" s="3"/>
      <c r="AJ65" s="301"/>
      <c r="AK65" s="3"/>
      <c r="AL65" s="299"/>
      <c r="AM65" s="3"/>
      <c r="AN65" s="301"/>
      <c r="AO65" s="3"/>
      <c r="AP65" s="301"/>
      <c r="AQ65" s="3"/>
      <c r="AR65" s="301"/>
      <c r="AS65" s="301"/>
      <c r="AT65" s="301"/>
      <c r="AU65" s="3"/>
      <c r="AV65" s="299"/>
      <c r="AW65" s="299"/>
      <c r="AX65" s="302"/>
      <c r="AZ65" s="2"/>
      <c r="BA65" s="3"/>
      <c r="BB65" s="301"/>
      <c r="BC65" s="3"/>
      <c r="BD65" s="3"/>
      <c r="BE65" s="3"/>
      <c r="BF65" s="299"/>
      <c r="BG65" s="3"/>
      <c r="BH65" s="255"/>
    </row>
    <row r="66" spans="2:60" ht="12">
      <c r="B66" s="2"/>
      <c r="C66" s="303" t="str">
        <f>G14&amp;"-year Nominal Levelized at "&amp;TEXT($G$18,"#.00%")</f>
        <v>39-year Nominal Levelized at 7.82%</v>
      </c>
      <c r="E66" s="178"/>
      <c r="F66" s="3"/>
      <c r="G66" s="20">
        <f>+-PMT($G$18,$G$14,NPV($G$18,G28:G62))</f>
        <v>9057.4425184090578</v>
      </c>
      <c r="H66" s="6"/>
      <c r="I66" s="30">
        <f>+-PMT($G$18,$G$14,NPV($G$18,I28:I62))</f>
        <v>410.59593175635945</v>
      </c>
      <c r="J66" s="30"/>
      <c r="K66" s="30">
        <f>+-PMT($G$18,$G$14,NPV($G$18,K28:K62))</f>
        <v>0</v>
      </c>
      <c r="L66" s="6"/>
      <c r="M66" s="30">
        <f>+-PMT($G$18,$G$14,NPV($G$18,M28:M62))</f>
        <v>0</v>
      </c>
      <c r="N66" s="6"/>
      <c r="O66" s="30">
        <f>+-PMT($G$18,$G$14,NPV($G$18,O28:O62))</f>
        <v>0</v>
      </c>
      <c r="P66" s="6"/>
      <c r="Q66" s="30">
        <f>+-PMT($G$18,$G$14,NPV($G$18,Q28:Q62))</f>
        <v>0</v>
      </c>
      <c r="R66" s="6"/>
      <c r="S66" s="20">
        <f>+-PMT($G$18,$G$14,NPV($G$18,S28:S62))</f>
        <v>39.061852998687137</v>
      </c>
      <c r="T66" s="6"/>
      <c r="U66" s="20">
        <f>+-PMT($G$18,$G$14,NPV($G$18,U28:U62))</f>
        <v>411.16375667828771</v>
      </c>
      <c r="V66" s="3"/>
      <c r="W66" s="20">
        <f>+-PMT($G$18,$G$14,NPV($G$18,W28:W62))</f>
        <v>-372.10190367960053</v>
      </c>
      <c r="X66" s="3"/>
      <c r="Y66" s="296">
        <f>+-PMT($G$18,$G$14,NPV($G$18,Y28:Y62))</f>
        <v>-40.273516972999651</v>
      </c>
      <c r="Z66" s="255"/>
      <c r="AB66" s="2"/>
      <c r="AC66" s="3"/>
      <c r="AD66" s="159">
        <f>+-PMT($G$18,$G$14,NPV($G$18,AD28:AD62))</f>
        <v>9057.4425184090578</v>
      </c>
      <c r="AE66" s="3"/>
      <c r="AF66" s="162">
        <f>+-PMT($G$18,$G$14,NPV($G$18,AF28:AF62))</f>
        <v>64.368890165814861</v>
      </c>
      <c r="AG66" s="3"/>
      <c r="AH66" s="162">
        <f>+-PMT($G$18,$G$14,NPV($G$18,AH28:AH62))</f>
        <v>7.898918111021521</v>
      </c>
      <c r="AI66" s="3"/>
      <c r="AJ66" s="162">
        <f>+-PMT($G$18,$G$14,NPV($G$18,AJ28:AJ62))</f>
        <v>1.8452619846126967</v>
      </c>
      <c r="AK66" s="3"/>
      <c r="AL66" s="161">
        <f>+-PMT($G$18,$G$14,NPV($G$18,AL28:AL62))</f>
        <v>115.83672745024589</v>
      </c>
      <c r="AM66" s="3"/>
      <c r="AN66" s="162">
        <f>+-PMT($G$18,$G$14,NPV($G$18,AN28:AN62))</f>
        <v>4.2536294882824546</v>
      </c>
      <c r="AO66" s="3"/>
      <c r="AP66" s="162">
        <f>+-PMT($G$18,$G$14,NPV($G$18,AP28:AP62))</f>
        <v>30.471899076152688</v>
      </c>
      <c r="AQ66" s="3"/>
      <c r="AR66" s="162">
        <f>+-PMT($G$18,$G$14,NPV($G$18,AR28:AR62))</f>
        <v>3.7669212103087548</v>
      </c>
      <c r="AS66" s="162"/>
      <c r="AT66" s="161">
        <f>+-PMT($G$18,$G$14,NPV($G$18,AT28:AT62))</f>
        <v>94.81864540137947</v>
      </c>
      <c r="AU66" s="3"/>
      <c r="AV66" s="161">
        <f>+-PMT($G$18,$G$14,NPV($G$18,AV28:AV62))</f>
        <v>316.34511127690826</v>
      </c>
      <c r="AW66" s="299"/>
      <c r="AX66" s="163">
        <f>+-PMT($G$18,$G$14,NPV($G$18,AX28:AX62))</f>
        <v>411.16375667828771</v>
      </c>
      <c r="AZ66" s="2"/>
      <c r="BA66" s="3"/>
      <c r="BB66" s="162">
        <f>+-PMT($G$18,$G$14,NPV($G$18,BB28:BB62))</f>
        <v>55.291516009228189</v>
      </c>
      <c r="BC66" s="3"/>
      <c r="BD66" s="162">
        <f>+-PMT($G$18,$G$14,NPV($G$18,BD28:BD62))</f>
        <v>12.021507013545904</v>
      </c>
      <c r="BE66" s="3"/>
      <c r="BF66" s="161">
        <f>+-PMT($G$18,$G$14,NPV($G$18,BF28:BF62))</f>
        <v>21.018082048866439</v>
      </c>
      <c r="BG66" s="3"/>
      <c r="BH66" s="165"/>
    </row>
    <row r="67" spans="2:60">
      <c r="B67" s="2"/>
      <c r="C67" s="3"/>
      <c r="D67" s="3"/>
      <c r="E67" s="17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04"/>
      <c r="X67" s="3"/>
      <c r="Y67" s="305"/>
      <c r="Z67" s="255"/>
      <c r="AB67" s="2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299"/>
      <c r="AU67" s="3"/>
      <c r="AV67" s="3"/>
      <c r="AW67" s="3"/>
      <c r="AX67" s="255"/>
      <c r="AZ67" s="2"/>
      <c r="BA67" s="3"/>
      <c r="BB67" s="3"/>
      <c r="BC67" s="3"/>
      <c r="BD67" s="3"/>
      <c r="BE67" s="3"/>
      <c r="BF67" s="3"/>
      <c r="BG67" s="3"/>
      <c r="BH67" s="255"/>
    </row>
    <row r="68" spans="2:60">
      <c r="B68" s="258"/>
      <c r="C68" s="306"/>
      <c r="D68" s="306"/>
      <c r="E68" s="307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259"/>
      <c r="AB68" s="258"/>
      <c r="AC68" s="306"/>
      <c r="AD68" s="306"/>
      <c r="AE68" s="306"/>
      <c r="AF68" s="306"/>
      <c r="AG68" s="306"/>
      <c r="AH68" s="306"/>
      <c r="AI68" s="306"/>
      <c r="AJ68" s="306"/>
      <c r="AK68" s="306"/>
      <c r="AL68" s="306"/>
      <c r="AM68" s="306"/>
      <c r="AN68" s="306"/>
      <c r="AO68" s="306"/>
      <c r="AP68" s="306"/>
      <c r="AQ68" s="306"/>
      <c r="AR68" s="306"/>
      <c r="AS68" s="306"/>
      <c r="AT68" s="306"/>
      <c r="AU68" s="306"/>
      <c r="AV68" s="306"/>
      <c r="AW68" s="306"/>
      <c r="AX68" s="259"/>
      <c r="AZ68" s="258"/>
      <c r="BA68" s="306"/>
      <c r="BB68" s="306"/>
      <c r="BC68" s="306"/>
      <c r="BD68" s="306"/>
      <c r="BE68" s="306"/>
      <c r="BF68" s="306"/>
      <c r="BG68" s="306"/>
      <c r="BH68" s="259"/>
    </row>
    <row r="69" spans="2:60">
      <c r="E69" s="308"/>
    </row>
    <row r="70" spans="2:60">
      <c r="E70" s="308"/>
      <c r="G70" s="309"/>
      <c r="I70" s="309"/>
      <c r="K70" s="309"/>
      <c r="O70" s="309"/>
      <c r="Q70" s="309"/>
      <c r="S70" s="309"/>
      <c r="U70" s="309"/>
      <c r="W70" s="309"/>
    </row>
    <row r="71" spans="2:60">
      <c r="E71" s="308"/>
    </row>
    <row r="72" spans="2:60">
      <c r="E72" s="308"/>
    </row>
    <row r="73" spans="2:60">
      <c r="E73" s="308"/>
    </row>
    <row r="74" spans="2:60">
      <c r="E74" s="308"/>
    </row>
    <row r="75" spans="2:60">
      <c r="E75" s="308"/>
    </row>
    <row r="76" spans="2:60">
      <c r="E76" s="308"/>
    </row>
    <row r="77" spans="2:60">
      <c r="E77" s="308"/>
    </row>
    <row r="78" spans="2:60">
      <c r="E78" s="308"/>
    </row>
    <row r="79" spans="2:60">
      <c r="E79" s="308"/>
    </row>
    <row r="80" spans="2:60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  <row r="88" spans="5:5">
      <c r="E88" s="308"/>
    </row>
    <row r="89" spans="5:5">
      <c r="E89" s="308"/>
    </row>
    <row r="90" spans="5:5">
      <c r="E90" s="308"/>
    </row>
    <row r="91" spans="5:5">
      <c r="E91" s="308"/>
    </row>
    <row r="92" spans="5:5">
      <c r="E92" s="308"/>
    </row>
  </sheetData>
  <pageMargins left="0.25" right="0.25" top="0.25" bottom="0.75" header="0.3" footer="0.3"/>
  <pageSetup paperSize="5" scale="46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ED89-78A9-453A-A879-70929D2BED89}">
  <sheetPr>
    <tabColor theme="0" tint="-0.249977111117893"/>
    <pageSetUpPr fitToPage="1"/>
  </sheetPr>
  <dimension ref="A1:BH78"/>
  <sheetViews>
    <sheetView topLeftCell="J33" workbookViewId="0">
      <selection activeCell="M57" sqref="M57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348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49</v>
      </c>
      <c r="H11" s="275"/>
      <c r="AB11" s="129" t="s">
        <v>99</v>
      </c>
      <c r="AC11" s="130"/>
      <c r="AD11" s="130"/>
      <c r="AE11" s="130"/>
      <c r="AF11" s="312">
        <f>+G11*(G12/AJ16)</f>
        <v>20.660591540110641</v>
      </c>
      <c r="AG11" s="134"/>
      <c r="AH11" s="130" t="s">
        <v>100</v>
      </c>
      <c r="AI11" s="131"/>
      <c r="AJ11" s="174">
        <f>'(2.1)_Proxy Resources'!$N$82</f>
        <v>6.6035087719298247</v>
      </c>
      <c r="AK11" s="255"/>
      <c r="AZ11" s="129" t="s">
        <v>99</v>
      </c>
      <c r="BA11" s="130"/>
      <c r="BB11" s="130"/>
      <c r="BC11" s="130"/>
      <c r="BD11" s="312">
        <f>(AF11*AF13-G11*G19)</f>
        <v>18.372291540110641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0.32533219331688717</v>
      </c>
      <c r="H12" s="275"/>
      <c r="AB12" s="129" t="s">
        <v>32</v>
      </c>
      <c r="AC12" s="130"/>
      <c r="AD12" s="130"/>
      <c r="AE12" s="130"/>
      <c r="AF12" s="138">
        <f>+AD52/8760/AF11</f>
        <v>0.80328018767429255</v>
      </c>
      <c r="AG12" s="134"/>
      <c r="AH12" s="124" t="s">
        <v>101</v>
      </c>
      <c r="AI12" s="125"/>
      <c r="AJ12" s="124">
        <v>2002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Resources'!$O$82</f>
        <v>1.5426421100500227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19</v>
      </c>
      <c r="H14" s="275"/>
      <c r="AB14" s="129" t="s">
        <v>104</v>
      </c>
      <c r="AC14" s="130"/>
      <c r="AD14" s="130"/>
      <c r="AE14" s="130"/>
      <c r="AF14" s="141">
        <f>'(2.1)_Proxy Resources'!$H$82</f>
        <v>7163.7407912687586</v>
      </c>
      <c r="AG14" s="134"/>
      <c r="AH14" s="124"/>
      <c r="AI14" s="125"/>
      <c r="AJ14" s="174"/>
      <c r="AK14" s="255"/>
      <c r="AZ14" s="129" t="s">
        <v>105</v>
      </c>
      <c r="BA14" s="130"/>
      <c r="BB14" s="130"/>
      <c r="BC14" s="130"/>
      <c r="BD14" s="175">
        <f>'(2.1)_Proxy Resources'!$J$83</f>
        <v>482</v>
      </c>
      <c r="BE14" s="139"/>
    </row>
    <row r="15" spans="1:57" ht="12">
      <c r="B15" s="272"/>
      <c r="C15" s="273" t="s">
        <v>107</v>
      </c>
      <c r="D15" s="273"/>
      <c r="E15" s="273"/>
      <c r="F15" s="273"/>
      <c r="G15" s="314"/>
      <c r="H15" s="275"/>
      <c r="AB15" s="129" t="s">
        <v>197</v>
      </c>
      <c r="AC15" s="130"/>
      <c r="AD15" s="130"/>
      <c r="AE15" s="130"/>
      <c r="AF15" s="175">
        <f>'(2.1)_Proxy Resources'!$J$82</f>
        <v>625</v>
      </c>
      <c r="AG15" s="134"/>
      <c r="AH15" s="124" t="s">
        <v>145</v>
      </c>
      <c r="AI15" s="125"/>
      <c r="AJ15" s="174">
        <f>'(2.1)_Proxy Resources'!$P$82</f>
        <v>3.1491524416152528</v>
      </c>
      <c r="AK15" s="255"/>
      <c r="AZ15" s="129" t="s">
        <v>108</v>
      </c>
      <c r="BA15" s="130"/>
      <c r="BB15" s="130"/>
      <c r="BC15" s="130"/>
      <c r="BD15" s="144">
        <f>'(2.1)_Proxy Resources'!$K$83</f>
        <v>9.5899999999999999E-2</v>
      </c>
      <c r="BE15" s="139"/>
    </row>
    <row r="16" spans="1:57" ht="12"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Resources'!$K$80</f>
        <v>8.6099999999999996E-2</v>
      </c>
      <c r="AG16" s="134"/>
      <c r="AH16" s="124" t="s">
        <v>110</v>
      </c>
      <c r="AI16" s="131"/>
      <c r="AJ16" s="145">
        <f>'(2.1)_Proxy Resources'!$D$82</f>
        <v>0.77157894736842092</v>
      </c>
      <c r="AK16" s="255"/>
      <c r="AZ16" s="129" t="s">
        <v>100</v>
      </c>
      <c r="BA16" s="131"/>
      <c r="BB16" s="174">
        <f>'(2.1)_Proxy Resources'!N83</f>
        <v>10.050000000000001</v>
      </c>
      <c r="BC16" s="3"/>
      <c r="BD16" s="3"/>
      <c r="BE16" s="137"/>
    </row>
    <row r="17" spans="2:60" ht="12"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2002</v>
      </c>
      <c r="BC17" s="3"/>
      <c r="BD17" s="3"/>
      <c r="BE17" s="135"/>
    </row>
    <row r="18" spans="2:60" ht="12">
      <c r="B18" s="272"/>
      <c r="C18" s="273" t="s">
        <v>112</v>
      </c>
      <c r="D18" s="273"/>
      <c r="E18" s="273"/>
      <c r="F18" s="273"/>
      <c r="G18" s="313">
        <v>7.8200000000000006E-2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2:60">
      <c r="B19" s="279"/>
      <c r="C19" s="280" t="s">
        <v>102</v>
      </c>
      <c r="D19" s="280"/>
      <c r="E19" s="280"/>
      <c r="F19" s="280"/>
      <c r="G19" s="176">
        <v>4.6699999999999998E-2</v>
      </c>
      <c r="H19" s="282"/>
    </row>
    <row r="20" spans="2:60">
      <c r="B20" s="250"/>
      <c r="C20" s="250"/>
      <c r="D20" s="250"/>
      <c r="E20" s="250"/>
      <c r="F20" s="250"/>
      <c r="G20" s="250"/>
      <c r="H20" s="250"/>
    </row>
    <row r="23" spans="2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2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2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2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2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2:60" ht="12">
      <c r="B28" s="2"/>
      <c r="C28" s="6">
        <f>+G13</f>
        <v>2001</v>
      </c>
      <c r="D28" s="6"/>
      <c r="E28" s="292">
        <f>'(2.2)_Forward_Price_Curve'!$CH$40</f>
        <v>2.5000000000000001E-2</v>
      </c>
      <c r="F28" s="6"/>
      <c r="G28" s="20">
        <v>139263</v>
      </c>
      <c r="H28" s="6"/>
      <c r="I28" s="316">
        <f>$G$15</f>
        <v>0</v>
      </c>
      <c r="J28" s="293"/>
      <c r="K28" s="293">
        <v>35.479999999999997</v>
      </c>
      <c r="L28" s="294"/>
      <c r="M28" s="293">
        <f>$G$17</f>
        <v>0</v>
      </c>
      <c r="N28" s="6"/>
      <c r="O28" s="295">
        <f t="shared" ref="O28:O31" si="0">O29*1-E29</f>
        <v>4.8216537342386019</v>
      </c>
      <c r="P28" s="6"/>
      <c r="Q28" s="30"/>
      <c r="R28" s="6"/>
      <c r="S28" s="20">
        <f>(I28*$G$11*1000+(K28+M28+O28+Q28)*G28)/1000</f>
        <v>5612.5292039912692</v>
      </c>
      <c r="T28" s="6"/>
      <c r="U28" s="20">
        <f>AX28</f>
        <v>4384.9000585429421</v>
      </c>
      <c r="V28" s="6"/>
      <c r="W28" s="20">
        <f t="shared" ref="W28:W48" si="1">S28-U28</f>
        <v>1227.6291454483271</v>
      </c>
      <c r="X28" s="6"/>
      <c r="Y28" s="296">
        <f>+W28*1000/G28</f>
        <v>8.8151852642003057</v>
      </c>
      <c r="Z28" s="255"/>
      <c r="AB28" s="154">
        <f>$C$28</f>
        <v>2001</v>
      </c>
      <c r="AC28" s="124"/>
      <c r="AD28" s="159">
        <f t="shared" ref="AD28:AD48" si="2">G28</f>
        <v>139263</v>
      </c>
      <c r="AE28" s="3"/>
      <c r="AF28" s="247">
        <f>AF29/(1+E28)</f>
        <v>49.970255800118991</v>
      </c>
      <c r="AG28" s="297"/>
      <c r="AH28" s="247">
        <f>AH29/(1+$E28)</f>
        <v>6.1320143556174296</v>
      </c>
      <c r="AI28" s="297"/>
      <c r="AJ28" s="247">
        <f>AJ29/(1+$E28)</f>
        <v>1.4324965546524495</v>
      </c>
      <c r="AK28" s="298"/>
      <c r="AL28" s="161">
        <f>((AF28+AH28)*$AF$11*1000+AJ28*AD28)/1000</f>
        <v>1358.5998558511737</v>
      </c>
      <c r="AM28" s="3"/>
      <c r="AN28" s="247">
        <f>AN29/(1+E28)</f>
        <v>3.5875645534070304</v>
      </c>
      <c r="AO28" s="310"/>
      <c r="AP28" s="162">
        <f>AN28*$AF$14/1000</f>
        <v>25.700382532551831</v>
      </c>
      <c r="AQ28" s="297"/>
      <c r="AR28" s="247">
        <f>AR29/(1+$E28)</f>
        <v>2.9243011021804128</v>
      </c>
      <c r="AS28" s="160"/>
      <c r="AT28" s="161">
        <f t="shared" ref="AT28:AT48" si="3">AL28-BF28</f>
        <v>398.54074151922532</v>
      </c>
      <c r="AU28" s="298"/>
      <c r="AV28" s="161">
        <f t="shared" ref="AV28:AV48" si="4">(AP28+AR28)*AD28/1000</f>
        <v>3986.3593170237164</v>
      </c>
      <c r="AW28" s="299"/>
      <c r="AX28" s="163">
        <f>AT28+AV28</f>
        <v>4384.9000585429421</v>
      </c>
      <c r="AZ28" s="154">
        <f>$C$28</f>
        <v>2001</v>
      </c>
      <c r="BA28" s="124"/>
      <c r="BB28" s="247">
        <f>BB29/(1+$E28)</f>
        <v>42.92339345047229</v>
      </c>
      <c r="BC28" s="3"/>
      <c r="BD28" s="247">
        <f t="shared" ref="BD28:BD30" si="5">BD29/(1+$E28)</f>
        <v>9.3324240797434772</v>
      </c>
      <c r="BE28" s="297"/>
      <c r="BF28" s="161">
        <f>(BB28+BD28)*$BD$11</f>
        <v>960.05911433194842</v>
      </c>
      <c r="BG28" s="297"/>
      <c r="BH28" s="164"/>
    </row>
    <row r="29" spans="2:60" ht="12">
      <c r="B29" s="2"/>
      <c r="C29" s="6">
        <f>+IF(C28&gt;$G$13+$G$14,XX,C28+1)</f>
        <v>2002</v>
      </c>
      <c r="D29" s="6"/>
      <c r="E29" s="292">
        <f>E28</f>
        <v>2.5000000000000001E-2</v>
      </c>
      <c r="F29" s="6"/>
      <c r="G29" s="20">
        <f>$G$28</f>
        <v>139263</v>
      </c>
      <c r="H29" s="6"/>
      <c r="I29" s="30">
        <f>I28*(1+$E29)</f>
        <v>0</v>
      </c>
      <c r="J29" s="6"/>
      <c r="K29" s="30">
        <f>K28*(1+$E29)</f>
        <v>36.36699999999999</v>
      </c>
      <c r="L29" s="6"/>
      <c r="M29" s="30">
        <f>M28*(1+$E29)</f>
        <v>0</v>
      </c>
      <c r="N29" s="6"/>
      <c r="O29" s="295">
        <f t="shared" si="0"/>
        <v>4.8466537342386022</v>
      </c>
      <c r="P29" s="6"/>
      <c r="Q29" s="30"/>
      <c r="R29" s="6"/>
      <c r="S29" s="20">
        <f t="shared" ref="S29:S48" si="6">(I29*$G$11*1000+(K29+M29+O29+Q29)*G29)/1000</f>
        <v>5739.5370599912685</v>
      </c>
      <c r="T29" s="6"/>
      <c r="U29" s="20">
        <f t="shared" ref="U29:U48" si="7">AX29</f>
        <v>4494.5225600065151</v>
      </c>
      <c r="V29" s="6"/>
      <c r="W29" s="20">
        <f t="shared" si="1"/>
        <v>1245.0144999847535</v>
      </c>
      <c r="X29" s="6"/>
      <c r="Y29" s="296">
        <f t="shared" ref="Y29:Y48" si="8">+W29*1000/G29</f>
        <v>8.9400235524493485</v>
      </c>
      <c r="Z29" s="255"/>
      <c r="AB29" s="154">
        <f>+IF(AB28&gt;$G$13+$G$14,XX,AB28+1)</f>
        <v>2002</v>
      </c>
      <c r="AC29" s="124"/>
      <c r="AD29" s="159">
        <f t="shared" si="2"/>
        <v>139263</v>
      </c>
      <c r="AE29" s="3"/>
      <c r="AF29" s="247">
        <f>AF30/(1+E29)</f>
        <v>51.219512195121965</v>
      </c>
      <c r="AG29" s="3"/>
      <c r="AH29" s="247">
        <f>AH30/(1+$E29)</f>
        <v>6.2853147145078649</v>
      </c>
      <c r="AI29" s="3"/>
      <c r="AJ29" s="247">
        <f>AJ30/(1+$E29)</f>
        <v>1.4683089685187607</v>
      </c>
      <c r="AK29" s="3"/>
      <c r="AL29" s="161">
        <f t="shared" ref="AL29:AL48" si="9">((AF29+AH29)*$AF$11*1000+AJ29*AD29)/1000</f>
        <v>1392.5648522474528</v>
      </c>
      <c r="AM29" s="3"/>
      <c r="AN29" s="247">
        <f>AN30/(1+E29)</f>
        <v>3.6772536672422058</v>
      </c>
      <c r="AO29" s="3"/>
      <c r="AP29" s="162">
        <f t="shared" ref="AP29:AP48" si="10">AN29*$AF$14/1000</f>
        <v>26.342892095865622</v>
      </c>
      <c r="AQ29" s="3"/>
      <c r="AR29" s="247">
        <f>AR30/(1+$E29)</f>
        <v>2.9974086297349229</v>
      </c>
      <c r="AS29" s="162"/>
      <c r="AT29" s="161">
        <f t="shared" si="3"/>
        <v>408.50426005720567</v>
      </c>
      <c r="AU29" s="3"/>
      <c r="AV29" s="161">
        <f t="shared" si="4"/>
        <v>4086.018299949309</v>
      </c>
      <c r="AW29" s="299"/>
      <c r="AX29" s="163">
        <f t="shared" ref="AX29:AX48" si="11">AT29+AV29</f>
        <v>4494.5225600065151</v>
      </c>
      <c r="AZ29" s="154">
        <f>+IF(AZ28&gt;$G$13+$G$14,XX,AZ28+1)</f>
        <v>2002</v>
      </c>
      <c r="BA29" s="124"/>
      <c r="BB29" s="247">
        <f>BB30/(1+$E29)</f>
        <v>43.996478286734096</v>
      </c>
      <c r="BC29" s="3"/>
      <c r="BD29" s="247">
        <f t="shared" si="5"/>
        <v>9.5657346817370641</v>
      </c>
      <c r="BE29" s="3"/>
      <c r="BF29" s="161">
        <f t="shared" ref="BF29:BF48" si="12">(BB29+BD29)*$BD$11</f>
        <v>984.06059219024712</v>
      </c>
      <c r="BG29" s="3"/>
      <c r="BH29" s="165"/>
    </row>
    <row r="30" spans="2:60" ht="12">
      <c r="B30" s="2"/>
      <c r="C30" s="6">
        <f>+IF(C29&gt;$G$13+$G$14,XX,C29+1)</f>
        <v>2003</v>
      </c>
      <c r="D30" s="6"/>
      <c r="E30" s="292">
        <f t="shared" ref="E30:E48" si="13">E29</f>
        <v>2.5000000000000001E-2</v>
      </c>
      <c r="F30" s="6"/>
      <c r="G30" s="20">
        <f t="shared" ref="G30:G48" si="14">$G$28</f>
        <v>139263</v>
      </c>
      <c r="H30" s="6"/>
      <c r="I30" s="30">
        <f t="shared" ref="I30:I48" si="15">I29*(1+$E30)</f>
        <v>0</v>
      </c>
      <c r="J30" s="6"/>
      <c r="K30" s="30">
        <f t="shared" ref="K30:K48" si="16">K29*(1+$E30)</f>
        <v>37.276174999999988</v>
      </c>
      <c r="L30" s="6"/>
      <c r="M30" s="30">
        <f t="shared" ref="M30:M48" si="17">M29*(1+$E30)</f>
        <v>0</v>
      </c>
      <c r="N30" s="6"/>
      <c r="O30" s="295">
        <f t="shared" si="0"/>
        <v>4.8716537342386026</v>
      </c>
      <c r="P30" s="6"/>
      <c r="Q30" s="30"/>
      <c r="R30" s="6"/>
      <c r="S30" s="20">
        <f t="shared" si="6"/>
        <v>5869.6330730162681</v>
      </c>
      <c r="T30" s="6"/>
      <c r="U30" s="20">
        <f t="shared" si="7"/>
        <v>4606.8856240066771</v>
      </c>
      <c r="V30" s="6"/>
      <c r="W30" s="20">
        <f t="shared" si="1"/>
        <v>1262.747449009591</v>
      </c>
      <c r="X30" s="6"/>
      <c r="Y30" s="296">
        <f t="shared" si="8"/>
        <v>9.06735779790462</v>
      </c>
      <c r="Z30" s="255"/>
      <c r="AB30" s="154">
        <f>+IF(AB29&gt;$G$13+$G$14,XX,AB29+1)</f>
        <v>2003</v>
      </c>
      <c r="AC30" s="124"/>
      <c r="AD30" s="159">
        <f t="shared" si="2"/>
        <v>139263</v>
      </c>
      <c r="AE30" s="3"/>
      <c r="AF30" s="247">
        <f>AF31/(1+$E30)</f>
        <v>52.500000000000007</v>
      </c>
      <c r="AG30" s="3"/>
      <c r="AH30" s="247">
        <f>AH31/(1+$E30)</f>
        <v>6.4424475823705611</v>
      </c>
      <c r="AI30" s="3"/>
      <c r="AJ30" s="247">
        <f>AJ31/(1+$E30)</f>
        <v>1.5050166927317297</v>
      </c>
      <c r="AK30" s="3"/>
      <c r="AL30" s="161">
        <f t="shared" si="9"/>
        <v>1427.3789735536393</v>
      </c>
      <c r="AM30" s="3"/>
      <c r="AN30" s="247">
        <f>AN31/(1+E30)</f>
        <v>3.7691850089232606</v>
      </c>
      <c r="AO30" s="3"/>
      <c r="AP30" s="162">
        <f t="shared" si="10"/>
        <v>27.001464398262261</v>
      </c>
      <c r="AQ30" s="3"/>
      <c r="AR30" s="247">
        <f>AR31/(1+$E30)</f>
        <v>3.0723438454782959</v>
      </c>
      <c r="AS30" s="162"/>
      <c r="AT30" s="161">
        <f t="shared" si="3"/>
        <v>418.71686655863618</v>
      </c>
      <c r="AU30" s="3"/>
      <c r="AV30" s="161">
        <f t="shared" si="4"/>
        <v>4188.1687574480411</v>
      </c>
      <c r="AW30" s="299"/>
      <c r="AX30" s="163">
        <f t="shared" si="11"/>
        <v>4606.8856240066771</v>
      </c>
      <c r="AZ30" s="154">
        <f>+IF(AZ29&gt;$G$13+$G$14,XX,AZ29+1)</f>
        <v>2003</v>
      </c>
      <c r="BA30" s="124"/>
      <c r="BB30" s="247">
        <f>BB31/(1+$E30)</f>
        <v>45.096390243902441</v>
      </c>
      <c r="BC30" s="3"/>
      <c r="BD30" s="247">
        <f t="shared" si="5"/>
        <v>9.8048780487804894</v>
      </c>
      <c r="BE30" s="3"/>
      <c r="BF30" s="161">
        <f t="shared" si="12"/>
        <v>1008.6621069950031</v>
      </c>
      <c r="BG30" s="3"/>
      <c r="BH30" s="165"/>
    </row>
    <row r="31" spans="2:60" ht="12">
      <c r="B31" s="2"/>
      <c r="C31" s="6">
        <f>+IF(C30&gt;$G$13+$G$14,XX,C30+1)</f>
        <v>2004</v>
      </c>
      <c r="D31" s="6"/>
      <c r="E31" s="292">
        <f t="shared" si="13"/>
        <v>2.5000000000000001E-2</v>
      </c>
      <c r="F31" s="6"/>
      <c r="G31" s="20">
        <f t="shared" si="14"/>
        <v>139263</v>
      </c>
      <c r="H31" s="6"/>
      <c r="I31" s="30">
        <f t="shared" si="15"/>
        <v>0</v>
      </c>
      <c r="J31" s="6"/>
      <c r="K31" s="30">
        <f t="shared" si="16"/>
        <v>38.208079374999983</v>
      </c>
      <c r="L31" s="6"/>
      <c r="M31" s="30">
        <f t="shared" si="17"/>
        <v>0</v>
      </c>
      <c r="N31" s="6"/>
      <c r="O31" s="295">
        <f t="shared" si="0"/>
        <v>4.896653734238603</v>
      </c>
      <c r="P31" s="6"/>
      <c r="Q31" s="30"/>
      <c r="R31" s="6"/>
      <c r="S31" s="20">
        <f t="shared" si="6"/>
        <v>6002.8944469918933</v>
      </c>
      <c r="T31" s="6"/>
      <c r="U31" s="20">
        <f t="shared" si="7"/>
        <v>4722.0577646068441</v>
      </c>
      <c r="V31" s="6"/>
      <c r="W31" s="20">
        <f t="shared" si="1"/>
        <v>1280.8366823850492</v>
      </c>
      <c r="X31" s="6"/>
      <c r="Y31" s="296">
        <f t="shared" si="8"/>
        <v>9.1972503994962711</v>
      </c>
      <c r="Z31" s="255"/>
      <c r="AB31" s="154">
        <f>+IF(AB30&gt;$G$13+$G$14,XX,AB30+1)</f>
        <v>2004</v>
      </c>
      <c r="AC31" s="124"/>
      <c r="AD31" s="159">
        <f t="shared" si="2"/>
        <v>139263</v>
      </c>
      <c r="AE31" s="3"/>
      <c r="AF31" s="160">
        <f>$AF$15*$AF$16</f>
        <v>53.8125</v>
      </c>
      <c r="AG31" s="3"/>
      <c r="AH31" s="160">
        <f>$AJ$11</f>
        <v>6.6035087719298247</v>
      </c>
      <c r="AI31" s="3"/>
      <c r="AJ31" s="160">
        <f>$AJ$13</f>
        <v>1.5426421100500227</v>
      </c>
      <c r="AK31" s="3"/>
      <c r="AL31" s="161">
        <f t="shared" si="9"/>
        <v>1463.0634478924801</v>
      </c>
      <c r="AM31" s="3"/>
      <c r="AN31" s="247">
        <f>AN32/(1+E31)</f>
        <v>3.8634146341463418</v>
      </c>
      <c r="AO31" s="3"/>
      <c r="AP31" s="162">
        <f t="shared" si="10"/>
        <v>27.676501008218818</v>
      </c>
      <c r="AQ31" s="3"/>
      <c r="AR31" s="160">
        <f>$AJ$15</f>
        <v>3.1491524416152528</v>
      </c>
      <c r="AS31" s="162"/>
      <c r="AT31" s="161">
        <f t="shared" si="3"/>
        <v>429.18478822260204</v>
      </c>
      <c r="AU31" s="3"/>
      <c r="AV31" s="161">
        <f t="shared" si="4"/>
        <v>4292.8729763842421</v>
      </c>
      <c r="AW31" s="299"/>
      <c r="AX31" s="163">
        <f t="shared" si="11"/>
        <v>4722.0577646068441</v>
      </c>
      <c r="AZ31" s="154">
        <f>+IF(AZ30&gt;$G$13+$G$14,XX,AZ30+1)</f>
        <v>2004</v>
      </c>
      <c r="BA31" s="124"/>
      <c r="BB31" s="160">
        <f>$BD$14*$BD$15</f>
        <v>46.223799999999997</v>
      </c>
      <c r="BC31" s="3"/>
      <c r="BD31" s="160">
        <f>$BB$16</f>
        <v>10.050000000000001</v>
      </c>
      <c r="BE31" s="3"/>
      <c r="BF31" s="161">
        <f t="shared" si="12"/>
        <v>1033.8786596698781</v>
      </c>
      <c r="BG31" s="3"/>
      <c r="BH31" s="165"/>
    </row>
    <row r="32" spans="2:60" ht="12">
      <c r="B32" s="2"/>
      <c r="C32" s="6">
        <f>+IF(C31&gt;$G$13+$G$14,XX,C31+1)</f>
        <v>2005</v>
      </c>
      <c r="D32" s="6"/>
      <c r="E32" s="292">
        <f t="shared" si="13"/>
        <v>2.5000000000000001E-2</v>
      </c>
      <c r="F32" s="6"/>
      <c r="G32" s="20">
        <f t="shared" si="14"/>
        <v>139263</v>
      </c>
      <c r="H32" s="6"/>
      <c r="I32" s="30">
        <f t="shared" si="15"/>
        <v>0</v>
      </c>
      <c r="J32" s="6"/>
      <c r="K32" s="30">
        <f t="shared" si="16"/>
        <v>39.163281359374977</v>
      </c>
      <c r="L32" s="6"/>
      <c r="M32" s="30">
        <f t="shared" si="17"/>
        <v>0</v>
      </c>
      <c r="N32" s="6"/>
      <c r="O32" s="295">
        <f>O33*1-E33</f>
        <v>4.9216537342386033</v>
      </c>
      <c r="P32" s="6"/>
      <c r="Q32" s="30"/>
      <c r="R32" s="6"/>
      <c r="S32" s="20">
        <f t="shared" si="6"/>
        <v>6139.400315941908</v>
      </c>
      <c r="T32" s="6"/>
      <c r="U32" s="20">
        <f t="shared" si="7"/>
        <v>4840.109208722014</v>
      </c>
      <c r="V32" s="6"/>
      <c r="W32" s="20">
        <f t="shared" si="1"/>
        <v>1299.291107219894</v>
      </c>
      <c r="X32" s="6"/>
      <c r="Y32" s="296">
        <f t="shared" si="8"/>
        <v>9.3297653161277143</v>
      </c>
      <c r="Z32" s="255"/>
      <c r="AB32" s="154">
        <f>+IF(AB31&gt;$G$13+$G$14,XX,AB31+1)</f>
        <v>2005</v>
      </c>
      <c r="AC32" s="124"/>
      <c r="AD32" s="159">
        <f t="shared" si="2"/>
        <v>139263</v>
      </c>
      <c r="AE32" s="3"/>
      <c r="AF32" s="162">
        <f t="shared" ref="AF32:AF48" si="18">AF31*(1+$E32)</f>
        <v>55.157812499999999</v>
      </c>
      <c r="AG32" s="3"/>
      <c r="AH32" s="162">
        <f t="shared" ref="AH32:AH48" si="19">AH31*(1+$E32)</f>
        <v>6.7685964912280694</v>
      </c>
      <c r="AI32" s="3"/>
      <c r="AJ32" s="162">
        <f t="shared" ref="AJ32:AJ48" si="20">AJ31*(1+$E32)</f>
        <v>1.5812081628012731</v>
      </c>
      <c r="AK32" s="3"/>
      <c r="AL32" s="161">
        <f t="shared" si="9"/>
        <v>1499.6400340897919</v>
      </c>
      <c r="AM32" s="3"/>
      <c r="AN32" s="162">
        <f>INDEX('(2.2)_Forward_Price_Curve'!$I:$I,MATCH($AB32,'(2.2)_Forward_Price_Curve'!$C:$C,0),1)</f>
        <v>3.96</v>
      </c>
      <c r="AO32" s="3"/>
      <c r="AP32" s="162">
        <f t="shared" si="10"/>
        <v>28.368413533424281</v>
      </c>
      <c r="AQ32" s="3"/>
      <c r="AR32" s="162">
        <f t="shared" ref="AR32:AR48" si="21">AR31*(1+$E32)</f>
        <v>3.2278812526556337</v>
      </c>
      <c r="AS32" s="162"/>
      <c r="AT32" s="161">
        <f t="shared" si="3"/>
        <v>439.91440792816684</v>
      </c>
      <c r="AU32" s="3"/>
      <c r="AV32" s="161">
        <f t="shared" si="4"/>
        <v>4400.1948007938472</v>
      </c>
      <c r="AW32" s="299"/>
      <c r="AX32" s="163">
        <f t="shared" si="11"/>
        <v>4840.109208722014</v>
      </c>
      <c r="AZ32" s="154">
        <f>+IF(AZ31&gt;$G$13+$G$14,XX,AZ31+1)</f>
        <v>2005</v>
      </c>
      <c r="BA32" s="124"/>
      <c r="BB32" s="162">
        <f t="shared" ref="BB32:BB48" si="22">BB31*(1+$E32)</f>
        <v>47.379394999999995</v>
      </c>
      <c r="BC32" s="3"/>
      <c r="BD32" s="162">
        <f t="shared" ref="BD32:BD48" si="23">BD31*(1+$E32)</f>
        <v>10.30125</v>
      </c>
      <c r="BE32" s="3"/>
      <c r="BF32" s="161">
        <f t="shared" si="12"/>
        <v>1059.7256261616251</v>
      </c>
      <c r="BG32" s="3"/>
      <c r="BH32" s="165"/>
    </row>
    <row r="33" spans="2:60" ht="12">
      <c r="B33" s="2"/>
      <c r="C33" s="6">
        <f>+IF(C32&gt;$G$13+$G$14,XX,C32+1)</f>
        <v>2006</v>
      </c>
      <c r="D33" s="6"/>
      <c r="E33" s="292">
        <f t="shared" si="13"/>
        <v>2.5000000000000001E-2</v>
      </c>
      <c r="F33" s="6"/>
      <c r="G33" s="20">
        <f t="shared" si="14"/>
        <v>139263</v>
      </c>
      <c r="H33" s="6"/>
      <c r="I33" s="30">
        <f t="shared" si="15"/>
        <v>0</v>
      </c>
      <c r="J33" s="6"/>
      <c r="K33" s="30">
        <f t="shared" si="16"/>
        <v>40.142363393359346</v>
      </c>
      <c r="L33" s="6"/>
      <c r="M33" s="30">
        <f t="shared" si="17"/>
        <v>0</v>
      </c>
      <c r="N33" s="6"/>
      <c r="O33" s="295">
        <f>'(2.2)_Forward_Price_Curve'!U18</f>
        <v>4.9466537342386037</v>
      </c>
      <c r="P33" s="6"/>
      <c r="Q33" s="30"/>
      <c r="R33" s="6"/>
      <c r="S33" s="20">
        <f t="shared" si="6"/>
        <v>6279.2317922406728</v>
      </c>
      <c r="T33" s="6"/>
      <c r="U33" s="20">
        <f t="shared" si="7"/>
        <v>4902.2509409450122</v>
      </c>
      <c r="V33" s="6"/>
      <c r="W33" s="20">
        <f t="shared" si="1"/>
        <v>1376.9808512956606</v>
      </c>
      <c r="X33" s="6"/>
      <c r="Y33" s="296">
        <f t="shared" si="8"/>
        <v>9.8876288123597842</v>
      </c>
      <c r="Z33" s="255"/>
      <c r="AB33" s="154">
        <f>+IF(AB32&gt;$G$13+$G$14,XX,AB32+1)</f>
        <v>2006</v>
      </c>
      <c r="AC33" s="124"/>
      <c r="AD33" s="159">
        <f t="shared" si="2"/>
        <v>139263</v>
      </c>
      <c r="AE33" s="3"/>
      <c r="AF33" s="162">
        <f t="shared" si="18"/>
        <v>56.536757812499992</v>
      </c>
      <c r="AG33" s="3"/>
      <c r="AH33" s="162">
        <f t="shared" si="19"/>
        <v>6.9378114035087703</v>
      </c>
      <c r="AI33" s="3"/>
      <c r="AJ33" s="162">
        <f t="shared" si="20"/>
        <v>1.6207383668713047</v>
      </c>
      <c r="AK33" s="3"/>
      <c r="AL33" s="161">
        <f t="shared" si="9"/>
        <v>1537.1310349420362</v>
      </c>
      <c r="AM33" s="3"/>
      <c r="AN33" s="162">
        <f>INDEX('(2.2)_Forward_Price_Curve'!$I:$I,MATCH($AB33,'(2.2)_Forward_Price_Curve'!$C:$C,0),1)</f>
        <v>4</v>
      </c>
      <c r="AO33" s="3"/>
      <c r="AP33" s="162">
        <f t="shared" si="10"/>
        <v>28.654963165075035</v>
      </c>
      <c r="AQ33" s="3"/>
      <c r="AR33" s="162">
        <f t="shared" si="21"/>
        <v>3.3085782839720244</v>
      </c>
      <c r="AS33" s="162"/>
      <c r="AT33" s="161">
        <f t="shared" si="3"/>
        <v>450.91226812637046</v>
      </c>
      <c r="AU33" s="3"/>
      <c r="AV33" s="161">
        <f t="shared" si="4"/>
        <v>4451.3386728186415</v>
      </c>
      <c r="AW33" s="299"/>
      <c r="AX33" s="163">
        <f t="shared" si="11"/>
        <v>4902.2509409450122</v>
      </c>
      <c r="AZ33" s="154">
        <f>+IF(AZ32&gt;$G$13+$G$14,XX,AZ32+1)</f>
        <v>2006</v>
      </c>
      <c r="BA33" s="124"/>
      <c r="BB33" s="162">
        <f t="shared" si="22"/>
        <v>48.563879874999991</v>
      </c>
      <c r="BC33" s="3"/>
      <c r="BD33" s="162">
        <f t="shared" si="23"/>
        <v>10.558781249999999</v>
      </c>
      <c r="BE33" s="3"/>
      <c r="BF33" s="161">
        <f t="shared" si="12"/>
        <v>1086.2187668156657</v>
      </c>
      <c r="BG33" s="3"/>
      <c r="BH33" s="165"/>
    </row>
    <row r="34" spans="2:60" ht="12">
      <c r="B34" s="2"/>
      <c r="C34" s="6">
        <f>+IF(C33&gt;$G$13+$G$14,XX,C33+1)</f>
        <v>2007</v>
      </c>
      <c r="D34" s="6"/>
      <c r="E34" s="292">
        <f t="shared" si="13"/>
        <v>2.5000000000000001E-2</v>
      </c>
      <c r="F34" s="6"/>
      <c r="G34" s="20">
        <f t="shared" si="14"/>
        <v>139263</v>
      </c>
      <c r="H34" s="6"/>
      <c r="I34" s="30">
        <f t="shared" si="15"/>
        <v>0</v>
      </c>
      <c r="J34" s="6"/>
      <c r="K34" s="30">
        <f t="shared" si="16"/>
        <v>41.145922478193327</v>
      </c>
      <c r="L34" s="6"/>
      <c r="M34" s="30">
        <f t="shared" si="17"/>
        <v>0</v>
      </c>
      <c r="N34" s="6"/>
      <c r="O34" s="295">
        <f>'(2.2)_Forward_Price_Curve'!U23</f>
        <v>5.4772233376778976</v>
      </c>
      <c r="P34" s="6"/>
      <c r="Q34" s="30"/>
      <c r="R34" s="6"/>
      <c r="S34" s="20">
        <f t="shared" si="6"/>
        <v>6492.8791557556742</v>
      </c>
      <c r="T34" s="6"/>
      <c r="U34" s="20">
        <f t="shared" si="7"/>
        <v>5144.5244985263726</v>
      </c>
      <c r="V34" s="6"/>
      <c r="W34" s="20">
        <f t="shared" si="1"/>
        <v>1348.3546572293017</v>
      </c>
      <c r="X34" s="6"/>
      <c r="Y34" s="296">
        <f t="shared" si="8"/>
        <v>9.6820738977998584</v>
      </c>
      <c r="Z34" s="255"/>
      <c r="AB34" s="154">
        <f>+IF(AB33&gt;$G$13+$G$14,XX,AB33+1)</f>
        <v>2007</v>
      </c>
      <c r="AC34" s="124"/>
      <c r="AD34" s="159">
        <f t="shared" si="2"/>
        <v>139263</v>
      </c>
      <c r="AE34" s="3"/>
      <c r="AF34" s="162">
        <f t="shared" si="18"/>
        <v>57.950176757812486</v>
      </c>
      <c r="AG34" s="3"/>
      <c r="AH34" s="162">
        <f t="shared" si="19"/>
        <v>7.1112566885964892</v>
      </c>
      <c r="AI34" s="3"/>
      <c r="AJ34" s="162">
        <f t="shared" si="20"/>
        <v>1.6612568260430871</v>
      </c>
      <c r="AK34" s="3"/>
      <c r="AL34" s="161">
        <f t="shared" si="9"/>
        <v>1575.559310815587</v>
      </c>
      <c r="AM34" s="3"/>
      <c r="AN34" s="162">
        <f>INDEX('(2.2)_Forward_Price_Curve'!$I:$I,MATCH($AB34,'(2.2)_Forward_Price_Curve'!$C:$C,0),1)</f>
        <v>4.22</v>
      </c>
      <c r="AO34" s="3"/>
      <c r="AP34" s="162">
        <f t="shared" si="10"/>
        <v>30.230986139154162</v>
      </c>
      <c r="AQ34" s="3"/>
      <c r="AR34" s="162">
        <f t="shared" si="21"/>
        <v>3.3912927410713247</v>
      </c>
      <c r="AS34" s="162"/>
      <c r="AT34" s="161">
        <f t="shared" si="3"/>
        <v>462.18507482952987</v>
      </c>
      <c r="AU34" s="3"/>
      <c r="AV34" s="161">
        <f t="shared" si="4"/>
        <v>4682.3394236968425</v>
      </c>
      <c r="AW34" s="299"/>
      <c r="AX34" s="163">
        <f t="shared" si="11"/>
        <v>5144.5244985263726</v>
      </c>
      <c r="AZ34" s="154">
        <f>+IF(AZ33&gt;$G$13+$G$14,XX,AZ33+1)</f>
        <v>2007</v>
      </c>
      <c r="BA34" s="124"/>
      <c r="BB34" s="162">
        <f t="shared" si="22"/>
        <v>49.777976871874984</v>
      </c>
      <c r="BC34" s="3"/>
      <c r="BD34" s="162">
        <f t="shared" si="23"/>
        <v>10.822750781249999</v>
      </c>
      <c r="BE34" s="3"/>
      <c r="BF34" s="161">
        <f t="shared" si="12"/>
        <v>1113.3742359860571</v>
      </c>
      <c r="BG34" s="3"/>
      <c r="BH34" s="165"/>
    </row>
    <row r="35" spans="2:60" ht="12">
      <c r="B35" s="2"/>
      <c r="C35" s="6">
        <f>+IF(C34&gt;$G$13+$G$14,XX,C34+1)</f>
        <v>2008</v>
      </c>
      <c r="D35" s="6"/>
      <c r="E35" s="292">
        <f t="shared" si="13"/>
        <v>2.5000000000000001E-2</v>
      </c>
      <c r="F35" s="6"/>
      <c r="G35" s="20">
        <f t="shared" si="14"/>
        <v>139263</v>
      </c>
      <c r="H35" s="6"/>
      <c r="I35" s="30">
        <f t="shared" si="15"/>
        <v>0</v>
      </c>
      <c r="J35" s="6"/>
      <c r="K35" s="30">
        <f>K34*(1+$E35)</f>
        <v>42.17457054014816</v>
      </c>
      <c r="L35" s="6"/>
      <c r="M35" s="30">
        <f t="shared" si="17"/>
        <v>0</v>
      </c>
      <c r="N35" s="6"/>
      <c r="O35" s="295">
        <f>'(2.2)_Forward_Price_Curve'!U24</f>
        <v>5.5867678044314557</v>
      </c>
      <c r="P35" s="6"/>
      <c r="Q35" s="30"/>
      <c r="R35" s="6"/>
      <c r="S35" s="20">
        <f t="shared" si="6"/>
        <v>6651.3872618811902</v>
      </c>
      <c r="T35" s="6"/>
      <c r="U35" s="20">
        <f t="shared" si="7"/>
        <v>5367.4149721849972</v>
      </c>
      <c r="V35" s="6"/>
      <c r="W35" s="20">
        <f t="shared" si="1"/>
        <v>1283.972289696193</v>
      </c>
      <c r="X35" s="6"/>
      <c r="Y35" s="296">
        <f t="shared" si="8"/>
        <v>9.2197661237815716</v>
      </c>
      <c r="Z35" s="255"/>
      <c r="AB35" s="154">
        <f>+IF(AB34&gt;$G$13+$G$14,XX,AB34+1)</f>
        <v>2008</v>
      </c>
      <c r="AC35" s="124"/>
      <c r="AD35" s="159">
        <f t="shared" si="2"/>
        <v>139263</v>
      </c>
      <c r="AE35" s="3"/>
      <c r="AF35" s="162">
        <f t="shared" si="18"/>
        <v>59.398931176757792</v>
      </c>
      <c r="AG35" s="3"/>
      <c r="AH35" s="162">
        <f t="shared" si="19"/>
        <v>7.2890381058114011</v>
      </c>
      <c r="AI35" s="3"/>
      <c r="AJ35" s="162">
        <f t="shared" si="20"/>
        <v>1.7027882466941642</v>
      </c>
      <c r="AK35" s="3"/>
      <c r="AL35" s="161">
        <f t="shared" si="9"/>
        <v>1614.9482935859769</v>
      </c>
      <c r="AM35" s="3"/>
      <c r="AN35" s="162">
        <f>INDEX('(2.2)_Forward_Price_Curve'!$I:$I,MATCH($AB35,'(2.2)_Forward_Price_Curve'!$C:$C,0),1)</f>
        <v>4.42</v>
      </c>
      <c r="AO35" s="3"/>
      <c r="AP35" s="162">
        <f t="shared" si="10"/>
        <v>31.66373429740791</v>
      </c>
      <c r="AQ35" s="3"/>
      <c r="AR35" s="162">
        <f t="shared" si="21"/>
        <v>3.4760750595981076</v>
      </c>
      <c r="AS35" s="162"/>
      <c r="AT35" s="161">
        <f t="shared" si="3"/>
        <v>473.73970170026837</v>
      </c>
      <c r="AU35" s="3"/>
      <c r="AV35" s="161">
        <f t="shared" si="4"/>
        <v>4893.6752704847286</v>
      </c>
      <c r="AW35" s="299"/>
      <c r="AX35" s="163">
        <f t="shared" si="11"/>
        <v>5367.4149721849972</v>
      </c>
      <c r="AZ35" s="154">
        <f>+IF(AZ34&gt;$G$13+$G$14,XX,AZ34+1)</f>
        <v>2008</v>
      </c>
      <c r="BA35" s="124"/>
      <c r="BB35" s="162">
        <f t="shared" si="22"/>
        <v>51.022426293671856</v>
      </c>
      <c r="BC35" s="3"/>
      <c r="BD35" s="162">
        <f t="shared" si="23"/>
        <v>11.093319550781247</v>
      </c>
      <c r="BE35" s="3"/>
      <c r="BF35" s="161">
        <f t="shared" si="12"/>
        <v>1141.2085918857085</v>
      </c>
      <c r="BG35" s="3"/>
      <c r="BH35" s="165"/>
    </row>
    <row r="36" spans="2:60" ht="12">
      <c r="B36" s="2"/>
      <c r="C36" s="6">
        <f>+IF(C35&gt;$G$13+$G$14,XX,C35+1)</f>
        <v>2009</v>
      </c>
      <c r="D36" s="6"/>
      <c r="E36" s="292">
        <f t="shared" si="13"/>
        <v>2.5000000000000001E-2</v>
      </c>
      <c r="F36" s="6"/>
      <c r="G36" s="20">
        <f t="shared" si="14"/>
        <v>139263</v>
      </c>
      <c r="H36" s="6"/>
      <c r="I36" s="30">
        <f t="shared" si="15"/>
        <v>0</v>
      </c>
      <c r="J36" s="6"/>
      <c r="K36" s="30">
        <f t="shared" si="16"/>
        <v>43.22893480365186</v>
      </c>
      <c r="L36" s="6"/>
      <c r="M36" s="30">
        <f t="shared" si="17"/>
        <v>0</v>
      </c>
      <c r="N36" s="6"/>
      <c r="O36" s="295">
        <f>'(2.2)_Forward_Price_Curve'!U25</f>
        <v>5.6929163927156532</v>
      </c>
      <c r="P36" s="6"/>
      <c r="Q36" s="30"/>
      <c r="R36" s="6"/>
      <c r="S36" s="20">
        <f t="shared" si="6"/>
        <v>6813.0037631597288</v>
      </c>
      <c r="T36" s="6"/>
      <c r="U36" s="20">
        <f t="shared" si="7"/>
        <v>5261.666956357245</v>
      </c>
      <c r="V36" s="6"/>
      <c r="W36" s="20">
        <f t="shared" si="1"/>
        <v>1551.3368068024838</v>
      </c>
      <c r="X36" s="6"/>
      <c r="Y36" s="296">
        <f t="shared" si="8"/>
        <v>11.139619330349653</v>
      </c>
      <c r="Z36" s="255"/>
      <c r="AB36" s="154">
        <f>+IF(AB35&gt;$G$13+$G$14,XX,AB35+1)</f>
        <v>2009</v>
      </c>
      <c r="AC36" s="124"/>
      <c r="AD36" s="159">
        <f t="shared" si="2"/>
        <v>139263</v>
      </c>
      <c r="AE36" s="3"/>
      <c r="AF36" s="162">
        <f t="shared" si="18"/>
        <v>60.88390445617673</v>
      </c>
      <c r="AG36" s="3"/>
      <c r="AH36" s="162">
        <f t="shared" si="19"/>
        <v>7.4712640584566854</v>
      </c>
      <c r="AI36" s="3"/>
      <c r="AJ36" s="162">
        <f t="shared" si="20"/>
        <v>1.7453579528615182</v>
      </c>
      <c r="AK36" s="3"/>
      <c r="AL36" s="161">
        <f t="shared" si="9"/>
        <v>1655.3220009256261</v>
      </c>
      <c r="AM36" s="3"/>
      <c r="AN36" s="162">
        <f>INDEX('(2.2)_Forward_Price_Curve'!$I:$I,MATCH($AB36,'(2.2)_Forward_Price_Curve'!$C:$C,0),1)</f>
        <v>4.29</v>
      </c>
      <c r="AO36" s="3"/>
      <c r="AP36" s="162">
        <f t="shared" si="10"/>
        <v>30.732447994542973</v>
      </c>
      <c r="AQ36" s="3"/>
      <c r="AR36" s="162">
        <f t="shared" si="21"/>
        <v>3.5629769360880599</v>
      </c>
      <c r="AS36" s="162"/>
      <c r="AT36" s="161">
        <f t="shared" si="3"/>
        <v>485.58319424277511</v>
      </c>
      <c r="AU36" s="3"/>
      <c r="AV36" s="161">
        <f t="shared" si="4"/>
        <v>4776.0837621144701</v>
      </c>
      <c r="AW36" s="299"/>
      <c r="AX36" s="163">
        <f t="shared" si="11"/>
        <v>5261.666956357245</v>
      </c>
      <c r="AZ36" s="154">
        <f>+IF(AZ35&gt;$G$13+$G$14,XX,AZ35+1)</f>
        <v>2009</v>
      </c>
      <c r="BA36" s="124"/>
      <c r="BB36" s="162">
        <f t="shared" si="22"/>
        <v>52.297986951013648</v>
      </c>
      <c r="BC36" s="3"/>
      <c r="BD36" s="162">
        <f t="shared" si="23"/>
        <v>11.370652539550777</v>
      </c>
      <c r="BE36" s="3"/>
      <c r="BF36" s="161">
        <f t="shared" si="12"/>
        <v>1169.738806682851</v>
      </c>
      <c r="BG36" s="3"/>
      <c r="BH36" s="165"/>
    </row>
    <row r="37" spans="2:60" ht="12">
      <c r="B37" s="2"/>
      <c r="C37" s="6">
        <f>+IF(C36&gt;$G$13+$G$14,XX,C36+1)</f>
        <v>2010</v>
      </c>
      <c r="D37" s="6"/>
      <c r="E37" s="292">
        <f t="shared" si="13"/>
        <v>2.5000000000000001E-2</v>
      </c>
      <c r="F37" s="6"/>
      <c r="G37" s="20">
        <f t="shared" si="14"/>
        <v>139263</v>
      </c>
      <c r="H37" s="6"/>
      <c r="I37" s="30">
        <f t="shared" si="15"/>
        <v>0</v>
      </c>
      <c r="J37" s="6"/>
      <c r="K37" s="30">
        <f t="shared" si="16"/>
        <v>44.309658173743152</v>
      </c>
      <c r="L37" s="6"/>
      <c r="M37" s="30">
        <f t="shared" si="17"/>
        <v>0</v>
      </c>
      <c r="N37" s="6"/>
      <c r="O37" s="295">
        <f>'(2.2)_Forward_Price_Curve'!U26</f>
        <v>5.7953888877845348</v>
      </c>
      <c r="P37" s="6"/>
      <c r="Q37" s="30"/>
      <c r="R37" s="6"/>
      <c r="S37" s="20">
        <f t="shared" si="6"/>
        <v>6977.77916892953</v>
      </c>
      <c r="T37" s="6"/>
      <c r="U37" s="20">
        <f t="shared" si="7"/>
        <v>4767.436410056056</v>
      </c>
      <c r="V37" s="6"/>
      <c r="W37" s="20">
        <f t="shared" si="1"/>
        <v>2210.3427588734739</v>
      </c>
      <c r="X37" s="6"/>
      <c r="Y37" s="296">
        <f t="shared" si="8"/>
        <v>15.871715810182703</v>
      </c>
      <c r="Z37" s="255"/>
      <c r="AB37" s="154">
        <f>+IF(AB36&gt;$G$13+$G$14,XX,AB36+1)</f>
        <v>2010</v>
      </c>
      <c r="AC37" s="124"/>
      <c r="AD37" s="159">
        <f t="shared" si="2"/>
        <v>139263</v>
      </c>
      <c r="AE37" s="3"/>
      <c r="AF37" s="162">
        <f t="shared" si="18"/>
        <v>62.406002067581142</v>
      </c>
      <c r="AG37" s="3"/>
      <c r="AH37" s="162">
        <f t="shared" si="19"/>
        <v>7.6580456599181019</v>
      </c>
      <c r="AI37" s="3"/>
      <c r="AJ37" s="162">
        <f t="shared" si="20"/>
        <v>1.788991901683056</v>
      </c>
      <c r="AK37" s="3"/>
      <c r="AL37" s="161">
        <f t="shared" si="9"/>
        <v>1696.7050509487665</v>
      </c>
      <c r="AM37" s="3"/>
      <c r="AN37" s="162">
        <f>INDEX('(2.2)_Forward_Price_Curve'!$I:$I,MATCH($AB37,'(2.2)_Forward_Price_Curve'!$C:$C,0),1)</f>
        <v>3.77</v>
      </c>
      <c r="AO37" s="3"/>
      <c r="AP37" s="162">
        <f t="shared" si="10"/>
        <v>27.007302783083222</v>
      </c>
      <c r="AQ37" s="3"/>
      <c r="AR37" s="162">
        <f t="shared" si="21"/>
        <v>3.6520513594902613</v>
      </c>
      <c r="AS37" s="162"/>
      <c r="AT37" s="161">
        <f t="shared" si="3"/>
        <v>497.72277409884441</v>
      </c>
      <c r="AU37" s="3"/>
      <c r="AV37" s="161">
        <f t="shared" si="4"/>
        <v>4269.7136359572114</v>
      </c>
      <c r="AW37" s="299"/>
      <c r="AX37" s="163">
        <f t="shared" si="11"/>
        <v>4767.436410056056</v>
      </c>
      <c r="AZ37" s="154">
        <f>+IF(AZ36&gt;$G$13+$G$14,XX,AZ36+1)</f>
        <v>2010</v>
      </c>
      <c r="BA37" s="124"/>
      <c r="BB37" s="162">
        <f t="shared" si="22"/>
        <v>53.605436624788986</v>
      </c>
      <c r="BC37" s="3"/>
      <c r="BD37" s="162">
        <f t="shared" si="23"/>
        <v>11.654918853039545</v>
      </c>
      <c r="BE37" s="3"/>
      <c r="BF37" s="161">
        <f t="shared" si="12"/>
        <v>1198.9822768499221</v>
      </c>
      <c r="BG37" s="3"/>
      <c r="BH37" s="165"/>
    </row>
    <row r="38" spans="2:60" ht="12">
      <c r="B38" s="2"/>
      <c r="C38" s="6">
        <f>+IF(C37&gt;$G$13+$G$14,XX,C37+1)</f>
        <v>2011</v>
      </c>
      <c r="D38" s="6"/>
      <c r="E38" s="292">
        <f t="shared" si="13"/>
        <v>2.5000000000000001E-2</v>
      </c>
      <c r="F38" s="6"/>
      <c r="G38" s="20">
        <f t="shared" si="14"/>
        <v>139263</v>
      </c>
      <c r="H38" s="6"/>
      <c r="I38" s="30">
        <f t="shared" si="15"/>
        <v>0</v>
      </c>
      <c r="J38" s="6"/>
      <c r="K38" s="30">
        <f t="shared" si="16"/>
        <v>45.417399628086727</v>
      </c>
      <c r="L38" s="6"/>
      <c r="M38" s="30">
        <f t="shared" si="17"/>
        <v>0</v>
      </c>
      <c r="N38" s="6"/>
      <c r="O38" s="295">
        <f>'(2.2)_Forward_Price_Curve'!U27</f>
        <v>5.8997058877646564</v>
      </c>
      <c r="P38" s="6"/>
      <c r="Q38" s="30"/>
      <c r="R38" s="6"/>
      <c r="S38" s="20">
        <f t="shared" si="6"/>
        <v>7146.5740654540105</v>
      </c>
      <c r="T38" s="6"/>
      <c r="U38" s="20">
        <f t="shared" si="7"/>
        <v>4932.2645348544684</v>
      </c>
      <c r="V38" s="6"/>
      <c r="W38" s="20">
        <f t="shared" si="1"/>
        <v>2214.3095305995421</v>
      </c>
      <c r="X38" s="6"/>
      <c r="Y38" s="296">
        <f t="shared" si="8"/>
        <v>15.90019984202223</v>
      </c>
      <c r="Z38" s="255"/>
      <c r="AB38" s="154">
        <f>+IF(AB37&gt;$G$13+$G$14,XX,AB37+1)</f>
        <v>2011</v>
      </c>
      <c r="AC38" s="124"/>
      <c r="AD38" s="159">
        <f t="shared" si="2"/>
        <v>139263</v>
      </c>
      <c r="AE38" s="3"/>
      <c r="AF38" s="162">
        <f t="shared" si="18"/>
        <v>63.966152119270667</v>
      </c>
      <c r="AG38" s="3"/>
      <c r="AH38" s="162">
        <f t="shared" si="19"/>
        <v>7.8494968014160538</v>
      </c>
      <c r="AI38" s="3"/>
      <c r="AJ38" s="162">
        <f t="shared" si="20"/>
        <v>1.8337166992251321</v>
      </c>
      <c r="AK38" s="3"/>
      <c r="AL38" s="161">
        <f t="shared" si="9"/>
        <v>1739.1226772224857</v>
      </c>
      <c r="AM38" s="3"/>
      <c r="AN38" s="162">
        <f>INDEX('(2.2)_Forward_Price_Curve'!$I:$I,MATCH($AB38,'(2.2)_Forward_Price_Curve'!$C:$C,0),1)</f>
        <v>3.91</v>
      </c>
      <c r="AO38" s="3"/>
      <c r="AP38" s="162">
        <f t="shared" si="10"/>
        <v>28.010226493860845</v>
      </c>
      <c r="AQ38" s="3"/>
      <c r="AR38" s="162">
        <f t="shared" si="21"/>
        <v>3.7433526434775173</v>
      </c>
      <c r="AS38" s="162"/>
      <c r="AT38" s="161">
        <f t="shared" si="3"/>
        <v>510.1658434513156</v>
      </c>
      <c r="AU38" s="3"/>
      <c r="AV38" s="161">
        <f t="shared" si="4"/>
        <v>4422.0986914031528</v>
      </c>
      <c r="AW38" s="299"/>
      <c r="AX38" s="163">
        <f t="shared" si="11"/>
        <v>4932.2645348544684</v>
      </c>
      <c r="AZ38" s="154">
        <f>+IF(AZ37&gt;$G$13+$G$14,XX,AZ37+1)</f>
        <v>2011</v>
      </c>
      <c r="BA38" s="124"/>
      <c r="BB38" s="162">
        <f t="shared" si="22"/>
        <v>54.945572540408705</v>
      </c>
      <c r="BC38" s="3"/>
      <c r="BD38" s="162">
        <f t="shared" si="23"/>
        <v>11.946291824365533</v>
      </c>
      <c r="BE38" s="3"/>
      <c r="BF38" s="161">
        <f t="shared" si="12"/>
        <v>1228.9568337711701</v>
      </c>
      <c r="BG38" s="3"/>
      <c r="BH38" s="165"/>
    </row>
    <row r="39" spans="2:60" ht="12">
      <c r="B39" s="2"/>
      <c r="C39" s="6">
        <f>+IF(C38&gt;$G$13+$G$14,XX,C38+1)</f>
        <v>2012</v>
      </c>
      <c r="D39" s="6"/>
      <c r="E39" s="292">
        <f t="shared" si="13"/>
        <v>2.5000000000000001E-2</v>
      </c>
      <c r="F39" s="6"/>
      <c r="G39" s="20">
        <f t="shared" si="14"/>
        <v>139263</v>
      </c>
      <c r="H39" s="6"/>
      <c r="I39" s="30">
        <f t="shared" si="15"/>
        <v>0</v>
      </c>
      <c r="J39" s="6"/>
      <c r="K39" s="30">
        <f t="shared" si="16"/>
        <v>46.552834618788893</v>
      </c>
      <c r="L39" s="6"/>
      <c r="M39" s="30">
        <f t="shared" si="17"/>
        <v>0</v>
      </c>
      <c r="N39" s="6"/>
      <c r="O39" s="295">
        <f>'(2.2)_Forward_Price_Curve'!U28</f>
        <v>6.0059005937444203</v>
      </c>
      <c r="P39" s="6"/>
      <c r="Q39" s="30"/>
      <c r="R39" s="6"/>
      <c r="S39" s="20">
        <f t="shared" si="6"/>
        <v>7319.4871419030269</v>
      </c>
      <c r="T39" s="6"/>
      <c r="U39" s="20">
        <f t="shared" si="7"/>
        <v>5446.8970204895522</v>
      </c>
      <c r="V39" s="6"/>
      <c r="W39" s="20">
        <f t="shared" si="1"/>
        <v>1872.5901214134747</v>
      </c>
      <c r="X39" s="6"/>
      <c r="Y39" s="296">
        <f t="shared" si="8"/>
        <v>13.44642957148327</v>
      </c>
      <c r="Z39" s="255"/>
      <c r="AB39" s="154">
        <f>+IF(AB38&gt;$G$13+$G$14,XX,AB38+1)</f>
        <v>2012</v>
      </c>
      <c r="AC39" s="124"/>
      <c r="AD39" s="159">
        <f t="shared" si="2"/>
        <v>139263</v>
      </c>
      <c r="AE39" s="3"/>
      <c r="AF39" s="162">
        <f t="shared" si="18"/>
        <v>65.565305922252435</v>
      </c>
      <c r="AG39" s="3"/>
      <c r="AH39" s="162">
        <f t="shared" si="19"/>
        <v>8.045734221451454</v>
      </c>
      <c r="AI39" s="3"/>
      <c r="AJ39" s="162">
        <f t="shared" si="20"/>
        <v>1.8795596167057602</v>
      </c>
      <c r="AK39" s="3"/>
      <c r="AL39" s="161">
        <f t="shared" si="9"/>
        <v>1782.6007441530473</v>
      </c>
      <c r="AM39" s="3"/>
      <c r="AN39" s="162">
        <f>INDEX('(2.2)_Forward_Price_Curve'!$I:$I,MATCH($AB39,'(2.2)_Forward_Price_Curve'!$C:$C,0),1)</f>
        <v>4.4000000000000004</v>
      </c>
      <c r="AO39" s="3"/>
      <c r="AP39" s="162">
        <f t="shared" si="10"/>
        <v>31.520459481582542</v>
      </c>
      <c r="AQ39" s="3"/>
      <c r="AR39" s="162">
        <f t="shared" si="21"/>
        <v>3.8369364595644551</v>
      </c>
      <c r="AS39" s="162"/>
      <c r="AT39" s="161">
        <f t="shared" si="3"/>
        <v>522.91998953759798</v>
      </c>
      <c r="AU39" s="3"/>
      <c r="AV39" s="161">
        <f t="shared" si="4"/>
        <v>4923.9770309519545</v>
      </c>
      <c r="AW39" s="299"/>
      <c r="AX39" s="163">
        <f t="shared" si="11"/>
        <v>5446.8970204895522</v>
      </c>
      <c r="AZ39" s="154">
        <f>+IF(AZ38&gt;$G$13+$G$14,XX,AZ38+1)</f>
        <v>2012</v>
      </c>
      <c r="BA39" s="124"/>
      <c r="BB39" s="162">
        <f t="shared" si="22"/>
        <v>56.319211853918915</v>
      </c>
      <c r="BC39" s="3"/>
      <c r="BD39" s="162">
        <f t="shared" si="23"/>
        <v>12.24494911997467</v>
      </c>
      <c r="BE39" s="3"/>
      <c r="BF39" s="161">
        <f t="shared" si="12"/>
        <v>1259.6807546154494</v>
      </c>
      <c r="BG39" s="3"/>
      <c r="BH39" s="165"/>
    </row>
    <row r="40" spans="2:60" ht="12">
      <c r="B40" s="2"/>
      <c r="C40" s="6">
        <f>+IF(C39&gt;$G$13+$G$14,XX,C39+1)</f>
        <v>2013</v>
      </c>
      <c r="D40" s="6"/>
      <c r="E40" s="292">
        <f t="shared" si="13"/>
        <v>2.5000000000000001E-2</v>
      </c>
      <c r="F40" s="6"/>
      <c r="G40" s="20">
        <f t="shared" si="14"/>
        <v>139263</v>
      </c>
      <c r="H40" s="6"/>
      <c r="I40" s="30">
        <f t="shared" si="15"/>
        <v>0</v>
      </c>
      <c r="J40" s="6"/>
      <c r="K40" s="30">
        <f t="shared" si="16"/>
        <v>47.716655484258609</v>
      </c>
      <c r="L40" s="6"/>
      <c r="M40" s="30">
        <f t="shared" si="17"/>
        <v>0</v>
      </c>
      <c r="N40" s="6"/>
      <c r="O40" s="295">
        <f>'(2.2)_Forward_Price_Curve'!U29</f>
        <v>6.1140068044318197</v>
      </c>
      <c r="P40" s="6"/>
      <c r="Q40" s="30"/>
      <c r="R40" s="6"/>
      <c r="S40" s="20">
        <f t="shared" si="6"/>
        <v>7496.6195223098948</v>
      </c>
      <c r="T40" s="6"/>
      <c r="U40" s="20">
        <f t="shared" si="7"/>
        <v>5712.7631703976704</v>
      </c>
      <c r="V40" s="6"/>
      <c r="W40" s="20">
        <f t="shared" si="1"/>
        <v>1783.8563519122245</v>
      </c>
      <c r="X40" s="6"/>
      <c r="Y40" s="296">
        <f t="shared" si="8"/>
        <v>12.809262703749198</v>
      </c>
      <c r="Z40" s="255"/>
      <c r="AB40" s="154">
        <f>+IF(AB39&gt;$G$13+$G$14,XX,AB39+1)</f>
        <v>2013</v>
      </c>
      <c r="AC40" s="124"/>
      <c r="AD40" s="159">
        <f t="shared" si="2"/>
        <v>139263</v>
      </c>
      <c r="AE40" s="3"/>
      <c r="AF40" s="162">
        <f t="shared" si="18"/>
        <v>67.204438570308739</v>
      </c>
      <c r="AG40" s="3"/>
      <c r="AH40" s="162">
        <f t="shared" si="19"/>
        <v>8.2468775769877389</v>
      </c>
      <c r="AI40" s="3"/>
      <c r="AJ40" s="162">
        <f t="shared" si="20"/>
        <v>1.9265486071234041</v>
      </c>
      <c r="AK40" s="3"/>
      <c r="AL40" s="161">
        <f t="shared" si="9"/>
        <v>1827.1657627568736</v>
      </c>
      <c r="AM40" s="3"/>
      <c r="AN40" s="162">
        <f>INDEX('(2.2)_Forward_Price_Curve'!$I:$I,MATCH($AB40,'(2.2)_Forward_Price_Curve'!$C:$C,0),1)</f>
        <v>4.6399999999999997</v>
      </c>
      <c r="AO40" s="3"/>
      <c r="AP40" s="162">
        <f t="shared" si="10"/>
        <v>33.239757271487044</v>
      </c>
      <c r="AQ40" s="3"/>
      <c r="AR40" s="162">
        <f t="shared" si="21"/>
        <v>3.9328598710535663</v>
      </c>
      <c r="AS40" s="162"/>
      <c r="AT40" s="161">
        <f t="shared" si="3"/>
        <v>535.99298927603832</v>
      </c>
      <c r="AU40" s="3"/>
      <c r="AV40" s="161">
        <f t="shared" si="4"/>
        <v>5176.770181121632</v>
      </c>
      <c r="AW40" s="299"/>
      <c r="AX40" s="163">
        <f t="shared" si="11"/>
        <v>5712.7631703976704</v>
      </c>
      <c r="AZ40" s="154">
        <f>+IF(AZ39&gt;$G$13+$G$14,XX,AZ39+1)</f>
        <v>2013</v>
      </c>
      <c r="BA40" s="124"/>
      <c r="BB40" s="162">
        <f t="shared" si="22"/>
        <v>57.72719215026688</v>
      </c>
      <c r="BC40" s="3"/>
      <c r="BD40" s="162">
        <f t="shared" si="23"/>
        <v>12.551072847974035</v>
      </c>
      <c r="BE40" s="3"/>
      <c r="BF40" s="161">
        <f t="shared" si="12"/>
        <v>1291.1727734808353</v>
      </c>
      <c r="BG40" s="3"/>
      <c r="BH40" s="165"/>
    </row>
    <row r="41" spans="2:60" ht="12">
      <c r="B41" s="2"/>
      <c r="C41" s="6">
        <f>+IF(C40&gt;$G$13+$G$14,XX,C40+1)</f>
        <v>2014</v>
      </c>
      <c r="D41" s="6"/>
      <c r="E41" s="292">
        <f t="shared" si="13"/>
        <v>2.5000000000000001E-2</v>
      </c>
      <c r="F41" s="6"/>
      <c r="G41" s="20">
        <f t="shared" si="14"/>
        <v>139263</v>
      </c>
      <c r="H41" s="6"/>
      <c r="I41" s="30">
        <f t="shared" si="15"/>
        <v>0</v>
      </c>
      <c r="J41" s="6"/>
      <c r="K41" s="30">
        <f t="shared" si="16"/>
        <v>48.909571871365074</v>
      </c>
      <c r="L41" s="6"/>
      <c r="M41" s="30">
        <f t="shared" si="17"/>
        <v>0</v>
      </c>
      <c r="N41" s="6"/>
      <c r="O41" s="295">
        <f>'(2.2)_Forward_Price_Curve'!U30</f>
        <v>6.2240589269115922</v>
      </c>
      <c r="P41" s="6"/>
      <c r="Q41" s="30"/>
      <c r="R41" s="6"/>
      <c r="S41" s="20">
        <f t="shared" si="6"/>
        <v>7678.0748258604035</v>
      </c>
      <c r="T41" s="6"/>
      <c r="U41" s="20">
        <f t="shared" si="7"/>
        <v>5550.3031753103878</v>
      </c>
      <c r="V41" s="6"/>
      <c r="W41" s="20">
        <f t="shared" si="1"/>
        <v>2127.7716505500157</v>
      </c>
      <c r="X41" s="6"/>
      <c r="Y41" s="296">
        <f t="shared" si="8"/>
        <v>15.278800905840143</v>
      </c>
      <c r="Z41" s="255"/>
      <c r="AB41" s="154">
        <f>+IF(AB40&gt;$G$13+$G$14,XX,AB40+1)</f>
        <v>2014</v>
      </c>
      <c r="AC41" s="124"/>
      <c r="AD41" s="159">
        <f t="shared" si="2"/>
        <v>139263</v>
      </c>
      <c r="AE41" s="3"/>
      <c r="AF41" s="162">
        <f t="shared" si="18"/>
        <v>68.884549534566446</v>
      </c>
      <c r="AG41" s="3"/>
      <c r="AH41" s="162">
        <f t="shared" si="19"/>
        <v>8.4530495164124311</v>
      </c>
      <c r="AI41" s="3"/>
      <c r="AJ41" s="162">
        <f t="shared" si="20"/>
        <v>1.9747123223014891</v>
      </c>
      <c r="AK41" s="3"/>
      <c r="AL41" s="161">
        <f t="shared" si="9"/>
        <v>1872.8449068257953</v>
      </c>
      <c r="AM41" s="3"/>
      <c r="AN41" s="162">
        <f>INDEX('(2.2)_Forward_Price_Curve'!$I:$I,MATCH($AB41,'(2.2)_Forward_Price_Curve'!$C:$C,0),1)</f>
        <v>4.45</v>
      </c>
      <c r="AO41" s="3"/>
      <c r="AP41" s="162">
        <f t="shared" si="10"/>
        <v>31.878646521145978</v>
      </c>
      <c r="AQ41" s="3"/>
      <c r="AR41" s="162">
        <f t="shared" si="21"/>
        <v>4.0311813678299053</v>
      </c>
      <c r="AS41" s="162"/>
      <c r="AT41" s="161">
        <f t="shared" si="3"/>
        <v>549.39281400793925</v>
      </c>
      <c r="AU41" s="3"/>
      <c r="AV41" s="161">
        <f t="shared" si="4"/>
        <v>5000.9103613024481</v>
      </c>
      <c r="AW41" s="299"/>
      <c r="AX41" s="163">
        <f t="shared" si="11"/>
        <v>5550.3031753103878</v>
      </c>
      <c r="AZ41" s="154">
        <f>+IF(AZ40&gt;$G$13+$G$14,XX,AZ40+1)</f>
        <v>2014</v>
      </c>
      <c r="BA41" s="124"/>
      <c r="BB41" s="162">
        <f t="shared" si="22"/>
        <v>59.170371954023544</v>
      </c>
      <c r="BC41" s="3"/>
      <c r="BD41" s="162">
        <f t="shared" si="23"/>
        <v>12.864849669173385</v>
      </c>
      <c r="BE41" s="3"/>
      <c r="BF41" s="161">
        <f t="shared" si="12"/>
        <v>1323.4520928178561</v>
      </c>
      <c r="BG41" s="3"/>
      <c r="BH41" s="165"/>
    </row>
    <row r="42" spans="2:60" ht="12">
      <c r="B42" s="2"/>
      <c r="C42" s="6">
        <f>+IF(C41&gt;$G$13+$G$14,XX,C41+1)</f>
        <v>2015</v>
      </c>
      <c r="D42" s="6"/>
      <c r="E42" s="292">
        <f t="shared" si="13"/>
        <v>2.5000000000000001E-2</v>
      </c>
      <c r="F42" s="6"/>
      <c r="G42" s="20">
        <f t="shared" si="14"/>
        <v>139263</v>
      </c>
      <c r="H42" s="6"/>
      <c r="I42" s="30">
        <f t="shared" si="15"/>
        <v>0</v>
      </c>
      <c r="J42" s="6"/>
      <c r="K42" s="30">
        <f t="shared" si="16"/>
        <v>50.132311168149194</v>
      </c>
      <c r="L42" s="6"/>
      <c r="M42" s="30">
        <f t="shared" si="17"/>
        <v>0</v>
      </c>
      <c r="N42" s="6"/>
      <c r="O42" s="295">
        <f>'(2.2)_Forward_Price_Curve'!U31</f>
        <v>6.3360919875960011</v>
      </c>
      <c r="P42" s="6"/>
      <c r="Q42" s="30"/>
      <c r="R42" s="6"/>
      <c r="S42" s="20">
        <f t="shared" si="6"/>
        <v>7863.9592286785428</v>
      </c>
      <c r="T42" s="6"/>
      <c r="U42" s="20">
        <f t="shared" si="7"/>
        <v>6007.0597904715059</v>
      </c>
      <c r="V42" s="6"/>
      <c r="W42" s="20">
        <f t="shared" si="1"/>
        <v>1856.8994382070368</v>
      </c>
      <c r="X42" s="6"/>
      <c r="Y42" s="296">
        <f t="shared" si="8"/>
        <v>13.333760138780844</v>
      </c>
      <c r="Z42" s="255"/>
      <c r="AB42" s="154">
        <f>+IF(AB41&gt;$G$13+$G$14,XX,AB41+1)</f>
        <v>2015</v>
      </c>
      <c r="AC42" s="124"/>
      <c r="AD42" s="159">
        <f t="shared" si="2"/>
        <v>139263</v>
      </c>
      <c r="AE42" s="3"/>
      <c r="AF42" s="162">
        <f t="shared" si="18"/>
        <v>70.606663272930604</v>
      </c>
      <c r="AG42" s="3"/>
      <c r="AH42" s="162">
        <f t="shared" si="19"/>
        <v>8.6643757543227409</v>
      </c>
      <c r="AI42" s="3"/>
      <c r="AJ42" s="162">
        <f t="shared" si="20"/>
        <v>2.0240801303590263</v>
      </c>
      <c r="AK42" s="3"/>
      <c r="AL42" s="161">
        <f t="shared" si="9"/>
        <v>1919.6660294964399</v>
      </c>
      <c r="AM42" s="3"/>
      <c r="AN42" s="162">
        <f>INDEX('(2.2)_Forward_Price_Curve'!$I:$I,MATCH($AB42,'(2.2)_Forward_Price_Curve'!$C:$C,0),1)</f>
        <v>4.88</v>
      </c>
      <c r="AO42" s="3"/>
      <c r="AP42" s="162">
        <f t="shared" si="10"/>
        <v>34.959055061391538</v>
      </c>
      <c r="AQ42" s="3"/>
      <c r="AR42" s="162">
        <f t="shared" si="21"/>
        <v>4.1319609020256527</v>
      </c>
      <c r="AS42" s="162"/>
      <c r="AT42" s="161">
        <f t="shared" si="3"/>
        <v>563.12763435813758</v>
      </c>
      <c r="AU42" s="3"/>
      <c r="AV42" s="161">
        <f t="shared" si="4"/>
        <v>5443.9321561133684</v>
      </c>
      <c r="AW42" s="299"/>
      <c r="AX42" s="163">
        <f t="shared" si="11"/>
        <v>6007.0597904715059</v>
      </c>
      <c r="AZ42" s="154">
        <f>+IF(AZ41&gt;$G$13+$G$14,XX,AZ41+1)</f>
        <v>2015</v>
      </c>
      <c r="BA42" s="124"/>
      <c r="BB42" s="162">
        <f t="shared" si="22"/>
        <v>60.64963125287413</v>
      </c>
      <c r="BC42" s="3"/>
      <c r="BD42" s="162">
        <f t="shared" si="23"/>
        <v>13.186470910902719</v>
      </c>
      <c r="BE42" s="3"/>
      <c r="BF42" s="161">
        <f t="shared" si="12"/>
        <v>1356.5383951383023</v>
      </c>
      <c r="BG42" s="3"/>
      <c r="BH42" s="165"/>
    </row>
    <row r="43" spans="2:60" ht="12">
      <c r="B43" s="2"/>
      <c r="C43" s="6">
        <f>+IF(C42&gt;$G$13+$G$14,XX,C42+1)</f>
        <v>2016</v>
      </c>
      <c r="D43" s="6"/>
      <c r="E43" s="292">
        <f t="shared" si="13"/>
        <v>2.5000000000000001E-2</v>
      </c>
      <c r="F43" s="6"/>
      <c r="G43" s="20">
        <f t="shared" si="14"/>
        <v>139263</v>
      </c>
      <c r="H43" s="6"/>
      <c r="I43" s="30">
        <f t="shared" si="15"/>
        <v>0</v>
      </c>
      <c r="J43" s="6"/>
      <c r="K43" s="30">
        <f t="shared" si="16"/>
        <v>51.385618947352917</v>
      </c>
      <c r="L43" s="6"/>
      <c r="M43" s="30">
        <f t="shared" si="17"/>
        <v>0</v>
      </c>
      <c r="N43" s="6"/>
      <c r="O43" s="295">
        <f>'(2.2)_Forward_Price_Curve'!U32</f>
        <v>6.4501416433727297</v>
      </c>
      <c r="P43" s="6"/>
      <c r="Q43" s="30"/>
      <c r="R43" s="6"/>
      <c r="S43" s="20">
        <f t="shared" si="6"/>
        <v>8054.3815271462254</v>
      </c>
      <c r="T43" s="6"/>
      <c r="U43" s="20">
        <f t="shared" si="7"/>
        <v>6255.0054005471111</v>
      </c>
      <c r="V43" s="6"/>
      <c r="W43" s="20">
        <f t="shared" si="1"/>
        <v>1799.3761265991143</v>
      </c>
      <c r="X43" s="6"/>
      <c r="Y43" s="296">
        <f t="shared" si="8"/>
        <v>12.920704900792847</v>
      </c>
      <c r="Z43" s="255"/>
      <c r="AB43" s="154">
        <f>+IF(AB42&gt;$G$13+$G$14,XX,AB42+1)</f>
        <v>2016</v>
      </c>
      <c r="AC43" s="124"/>
      <c r="AD43" s="159">
        <f t="shared" si="2"/>
        <v>139263</v>
      </c>
      <c r="AE43" s="3"/>
      <c r="AF43" s="162">
        <f t="shared" si="18"/>
        <v>72.371829854753869</v>
      </c>
      <c r="AG43" s="3"/>
      <c r="AH43" s="162">
        <f t="shared" si="19"/>
        <v>8.8809851481808089</v>
      </c>
      <c r="AI43" s="3"/>
      <c r="AJ43" s="162">
        <f t="shared" si="20"/>
        <v>2.0746821336180017</v>
      </c>
      <c r="AK43" s="3"/>
      <c r="AL43" s="161">
        <f t="shared" si="9"/>
        <v>1967.6576802338511</v>
      </c>
      <c r="AM43" s="3"/>
      <c r="AN43" s="162">
        <f>INDEX('(2.2)_Forward_Price_Curve'!$I:$I,MATCH($AB43,'(2.2)_Forward_Price_Curve'!$C:$C,0),1)</f>
        <v>5.0999999999999996</v>
      </c>
      <c r="AO43" s="3"/>
      <c r="AP43" s="162">
        <f t="shared" si="10"/>
        <v>36.535078035470669</v>
      </c>
      <c r="AQ43" s="3"/>
      <c r="AR43" s="162">
        <f t="shared" si="21"/>
        <v>4.2352599245762939</v>
      </c>
      <c r="AS43" s="162"/>
      <c r="AT43" s="161">
        <f t="shared" si="3"/>
        <v>577.20582521709116</v>
      </c>
      <c r="AU43" s="3"/>
      <c r="AV43" s="161">
        <f t="shared" si="4"/>
        <v>5677.7995753300202</v>
      </c>
      <c r="AW43" s="299"/>
      <c r="AX43" s="163">
        <f t="shared" si="11"/>
        <v>6255.0054005471111</v>
      </c>
      <c r="AZ43" s="154">
        <f>+IF(AZ42&gt;$G$13+$G$14,XX,AZ42+1)</f>
        <v>2016</v>
      </c>
      <c r="BA43" s="124"/>
      <c r="BB43" s="162">
        <f t="shared" si="22"/>
        <v>62.165872034195978</v>
      </c>
      <c r="BC43" s="3"/>
      <c r="BD43" s="162">
        <f t="shared" si="23"/>
        <v>13.516132683675286</v>
      </c>
      <c r="BE43" s="3"/>
      <c r="BF43" s="161">
        <f t="shared" si="12"/>
        <v>1390.45185501676</v>
      </c>
      <c r="BG43" s="3"/>
      <c r="BH43" s="165"/>
    </row>
    <row r="44" spans="2:60" ht="12">
      <c r="B44" s="2"/>
      <c r="C44" s="6">
        <f>+IF(C43&gt;$G$13+$G$14,XX,C43+1)</f>
        <v>2017</v>
      </c>
      <c r="D44" s="6"/>
      <c r="E44" s="292">
        <f t="shared" si="13"/>
        <v>2.5000000000000001E-2</v>
      </c>
      <c r="F44" s="6"/>
      <c r="G44" s="20">
        <f t="shared" si="14"/>
        <v>139263</v>
      </c>
      <c r="H44" s="6"/>
      <c r="I44" s="30">
        <f t="shared" si="15"/>
        <v>0</v>
      </c>
      <c r="J44" s="6"/>
      <c r="K44" s="30">
        <f t="shared" si="16"/>
        <v>52.670259421036732</v>
      </c>
      <c r="L44" s="6"/>
      <c r="M44" s="30">
        <f t="shared" si="17"/>
        <v>0</v>
      </c>
      <c r="N44" s="6"/>
      <c r="O44" s="295">
        <f>'(2.2)_Forward_Price_Curve'!U33</f>
        <v>6.5662441929534392</v>
      </c>
      <c r="P44" s="6"/>
      <c r="Q44" s="30"/>
      <c r="R44" s="6"/>
      <c r="S44" s="20">
        <f t="shared" si="6"/>
        <v>8249.4532027951136</v>
      </c>
      <c r="T44" s="6"/>
      <c r="U44" s="20">
        <f t="shared" si="7"/>
        <v>6403.8982053071804</v>
      </c>
      <c r="V44" s="6"/>
      <c r="W44" s="20">
        <f t="shared" si="1"/>
        <v>1845.5549974879332</v>
      </c>
      <c r="X44" s="6"/>
      <c r="Y44" s="296">
        <f t="shared" si="8"/>
        <v>13.252299587743572</v>
      </c>
      <c r="Z44" s="255"/>
      <c r="AB44" s="154">
        <f>+IF(AB43&gt;$G$13+$G$14,XX,AB43+1)</f>
        <v>2017</v>
      </c>
      <c r="AC44" s="124"/>
      <c r="AD44" s="159">
        <f t="shared" si="2"/>
        <v>139263</v>
      </c>
      <c r="AE44" s="3"/>
      <c r="AF44" s="162">
        <f t="shared" si="18"/>
        <v>74.181125601122716</v>
      </c>
      <c r="AG44" s="3"/>
      <c r="AH44" s="162">
        <f t="shared" si="19"/>
        <v>9.1030097768853278</v>
      </c>
      <c r="AI44" s="3"/>
      <c r="AJ44" s="162">
        <f t="shared" si="20"/>
        <v>2.1265491869584516</v>
      </c>
      <c r="AK44" s="3"/>
      <c r="AL44" s="161">
        <f t="shared" si="9"/>
        <v>2016.8491222396972</v>
      </c>
      <c r="AM44" s="3"/>
      <c r="AN44" s="162">
        <f>INDEX('(2.2)_Forward_Price_Curve'!$I:$I,MATCH($AB44,'(2.2)_Forward_Price_Curve'!$C:$C,0),1)</f>
        <v>5.22</v>
      </c>
      <c r="AO44" s="3"/>
      <c r="AP44" s="162">
        <f t="shared" si="10"/>
        <v>37.39472693042292</v>
      </c>
      <c r="AQ44" s="3"/>
      <c r="AR44" s="162">
        <f t="shared" si="21"/>
        <v>4.3411414226907006</v>
      </c>
      <c r="AS44" s="162"/>
      <c r="AT44" s="161">
        <f t="shared" si="3"/>
        <v>591.63597084751859</v>
      </c>
      <c r="AU44" s="3"/>
      <c r="AV44" s="161">
        <f t="shared" si="4"/>
        <v>5812.2622344596621</v>
      </c>
      <c r="AW44" s="299"/>
      <c r="AX44" s="163">
        <f t="shared" si="11"/>
        <v>6403.8982053071804</v>
      </c>
      <c r="AZ44" s="154">
        <f>+IF(AZ43&gt;$G$13+$G$14,XX,AZ43+1)</f>
        <v>2017</v>
      </c>
      <c r="BA44" s="124"/>
      <c r="BB44" s="162">
        <f t="shared" si="22"/>
        <v>63.720018835050872</v>
      </c>
      <c r="BC44" s="3"/>
      <c r="BD44" s="162">
        <f t="shared" si="23"/>
        <v>13.854036000767167</v>
      </c>
      <c r="BE44" s="3"/>
      <c r="BF44" s="161">
        <f t="shared" si="12"/>
        <v>1425.2131513921786</v>
      </c>
      <c r="BG44" s="3"/>
      <c r="BH44" s="165"/>
    </row>
    <row r="45" spans="2:60" ht="12">
      <c r="B45" s="2"/>
      <c r="C45" s="6">
        <f>+IF(C44&gt;$G$13+$G$14,XX,C44+1)</f>
        <v>2018</v>
      </c>
      <c r="D45" s="6"/>
      <c r="E45" s="292">
        <f t="shared" si="13"/>
        <v>2.5000000000000001E-2</v>
      </c>
      <c r="F45" s="6"/>
      <c r="G45" s="20">
        <f t="shared" si="14"/>
        <v>139263</v>
      </c>
      <c r="H45" s="6"/>
      <c r="I45" s="30">
        <f t="shared" si="15"/>
        <v>0</v>
      </c>
      <c r="J45" s="6"/>
      <c r="K45" s="30">
        <f t="shared" si="16"/>
        <v>53.987015906562647</v>
      </c>
      <c r="L45" s="6"/>
      <c r="M45" s="30">
        <f t="shared" si="17"/>
        <v>0</v>
      </c>
      <c r="N45" s="6"/>
      <c r="O45" s="295">
        <f>'(2.2)_Forward_Price_Curve'!U34</f>
        <v>6.6910028326195539</v>
      </c>
      <c r="P45" s="6"/>
      <c r="Q45" s="30"/>
      <c r="R45" s="6"/>
      <c r="S45" s="20">
        <f t="shared" si="6"/>
        <v>8450.2029236747312</v>
      </c>
      <c r="T45" s="6"/>
      <c r="U45" s="20">
        <f t="shared" si="7"/>
        <v>6553.5203980848073</v>
      </c>
      <c r="V45" s="6"/>
      <c r="W45" s="20">
        <f t="shared" si="1"/>
        <v>1896.6825255899239</v>
      </c>
      <c r="X45" s="6"/>
      <c r="Y45" s="296">
        <f t="shared" si="8"/>
        <v>13.619428890587765</v>
      </c>
      <c r="Z45" s="255"/>
      <c r="AB45" s="154">
        <f>+IF(AB44&gt;$G$13+$G$14,XX,AB44+1)</f>
        <v>2018</v>
      </c>
      <c r="AC45" s="124"/>
      <c r="AD45" s="159">
        <f t="shared" si="2"/>
        <v>139263</v>
      </c>
      <c r="AE45" s="3"/>
      <c r="AF45" s="162">
        <f t="shared" si="18"/>
        <v>76.035653741150782</v>
      </c>
      <c r="AG45" s="3"/>
      <c r="AH45" s="162">
        <f t="shared" si="19"/>
        <v>9.3305850213074599</v>
      </c>
      <c r="AI45" s="3"/>
      <c r="AJ45" s="162">
        <f t="shared" si="20"/>
        <v>2.1797129166324125</v>
      </c>
      <c r="AK45" s="3"/>
      <c r="AL45" s="161">
        <f t="shared" si="9"/>
        <v>2067.2703502956892</v>
      </c>
      <c r="AM45" s="3"/>
      <c r="AN45" s="162">
        <f>INDEX('(2.2)_Forward_Price_Curve'!$I:$I,MATCH($AB45,'(2.2)_Forward_Price_Curve'!$C:$C,0),1)</f>
        <v>5.34</v>
      </c>
      <c r="AO45" s="3"/>
      <c r="AP45" s="162">
        <f t="shared" si="10"/>
        <v>38.25437582537517</v>
      </c>
      <c r="AQ45" s="3"/>
      <c r="AR45" s="162">
        <f t="shared" si="21"/>
        <v>4.4496699582579673</v>
      </c>
      <c r="AS45" s="162"/>
      <c r="AT45" s="161">
        <f t="shared" si="3"/>
        <v>606.42687011870612</v>
      </c>
      <c r="AU45" s="3"/>
      <c r="AV45" s="161">
        <f t="shared" si="4"/>
        <v>5947.0935279661007</v>
      </c>
      <c r="AW45" s="299"/>
      <c r="AX45" s="163">
        <f t="shared" si="11"/>
        <v>6553.5203980848073</v>
      </c>
      <c r="AZ45" s="154">
        <f>+IF(AZ44&gt;$G$13+$G$14,XX,AZ44+1)</f>
        <v>2018</v>
      </c>
      <c r="BA45" s="124"/>
      <c r="BB45" s="162">
        <f t="shared" si="22"/>
        <v>65.313019305927142</v>
      </c>
      <c r="BC45" s="3"/>
      <c r="BD45" s="162">
        <f t="shared" si="23"/>
        <v>14.200386900786345</v>
      </c>
      <c r="BE45" s="3"/>
      <c r="BF45" s="161">
        <f t="shared" si="12"/>
        <v>1460.8434801769831</v>
      </c>
      <c r="BG45" s="3"/>
      <c r="BH45" s="165"/>
    </row>
    <row r="46" spans="2:60" ht="12">
      <c r="B46" s="2"/>
      <c r="C46" s="6">
        <f>+IF(C45&gt;$G$13+$G$14,XX,C45+1)</f>
        <v>2019</v>
      </c>
      <c r="D46" s="6"/>
      <c r="E46" s="292">
        <f t="shared" si="13"/>
        <v>2.5000000000000001E-2</v>
      </c>
      <c r="F46" s="6"/>
      <c r="G46" s="20">
        <f t="shared" si="14"/>
        <v>139263</v>
      </c>
      <c r="H46" s="6"/>
      <c r="I46" s="30">
        <f t="shared" si="15"/>
        <v>0</v>
      </c>
      <c r="J46" s="6"/>
      <c r="K46" s="30">
        <f t="shared" si="16"/>
        <v>55.336691304226711</v>
      </c>
      <c r="L46" s="6"/>
      <c r="M46" s="30">
        <f t="shared" si="17"/>
        <v>0</v>
      </c>
      <c r="N46" s="6"/>
      <c r="O46" s="295">
        <f>'(2.2)_Forward_Price_Curve'!U35</f>
        <v>6.8181318864393248</v>
      </c>
      <c r="P46" s="6"/>
      <c r="Q46" s="30"/>
      <c r="R46" s="6"/>
      <c r="S46" s="20">
        <f t="shared" si="6"/>
        <v>8655.8671420017236</v>
      </c>
      <c r="T46" s="6"/>
      <c r="U46" s="20">
        <f t="shared" si="7"/>
        <v>6703.8902135804328</v>
      </c>
      <c r="V46" s="6"/>
      <c r="W46" s="20">
        <f t="shared" si="1"/>
        <v>1951.9769284212907</v>
      </c>
      <c r="X46" s="6"/>
      <c r="Y46" s="296">
        <f t="shared" si="8"/>
        <v>14.016479096538857</v>
      </c>
      <c r="Z46" s="255"/>
      <c r="AB46" s="154">
        <f>+IF(AB45&gt;$G$13+$G$14,XX,AB45+1)</f>
        <v>2019</v>
      </c>
      <c r="AC46" s="124"/>
      <c r="AD46" s="159">
        <f t="shared" si="2"/>
        <v>139263</v>
      </c>
      <c r="AE46" s="3"/>
      <c r="AF46" s="162">
        <f t="shared" si="18"/>
        <v>77.936545084679551</v>
      </c>
      <c r="AG46" s="3"/>
      <c r="AH46" s="162">
        <f t="shared" si="19"/>
        <v>9.5638496468401453</v>
      </c>
      <c r="AI46" s="3"/>
      <c r="AJ46" s="162">
        <f t="shared" si="20"/>
        <v>2.2342057395482224</v>
      </c>
      <c r="AK46" s="3"/>
      <c r="AL46" s="161">
        <f t="shared" si="9"/>
        <v>2118.9521090530816</v>
      </c>
      <c r="AM46" s="3"/>
      <c r="AN46" s="162">
        <f>INDEX('(2.2)_Forward_Price_Curve'!$I:$I,MATCH($AB46,'(2.2)_Forward_Price_Curve'!$C:$C,0),1)</f>
        <v>5.46</v>
      </c>
      <c r="AO46" s="3"/>
      <c r="AP46" s="162">
        <f t="shared" si="10"/>
        <v>39.114024720327421</v>
      </c>
      <c r="AQ46" s="3"/>
      <c r="AR46" s="162">
        <f t="shared" si="21"/>
        <v>4.5609117072144159</v>
      </c>
      <c r="AS46" s="162"/>
      <c r="AT46" s="161">
        <f t="shared" si="3"/>
        <v>621.58754187167415</v>
      </c>
      <c r="AU46" s="3"/>
      <c r="AV46" s="161">
        <f t="shared" si="4"/>
        <v>6082.3026717087587</v>
      </c>
      <c r="AW46" s="299"/>
      <c r="AX46" s="163">
        <f t="shared" si="11"/>
        <v>6703.8902135804328</v>
      </c>
      <c r="AZ46" s="154">
        <f>+IF(AZ45&gt;$G$13+$G$14,XX,AZ45+1)</f>
        <v>2019</v>
      </c>
      <c r="BA46" s="124"/>
      <c r="BB46" s="162">
        <f t="shared" si="22"/>
        <v>66.945844788575315</v>
      </c>
      <c r="BC46" s="3"/>
      <c r="BD46" s="162">
        <f t="shared" si="23"/>
        <v>14.555396573306002</v>
      </c>
      <c r="BE46" s="3"/>
      <c r="BF46" s="161">
        <f t="shared" si="12"/>
        <v>1497.3645671814074</v>
      </c>
      <c r="BG46" s="3"/>
      <c r="BH46" s="165"/>
    </row>
    <row r="47" spans="2:60" ht="12">
      <c r="B47" s="2"/>
      <c r="C47" s="6">
        <f>+IF(C46&gt;$G$13+$G$14,XX,C46+1)</f>
        <v>2020</v>
      </c>
      <c r="D47" s="6"/>
      <c r="E47" s="292">
        <f t="shared" si="13"/>
        <v>2.5000000000000001E-2</v>
      </c>
      <c r="F47" s="6"/>
      <c r="G47" s="20">
        <f t="shared" si="14"/>
        <v>139263</v>
      </c>
      <c r="H47" s="6"/>
      <c r="I47" s="30">
        <f t="shared" si="15"/>
        <v>0</v>
      </c>
      <c r="J47" s="6"/>
      <c r="K47" s="30">
        <f t="shared" si="16"/>
        <v>56.720108586832374</v>
      </c>
      <c r="L47" s="6"/>
      <c r="M47" s="30">
        <f t="shared" si="17"/>
        <v>0</v>
      </c>
      <c r="N47" s="6"/>
      <c r="O47" s="295">
        <f>'(2.2)_Forward_Price_Curve'!U36</f>
        <v>6.9476763922816716</v>
      </c>
      <c r="P47" s="6"/>
      <c r="Q47" s="30"/>
      <c r="R47" s="6"/>
      <c r="S47" s="20">
        <f t="shared" si="6"/>
        <v>8866.5667395463588</v>
      </c>
      <c r="T47" s="6"/>
      <c r="U47" s="20">
        <f t="shared" si="7"/>
        <v>6865.0027827001504</v>
      </c>
      <c r="V47" s="6"/>
      <c r="W47" s="20">
        <f t="shared" si="1"/>
        <v>2001.5639568462084</v>
      </c>
      <c r="X47" s="6"/>
      <c r="Y47" s="296">
        <f t="shared" si="8"/>
        <v>14.372546597776928</v>
      </c>
      <c r="Z47" s="255"/>
      <c r="AB47" s="154">
        <f>+IF(AB46&gt;$G$13+$G$14,XX,AB46+1)</f>
        <v>2020</v>
      </c>
      <c r="AC47" s="124"/>
      <c r="AD47" s="159">
        <f t="shared" si="2"/>
        <v>139263</v>
      </c>
      <c r="AE47" s="3"/>
      <c r="AF47" s="162">
        <f t="shared" si="18"/>
        <v>79.884958711796529</v>
      </c>
      <c r="AG47" s="3"/>
      <c r="AH47" s="162">
        <f t="shared" si="19"/>
        <v>9.8029458880111484</v>
      </c>
      <c r="AI47" s="3"/>
      <c r="AJ47" s="162">
        <f t="shared" si="20"/>
        <v>2.290060883036928</v>
      </c>
      <c r="AK47" s="3"/>
      <c r="AL47" s="161">
        <f t="shared" si="9"/>
        <v>2171.925911779409</v>
      </c>
      <c r="AM47" s="3"/>
      <c r="AN47" s="162">
        <f>INDEX('(2.2)_Forward_Price_Curve'!$I:$I,MATCH($AB47,'(2.2)_Forward_Price_Curve'!$C:$C,0),1)</f>
        <v>5.59</v>
      </c>
      <c r="AO47" s="3"/>
      <c r="AP47" s="162">
        <f t="shared" si="10"/>
        <v>40.045311023192355</v>
      </c>
      <c r="AQ47" s="3"/>
      <c r="AR47" s="162">
        <f t="shared" si="21"/>
        <v>4.6749344998947757</v>
      </c>
      <c r="AS47" s="162"/>
      <c r="AT47" s="161">
        <f t="shared" si="3"/>
        <v>637.1272304184663</v>
      </c>
      <c r="AU47" s="3"/>
      <c r="AV47" s="161">
        <f t="shared" si="4"/>
        <v>6227.8755522816837</v>
      </c>
      <c r="AW47" s="299"/>
      <c r="AX47" s="163">
        <f t="shared" si="11"/>
        <v>6865.0027827001504</v>
      </c>
      <c r="AZ47" s="154">
        <f>+IF(AZ46&gt;$G$13+$G$14,XX,AZ46+1)</f>
        <v>2020</v>
      </c>
      <c r="BA47" s="124"/>
      <c r="BB47" s="162">
        <f t="shared" si="22"/>
        <v>68.619490908289691</v>
      </c>
      <c r="BC47" s="3"/>
      <c r="BD47" s="162">
        <f t="shared" si="23"/>
        <v>14.919281487638651</v>
      </c>
      <c r="BE47" s="3"/>
      <c r="BF47" s="161">
        <f t="shared" si="12"/>
        <v>1534.7986813609427</v>
      </c>
      <c r="BG47" s="3"/>
      <c r="BH47" s="165"/>
    </row>
    <row r="48" spans="2:60" ht="12">
      <c r="B48" s="2"/>
      <c r="C48" s="6">
        <f>+IF(C47&gt;$G$13+$G$14,XX,C47+1)</f>
        <v>2021</v>
      </c>
      <c r="D48" s="6"/>
      <c r="E48" s="292">
        <f t="shared" si="13"/>
        <v>2.5000000000000001E-2</v>
      </c>
      <c r="F48" s="6"/>
      <c r="G48" s="20">
        <f t="shared" si="14"/>
        <v>139263</v>
      </c>
      <c r="H48" s="6"/>
      <c r="I48" s="30">
        <f t="shared" si="15"/>
        <v>0</v>
      </c>
      <c r="J48" s="6"/>
      <c r="K48" s="30">
        <f t="shared" si="16"/>
        <v>58.13811130150318</v>
      </c>
      <c r="L48" s="6"/>
      <c r="M48" s="30">
        <f t="shared" si="17"/>
        <v>0</v>
      </c>
      <c r="N48" s="6"/>
      <c r="O48" s="295">
        <f>'(2.2)_Forward_Price_Curve'!U37</f>
        <v>7.0796822437350224</v>
      </c>
      <c r="P48" s="6"/>
      <c r="Q48" s="30"/>
      <c r="R48" s="6"/>
      <c r="S48" s="20">
        <f t="shared" si="6"/>
        <v>9082.4255824905085</v>
      </c>
      <c r="T48" s="6"/>
      <c r="U48" s="20">
        <f t="shared" si="7"/>
        <v>6986.9950615853832</v>
      </c>
      <c r="V48" s="6"/>
      <c r="W48" s="20">
        <f t="shared" si="1"/>
        <v>2095.4305209051254</v>
      </c>
      <c r="X48" s="6"/>
      <c r="Y48" s="296">
        <f t="shared" si="8"/>
        <v>15.046570308733299</v>
      </c>
      <c r="Z48" s="255"/>
      <c r="AB48" s="154">
        <f>+IF(AB47&gt;$G$13+$G$14,XX,AB47+1)</f>
        <v>2021</v>
      </c>
      <c r="AC48" s="124"/>
      <c r="AD48" s="159">
        <f t="shared" si="2"/>
        <v>139263</v>
      </c>
      <c r="AE48" s="3"/>
      <c r="AF48" s="162">
        <f t="shared" si="18"/>
        <v>81.882082679591434</v>
      </c>
      <c r="AG48" s="3"/>
      <c r="AH48" s="162">
        <f t="shared" si="19"/>
        <v>10.048019535211425</v>
      </c>
      <c r="AI48" s="3"/>
      <c r="AJ48" s="162">
        <f t="shared" si="20"/>
        <v>2.3473124051128509</v>
      </c>
      <c r="AK48" s="3"/>
      <c r="AL48" s="161">
        <f t="shared" si="9"/>
        <v>2226.2240595738936</v>
      </c>
      <c r="AM48" s="3"/>
      <c r="AN48" s="162">
        <f>INDEX('(2.2)_Forward_Price_Curve'!$I:$I,MATCH($AB48,'(2.2)_Forward_Price_Curve'!$C:$C,0),1)</f>
        <v>5.68</v>
      </c>
      <c r="AO48" s="3"/>
      <c r="AP48" s="162">
        <f t="shared" si="10"/>
        <v>40.690047694406545</v>
      </c>
      <c r="AQ48" s="3"/>
      <c r="AR48" s="162">
        <f t="shared" si="21"/>
        <v>4.7918078623921447</v>
      </c>
      <c r="AS48" s="162"/>
      <c r="AT48" s="161">
        <f t="shared" si="3"/>
        <v>653.05541117892744</v>
      </c>
      <c r="AU48" s="3"/>
      <c r="AV48" s="161">
        <f t="shared" si="4"/>
        <v>6333.9396504064562</v>
      </c>
      <c r="AW48" s="299"/>
      <c r="AX48" s="163">
        <f t="shared" si="11"/>
        <v>6986.9950615853832</v>
      </c>
      <c r="AZ48" s="154">
        <f>+IF(AZ47&gt;$G$13+$G$14,XX,AZ47+1)</f>
        <v>2021</v>
      </c>
      <c r="BA48" s="124"/>
      <c r="BB48" s="162">
        <f t="shared" si="22"/>
        <v>70.334978180996927</v>
      </c>
      <c r="BC48" s="3"/>
      <c r="BD48" s="162">
        <f t="shared" si="23"/>
        <v>15.292263524829616</v>
      </c>
      <c r="BE48" s="3"/>
      <c r="BF48" s="161">
        <f t="shared" si="12"/>
        <v>1573.1686483949661</v>
      </c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>
      <c r="B50" s="2"/>
      <c r="C50" s="6"/>
      <c r="D50" s="3"/>
      <c r="E50" s="178"/>
      <c r="F50" s="3"/>
      <c r="G50" s="290"/>
      <c r="H50" s="3"/>
      <c r="I50" s="290"/>
      <c r="J50" s="3"/>
      <c r="K50" s="290"/>
      <c r="L50" s="3"/>
      <c r="M50" s="290"/>
      <c r="N50" s="3"/>
      <c r="O50" s="290"/>
      <c r="P50" s="3"/>
      <c r="Q50" s="290"/>
      <c r="R50" s="3"/>
      <c r="S50" s="290"/>
      <c r="T50" s="3"/>
      <c r="U50" s="290"/>
      <c r="V50" s="3"/>
      <c r="W50" s="290"/>
      <c r="X50" s="3"/>
      <c r="Y50" s="300"/>
      <c r="Z50" s="255"/>
      <c r="AB50" s="2"/>
      <c r="AC50" s="3"/>
      <c r="AD50" s="3"/>
      <c r="AE50" s="3"/>
      <c r="AF50" s="301"/>
      <c r="AG50" s="3"/>
      <c r="AH50" s="301"/>
      <c r="AI50" s="3"/>
      <c r="AJ50" s="301"/>
      <c r="AK50" s="3"/>
      <c r="AL50" s="299"/>
      <c r="AM50" s="3"/>
      <c r="AN50" s="301"/>
      <c r="AO50" s="3"/>
      <c r="AP50" s="301"/>
      <c r="AQ50" s="3"/>
      <c r="AR50" s="301"/>
      <c r="AS50" s="301"/>
      <c r="AT50" s="301"/>
      <c r="AU50" s="3"/>
      <c r="AV50" s="299"/>
      <c r="AW50" s="299"/>
      <c r="AX50" s="302"/>
      <c r="AZ50" s="2"/>
      <c r="BA50" s="3"/>
      <c r="BB50" s="301"/>
      <c r="BC50" s="3"/>
      <c r="BD50" s="3"/>
      <c r="BE50" s="3"/>
      <c r="BF50" s="299"/>
      <c r="BG50" s="3"/>
      <c r="BH50" s="255"/>
    </row>
    <row r="51" spans="2:60">
      <c r="B51" s="2"/>
      <c r="C51" s="6"/>
      <c r="D51" s="3"/>
      <c r="E51" s="178"/>
      <c r="F51" s="3"/>
      <c r="G51" s="290"/>
      <c r="H51" s="3"/>
      <c r="I51" s="290"/>
      <c r="J51" s="3"/>
      <c r="K51" s="290"/>
      <c r="L51" s="3"/>
      <c r="M51" s="290"/>
      <c r="N51" s="3"/>
      <c r="O51" s="290"/>
      <c r="P51" s="3"/>
      <c r="Q51" s="290"/>
      <c r="R51" s="3"/>
      <c r="S51" s="290"/>
      <c r="T51" s="3"/>
      <c r="U51" s="290"/>
      <c r="V51" s="3"/>
      <c r="W51" s="290"/>
      <c r="X51" s="3"/>
      <c r="Y51" s="300"/>
      <c r="Z51" s="255"/>
      <c r="AB51" s="2"/>
      <c r="AC51" s="3"/>
      <c r="AD51" s="3"/>
      <c r="AE51" s="3"/>
      <c r="AF51" s="301"/>
      <c r="AG51" s="3"/>
      <c r="AH51" s="301"/>
      <c r="AI51" s="3"/>
      <c r="AJ51" s="301"/>
      <c r="AK51" s="3"/>
      <c r="AL51" s="299"/>
      <c r="AM51" s="3"/>
      <c r="AN51" s="301"/>
      <c r="AO51" s="3"/>
      <c r="AP51" s="301"/>
      <c r="AQ51" s="3"/>
      <c r="AR51" s="301"/>
      <c r="AS51" s="301"/>
      <c r="AT51" s="301"/>
      <c r="AU51" s="3"/>
      <c r="AV51" s="299"/>
      <c r="AW51" s="299"/>
      <c r="AX51" s="302"/>
      <c r="AZ51" s="2"/>
      <c r="BA51" s="3"/>
      <c r="BB51" s="301"/>
      <c r="BC51" s="3"/>
      <c r="BD51" s="3"/>
      <c r="BE51" s="3"/>
      <c r="BF51" s="299"/>
      <c r="BG51" s="3"/>
      <c r="BH51" s="255"/>
    </row>
    <row r="52" spans="2:60" ht="12">
      <c r="B52" s="2"/>
      <c r="C52" s="303" t="str">
        <f>G14&amp;"-year Nominal Levelized at "&amp;TEXT($G$18,"#.00%")</f>
        <v>19-year Nominal Levelized at 7.82%</v>
      </c>
      <c r="E52" s="178"/>
      <c r="F52" s="3"/>
      <c r="G52" s="317">
        <f>+-PMT($G$18,$G$14,NPV($G$18,G28:G48))</f>
        <v>145383.09612426531</v>
      </c>
      <c r="H52" s="6"/>
      <c r="I52" s="30">
        <f>+-PMT($G$18,$G$14,NPV($G$18,I28:I48))</f>
        <v>0</v>
      </c>
      <c r="J52" s="30"/>
      <c r="K52" s="30">
        <f>+-PMT($G$18,$G$14,NPV($G$18,K28:K48))</f>
        <v>44.860815298555671</v>
      </c>
      <c r="L52" s="6"/>
      <c r="M52" s="30">
        <f>+-PMT($G$18,$G$14,NPV($G$18,M28:M48))</f>
        <v>0</v>
      </c>
      <c r="N52" s="6"/>
      <c r="O52" s="30">
        <f>+-PMT($G$18,$G$14,NPV($G$18,O28:O48))</f>
        <v>5.7793048886418132</v>
      </c>
      <c r="P52" s="6"/>
      <c r="Q52" s="30">
        <f>+-PMT($G$18,$G$14,NPV($G$18,Q28:Q48))</f>
        <v>0</v>
      </c>
      <c r="R52" s="6"/>
      <c r="S52" s="317">
        <f>+-PMT($G$18,$G$14,NPV($G$18,S28:S48))</f>
        <v>7052.2950576296835</v>
      </c>
      <c r="T52" s="6"/>
      <c r="U52" s="20">
        <f>+-PMT($G$18,$G$14,NPV($G$18,U28:U48))</f>
        <v>5419.8604861047306</v>
      </c>
      <c r="V52" s="3"/>
      <c r="W52" s="20">
        <f>+-PMT($G$18,$G$14,NPV($G$18,W28:W48))</f>
        <v>1632.4345715249522</v>
      </c>
      <c r="X52" s="3"/>
      <c r="Y52" s="296">
        <f>+-PMT($G$18,$G$14,NPV($G$18,Y28:Y48))</f>
        <v>11.721954657913106</v>
      </c>
      <c r="Z52" s="255"/>
      <c r="AB52" s="2"/>
      <c r="AC52" s="3"/>
      <c r="AD52" s="159">
        <f>+-PMT($G$18,$G$14,NPV($G$18,AD28:AD48))</f>
        <v>145383.09612426531</v>
      </c>
      <c r="AE52" s="3"/>
      <c r="AF52" s="162">
        <f>+-PMT($G$18,$G$14,NPV($G$18,AF28:AF48))</f>
        <v>63.182255238746293</v>
      </c>
      <c r="AG52" s="3"/>
      <c r="AH52" s="162">
        <f>+-PMT($G$18,$G$14,NPV($G$18,AH28:AH48))</f>
        <v>7.7533022383158237</v>
      </c>
      <c r="AI52" s="3"/>
      <c r="AJ52" s="162">
        <f>+-PMT($G$18,$G$14,NPV($G$18,AJ28:AJ48))</f>
        <v>1.8112447394047611</v>
      </c>
      <c r="AK52" s="3"/>
      <c r="AL52" s="161">
        <f>+-PMT($G$18,$G$14,NPV($G$18,AL28:AL48))</f>
        <v>1717.8099548473472</v>
      </c>
      <c r="AM52" s="3"/>
      <c r="AN52" s="162">
        <f>+-PMT($G$18,$G$14,NPV($G$18,AN28:AN48))</f>
        <v>4.4114178835917333</v>
      </c>
      <c r="AO52" s="3"/>
      <c r="AP52" s="162">
        <f>+-PMT($G$18,$G$14,NPV($G$18,AP28:AP48))</f>
        <v>31.602254240018592</v>
      </c>
      <c r="AQ52" s="3"/>
      <c r="AR52" s="162">
        <f>+-PMT($G$18,$G$14,NPV($G$18,AR28:AR48))</f>
        <v>3.6974783433562086</v>
      </c>
      <c r="AS52" s="162"/>
      <c r="AT52" s="161">
        <f>+-PMT($G$18,$G$14,NPV($G$18,AT28:AT48))</f>
        <v>503.91382734620595</v>
      </c>
      <c r="AU52" s="3"/>
      <c r="AV52" s="161">
        <f>+-PMT($G$18,$G$14,NPV($G$18,AV28:AV48))</f>
        <v>4915.9466587585248</v>
      </c>
      <c r="AW52" s="299"/>
      <c r="AX52" s="163">
        <f>+-PMT($G$18,$G$14,NPV($G$18,AX28:AX48))</f>
        <v>5419.8604861047306</v>
      </c>
      <c r="AZ52" s="2"/>
      <c r="BA52" s="3"/>
      <c r="BB52" s="162">
        <f>+-PMT($G$18,$G$14,NPV($G$18,BB28:BB48))</f>
        <v>54.272221690216227</v>
      </c>
      <c r="BC52" s="3"/>
      <c r="BD52" s="162">
        <f>+-PMT($G$18,$G$14,NPV($G$18,BD28:BD48))</f>
        <v>11.799891570720559</v>
      </c>
      <c r="BE52" s="3"/>
      <c r="BF52" s="161">
        <f>+-PMT($G$18,$G$14,NPV($G$18,BF28:BF48))</f>
        <v>1213.8961275011409</v>
      </c>
      <c r="BG52" s="3"/>
      <c r="BH52" s="165"/>
    </row>
    <row r="53" spans="2:60">
      <c r="B53" s="2"/>
      <c r="C53" s="3"/>
      <c r="D53" s="3"/>
      <c r="E53" s="17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04"/>
      <c r="X53" s="3"/>
      <c r="Y53" s="305"/>
      <c r="Z53" s="255"/>
      <c r="AB53" s="2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299"/>
      <c r="AU53" s="3"/>
      <c r="AV53" s="3"/>
      <c r="AW53" s="3"/>
      <c r="AX53" s="255"/>
      <c r="AZ53" s="2"/>
      <c r="BA53" s="3"/>
      <c r="BB53" s="3"/>
      <c r="BC53" s="3"/>
      <c r="BD53" s="3"/>
      <c r="BE53" s="3"/>
      <c r="BF53" s="3"/>
      <c r="BG53" s="3"/>
      <c r="BH53" s="255"/>
    </row>
    <row r="54" spans="2:60">
      <c r="B54" s="258"/>
      <c r="C54" s="306"/>
      <c r="D54" s="306"/>
      <c r="E54" s="307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259"/>
      <c r="AB54" s="258"/>
      <c r="AC54" s="306"/>
      <c r="AD54" s="306"/>
      <c r="AE54" s="306"/>
      <c r="AF54" s="306"/>
      <c r="AG54" s="306"/>
      <c r="AH54" s="306"/>
      <c r="AI54" s="306"/>
      <c r="AJ54" s="306"/>
      <c r="AK54" s="306"/>
      <c r="AL54" s="306"/>
      <c r="AM54" s="306"/>
      <c r="AN54" s="306"/>
      <c r="AO54" s="306"/>
      <c r="AP54" s="306"/>
      <c r="AQ54" s="306"/>
      <c r="AR54" s="306"/>
      <c r="AS54" s="306"/>
      <c r="AT54" s="306"/>
      <c r="AU54" s="306"/>
      <c r="AV54" s="306"/>
      <c r="AW54" s="306"/>
      <c r="AX54" s="259"/>
      <c r="AZ54" s="258"/>
      <c r="BA54" s="306"/>
      <c r="BB54" s="306"/>
      <c r="BC54" s="306"/>
      <c r="BD54" s="306"/>
      <c r="BE54" s="306"/>
      <c r="BF54" s="306"/>
      <c r="BG54" s="306"/>
      <c r="BH54" s="259"/>
    </row>
    <row r="55" spans="2:60">
      <c r="E55" s="308"/>
    </row>
    <row r="56" spans="2:60">
      <c r="E56" s="308"/>
      <c r="G56" s="309"/>
      <c r="I56" s="309"/>
      <c r="K56" s="309"/>
      <c r="O56" s="309"/>
      <c r="Q56" s="309"/>
      <c r="S56" s="309"/>
      <c r="U56" s="309"/>
      <c r="W56" s="309"/>
    </row>
    <row r="57" spans="2:60">
      <c r="E57" s="308"/>
    </row>
    <row r="58" spans="2:60">
      <c r="E58" s="308"/>
    </row>
    <row r="59" spans="2:60">
      <c r="E59" s="308"/>
    </row>
    <row r="60" spans="2:60">
      <c r="E60" s="308"/>
    </row>
    <row r="61" spans="2:60">
      <c r="E61" s="308"/>
    </row>
    <row r="62" spans="2:60">
      <c r="E62" s="308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</sheetData>
  <pageMargins left="0.25" right="0.25" top="0.25" bottom="0.75" header="0.3" footer="0.3"/>
  <pageSetup paperSize="5" scale="46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1784D-A74D-4FD9-AD38-925C85D38085}">
  <sheetPr>
    <tabColor theme="4" tint="0.59999389629810485"/>
    <pageSetUpPr fitToPage="1"/>
  </sheetPr>
  <dimension ref="A1:BL81"/>
  <sheetViews>
    <sheetView topLeftCell="A57" zoomScale="80" zoomScaleNormal="80" workbookViewId="0">
      <selection activeCell="G64" sqref="G64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8.5" customWidth="1"/>
    <col min="9" max="9" width="13.5" customWidth="1"/>
    <col min="10" max="10" width="12.16406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289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744">
        <v>99</v>
      </c>
      <c r="H11" s="510"/>
      <c r="I11" s="621">
        <v>99</v>
      </c>
      <c r="AB11" s="511" t="s">
        <v>99</v>
      </c>
      <c r="AC11" s="512"/>
      <c r="AD11" s="512"/>
      <c r="AE11" s="512"/>
      <c r="AF11" s="518">
        <f>+G11*(G12/AJ16)</f>
        <v>69.596421930769054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52.546068959882639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69.596421930769054</v>
      </c>
      <c r="BE11" s="519"/>
      <c r="BG11" s="586" t="s">
        <v>99</v>
      </c>
      <c r="BH11" s="587"/>
      <c r="BI11" s="587"/>
      <c r="BJ11" s="587"/>
      <c r="BK11" s="591">
        <f>(AR11*AR13-I11*I19)</f>
        <v>36.904068959882636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0.34229509708961764</v>
      </c>
      <c r="H12" s="510"/>
      <c r="I12" s="593">
        <v>0.37305359531386917</v>
      </c>
      <c r="AB12" s="511" t="s">
        <v>32</v>
      </c>
      <c r="AC12" s="512"/>
      <c r="AD12" s="512"/>
      <c r="AE12" s="512"/>
      <c r="AF12" s="520">
        <f>+AD53/8760/AF11</f>
        <v>0.53066386046126635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0.66976494691360178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755">
        <v>2078.2812525252525</v>
      </c>
      <c r="H15" s="510"/>
      <c r="I15" s="428">
        <v>1249.3411200184939</v>
      </c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7.28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s="767" t="s">
        <v>113</v>
      </c>
      <c r="H20" s="491"/>
    </row>
    <row r="21" spans="1:64" ht="12">
      <c r="C21" s="491" t="s">
        <v>375</v>
      </c>
      <c r="G21" s="549">
        <v>8.0299999999999996E-2</v>
      </c>
      <c r="I21" s="604">
        <v>6.5552320875686798E-2</v>
      </c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P27" s="143"/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309">
        <v>296852</v>
      </c>
      <c r="I28" s="753">
        <f>$G$15*G21</f>
        <v>166.88598457777778</v>
      </c>
      <c r="J28" s="143"/>
      <c r="K28" s="753">
        <f>$G$16</f>
        <v>7.28</v>
      </c>
      <c r="L28" s="756"/>
      <c r="M28" s="753">
        <f>$G$17</f>
        <v>0</v>
      </c>
      <c r="N28" s="143"/>
      <c r="O28" s="745">
        <v>5.1866999999999992</v>
      </c>
      <c r="P28" s="143"/>
      <c r="Q28" s="553">
        <f>-'(2.2)_Forward_Price_Curve'!AG18</f>
        <v>-33.844219890731516</v>
      </c>
      <c r="S28" s="475">
        <f t="shared" ref="S28:S68" si="0">(I28*$G$11*1000+(K28+M28+O28+Q28)*G28)/1000</f>
        <v>10175.752938596568</v>
      </c>
      <c r="U28" s="475">
        <f t="shared" ref="U28:U68" si="1">AX28</f>
        <v>19640.850140320061</v>
      </c>
      <c r="W28" s="475">
        <f t="shared" ref="W28:W68" si="2">S28-U28</f>
        <v>-9465.0972017234926</v>
      </c>
      <c r="Y28" s="554">
        <f t="shared" ref="Y28:Y68" si="3">+W28*1000/G28</f>
        <v>-31.884902920389592</v>
      </c>
      <c r="Z28" s="516"/>
      <c r="AB28" s="544">
        <f>$C$28</f>
        <v>2009</v>
      </c>
      <c r="AC28" s="503"/>
      <c r="AD28" s="488">
        <f t="shared" ref="AD28:AD68" si="4">G28</f>
        <v>296852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5302.9351950836599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2160.6060976027411</v>
      </c>
      <c r="AU28" s="557"/>
      <c r="AV28" s="558">
        <f t="shared" ref="AV28:AV68" si="7">(AP28+AR28)*AD28/1000</f>
        <v>17480.244042717321</v>
      </c>
      <c r="AW28" s="560"/>
      <c r="AX28" s="561">
        <f t="shared" ref="AX28:AX68" si="8">AT28+AV28</f>
        <v>19640.850140320061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3142.3290974809188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309">
        <v>296852</v>
      </c>
      <c r="I29" s="754">
        <f t="shared" ref="I29:K37" si="10">I28*(1+$E29)</f>
        <v>170.05681828475554</v>
      </c>
      <c r="J29" s="143"/>
      <c r="K29" s="754">
        <f t="shared" si="10"/>
        <v>7.4183199999999996</v>
      </c>
      <c r="L29" s="143"/>
      <c r="M29" s="754">
        <f t="shared" ref="M29:M68" si="11">M28*(1+$E29)</f>
        <v>0</v>
      </c>
      <c r="N29" s="143"/>
      <c r="O29" s="745">
        <v>5.2748738999999985</v>
      </c>
      <c r="P29" s="143"/>
      <c r="Q29" s="553">
        <f>-'(2.2)_Forward_Price_Curve'!AG19</f>
        <v>-35.45584940933778</v>
      </c>
      <c r="S29" s="475">
        <f t="shared" si="0"/>
        <v>10078.485196932856</v>
      </c>
      <c r="U29" s="475">
        <f t="shared" si="1"/>
        <v>19051.769695083272</v>
      </c>
      <c r="W29" s="475">
        <f t="shared" si="2"/>
        <v>-8973.2844981504168</v>
      </c>
      <c r="Y29" s="554">
        <f t="shared" si="3"/>
        <v>-30.22814230037331</v>
      </c>
      <c r="Z29" s="516"/>
      <c r="AB29" s="544">
        <f>+IF(AB28&gt;$G$13+$G$14,XX,AB28+1)</f>
        <v>2010</v>
      </c>
      <c r="AC29" s="503"/>
      <c r="AD29" s="488">
        <f t="shared" si="4"/>
        <v>296852</v>
      </c>
      <c r="AF29" s="555">
        <f t="shared" ref="AF29:AF37" si="12">AF28*(1+$E29)</f>
        <v>59.268516989789418</v>
      </c>
      <c r="AH29" s="555">
        <f t="shared" ref="AH29:AH37" si="13">AH28*(1+$E29)</f>
        <v>8.3559056765968087</v>
      </c>
      <c r="AJ29" s="555">
        <f t="shared" ref="AJ29:AJ37" si="14">AJ28*(1+$E29)</f>
        <v>2.3488914040524227</v>
      </c>
      <c r="AL29" s="558">
        <f t="shared" ref="AL29:AL66" si="15">((AF29+AH29)*$AF$11*1000+AJ29*AD29)/1000</f>
        <v>5403.6909637902481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2201.6576134571924</v>
      </c>
      <c r="AV29" s="558">
        <f t="shared" si="7"/>
        <v>16850.112081626081</v>
      </c>
      <c r="AW29" s="560"/>
      <c r="AX29" s="561">
        <f t="shared" si="8"/>
        <v>19051.769695083272</v>
      </c>
      <c r="AZ29" s="544">
        <f>+IF(AZ28&gt;$G$13+$G$14,XX,AZ28+1)</f>
        <v>2010</v>
      </c>
      <c r="BA29" s="503"/>
      <c r="BB29" s="555">
        <f t="shared" ref="BB29:BB68" si="16">BB28*(1+$E29)</f>
        <v>39.936516017693386</v>
      </c>
      <c r="BD29" s="555">
        <f t="shared" ref="BD29:BD68" si="17">BD28*(1+$E29)</f>
        <v>6.0720755377499982</v>
      </c>
      <c r="BF29" s="558">
        <f t="shared" si="9"/>
        <v>3202.0333503330558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309">
        <v>296852</v>
      </c>
      <c r="I30" s="754">
        <f t="shared" si="10"/>
        <v>173.28789783216587</v>
      </c>
      <c r="J30" s="143"/>
      <c r="K30" s="754">
        <f t="shared" si="10"/>
        <v>7.5592680799999989</v>
      </c>
      <c r="L30" s="143"/>
      <c r="M30" s="754">
        <f t="shared" si="11"/>
        <v>0</v>
      </c>
      <c r="N30" s="143"/>
      <c r="O30" s="745">
        <v>5.3750965040999983</v>
      </c>
      <c r="P30" s="143"/>
      <c r="Q30" s="553">
        <f>-'(2.2)_Forward_Price_Curve'!AG20</f>
        <v>-35.45584940933778</v>
      </c>
      <c r="S30" s="475">
        <f t="shared" si="0"/>
        <v>10469.95407204293</v>
      </c>
      <c r="U30" s="475">
        <f t="shared" si="1"/>
        <v>18254.674489679302</v>
      </c>
      <c r="W30" s="475">
        <f t="shared" si="2"/>
        <v>-7784.7204176363721</v>
      </c>
      <c r="Y30" s="554">
        <f t="shared" si="3"/>
        <v>-26.224247832712503</v>
      </c>
      <c r="Z30" s="516"/>
      <c r="AB30" s="544">
        <f>+IF(AB29&gt;$G$13+$G$14,XX,AB29+1)</f>
        <v>2011</v>
      </c>
      <c r="AC30" s="503"/>
      <c r="AD30" s="488">
        <f t="shared" si="4"/>
        <v>296852</v>
      </c>
      <c r="AF30" s="555">
        <f t="shared" si="12"/>
        <v>60.394618812595411</v>
      </c>
      <c r="AH30" s="555">
        <f t="shared" si="13"/>
        <v>8.5146678844521482</v>
      </c>
      <c r="AJ30" s="555">
        <f t="shared" si="14"/>
        <v>2.3935203407294185</v>
      </c>
      <c r="AL30" s="558">
        <f t="shared" si="15"/>
        <v>5506.3610921022628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68" si="18">AR29*(1+$E30)</f>
        <v>2.4775859496653472</v>
      </c>
      <c r="AS30" s="555"/>
      <c r="AT30" s="558">
        <f t="shared" si="6"/>
        <v>2243.489108112879</v>
      </c>
      <c r="AV30" s="558">
        <f t="shared" si="7"/>
        <v>16011.185381566425</v>
      </c>
      <c r="AW30" s="560"/>
      <c r="AX30" s="561">
        <f t="shared" si="8"/>
        <v>18254.674489679302</v>
      </c>
      <c r="AZ30" s="544">
        <f>+IF(AZ29&gt;$G$13+$G$14,XX,AZ29+1)</f>
        <v>2011</v>
      </c>
      <c r="BA30" s="503"/>
      <c r="BB30" s="555">
        <f t="shared" si="16"/>
        <v>40.695309822029557</v>
      </c>
      <c r="BD30" s="555">
        <f t="shared" si="17"/>
        <v>6.1874449729672474</v>
      </c>
      <c r="BF30" s="558">
        <f t="shared" si="9"/>
        <v>3262.8719839893838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309">
        <v>296852</v>
      </c>
      <c r="I31" s="754">
        <f t="shared" si="10"/>
        <v>176.7536557888092</v>
      </c>
      <c r="J31" s="143"/>
      <c r="K31" s="754">
        <f t="shared" si="10"/>
        <v>7.7104534415999995</v>
      </c>
      <c r="L31" s="143"/>
      <c r="M31" s="754">
        <f t="shared" si="11"/>
        <v>0</v>
      </c>
      <c r="N31" s="143"/>
      <c r="O31" s="745">
        <v>5.4772233376778976</v>
      </c>
      <c r="P31" s="143"/>
      <c r="Q31" s="553">
        <f>-'(2.2)_Forward_Price_Curve'!AG21</f>
        <v>-35.45584940933778</v>
      </c>
      <c r="S31" s="475">
        <f t="shared" si="0"/>
        <v>10888.260341513575</v>
      </c>
      <c r="U31" s="475">
        <f t="shared" si="1"/>
        <v>17495.323037474711</v>
      </c>
      <c r="W31" s="475">
        <f t="shared" si="2"/>
        <v>-6607.0626959611363</v>
      </c>
      <c r="Y31" s="554">
        <f t="shared" si="3"/>
        <v>-22.257093420159325</v>
      </c>
      <c r="Z31" s="516"/>
      <c r="AB31" s="544">
        <f>+IF(AB30&gt;$G$13+$G$14,XX,AB30+1)</f>
        <v>2012</v>
      </c>
      <c r="AC31" s="503"/>
      <c r="AD31" s="488">
        <f t="shared" si="4"/>
        <v>296852</v>
      </c>
      <c r="AF31" s="555">
        <f t="shared" si="12"/>
        <v>61.602511188847323</v>
      </c>
      <c r="AH31" s="555">
        <f t="shared" si="13"/>
        <v>8.6849612421411919</v>
      </c>
      <c r="AJ31" s="555">
        <f t="shared" si="14"/>
        <v>2.4413907475440069</v>
      </c>
      <c r="AL31" s="558">
        <f t="shared" si="15"/>
        <v>5616.4883139443082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8"/>
        <v>2.527137668658654</v>
      </c>
      <c r="AS31" s="555"/>
      <c r="AT31" s="558">
        <f t="shared" si="6"/>
        <v>2288.3588902751367</v>
      </c>
      <c r="AV31" s="558">
        <f t="shared" si="7"/>
        <v>15206.964147199573</v>
      </c>
      <c r="AW31" s="560"/>
      <c r="AX31" s="561">
        <f t="shared" si="8"/>
        <v>17495.323037474711</v>
      </c>
      <c r="AZ31" s="544">
        <f>+IF(AZ30&gt;$G$13+$G$14,XX,AZ30+1)</f>
        <v>2012</v>
      </c>
      <c r="BA31" s="503"/>
      <c r="BB31" s="555">
        <f t="shared" si="16"/>
        <v>41.509216018470148</v>
      </c>
      <c r="BD31" s="555">
        <f t="shared" si="17"/>
        <v>6.3111938724265926</v>
      </c>
      <c r="BF31" s="558">
        <f t="shared" si="9"/>
        <v>3328.1294236691715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309">
        <v>296852</v>
      </c>
      <c r="I32" s="754">
        <f t="shared" si="10"/>
        <v>180.11197524879657</v>
      </c>
      <c r="J32" s="143"/>
      <c r="K32" s="754">
        <f t="shared" si="10"/>
        <v>7.8569520569903988</v>
      </c>
      <c r="L32" s="143"/>
      <c r="M32" s="754">
        <f t="shared" si="11"/>
        <v>0</v>
      </c>
      <c r="N32" s="143"/>
      <c r="O32" s="745">
        <v>5.5867678044314557</v>
      </c>
      <c r="P32" s="143"/>
      <c r="Q32" s="553">
        <f>-'(2.2)_Forward_Price_Curve'!AG22</f>
        <v>-37.067478927944045</v>
      </c>
      <c r="S32" s="475">
        <f t="shared" si="0"/>
        <v>10818.325423215616</v>
      </c>
      <c r="U32" s="475">
        <f t="shared" si="1"/>
        <v>17546.638462497125</v>
      </c>
      <c r="W32" s="475">
        <f t="shared" si="2"/>
        <v>-6728.3130392815092</v>
      </c>
      <c r="Y32" s="554">
        <f t="shared" si="3"/>
        <v>-22.665547273663336</v>
      </c>
      <c r="Z32" s="516"/>
      <c r="AB32" s="544">
        <f>+IF(AB31&gt;$G$13+$G$14,XX,AB31+1)</f>
        <v>2013</v>
      </c>
      <c r="AC32" s="503"/>
      <c r="AD32" s="488">
        <f t="shared" si="4"/>
        <v>296852</v>
      </c>
      <c r="AF32" s="555">
        <f t="shared" si="12"/>
        <v>62.772958901435416</v>
      </c>
      <c r="AH32" s="555">
        <f t="shared" si="13"/>
        <v>8.8499755057418739</v>
      </c>
      <c r="AJ32" s="555">
        <f t="shared" si="14"/>
        <v>2.4877771717473429</v>
      </c>
      <c r="AL32" s="558">
        <f t="shared" si="15"/>
        <v>5723.2015919092491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8"/>
        <v>2.5751532843631684</v>
      </c>
      <c r="AS32" s="555"/>
      <c r="AT32" s="558">
        <f t="shared" si="6"/>
        <v>2331.837709190364</v>
      </c>
      <c r="AV32" s="558">
        <f t="shared" si="7"/>
        <v>15214.800753306759</v>
      </c>
      <c r="AW32" s="560"/>
      <c r="AX32" s="561">
        <f t="shared" si="8"/>
        <v>17546.638462497125</v>
      </c>
      <c r="AZ32" s="544">
        <f>+IF(AZ31&gt;$G$13+$G$14,XX,AZ31+1)</f>
        <v>2013</v>
      </c>
      <c r="BA32" s="503"/>
      <c r="BB32" s="555">
        <f t="shared" si="16"/>
        <v>42.297891122821078</v>
      </c>
      <c r="BD32" s="555">
        <f t="shared" si="17"/>
        <v>6.431106556002697</v>
      </c>
      <c r="BF32" s="558">
        <f t="shared" si="9"/>
        <v>3391.3638827188852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309">
        <v>296852</v>
      </c>
      <c r="I33" s="754">
        <f t="shared" si="10"/>
        <v>183.35399080327491</v>
      </c>
      <c r="J33" s="143"/>
      <c r="K33" s="754">
        <f t="shared" si="10"/>
        <v>7.9983771940162258</v>
      </c>
      <c r="L33" s="143"/>
      <c r="M33" s="754">
        <f t="shared" si="11"/>
        <v>0</v>
      </c>
      <c r="N33" s="143"/>
      <c r="O33" s="745">
        <v>5.6929163927156532</v>
      </c>
      <c r="P33" s="143"/>
      <c r="Q33" s="553">
        <f>-'(2.2)_Forward_Price_Curve'!AG23</f>
        <v>-37.067478927944045</v>
      </c>
      <c r="S33" s="475">
        <f t="shared" si="0"/>
        <v>11212.777718614705</v>
      </c>
      <c r="U33" s="475">
        <f t="shared" si="1"/>
        <v>18065.063122443917</v>
      </c>
      <c r="W33" s="475">
        <f t="shared" si="2"/>
        <v>-6852.2854038292116</v>
      </c>
      <c r="Y33" s="554">
        <f t="shared" si="3"/>
        <v>-23.08317075117975</v>
      </c>
      <c r="Z33" s="516"/>
      <c r="AB33" s="544">
        <f>+IF(AB32&gt;$G$13+$G$14,XX,AB32+1)</f>
        <v>2014</v>
      </c>
      <c r="AC33" s="503"/>
      <c r="AD33" s="488">
        <f t="shared" si="4"/>
        <v>296852</v>
      </c>
      <c r="AF33" s="555">
        <f t="shared" si="12"/>
        <v>63.902872161661257</v>
      </c>
      <c r="AH33" s="555">
        <f t="shared" si="13"/>
        <v>9.0092750648452284</v>
      </c>
      <c r="AJ33" s="555">
        <f t="shared" si="14"/>
        <v>2.5325571608387953</v>
      </c>
      <c r="AL33" s="558">
        <f t="shared" si="15"/>
        <v>5826.2192205636165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8"/>
        <v>2.6215060434817055</v>
      </c>
      <c r="AS33" s="555"/>
      <c r="AT33" s="558">
        <f t="shared" si="6"/>
        <v>2373.8107879557915</v>
      </c>
      <c r="AV33" s="558">
        <f t="shared" si="7"/>
        <v>15691.252334488125</v>
      </c>
      <c r="AW33" s="560"/>
      <c r="AX33" s="561">
        <f t="shared" si="8"/>
        <v>18065.063122443917</v>
      </c>
      <c r="AZ33" s="544">
        <f>+IF(AZ32&gt;$G$13+$G$14,XX,AZ32+1)</f>
        <v>2014</v>
      </c>
      <c r="BA33" s="503"/>
      <c r="BB33" s="555">
        <f t="shared" si="16"/>
        <v>43.059253163031855</v>
      </c>
      <c r="BD33" s="555">
        <f t="shared" si="17"/>
        <v>6.5468664740107458</v>
      </c>
      <c r="BF33" s="558">
        <f t="shared" si="9"/>
        <v>3452.408432607825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309">
        <v>296852</v>
      </c>
      <c r="I34" s="754">
        <f t="shared" si="10"/>
        <v>186.65436263773387</v>
      </c>
      <c r="J34" s="143"/>
      <c r="K34" s="754">
        <f t="shared" si="10"/>
        <v>8.1423479835085182</v>
      </c>
      <c r="L34" s="143"/>
      <c r="M34" s="754">
        <f t="shared" si="11"/>
        <v>0</v>
      </c>
      <c r="N34" s="143"/>
      <c r="O34" s="745">
        <v>5.7953888877845348</v>
      </c>
      <c r="P34" s="143"/>
      <c r="Q34" s="553">
        <f>-'(2.2)_Forward_Price_Curve'!AG24</f>
        <v>-37.067478927944045</v>
      </c>
      <c r="S34" s="475">
        <f t="shared" si="0"/>
        <v>11612.671712134692</v>
      </c>
      <c r="U34" s="475">
        <f t="shared" si="1"/>
        <v>18989.733177757698</v>
      </c>
      <c r="W34" s="475">
        <f t="shared" si="2"/>
        <v>-7377.0614656230064</v>
      </c>
      <c r="Y34" s="554">
        <f t="shared" si="3"/>
        <v>-24.850974443908097</v>
      </c>
      <c r="Z34" s="516"/>
      <c r="AB34" s="544">
        <f>+IF(AB33&gt;$G$13+$G$14,XX,AB33+1)</f>
        <v>2015</v>
      </c>
      <c r="AC34" s="503"/>
      <c r="AD34" s="488">
        <f t="shared" si="4"/>
        <v>296852</v>
      </c>
      <c r="AF34" s="555">
        <f t="shared" si="12"/>
        <v>65.053123860571162</v>
      </c>
      <c r="AH34" s="555">
        <f t="shared" si="13"/>
        <v>9.1714420160124419</v>
      </c>
      <c r="AJ34" s="555">
        <f t="shared" si="14"/>
        <v>2.5781431897338938</v>
      </c>
      <c r="AL34" s="558">
        <f t="shared" si="15"/>
        <v>5931.0911665337608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8"/>
        <v>2.6686931522643764</v>
      </c>
      <c r="AS34" s="555"/>
      <c r="AT34" s="558">
        <f t="shared" si="6"/>
        <v>2416.5393821389948</v>
      </c>
      <c r="AV34" s="558">
        <f t="shared" si="7"/>
        <v>16573.193795618703</v>
      </c>
      <c r="AW34" s="560"/>
      <c r="AX34" s="561">
        <f t="shared" si="8"/>
        <v>18989.733177757698</v>
      </c>
      <c r="AZ34" s="544">
        <f>+IF(AZ33&gt;$G$13+$G$14,XX,AZ33+1)</f>
        <v>2015</v>
      </c>
      <c r="BA34" s="503"/>
      <c r="BB34" s="555">
        <f t="shared" si="16"/>
        <v>43.83431971996643</v>
      </c>
      <c r="BD34" s="555">
        <f t="shared" si="17"/>
        <v>6.664710070542939</v>
      </c>
      <c r="BF34" s="558">
        <f t="shared" si="9"/>
        <v>3514.5517843947659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309">
        <v>296852</v>
      </c>
      <c r="I35" s="754">
        <f t="shared" si="10"/>
        <v>190.01414116521309</v>
      </c>
      <c r="J35" s="143"/>
      <c r="K35" s="754">
        <f t="shared" si="10"/>
        <v>8.2889102472116711</v>
      </c>
      <c r="L35" s="143"/>
      <c r="M35" s="754">
        <f t="shared" si="11"/>
        <v>0</v>
      </c>
      <c r="N35" s="143"/>
      <c r="O35" s="745">
        <v>5.8997058877646564</v>
      </c>
      <c r="P35" s="143"/>
      <c r="Q35" s="553">
        <f>-'(2.2)_Forward_Price_Curve'!AG25</f>
        <v>-37.067478927944045</v>
      </c>
      <c r="S35" s="475">
        <f t="shared" si="0"/>
        <v>12019.763797538046</v>
      </c>
      <c r="U35" s="475">
        <f t="shared" si="1"/>
        <v>20351.964100348359</v>
      </c>
      <c r="W35" s="475">
        <f t="shared" si="2"/>
        <v>-8332.2003028103136</v>
      </c>
      <c r="Y35" s="554">
        <f t="shared" si="3"/>
        <v>-28.068533487429132</v>
      </c>
      <c r="Z35" s="516"/>
      <c r="AB35" s="544">
        <f>+IF(AB34&gt;$G$13+$G$14,XX,AB34+1)</f>
        <v>2016</v>
      </c>
      <c r="AC35" s="503"/>
      <c r="AD35" s="488">
        <f t="shared" si="4"/>
        <v>296852</v>
      </c>
      <c r="AF35" s="555">
        <f t="shared" si="12"/>
        <v>66.224080090061449</v>
      </c>
      <c r="AH35" s="555">
        <f t="shared" si="13"/>
        <v>9.3365279723006669</v>
      </c>
      <c r="AJ35" s="555">
        <f t="shared" si="14"/>
        <v>2.6245497671491038</v>
      </c>
      <c r="AL35" s="558">
        <f t="shared" si="15"/>
        <v>6037.8508075313703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8"/>
        <v>2.716729629005135</v>
      </c>
      <c r="AS35" s="555"/>
      <c r="AT35" s="558">
        <f t="shared" si="6"/>
        <v>2460.0370910174984</v>
      </c>
      <c r="AV35" s="558">
        <f t="shared" si="7"/>
        <v>17891.927009330862</v>
      </c>
      <c r="AW35" s="560"/>
      <c r="AX35" s="561">
        <f t="shared" si="8"/>
        <v>20351.964100348359</v>
      </c>
      <c r="AZ35" s="544">
        <f>+IF(AZ34&gt;$G$13+$G$14,XX,AZ34+1)</f>
        <v>2016</v>
      </c>
      <c r="BA35" s="503"/>
      <c r="BB35" s="555">
        <f t="shared" si="16"/>
        <v>44.623337474925826</v>
      </c>
      <c r="BD35" s="555">
        <f t="shared" si="17"/>
        <v>6.7846748518127118</v>
      </c>
      <c r="BF35" s="558">
        <f t="shared" si="9"/>
        <v>3577.8137165138719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309">
        <v>296852</v>
      </c>
      <c r="I36" s="754">
        <f t="shared" si="10"/>
        <v>193.43439570618693</v>
      </c>
      <c r="J36" s="143"/>
      <c r="K36" s="754">
        <f t="shared" si="10"/>
        <v>8.4381106316614822</v>
      </c>
      <c r="L36" s="143"/>
      <c r="M36" s="754">
        <f t="shared" si="11"/>
        <v>0</v>
      </c>
      <c r="N36" s="143"/>
      <c r="O36" s="745">
        <v>6.0059005937444203</v>
      </c>
      <c r="P36" s="143"/>
      <c r="Q36" s="553">
        <f>-'(2.2)_Forward_Price_Curve'!AG26</f>
        <v>-38.679108446550309</v>
      </c>
      <c r="S36" s="475">
        <f t="shared" si="0"/>
        <v>11955.768094621346</v>
      </c>
      <c r="U36" s="475">
        <f t="shared" si="1"/>
        <v>21760.077437150532</v>
      </c>
      <c r="W36" s="475">
        <f t="shared" si="2"/>
        <v>-9804.3093425291863</v>
      </c>
      <c r="Y36" s="554">
        <f t="shared" si="3"/>
        <v>-33.027600765799747</v>
      </c>
      <c r="Z36" s="516"/>
      <c r="AB36" s="544">
        <f>+IF(AB35&gt;$G$13+$G$14,XX,AB35+1)</f>
        <v>2017</v>
      </c>
      <c r="AC36" s="503"/>
      <c r="AD36" s="488">
        <f t="shared" si="4"/>
        <v>296852</v>
      </c>
      <c r="AF36" s="555">
        <f t="shared" si="12"/>
        <v>67.416113531682555</v>
      </c>
      <c r="AH36" s="555">
        <f t="shared" si="13"/>
        <v>9.5045854758020791</v>
      </c>
      <c r="AJ36" s="555">
        <f t="shared" si="14"/>
        <v>2.6717916629577876</v>
      </c>
      <c r="AL36" s="558">
        <f t="shared" si="15"/>
        <v>6146.5321220669339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8"/>
        <v>2.7656307623272274</v>
      </c>
      <c r="AS36" s="555"/>
      <c r="AT36" s="558">
        <f t="shared" si="6"/>
        <v>2504.3177586558122</v>
      </c>
      <c r="AV36" s="558">
        <f t="shared" si="7"/>
        <v>19255.75967849472</v>
      </c>
      <c r="AW36" s="560"/>
      <c r="AX36" s="561">
        <f t="shared" si="8"/>
        <v>21760.077437150532</v>
      </c>
      <c r="AZ36" s="544">
        <f>+IF(AZ35&gt;$G$13+$G$14,XX,AZ35+1)</f>
        <v>2017</v>
      </c>
      <c r="BA36" s="503"/>
      <c r="BB36" s="555">
        <f t="shared" si="16"/>
        <v>45.426557549474495</v>
      </c>
      <c r="BD36" s="555">
        <f t="shared" si="17"/>
        <v>6.9067989991453409</v>
      </c>
      <c r="BF36" s="558">
        <f t="shared" si="9"/>
        <v>3642.2143634111217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309">
        <v>296852</v>
      </c>
      <c r="I37" s="754">
        <f>I36*(1+$E37)</f>
        <v>196.91621482889829</v>
      </c>
      <c r="J37" s="143"/>
      <c r="K37" s="754">
        <f t="shared" si="10"/>
        <v>8.5899966230313893</v>
      </c>
      <c r="L37" s="143"/>
      <c r="M37" s="754">
        <f t="shared" si="11"/>
        <v>0</v>
      </c>
      <c r="N37" s="143"/>
      <c r="O37" s="745">
        <v>6.1140068044318197</v>
      </c>
      <c r="P37" s="143"/>
      <c r="Q37" s="553">
        <f>-'(2.2)_Forward_Price_Curve'!AG27</f>
        <v>-38.679108446550309</v>
      </c>
      <c r="S37" s="475">
        <f t="shared" si="0"/>
        <v>12377.647392934887</v>
      </c>
      <c r="U37" s="475">
        <f t="shared" si="1"/>
        <v>23028.66573203991</v>
      </c>
      <c r="W37" s="475">
        <f t="shared" si="2"/>
        <v>-10651.018339105023</v>
      </c>
      <c r="Y37" s="554">
        <f t="shared" si="3"/>
        <v>-35.879894152995512</v>
      </c>
      <c r="Z37" s="516"/>
      <c r="AB37" s="544">
        <f>+IF(AB36&gt;$G$13+$G$14,XX,AB36+1)</f>
        <v>2018</v>
      </c>
      <c r="AC37" s="503"/>
      <c r="AD37" s="488">
        <f t="shared" si="4"/>
        <v>296852</v>
      </c>
      <c r="AF37" s="555">
        <f t="shared" si="12"/>
        <v>68.629603575252844</v>
      </c>
      <c r="AH37" s="555">
        <f t="shared" si="13"/>
        <v>9.6756680143665168</v>
      </c>
      <c r="AJ37" s="555">
        <f t="shared" si="14"/>
        <v>2.7198839128910279</v>
      </c>
      <c r="AL37" s="558">
        <f t="shared" si="15"/>
        <v>6257.1697002641404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8"/>
        <v>2.8154121160491177</v>
      </c>
      <c r="AS37" s="555"/>
      <c r="AT37" s="558">
        <f t="shared" si="6"/>
        <v>2549.3954783116183</v>
      </c>
      <c r="AV37" s="558">
        <f t="shared" si="7"/>
        <v>20479.270253728293</v>
      </c>
      <c r="AW37" s="560"/>
      <c r="AX37" s="561">
        <f t="shared" si="8"/>
        <v>23028.66573203991</v>
      </c>
      <c r="AZ37" s="544">
        <f>+IF(AZ36&gt;$G$13+$G$14,XX,AZ36+1)</f>
        <v>2018</v>
      </c>
      <c r="BA37" s="503"/>
      <c r="BB37" s="555">
        <f t="shared" si="16"/>
        <v>46.24423558536504</v>
      </c>
      <c r="BD37" s="555">
        <f t="shared" si="17"/>
        <v>7.0311213811299575</v>
      </c>
      <c r="BF37" s="558">
        <f t="shared" si="9"/>
        <v>3707.7742219525221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300110</v>
      </c>
      <c r="I38" s="725">
        <v>238.82270169413815</v>
      </c>
      <c r="K38" s="613">
        <v>11.441446066016971</v>
      </c>
      <c r="M38" s="553">
        <f t="shared" si="11"/>
        <v>0</v>
      </c>
      <c r="O38" s="613">
        <v>0.60999999999999988</v>
      </c>
      <c r="P38" s="143"/>
      <c r="Q38" s="613">
        <v>-23.918536864642729</v>
      </c>
      <c r="S38" s="475">
        <f t="shared" si="0"/>
        <v>20082.014848144103</v>
      </c>
      <c r="U38" s="475">
        <f t="shared" si="1"/>
        <v>26991.33816395139</v>
      </c>
      <c r="W38" s="475">
        <f t="shared" si="2"/>
        <v>-6909.3233158072871</v>
      </c>
      <c r="Y38" s="554">
        <f t="shared" si="3"/>
        <v>-23.022636086126045</v>
      </c>
      <c r="Z38" s="516"/>
      <c r="AB38" s="422">
        <f>+IF(AB37&gt;$G$13+$G$14,XX,AB37+1)</f>
        <v>2019</v>
      </c>
      <c r="AC38" s="503"/>
      <c r="AD38" s="488">
        <f t="shared" si="4"/>
        <v>300110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5"/>
        <v>8866.3438361702501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5091.8296782225825</v>
      </c>
      <c r="AV38" s="558">
        <f t="shared" si="7"/>
        <v>21899.508485728806</v>
      </c>
      <c r="AW38" s="560"/>
      <c r="AX38" s="561">
        <f t="shared" si="8"/>
        <v>26991.33816395139</v>
      </c>
      <c r="AZ38" s="429">
        <f>+IF(AZ37&gt;$G$13+$G$14,XX,AZ37+1)</f>
        <v>2019</v>
      </c>
      <c r="BA38" s="503"/>
      <c r="BB38" s="445">
        <f t="shared" si="16"/>
        <v>47.076631825901615</v>
      </c>
      <c r="BD38" s="445">
        <f t="shared" si="17"/>
        <v>7.1576815659902966</v>
      </c>
      <c r="BF38" s="558">
        <f t="shared" si="9"/>
        <v>3774.5141579476681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743">
        <v>323504</v>
      </c>
      <c r="I39" s="726">
        <v>283.25304875639779</v>
      </c>
      <c r="K39" s="625">
        <v>13.948531212618695</v>
      </c>
      <c r="M39" s="553">
        <f t="shared" si="11"/>
        <v>0</v>
      </c>
      <c r="O39" s="625">
        <v>0.63</v>
      </c>
      <c r="Q39" s="625">
        <v>-40.290737965156573</v>
      </c>
      <c r="S39" s="475">
        <f t="shared" si="0"/>
        <v>19724.050093610364</v>
      </c>
      <c r="U39" s="475">
        <f t="shared" si="1"/>
        <v>12345.593464126381</v>
      </c>
      <c r="W39" s="475">
        <f t="shared" si="2"/>
        <v>7378.4566294839824</v>
      </c>
      <c r="Y39" s="554">
        <f t="shared" si="3"/>
        <v>22.807930132189963</v>
      </c>
      <c r="Z39" s="516"/>
      <c r="AB39" s="423">
        <f>+IF(AB38&gt;$I$13+$I$14,XX,AB38+1)</f>
        <v>2020</v>
      </c>
      <c r="AC39" s="503"/>
      <c r="AD39" s="488">
        <f t="shared" si="4"/>
        <v>323504</v>
      </c>
      <c r="AF39" s="555">
        <f t="shared" ref="AF39:AF68" si="19">AF38*(1+$E39)</f>
        <v>101.14988775589339</v>
      </c>
      <c r="AH39" s="555">
        <f t="shared" ref="AH39:AH68" si="20">AH38*(1+$E39)</f>
        <v>20.260761973544962</v>
      </c>
      <c r="AJ39" s="555">
        <f t="shared" ref="AJ39:AJ68" si="21">AJ38*(1+$E39)</f>
        <v>2.0676516575367789</v>
      </c>
      <c r="AL39" s="558">
        <f t="shared" si="15"/>
        <v>9118.6403872785813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5257.3124036981171</v>
      </c>
      <c r="AV39" s="558">
        <f t="shared" si="7"/>
        <v>7088.2810604282631</v>
      </c>
      <c r="AW39" s="560"/>
      <c r="AX39" s="561">
        <f t="shared" si="8"/>
        <v>12345.593464126381</v>
      </c>
      <c r="AZ39" s="430">
        <f>+IF(AZ38&gt;$I$13+$I$14,XX,AZ38+1)</f>
        <v>2020</v>
      </c>
      <c r="BA39" s="503"/>
      <c r="BB39" s="555">
        <f t="shared" si="16"/>
        <v>48.159394357897348</v>
      </c>
      <c r="BD39" s="555">
        <f t="shared" si="17"/>
        <v>7.3223082420080727</v>
      </c>
      <c r="BF39" s="558">
        <f t="shared" si="9"/>
        <v>3861.3279835804638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743">
        <v>323526.99999999994</v>
      </c>
      <c r="I40" s="726">
        <v>290.07035580341812</v>
      </c>
      <c r="J40" s="554"/>
      <c r="K40" s="625">
        <v>14.244270562919027</v>
      </c>
      <c r="M40" s="553">
        <f t="shared" si="11"/>
        <v>0</v>
      </c>
      <c r="O40" s="625">
        <v>0.6399999999999999</v>
      </c>
      <c r="Q40" s="625">
        <v>-41.902367483762838</v>
      </c>
      <c r="S40" s="475">
        <f t="shared" si="0"/>
        <v>19975.881382028558</v>
      </c>
      <c r="U40" s="475">
        <f t="shared" si="1"/>
        <v>12931.103218580038</v>
      </c>
      <c r="W40" s="475">
        <f t="shared" si="2"/>
        <v>7044.77816344852</v>
      </c>
      <c r="Y40" s="554">
        <f t="shared" si="3"/>
        <v>21.774931191055217</v>
      </c>
      <c r="Z40" s="516"/>
      <c r="AB40" s="423">
        <f>+IF(AB39&gt;$I$13+$I$14,XX,AB39+1)</f>
        <v>2021</v>
      </c>
      <c r="AC40" s="503"/>
      <c r="AD40" s="488">
        <f t="shared" si="4"/>
        <v>323526.99999999994</v>
      </c>
      <c r="AF40" s="555">
        <f t="shared" si="19"/>
        <v>103.77978483754661</v>
      </c>
      <c r="AH40" s="555">
        <f t="shared" si="20"/>
        <v>20.787541784857133</v>
      </c>
      <c r="AJ40" s="555">
        <f t="shared" si="21"/>
        <v>2.1214106006327351</v>
      </c>
      <c r="AL40" s="558">
        <f t="shared" si="15"/>
        <v>9355.7738297916385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8"/>
        <v>2.3938982129262119</v>
      </c>
      <c r="AS40" s="555"/>
      <c r="AT40" s="558">
        <f t="shared" si="6"/>
        <v>5394.0513186380822</v>
      </c>
      <c r="AV40" s="558">
        <f t="shared" si="7"/>
        <v>7537.0518999419555</v>
      </c>
      <c r="AW40" s="560"/>
      <c r="AX40" s="561">
        <f t="shared" si="8"/>
        <v>12931.103218580038</v>
      </c>
      <c r="AZ40" s="430">
        <f>+IF(AZ39&gt;$I$13+$I$14,XX,AZ39+1)</f>
        <v>2021</v>
      </c>
      <c r="BA40" s="503"/>
      <c r="BB40" s="555">
        <f t="shared" si="16"/>
        <v>49.41153861120268</v>
      </c>
      <c r="BD40" s="555">
        <f t="shared" si="17"/>
        <v>7.512688256300283</v>
      </c>
      <c r="BF40" s="558">
        <f t="shared" si="9"/>
        <v>3961.7225111535563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743">
        <v>323526.99999999994</v>
      </c>
      <c r="I41" s="726">
        <v>296.63370834781568</v>
      </c>
      <c r="K41" s="625">
        <v>14.571888785866161</v>
      </c>
      <c r="M41" s="553">
        <f t="shared" si="11"/>
        <v>0</v>
      </c>
      <c r="O41" s="625">
        <v>0.66</v>
      </c>
      <c r="Q41" s="625">
        <v>-41.902367483762838</v>
      </c>
      <c r="S41" s="475">
        <f t="shared" si="0"/>
        <v>20738.117164739338</v>
      </c>
      <c r="U41" s="475">
        <f t="shared" si="1"/>
        <v>13392.014006033689</v>
      </c>
      <c r="W41" s="475">
        <f t="shared" si="2"/>
        <v>7346.1031587056495</v>
      </c>
      <c r="Y41" s="554">
        <f t="shared" si="3"/>
        <v>22.706306301191713</v>
      </c>
      <c r="Z41" s="516"/>
      <c r="AB41" s="423">
        <f>+IF(AB40&gt;$I$13+$I$14,XX,AB40+1)</f>
        <v>2022</v>
      </c>
      <c r="AC41" s="503"/>
      <c r="AD41" s="488">
        <f t="shared" si="4"/>
        <v>323526.99999999994</v>
      </c>
      <c r="AF41" s="555">
        <f t="shared" si="19"/>
        <v>106.27049967364773</v>
      </c>
      <c r="AH41" s="555">
        <f t="shared" si="20"/>
        <v>21.286442787693705</v>
      </c>
      <c r="AJ41" s="555">
        <f t="shared" si="21"/>
        <v>2.1723244550479208</v>
      </c>
      <c r="AL41" s="558">
        <f t="shared" si="15"/>
        <v>9580.3124017066384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8"/>
        <v>2.4513517700364411</v>
      </c>
      <c r="AS41" s="555"/>
      <c r="AT41" s="558">
        <f t="shared" si="6"/>
        <v>5523.5085502853963</v>
      </c>
      <c r="AV41" s="558">
        <f t="shared" si="7"/>
        <v>7868.5054557482927</v>
      </c>
      <c r="AW41" s="560"/>
      <c r="AX41" s="561">
        <f t="shared" si="8"/>
        <v>13392.014006033689</v>
      </c>
      <c r="AZ41" s="430">
        <f>+IF(AZ40&gt;$I$13+$I$14,XX,AZ40+1)</f>
        <v>2022</v>
      </c>
      <c r="BA41" s="503"/>
      <c r="BB41" s="555">
        <f t="shared" si="16"/>
        <v>50.597415537871548</v>
      </c>
      <c r="BD41" s="555">
        <f t="shared" si="17"/>
        <v>7.6929927744514899</v>
      </c>
      <c r="BF41" s="558">
        <f t="shared" si="9"/>
        <v>4056.8038514212417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743">
        <v>323526.99999999994</v>
      </c>
      <c r="I42" s="726">
        <v>303.13156013678554</v>
      </c>
      <c r="K42" s="625">
        <v>14.90704222794108</v>
      </c>
      <c r="M42" s="553">
        <f t="shared" si="11"/>
        <v>0</v>
      </c>
      <c r="O42" s="625">
        <v>0.67</v>
      </c>
      <c r="Q42" s="625">
        <v>-43.513997002369088</v>
      </c>
      <c r="S42" s="475">
        <f t="shared" si="0"/>
        <v>20971.665286235399</v>
      </c>
      <c r="U42" s="475">
        <f t="shared" si="1"/>
        <v>14635.675558315965</v>
      </c>
      <c r="W42" s="475">
        <f t="shared" si="2"/>
        <v>6335.9897279194338</v>
      </c>
      <c r="Y42" s="554">
        <f t="shared" si="3"/>
        <v>19.584114240602595</v>
      </c>
      <c r="Z42" s="516"/>
      <c r="AB42" s="423">
        <f>+IF(AB41&gt;$I$13+$I$14,XX,AB41+1)</f>
        <v>2023</v>
      </c>
      <c r="AC42" s="503"/>
      <c r="AD42" s="488">
        <f t="shared" si="4"/>
        <v>323526.99999999994</v>
      </c>
      <c r="AF42" s="555">
        <f t="shared" si="19"/>
        <v>108.71472116614163</v>
      </c>
      <c r="AH42" s="555">
        <f t="shared" si="20"/>
        <v>21.776030971810659</v>
      </c>
      <c r="AJ42" s="555">
        <f t="shared" si="21"/>
        <v>2.2222879175140227</v>
      </c>
      <c r="AL42" s="558">
        <f t="shared" si="15"/>
        <v>9800.6595869458888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si="18"/>
        <v>2.5077328607472791</v>
      </c>
      <c r="AS42" s="555"/>
      <c r="AT42" s="558">
        <f t="shared" si="6"/>
        <v>5650.5492469419587</v>
      </c>
      <c r="AV42" s="558">
        <f t="shared" si="7"/>
        <v>8985.126311374006</v>
      </c>
      <c r="AW42" s="560"/>
      <c r="AX42" s="561">
        <f t="shared" si="8"/>
        <v>14635.675558315965</v>
      </c>
      <c r="AZ42" s="430">
        <f>+IF(AZ41&gt;$I$13+$I$14,XX,AZ41+1)</f>
        <v>2023</v>
      </c>
      <c r="BA42" s="503"/>
      <c r="BB42" s="555">
        <f t="shared" si="16"/>
        <v>51.76115609524259</v>
      </c>
      <c r="BD42" s="555">
        <f t="shared" si="17"/>
        <v>7.8699316082638733</v>
      </c>
      <c r="BF42" s="558">
        <f t="shared" si="9"/>
        <v>4150.1103400039301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743">
        <v>323504</v>
      </c>
      <c r="I43" s="726">
        <v>309.77269277034418</v>
      </c>
      <c r="K43" s="625">
        <v>15.291684758633545</v>
      </c>
      <c r="M43" s="553">
        <f>M42*(1+$E43)</f>
        <v>0</v>
      </c>
      <c r="O43" s="625">
        <v>0.69</v>
      </c>
      <c r="Q43" s="625">
        <v>-43.513997002369095</v>
      </c>
      <c r="S43" s="475">
        <f t="shared" si="0"/>
        <v>21760.683444166647</v>
      </c>
      <c r="U43" s="475">
        <f t="shared" si="1"/>
        <v>15904.091783836382</v>
      </c>
      <c r="W43" s="475">
        <f t="shared" si="2"/>
        <v>5856.5916603302649</v>
      </c>
      <c r="Y43" s="554">
        <f t="shared" si="3"/>
        <v>18.103614361276104</v>
      </c>
      <c r="Z43" s="516"/>
      <c r="AB43" s="423">
        <f>+IF(AB42&gt;$I$13+$I$14,XX,AB42+1)</f>
        <v>2024</v>
      </c>
      <c r="AC43" s="503"/>
      <c r="AD43" s="488">
        <f t="shared" si="4"/>
        <v>323504</v>
      </c>
      <c r="AF43" s="555">
        <f t="shared" si="19"/>
        <v>111.21515975296288</v>
      </c>
      <c r="AH43" s="555">
        <f t="shared" si="20"/>
        <v>22.276879684162303</v>
      </c>
      <c r="AJ43" s="555">
        <f t="shared" si="21"/>
        <v>2.2734005396168451</v>
      </c>
      <c r="AL43" s="558">
        <f t="shared" si="15"/>
        <v>10026.022469233234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18"/>
        <v>2.5654107165444664</v>
      </c>
      <c r="AS43" s="555"/>
      <c r="AT43" s="558">
        <f t="shared" si="6"/>
        <v>5780.4595914092142</v>
      </c>
      <c r="AV43" s="558">
        <f t="shared" si="7"/>
        <v>10123.632192427167</v>
      </c>
      <c r="AW43" s="560"/>
      <c r="AX43" s="561">
        <f t="shared" si="8"/>
        <v>15904.091783836382</v>
      </c>
      <c r="AZ43" s="430">
        <f>+IF(AZ42&gt;$I$13+$I$14,XX,AZ42+1)</f>
        <v>2024</v>
      </c>
      <c r="BA43" s="503"/>
      <c r="BB43" s="555">
        <f t="shared" si="16"/>
        <v>52.951662685433163</v>
      </c>
      <c r="BD43" s="555">
        <f t="shared" si="17"/>
        <v>8.0509400352539409</v>
      </c>
      <c r="BF43" s="558">
        <f t="shared" si="9"/>
        <v>4245.5628778240198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743">
        <v>323526.99999999994</v>
      </c>
      <c r="I44" s="726">
        <v>316.56028448273253</v>
      </c>
      <c r="K44" s="625">
        <v>15.585402091565765</v>
      </c>
      <c r="M44" s="553">
        <f t="shared" si="11"/>
        <v>0</v>
      </c>
      <c r="O44" s="625">
        <v>0.69999999999999984</v>
      </c>
      <c r="Q44" s="625">
        <v>-45.125626520975359</v>
      </c>
      <c r="S44" s="475">
        <f t="shared" si="0"/>
        <v>22008.876874816924</v>
      </c>
      <c r="U44" s="475">
        <f t="shared" si="1"/>
        <v>16421.007554622633</v>
      </c>
      <c r="W44" s="475">
        <f t="shared" si="2"/>
        <v>5587.8693201942915</v>
      </c>
      <c r="Y44" s="554">
        <f t="shared" si="3"/>
        <v>17.271724833458393</v>
      </c>
      <c r="Z44" s="516"/>
      <c r="AB44" s="423">
        <f>+IF(AB43&gt;$I$13+$I$14,XX,AB43+1)</f>
        <v>2025</v>
      </c>
      <c r="AC44" s="503"/>
      <c r="AD44" s="488">
        <f t="shared" si="4"/>
        <v>323526.99999999994</v>
      </c>
      <c r="AF44" s="555">
        <f t="shared" si="19"/>
        <v>113.77310842728102</v>
      </c>
      <c r="AH44" s="555">
        <f t="shared" si="20"/>
        <v>22.789247916898034</v>
      </c>
      <c r="AJ44" s="555">
        <f t="shared" si="21"/>
        <v>2.3256887520280323</v>
      </c>
      <c r="AL44" s="558">
        <f t="shared" si="15"/>
        <v>10256.674476866896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18"/>
        <v>2.624415163024989</v>
      </c>
      <c r="AS44" s="555"/>
      <c r="AT44" s="558">
        <f t="shared" si="6"/>
        <v>5913.4636528529236</v>
      </c>
      <c r="AV44" s="558">
        <f t="shared" si="7"/>
        <v>10507.543901769708</v>
      </c>
      <c r="AW44" s="560"/>
      <c r="AX44" s="561">
        <f t="shared" si="8"/>
        <v>16421.007554622633</v>
      </c>
      <c r="AZ44" s="430">
        <f>+IF(AZ43&gt;$I$13+$I$14,XX,AZ43+1)</f>
        <v>2025</v>
      </c>
      <c r="BA44" s="503"/>
      <c r="BB44" s="555">
        <f t="shared" si="16"/>
        <v>54.169550927198124</v>
      </c>
      <c r="BD44" s="555">
        <f t="shared" si="17"/>
        <v>8.2361116560647805</v>
      </c>
      <c r="BF44" s="558">
        <f t="shared" si="9"/>
        <v>4343.2108240139723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743">
        <v>323526.99999999994</v>
      </c>
      <c r="I45" s="726">
        <v>323.49758438030051</v>
      </c>
      <c r="K45" s="625">
        <v>15.928280937580212</v>
      </c>
      <c r="M45" s="553">
        <f t="shared" si="11"/>
        <v>0</v>
      </c>
      <c r="O45" s="625">
        <v>0.72</v>
      </c>
      <c r="Q45" s="625">
        <v>-46.737256039581631</v>
      </c>
      <c r="S45" s="475">
        <f t="shared" si="0"/>
        <v>22291.665005824536</v>
      </c>
      <c r="U45" s="475">
        <f t="shared" si="1"/>
        <v>16759.503040741736</v>
      </c>
      <c r="W45" s="475">
        <f t="shared" si="2"/>
        <v>5532.1619650827997</v>
      </c>
      <c r="Y45" s="554">
        <f t="shared" si="3"/>
        <v>17.099537179533087</v>
      </c>
      <c r="Z45" s="516"/>
      <c r="AB45" s="423">
        <f>+IF(AB44&gt;$I$13+$I$14,XX,AB44+1)</f>
        <v>2026</v>
      </c>
      <c r="AC45" s="503"/>
      <c r="AD45" s="488">
        <f t="shared" si="4"/>
        <v>323526.99999999994</v>
      </c>
      <c r="AF45" s="555">
        <f t="shared" si="19"/>
        <v>116.38988992110846</v>
      </c>
      <c r="AH45" s="555">
        <f t="shared" si="20"/>
        <v>23.313400618986687</v>
      </c>
      <c r="AJ45" s="555">
        <f t="shared" si="21"/>
        <v>2.3791795933246767</v>
      </c>
      <c r="AL45" s="558">
        <f t="shared" si="15"/>
        <v>10492.57798983483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18"/>
        <v>2.6847767117745636</v>
      </c>
      <c r="AS45" s="555"/>
      <c r="AT45" s="558">
        <f t="shared" si="6"/>
        <v>6049.473316868537</v>
      </c>
      <c r="AV45" s="558">
        <f t="shared" si="7"/>
        <v>10710.0297238732</v>
      </c>
      <c r="AW45" s="560"/>
      <c r="AX45" s="561">
        <f t="shared" si="8"/>
        <v>16759.503040741736</v>
      </c>
      <c r="AZ45" s="430">
        <f>+IF(AZ44&gt;$I$13+$I$14,XX,AZ44+1)</f>
        <v>2026</v>
      </c>
      <c r="BA45" s="503"/>
      <c r="BB45" s="555">
        <f t="shared" si="16"/>
        <v>55.415450598523677</v>
      </c>
      <c r="BD45" s="555">
        <f t="shared" si="17"/>
        <v>8.4255422241542703</v>
      </c>
      <c r="BF45" s="558">
        <f t="shared" si="9"/>
        <v>4443.104672966293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743">
        <v>323526.99999999994</v>
      </c>
      <c r="I46" s="726">
        <v>330.3519451428171</v>
      </c>
      <c r="K46" s="625">
        <v>16.278703118206973</v>
      </c>
      <c r="M46" s="553">
        <f t="shared" si="11"/>
        <v>0</v>
      </c>
      <c r="O46" s="625">
        <v>0.74</v>
      </c>
      <c r="Q46" s="625">
        <v>-46.737256039581631</v>
      </c>
      <c r="S46" s="475">
        <f t="shared" si="0"/>
        <v>23090.088298145318</v>
      </c>
      <c r="U46" s="475">
        <f t="shared" si="1"/>
        <v>17548.314194440925</v>
      </c>
      <c r="W46" s="475">
        <f t="shared" si="2"/>
        <v>5541.7741037043925</v>
      </c>
      <c r="Y46" s="554">
        <f t="shared" si="3"/>
        <v>17.129247647659682</v>
      </c>
      <c r="Z46" s="516"/>
      <c r="AB46" s="423">
        <f>+IF(AB45&gt;$I$13+$I$14,XX,AB45+1)</f>
        <v>2027</v>
      </c>
      <c r="AC46" s="503"/>
      <c r="AD46" s="488">
        <f t="shared" si="4"/>
        <v>323526.99999999994</v>
      </c>
      <c r="AF46" s="555">
        <f t="shared" si="19"/>
        <v>118.95046749937285</v>
      </c>
      <c r="AH46" s="555">
        <f t="shared" si="20"/>
        <v>23.826295432604393</v>
      </c>
      <c r="AJ46" s="555">
        <f t="shared" si="21"/>
        <v>2.4315215443778198</v>
      </c>
      <c r="AL46" s="558">
        <f t="shared" si="15"/>
        <v>10723.414705611198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18"/>
        <v>2.743841799433604</v>
      </c>
      <c r="AS46" s="555"/>
      <c r="AT46" s="558">
        <f t="shared" si="6"/>
        <v>6182.5617298396455</v>
      </c>
      <c r="AV46" s="558">
        <f t="shared" si="7"/>
        <v>11365.752464601279</v>
      </c>
      <c r="AW46" s="560"/>
      <c r="AX46" s="561">
        <f t="shared" si="8"/>
        <v>17548.314194440925</v>
      </c>
      <c r="AZ46" s="430">
        <f>+IF(AZ45&gt;$I$13+$I$14,XX,AZ45+1)</f>
        <v>2027</v>
      </c>
      <c r="BA46" s="503"/>
      <c r="BB46" s="555">
        <f t="shared" si="16"/>
        <v>56.634590511691201</v>
      </c>
      <c r="BD46" s="555">
        <f t="shared" si="17"/>
        <v>8.6109041530856647</v>
      </c>
      <c r="BF46" s="558">
        <f t="shared" si="9"/>
        <v>4540.8529757715523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743">
        <v>323504</v>
      </c>
      <c r="I47" s="726">
        <v>337.35211270632595</v>
      </c>
      <c r="K47" s="625">
        <v>16.682414955538515</v>
      </c>
      <c r="M47" s="553">
        <f t="shared" si="11"/>
        <v>0</v>
      </c>
      <c r="O47" s="625">
        <v>0.75000000000000011</v>
      </c>
      <c r="Q47" s="625">
        <v>-48.348885558187895</v>
      </c>
      <c r="S47" s="475">
        <f t="shared" si="0"/>
        <v>23396.257252086787</v>
      </c>
      <c r="U47" s="475">
        <f t="shared" si="1"/>
        <v>18070.370707332302</v>
      </c>
      <c r="W47" s="475">
        <f t="shared" si="2"/>
        <v>5325.8865447544849</v>
      </c>
      <c r="Y47" s="554">
        <f t="shared" si="3"/>
        <v>16.463124241908861</v>
      </c>
      <c r="Z47" s="516"/>
      <c r="AB47" s="423">
        <f>+IF(AB46&gt;$I$13+$I$14,XX,AB46+1)</f>
        <v>2028</v>
      </c>
      <c r="AC47" s="503"/>
      <c r="AD47" s="488">
        <f t="shared" si="4"/>
        <v>323504</v>
      </c>
      <c r="AF47" s="555">
        <f t="shared" si="19"/>
        <v>121.56737778435905</v>
      </c>
      <c r="AH47" s="555">
        <f t="shared" si="20"/>
        <v>24.350473932121691</v>
      </c>
      <c r="AJ47" s="555">
        <f t="shared" si="21"/>
        <v>2.4850150183541317</v>
      </c>
      <c r="AL47" s="558">
        <f t="shared" si="15"/>
        <v>10959.272673789224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18"/>
        <v>2.8042063190211435</v>
      </c>
      <c r="AS47" s="555"/>
      <c r="AT47" s="558">
        <f t="shared" si="6"/>
        <v>6318.5209325506985</v>
      </c>
      <c r="AV47" s="558">
        <f t="shared" si="7"/>
        <v>11751.849774781602</v>
      </c>
      <c r="AW47" s="560"/>
      <c r="AX47" s="561">
        <f t="shared" si="8"/>
        <v>18070.370707332302</v>
      </c>
      <c r="AZ47" s="430">
        <f>+IF(AZ46&gt;$I$13+$I$14,XX,AZ46+1)</f>
        <v>2028</v>
      </c>
      <c r="BA47" s="503"/>
      <c r="BB47" s="555">
        <f t="shared" si="16"/>
        <v>57.880551502948407</v>
      </c>
      <c r="BD47" s="555">
        <f t="shared" si="17"/>
        <v>8.8003440444535492</v>
      </c>
      <c r="BF47" s="558">
        <f t="shared" si="9"/>
        <v>4640.7517412385259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743">
        <v>323526.99999999994</v>
      </c>
      <c r="I48" s="726">
        <v>344.50120002686896</v>
      </c>
      <c r="K48" s="625">
        <v>16.986208113130488</v>
      </c>
      <c r="M48" s="553">
        <f t="shared" si="11"/>
        <v>0</v>
      </c>
      <c r="O48" s="625">
        <v>0.76999999999999991</v>
      </c>
      <c r="Q48" s="625">
        <v>-48.348885558187895</v>
      </c>
      <c r="S48" s="475">
        <f t="shared" si="0"/>
        <v>24208.06164689294</v>
      </c>
      <c r="U48" s="475">
        <f t="shared" si="1"/>
        <v>18560.659168789549</v>
      </c>
      <c r="W48" s="475">
        <f t="shared" si="2"/>
        <v>5647.4024781033913</v>
      </c>
      <c r="Y48" s="554">
        <f t="shared" si="3"/>
        <v>17.455737784183057</v>
      </c>
      <c r="Z48" s="516"/>
      <c r="AB48" s="423">
        <f>+IF(AB47&gt;$I$13+$I$14,XX,AB47+1)</f>
        <v>2029</v>
      </c>
      <c r="AC48" s="503"/>
      <c r="AD48" s="488">
        <f t="shared" si="4"/>
        <v>323526.99999999994</v>
      </c>
      <c r="AF48" s="555">
        <f t="shared" si="19"/>
        <v>124.24186009561495</v>
      </c>
      <c r="AH48" s="555">
        <f t="shared" si="20"/>
        <v>24.88618435862837</v>
      </c>
      <c r="AJ48" s="555">
        <f t="shared" si="21"/>
        <v>2.5396853487579225</v>
      </c>
      <c r="AL48" s="558">
        <f t="shared" si="15"/>
        <v>11200.435085375606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18"/>
        <v>2.8658988580396088</v>
      </c>
      <c r="AS48" s="555"/>
      <c r="AT48" s="558">
        <f t="shared" si="6"/>
        <v>6457.586805829832</v>
      </c>
      <c r="AV48" s="558">
        <f t="shared" si="7"/>
        <v>12103.072362959716</v>
      </c>
      <c r="AW48" s="560"/>
      <c r="AX48" s="561">
        <f t="shared" si="8"/>
        <v>18560.659168789549</v>
      </c>
      <c r="AZ48" s="430">
        <f>+IF(AZ47&gt;$I$13+$I$14,XX,AZ47+1)</f>
        <v>2029</v>
      </c>
      <c r="BA48" s="503"/>
      <c r="BB48" s="555">
        <f t="shared" si="16"/>
        <v>59.153923636013275</v>
      </c>
      <c r="BD48" s="555">
        <f t="shared" si="17"/>
        <v>8.9939516134315269</v>
      </c>
      <c r="BF48" s="558">
        <f t="shared" si="9"/>
        <v>4742.8482795457739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743">
        <v>323526.99999999994</v>
      </c>
      <c r="I49" s="726">
        <v>351.80238674444297</v>
      </c>
      <c r="K49" s="625">
        <v>17.359904691619359</v>
      </c>
      <c r="M49" s="553">
        <f t="shared" si="11"/>
        <v>0</v>
      </c>
      <c r="O49" s="625">
        <v>0.78</v>
      </c>
      <c r="Q49" s="625">
        <v>0</v>
      </c>
      <c r="S49" s="475">
        <f t="shared" si="0"/>
        <v>40697.185232865391</v>
      </c>
      <c r="U49" s="475">
        <f t="shared" si="1"/>
        <v>19424.501248135126</v>
      </c>
      <c r="W49" s="475">
        <f t="shared" si="2"/>
        <v>21272.683984730265</v>
      </c>
      <c r="Y49" s="554">
        <f t="shared" si="3"/>
        <v>65.752422470861077</v>
      </c>
      <c r="Z49" s="516"/>
      <c r="AB49" s="423">
        <f>+IF(AB48&gt;$I$13+$I$14,XX,AB48+1)</f>
        <v>2030</v>
      </c>
      <c r="AC49" s="503"/>
      <c r="AD49" s="488">
        <f t="shared" si="4"/>
        <v>323526.99999999994</v>
      </c>
      <c r="AF49" s="555">
        <f t="shared" si="19"/>
        <v>126.97518101771848</v>
      </c>
      <c r="AH49" s="555">
        <f t="shared" si="20"/>
        <v>25.433680414518193</v>
      </c>
      <c r="AJ49" s="555">
        <f t="shared" si="21"/>
        <v>2.5955584264305966</v>
      </c>
      <c r="AL49" s="558">
        <f t="shared" si="15"/>
        <v>11446.844657253869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18"/>
        <v>2.9289486329164802</v>
      </c>
      <c r="AS49" s="555"/>
      <c r="AT49" s="558">
        <f t="shared" si="6"/>
        <v>6599.6537155580872</v>
      </c>
      <c r="AV49" s="558">
        <f t="shared" si="7"/>
        <v>12824.84753257704</v>
      </c>
      <c r="AW49" s="560"/>
      <c r="AX49" s="561">
        <f t="shared" si="8"/>
        <v>19424.501248135126</v>
      </c>
      <c r="AZ49" s="430">
        <f>+IF(AZ48&gt;$I$13+$I$14,XX,AZ48+1)</f>
        <v>2030</v>
      </c>
      <c r="BA49" s="503"/>
      <c r="BB49" s="555">
        <f t="shared" si="16"/>
        <v>60.455309956005571</v>
      </c>
      <c r="BD49" s="555">
        <f t="shared" si="17"/>
        <v>9.1918185489270208</v>
      </c>
      <c r="BF49" s="558">
        <f t="shared" si="9"/>
        <v>4847.1909416957815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743">
        <v>323526.99999999994</v>
      </c>
      <c r="I50" s="726">
        <v>359.25892061582624</v>
      </c>
      <c r="K50" s="625">
        <v>17.741822594834986</v>
      </c>
      <c r="M50" s="553">
        <f t="shared" si="11"/>
        <v>0</v>
      </c>
      <c r="O50" s="625">
        <v>0.8</v>
      </c>
      <c r="Q50" s="625">
        <v>0</v>
      </c>
      <c r="S50" s="475">
        <f t="shared" si="0"/>
        <v>41565.413379605969</v>
      </c>
      <c r="U50" s="475">
        <f t="shared" si="1"/>
        <v>19913.416770398777</v>
      </c>
      <c r="W50" s="475">
        <f t="shared" si="2"/>
        <v>21651.996609207192</v>
      </c>
      <c r="Y50" s="554">
        <f t="shared" si="3"/>
        <v>66.924852050082976</v>
      </c>
      <c r="Z50" s="516"/>
      <c r="AB50" s="423">
        <f>+IF(AB49&gt;$I$13+$I$14,XX,AB49+1)</f>
        <v>2031</v>
      </c>
      <c r="AC50" s="503"/>
      <c r="AD50" s="488">
        <f t="shared" si="4"/>
        <v>323526.99999999994</v>
      </c>
      <c r="AF50" s="555">
        <f t="shared" si="19"/>
        <v>129.7686350001083</v>
      </c>
      <c r="AH50" s="555">
        <f t="shared" si="20"/>
        <v>25.993221383637593</v>
      </c>
      <c r="AJ50" s="555">
        <f t="shared" si="21"/>
        <v>2.6526607118120697</v>
      </c>
      <c r="AL50" s="558">
        <f t="shared" si="15"/>
        <v>11698.675239713457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18"/>
        <v>2.9933855028406429</v>
      </c>
      <c r="AS50" s="555"/>
      <c r="AT50" s="558">
        <f t="shared" si="6"/>
        <v>6744.8460973003685</v>
      </c>
      <c r="AV50" s="558">
        <f t="shared" si="7"/>
        <v>13168.570673098407</v>
      </c>
      <c r="AW50" s="560"/>
      <c r="AX50" s="561">
        <f t="shared" si="8"/>
        <v>19913.416770398777</v>
      </c>
      <c r="AZ50" s="430">
        <f>+IF(AZ49&gt;$I$13+$I$14,XX,AZ49+1)</f>
        <v>2031</v>
      </c>
      <c r="BA50" s="503"/>
      <c r="BB50" s="555">
        <f t="shared" si="16"/>
        <v>61.785326775037696</v>
      </c>
      <c r="BD50" s="555">
        <f t="shared" si="17"/>
        <v>9.3940385570034159</v>
      </c>
      <c r="BF50" s="558">
        <f t="shared" si="9"/>
        <v>4953.8291424130884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743">
        <v>323504</v>
      </c>
      <c r="I51" s="726">
        <v>366.87411897827707</v>
      </c>
      <c r="K51" s="625">
        <v>18.181819795186897</v>
      </c>
      <c r="M51" s="553">
        <f t="shared" si="11"/>
        <v>0</v>
      </c>
      <c r="O51" s="625">
        <v>0.82</v>
      </c>
      <c r="Q51" s="625">
        <v>0</v>
      </c>
      <c r="S51" s="475">
        <f t="shared" si="0"/>
        <v>42467.702489871575</v>
      </c>
      <c r="U51" s="475">
        <f t="shared" si="1"/>
        <v>20417.792453261231</v>
      </c>
      <c r="W51" s="475">
        <f t="shared" si="2"/>
        <v>22049.910036610345</v>
      </c>
      <c r="Y51" s="554">
        <f t="shared" si="3"/>
        <v>68.15962101430074</v>
      </c>
      <c r="Z51" s="516"/>
      <c r="AB51" s="423">
        <f>+IF(AB50&gt;$I$13+$I$14,XX,AB50+1)</f>
        <v>2032</v>
      </c>
      <c r="AC51" s="503"/>
      <c r="AD51" s="488">
        <f t="shared" si="4"/>
        <v>323504</v>
      </c>
      <c r="AF51" s="555">
        <f t="shared" si="19"/>
        <v>132.62354497011069</v>
      </c>
      <c r="AH51" s="555">
        <f t="shared" si="20"/>
        <v>26.56507225407762</v>
      </c>
      <c r="AJ51" s="555">
        <f t="shared" si="21"/>
        <v>2.7110192474719352</v>
      </c>
      <c r="AL51" s="558">
        <f t="shared" si="15"/>
        <v>11955.98374154446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18"/>
        <v>3.059239983903137</v>
      </c>
      <c r="AS51" s="555"/>
      <c r="AT51" s="558">
        <f t="shared" si="6"/>
        <v>6893.1703579982841</v>
      </c>
      <c r="AV51" s="558">
        <f t="shared" si="7"/>
        <v>13524.622095262948</v>
      </c>
      <c r="AW51" s="560"/>
      <c r="AX51" s="561">
        <f t="shared" si="8"/>
        <v>20417.792453261231</v>
      </c>
      <c r="AZ51" s="430">
        <f>+IF(AZ50&gt;$I$13+$I$14,XX,AZ50+1)</f>
        <v>2032</v>
      </c>
      <c r="BA51" s="503"/>
      <c r="BB51" s="555">
        <f t="shared" si="16"/>
        <v>63.144603964088525</v>
      </c>
      <c r="BD51" s="555">
        <f t="shared" si="17"/>
        <v>9.6007074052574914</v>
      </c>
      <c r="BF51" s="558">
        <f t="shared" si="9"/>
        <v>5062.8133835461758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743">
        <v>323526.99999999994</v>
      </c>
      <c r="I52" s="726">
        <v>374.65137024477099</v>
      </c>
      <c r="K52" s="625">
        <v>18.531049831143626</v>
      </c>
      <c r="M52" s="553">
        <f t="shared" si="11"/>
        <v>0</v>
      </c>
      <c r="O52" s="625">
        <v>0.84000000000000008</v>
      </c>
      <c r="Q52" s="625">
        <v>0</v>
      </c>
      <c r="S52" s="475">
        <f t="shared" si="0"/>
        <v>43357.543292952723</v>
      </c>
      <c r="U52" s="475">
        <f t="shared" si="1"/>
        <v>21025.143066915429</v>
      </c>
      <c r="W52" s="475">
        <f t="shared" si="2"/>
        <v>22332.400226037294</v>
      </c>
      <c r="Y52" s="554">
        <f t="shared" si="3"/>
        <v>69.027933452346474</v>
      </c>
      <c r="Z52" s="516"/>
      <c r="AB52" s="423">
        <f>+IF(AB51&gt;$I$13+$I$14,XX,AB51+1)</f>
        <v>2033</v>
      </c>
      <c r="AC52" s="503"/>
      <c r="AD52" s="488">
        <f t="shared" si="4"/>
        <v>323526.99999999994</v>
      </c>
      <c r="AF52" s="555">
        <f t="shared" si="19"/>
        <v>135.54126295945312</v>
      </c>
      <c r="AH52" s="555">
        <f t="shared" si="20"/>
        <v>27.149503843667329</v>
      </c>
      <c r="AJ52" s="555">
        <f t="shared" si="21"/>
        <v>2.7706616709163177</v>
      </c>
      <c r="AL52" s="558">
        <f t="shared" si="15"/>
        <v>12219.079109076869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18"/>
        <v>3.126543263549006</v>
      </c>
      <c r="AS52" s="555"/>
      <c r="AT52" s="558">
        <f t="shared" si="6"/>
        <v>7044.8838310926776</v>
      </c>
      <c r="AV52" s="558">
        <f t="shared" si="7"/>
        <v>13980.25923582275</v>
      </c>
      <c r="AW52" s="560"/>
      <c r="AX52" s="561">
        <f t="shared" si="8"/>
        <v>21025.143066915429</v>
      </c>
      <c r="AZ52" s="430">
        <f>+IF(AZ51&gt;$I$13+$I$14,XX,AZ51+1)</f>
        <v>2033</v>
      </c>
      <c r="BA52" s="503"/>
      <c r="BB52" s="555">
        <f t="shared" si="16"/>
        <v>64.533785251298468</v>
      </c>
      <c r="BD52" s="555">
        <f t="shared" si="17"/>
        <v>9.8119229681731568</v>
      </c>
      <c r="BF52" s="558">
        <f t="shared" si="9"/>
        <v>5174.1952779841913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743">
        <v>323526.99999999994</v>
      </c>
      <c r="I53" s="726">
        <v>101.75223097098858</v>
      </c>
      <c r="K53" s="625">
        <v>18.938732927428788</v>
      </c>
      <c r="M53" s="553">
        <f t="shared" si="11"/>
        <v>0</v>
      </c>
      <c r="O53" s="625">
        <v>0.85999999999999988</v>
      </c>
      <c r="Q53" s="625">
        <v>0</v>
      </c>
      <c r="S53" s="475">
        <f t="shared" si="0"/>
        <v>16478.895533940122</v>
      </c>
      <c r="U53" s="475">
        <f t="shared" si="1"/>
        <v>21605.430559118569</v>
      </c>
      <c r="W53" s="475">
        <f t="shared" si="2"/>
        <v>-5126.5350251784475</v>
      </c>
      <c r="Y53" s="554">
        <f t="shared" si="3"/>
        <v>-15.845771837214354</v>
      </c>
      <c r="Z53" s="516"/>
      <c r="AB53" s="423">
        <f>+IF(AB52&gt;$I$13+$I$14,XX,AB52+1)</f>
        <v>2034</v>
      </c>
      <c r="AC53" s="503"/>
      <c r="AD53" s="488">
        <f t="shared" si="4"/>
        <v>323526.99999999994</v>
      </c>
      <c r="AF53" s="555">
        <f t="shared" si="19"/>
        <v>138.5231707445611</v>
      </c>
      <c r="AH53" s="555">
        <f t="shared" si="20"/>
        <v>27.746792928228011</v>
      </c>
      <c r="AJ53" s="555">
        <f t="shared" si="21"/>
        <v>2.8316162276764767</v>
      </c>
      <c r="AL53" s="558">
        <f t="shared" si="15"/>
        <v>12487.898849476562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18"/>
        <v>3.1953272153470844</v>
      </c>
      <c r="AS53" s="555"/>
      <c r="AT53" s="558">
        <f t="shared" si="6"/>
        <v>7199.8712753767168</v>
      </c>
      <c r="AV53" s="558">
        <f t="shared" si="7"/>
        <v>14405.559283741852</v>
      </c>
      <c r="AW53" s="560"/>
      <c r="AX53" s="561">
        <f t="shared" si="8"/>
        <v>21605.430559118569</v>
      </c>
      <c r="AZ53" s="430">
        <f>+IF(AZ52&gt;$I$13+$I$14,XX,AZ52+1)</f>
        <v>2034</v>
      </c>
      <c r="BA53" s="503"/>
      <c r="BB53" s="555">
        <f t="shared" si="16"/>
        <v>65.953528526827043</v>
      </c>
      <c r="BD53" s="555">
        <f t="shared" si="17"/>
        <v>10.027785273472967</v>
      </c>
      <c r="BF53" s="558">
        <f t="shared" si="9"/>
        <v>5288.027574099845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743">
        <v>323526.99999999994</v>
      </c>
      <c r="I54" s="726">
        <v>103.68552335943735</v>
      </c>
      <c r="K54" s="625">
        <v>19.355385051832222</v>
      </c>
      <c r="M54" s="553">
        <f t="shared" si="11"/>
        <v>0</v>
      </c>
      <c r="O54" s="625">
        <v>0.86999999999999988</v>
      </c>
      <c r="Q54" s="625">
        <v>0</v>
      </c>
      <c r="S54" s="475">
        <f t="shared" si="0"/>
        <v>16808.324962248422</v>
      </c>
      <c r="U54" s="475">
        <f t="shared" si="1"/>
        <v>22157.294482696783</v>
      </c>
      <c r="W54" s="475">
        <f t="shared" si="2"/>
        <v>-5348.9695204483614</v>
      </c>
      <c r="Y54" s="554">
        <f t="shared" si="3"/>
        <v>-16.533301765999013</v>
      </c>
      <c r="Z54" s="516"/>
      <c r="AB54" s="423">
        <f>+IF(AB53&gt;$I$13+$I$14,XX,AB53+1)</f>
        <v>2035</v>
      </c>
      <c r="AC54" s="503"/>
      <c r="AD54" s="488">
        <f t="shared" si="4"/>
        <v>323526.99999999994</v>
      </c>
      <c r="AF54" s="555">
        <f t="shared" si="19"/>
        <v>141.57068050094145</v>
      </c>
      <c r="AH54" s="555">
        <f t="shared" si="20"/>
        <v>28.357222372649026</v>
      </c>
      <c r="AJ54" s="555">
        <f t="shared" si="21"/>
        <v>2.893911784685359</v>
      </c>
      <c r="AL54" s="558">
        <f t="shared" si="15"/>
        <v>12762.632624165048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18"/>
        <v>3.2656244140847202</v>
      </c>
      <c r="AS54" s="555"/>
      <c r="AT54" s="558">
        <f t="shared" si="6"/>
        <v>7358.2684434350067</v>
      </c>
      <c r="AV54" s="558">
        <f t="shared" si="7"/>
        <v>14799.026039261777</v>
      </c>
      <c r="AW54" s="560"/>
      <c r="AX54" s="561">
        <f t="shared" si="8"/>
        <v>22157.294482696783</v>
      </c>
      <c r="AZ54" s="430">
        <f>+IF(AZ53&gt;$I$13+$I$14,XX,AZ53+1)</f>
        <v>2035</v>
      </c>
      <c r="BA54" s="503"/>
      <c r="BB54" s="555">
        <f t="shared" si="16"/>
        <v>67.404506154417234</v>
      </c>
      <c r="BD54" s="555">
        <f t="shared" si="17"/>
        <v>10.248396549489373</v>
      </c>
      <c r="BF54" s="558">
        <f t="shared" si="9"/>
        <v>5404.364180730041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743">
        <v>323504</v>
      </c>
      <c r="I55" s="726">
        <v>105.65554830326664</v>
      </c>
      <c r="K55" s="625">
        <v>19.835398601117664</v>
      </c>
      <c r="M55" s="553">
        <f t="shared" si="11"/>
        <v>0</v>
      </c>
      <c r="O55" s="625">
        <v>0.89000000000000024</v>
      </c>
      <c r="Q55" s="625">
        <v>0</v>
      </c>
      <c r="S55" s="475">
        <f t="shared" si="0"/>
        <v>17164.64863107937</v>
      </c>
      <c r="U55" s="475">
        <f t="shared" si="1"/>
        <v>22871.952817793492</v>
      </c>
      <c r="W55" s="475">
        <f t="shared" si="2"/>
        <v>-5707.3041867141219</v>
      </c>
      <c r="Y55" s="554">
        <f t="shared" si="3"/>
        <v>-17.642144105526121</v>
      </c>
      <c r="Z55" s="516"/>
      <c r="AB55" s="423">
        <f>+IF(AB54&gt;$I$13+$I$14,XX,AB54+1)</f>
        <v>2036</v>
      </c>
      <c r="AC55" s="503"/>
      <c r="AD55" s="488">
        <f t="shared" si="4"/>
        <v>323504</v>
      </c>
      <c r="AF55" s="555">
        <f t="shared" si="19"/>
        <v>144.68523547196216</v>
      </c>
      <c r="AH55" s="555">
        <f t="shared" si="20"/>
        <v>28.981081264847305</v>
      </c>
      <c r="AJ55" s="555">
        <f t="shared" si="21"/>
        <v>2.957577843948437</v>
      </c>
      <c r="AL55" s="558">
        <f t="shared" si="15"/>
        <v>13043.342517606265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18"/>
        <v>3.3374681511945838</v>
      </c>
      <c r="AS55" s="555"/>
      <c r="AT55" s="558">
        <f t="shared" si="6"/>
        <v>7520.0823249001623</v>
      </c>
      <c r="AV55" s="558">
        <f t="shared" si="7"/>
        <v>15351.870492893329</v>
      </c>
      <c r="AW55" s="560"/>
      <c r="AX55" s="561">
        <f t="shared" si="8"/>
        <v>22871.952817793492</v>
      </c>
      <c r="AZ55" s="430">
        <f>+IF(AZ54&gt;$I$13+$I$14,XX,AZ54+1)</f>
        <v>2036</v>
      </c>
      <c r="BA55" s="503"/>
      <c r="BB55" s="555">
        <f t="shared" si="16"/>
        <v>68.88740528981441</v>
      </c>
      <c r="BD55" s="555">
        <f t="shared" si="17"/>
        <v>10.473861273578139</v>
      </c>
      <c r="BF55" s="558">
        <f t="shared" si="9"/>
        <v>5523.2601927061023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743">
        <v>323504</v>
      </c>
      <c r="I56" s="726">
        <v>107.66300372102873</v>
      </c>
      <c r="K56" s="625">
        <v>20.216390000477926</v>
      </c>
      <c r="M56" s="553">
        <f t="shared" si="11"/>
        <v>0</v>
      </c>
      <c r="O56" s="625">
        <v>0.91000000000000025</v>
      </c>
      <c r="Q56" s="625">
        <v>0</v>
      </c>
      <c r="S56" s="475">
        <f t="shared" si="0"/>
        <v>17493.109039096453</v>
      </c>
      <c r="U56" s="475">
        <f t="shared" si="1"/>
        <v>23456.751469604042</v>
      </c>
      <c r="W56" s="475">
        <f t="shared" si="2"/>
        <v>-5963.6424305075889</v>
      </c>
      <c r="Y56" s="554">
        <f t="shared" si="3"/>
        <v>-18.434524551497319</v>
      </c>
      <c r="Z56" s="516"/>
      <c r="AB56" s="423">
        <f>+IF(AB55&gt;$I$13+$I$14,XX,AB55+1)</f>
        <v>2037</v>
      </c>
      <c r="AC56" s="503"/>
      <c r="AD56" s="488">
        <f t="shared" si="4"/>
        <v>323504</v>
      </c>
      <c r="AF56" s="555">
        <f t="shared" si="19"/>
        <v>147.86831065234534</v>
      </c>
      <c r="AH56" s="555">
        <f t="shared" si="20"/>
        <v>29.618665052673947</v>
      </c>
      <c r="AJ56" s="555">
        <f t="shared" si="21"/>
        <v>3.0226445565153028</v>
      </c>
      <c r="AL56" s="558">
        <f t="shared" si="15"/>
        <v>13330.296052993603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18"/>
        <v>3.4108924505208646</v>
      </c>
      <c r="AS56" s="555"/>
      <c r="AT56" s="558">
        <f t="shared" si="6"/>
        <v>7685.5241360479667</v>
      </c>
      <c r="AV56" s="558">
        <f t="shared" si="7"/>
        <v>15771.227333556075</v>
      </c>
      <c r="AW56" s="560"/>
      <c r="AX56" s="561">
        <f t="shared" si="8"/>
        <v>23456.751469604042</v>
      </c>
      <c r="AZ56" s="430">
        <f>+IF(AZ55&gt;$I$13+$I$14,XX,AZ55+1)</f>
        <v>2037</v>
      </c>
      <c r="BA56" s="503"/>
      <c r="BB56" s="555">
        <f t="shared" si="16"/>
        <v>70.402928206190325</v>
      </c>
      <c r="BD56" s="555">
        <f t="shared" si="17"/>
        <v>10.704286221596858</v>
      </c>
      <c r="BF56" s="558">
        <f t="shared" si="9"/>
        <v>5644.7719169456359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743">
        <v>323504</v>
      </c>
      <c r="I57" s="726">
        <v>109.70860079172824</v>
      </c>
      <c r="K57" s="625">
        <v>20.681366970488913</v>
      </c>
      <c r="M57" s="553">
        <f t="shared" si="11"/>
        <v>0</v>
      </c>
      <c r="O57" s="625">
        <v>0.92999999999999994</v>
      </c>
      <c r="Q57" s="625">
        <v>0</v>
      </c>
      <c r="S57" s="475">
        <f t="shared" si="0"/>
        <v>17852.51513880214</v>
      </c>
      <c r="U57" s="475">
        <f t="shared" si="1"/>
        <v>24403.119156419085</v>
      </c>
      <c r="W57" s="475">
        <f t="shared" si="2"/>
        <v>-6550.6040176169445</v>
      </c>
      <c r="Y57" s="554">
        <f t="shared" si="3"/>
        <v>-20.248911968992484</v>
      </c>
      <c r="Z57" s="516"/>
      <c r="AB57" s="423">
        <f>+IF(AB56&gt;$I$13+$I$14,XX,AB56+1)</f>
        <v>2038</v>
      </c>
      <c r="AC57" s="503"/>
      <c r="AD57" s="488">
        <f t="shared" si="4"/>
        <v>323504</v>
      </c>
      <c r="AF57" s="555">
        <f t="shared" si="19"/>
        <v>151.12141348669695</v>
      </c>
      <c r="AH57" s="555">
        <f t="shared" si="20"/>
        <v>30.270275683832775</v>
      </c>
      <c r="AJ57" s="555">
        <f t="shared" si="21"/>
        <v>3.0891427367586397</v>
      </c>
      <c r="AL57" s="558">
        <f t="shared" si="15"/>
        <v>13623.562566159466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18"/>
        <v>3.4859320844323238</v>
      </c>
      <c r="AS57" s="555"/>
      <c r="AT57" s="558">
        <f t="shared" si="6"/>
        <v>7854.6056670410253</v>
      </c>
      <c r="AV57" s="558">
        <f t="shared" si="7"/>
        <v>16548.51348937806</v>
      </c>
      <c r="AW57" s="560"/>
      <c r="AX57" s="561">
        <f t="shared" si="8"/>
        <v>24403.119156419085</v>
      </c>
      <c r="AZ57" s="430">
        <f>+IF(AZ56&gt;$I$13+$I$14,XX,AZ56+1)</f>
        <v>2038</v>
      </c>
      <c r="BA57" s="503"/>
      <c r="BB57" s="555">
        <f t="shared" si="16"/>
        <v>71.951792626726515</v>
      </c>
      <c r="BD57" s="555">
        <f t="shared" si="17"/>
        <v>10.93978051847199</v>
      </c>
      <c r="BF57" s="558">
        <f t="shared" si="9"/>
        <v>5768.9568991184406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743">
        <v>323504</v>
      </c>
      <c r="I58" s="726">
        <v>111.79306420677108</v>
      </c>
      <c r="K58" s="625">
        <v>21.157038410810156</v>
      </c>
      <c r="M58" s="553">
        <f t="shared" si="11"/>
        <v>0</v>
      </c>
      <c r="O58" s="625">
        <v>0.95999999999999985</v>
      </c>
      <c r="Q58" s="625">
        <v>0</v>
      </c>
      <c r="S58" s="475">
        <f t="shared" si="0"/>
        <v>18222.463750521063</v>
      </c>
      <c r="U58" s="475">
        <f t="shared" si="1"/>
        <v>25098.692220828143</v>
      </c>
      <c r="W58" s="475">
        <f t="shared" si="2"/>
        <v>-6876.22847030708</v>
      </c>
      <c r="Y58" s="554">
        <f t="shared" si="3"/>
        <v>-21.25546661032655</v>
      </c>
      <c r="Z58" s="516"/>
      <c r="AB58" s="423">
        <f>+IF(AB57&gt;$I$13+$I$14,XX,AB57+1)</f>
        <v>2039</v>
      </c>
      <c r="AC58" s="503"/>
      <c r="AD58" s="488">
        <f t="shared" si="4"/>
        <v>323504</v>
      </c>
      <c r="AF58" s="555">
        <f t="shared" si="19"/>
        <v>154.44608458340429</v>
      </c>
      <c r="AH58" s="555">
        <f t="shared" si="20"/>
        <v>30.936221748877095</v>
      </c>
      <c r="AJ58" s="555">
        <f t="shared" si="21"/>
        <v>3.1571038769673296</v>
      </c>
      <c r="AL58" s="558">
        <f t="shared" si="15"/>
        <v>13923.280942614974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18"/>
        <v>3.562622590289835</v>
      </c>
      <c r="AS58" s="555"/>
      <c r="AT58" s="558">
        <f t="shared" si="6"/>
        <v>8027.4069917159286</v>
      </c>
      <c r="AV58" s="558">
        <f t="shared" si="7"/>
        <v>17071.285229112214</v>
      </c>
      <c r="AW58" s="560"/>
      <c r="AX58" s="561">
        <f t="shared" si="8"/>
        <v>25098.692220828143</v>
      </c>
      <c r="AZ58" s="430">
        <f>+IF(AZ57&gt;$I$13+$I$14,XX,AZ57+1)</f>
        <v>2039</v>
      </c>
      <c r="BA58" s="503"/>
      <c r="BB58" s="555">
        <f t="shared" si="16"/>
        <v>73.5347320645145</v>
      </c>
      <c r="BD58" s="555">
        <f t="shared" si="17"/>
        <v>11.180455689878373</v>
      </c>
      <c r="BF58" s="558">
        <f t="shared" si="9"/>
        <v>5895.8739508990457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743">
        <v>323504</v>
      </c>
      <c r="I59" s="726">
        <v>113.91713242669974</v>
      </c>
      <c r="K59" s="625">
        <v>21.702947966297856</v>
      </c>
      <c r="M59" s="553">
        <f t="shared" si="11"/>
        <v>0</v>
      </c>
      <c r="O59" s="625">
        <v>0.9800000000000002</v>
      </c>
      <c r="Q59" s="625">
        <v>0</v>
      </c>
      <c r="S59" s="475">
        <f t="shared" si="0"/>
        <v>18615.820509132496</v>
      </c>
      <c r="U59" s="475">
        <f t="shared" si="1"/>
        <v>26014.122375658691</v>
      </c>
      <c r="W59" s="475">
        <f t="shared" si="2"/>
        <v>-7398.3018665261952</v>
      </c>
      <c r="Y59" s="554">
        <f t="shared" si="3"/>
        <v>-22.86927477411777</v>
      </c>
      <c r="Z59" s="516"/>
      <c r="AB59" s="423">
        <f>+IF(AB58&gt;$I$13+$I$14,XX,AB58+1)</f>
        <v>2040</v>
      </c>
      <c r="AC59" s="503"/>
      <c r="AD59" s="488">
        <f t="shared" si="4"/>
        <v>323504</v>
      </c>
      <c r="AF59" s="555">
        <f t="shared" si="19"/>
        <v>157.84389844423919</v>
      </c>
      <c r="AH59" s="555">
        <f t="shared" si="20"/>
        <v>31.616818627352391</v>
      </c>
      <c r="AJ59" s="555">
        <f t="shared" si="21"/>
        <v>3.2265601622606108</v>
      </c>
      <c r="AL59" s="558">
        <f t="shared" si="15"/>
        <v>14229.593123352503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18"/>
        <v>3.6410002872762113</v>
      </c>
      <c r="AS59" s="555"/>
      <c r="AT59" s="558">
        <f t="shared" si="6"/>
        <v>8204.0099455336767</v>
      </c>
      <c r="AV59" s="558">
        <f t="shared" si="7"/>
        <v>17810.112430125017</v>
      </c>
      <c r="AW59" s="560"/>
      <c r="AX59" s="561">
        <f t="shared" si="8"/>
        <v>26014.122375658691</v>
      </c>
      <c r="AZ59" s="430">
        <f>+IF(AZ58&gt;$I$13+$I$14,XX,AZ58+1)</f>
        <v>2040</v>
      </c>
      <c r="BA59" s="503"/>
      <c r="BB59" s="555">
        <f t="shared" si="16"/>
        <v>75.152496169933826</v>
      </c>
      <c r="BD59" s="555">
        <f t="shared" si="17"/>
        <v>11.426425715055698</v>
      </c>
      <c r="BF59" s="558">
        <f t="shared" si="9"/>
        <v>6025.5831778188258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743">
        <v>323504</v>
      </c>
      <c r="I60" s="726">
        <v>116.08155794280702</v>
      </c>
      <c r="K60" s="625">
        <v>22.141454251026733</v>
      </c>
      <c r="M60" s="553">
        <f t="shared" si="11"/>
        <v>0</v>
      </c>
      <c r="O60" s="625">
        <v>1</v>
      </c>
      <c r="Q60" s="625">
        <v>0</v>
      </c>
      <c r="S60" s="475">
        <f t="shared" si="0"/>
        <v>18978.427252362049</v>
      </c>
      <c r="U60" s="475">
        <f t="shared" si="1"/>
        <v>26603.081942393263</v>
      </c>
      <c r="W60" s="475">
        <f t="shared" si="2"/>
        <v>-7624.6546900312132</v>
      </c>
      <c r="Y60" s="554">
        <f t="shared" si="3"/>
        <v>-23.568965731586669</v>
      </c>
      <c r="Z60" s="516"/>
      <c r="AB60" s="423">
        <f>+IF(AB59&gt;$I$13+$I$14,XX,AB59+1)</f>
        <v>2041</v>
      </c>
      <c r="AC60" s="503"/>
      <c r="AD60" s="488">
        <f t="shared" si="4"/>
        <v>323504</v>
      </c>
      <c r="AF60" s="555">
        <f t="shared" si="19"/>
        <v>161.31646421001244</v>
      </c>
      <c r="AH60" s="555">
        <f t="shared" si="20"/>
        <v>32.312388637154143</v>
      </c>
      <c r="AJ60" s="555">
        <f t="shared" si="21"/>
        <v>3.2975444858303442</v>
      </c>
      <c r="AL60" s="558">
        <f t="shared" si="15"/>
        <v>14542.644172066257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18"/>
        <v>3.7211022935962879</v>
      </c>
      <c r="AS60" s="555"/>
      <c r="AT60" s="558">
        <f t="shared" si="6"/>
        <v>8384.4981643354167</v>
      </c>
      <c r="AV60" s="558">
        <f t="shared" si="7"/>
        <v>18218.583778057848</v>
      </c>
      <c r="AW60" s="560"/>
      <c r="AX60" s="561">
        <f t="shared" si="8"/>
        <v>26603.081942393263</v>
      </c>
      <c r="AZ60" s="430">
        <f>+IF(AZ59&gt;$I$13+$I$14,XX,AZ59+1)</f>
        <v>2041</v>
      </c>
      <c r="BA60" s="503"/>
      <c r="BB60" s="555">
        <f t="shared" si="16"/>
        <v>76.805851085672373</v>
      </c>
      <c r="BD60" s="555">
        <f t="shared" si="17"/>
        <v>11.677807080786923</v>
      </c>
      <c r="BF60" s="558">
        <f t="shared" si="9"/>
        <v>6158.1460077308402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743">
        <v>323504</v>
      </c>
      <c r="I61" s="726">
        <v>118.28710754372037</v>
      </c>
      <c r="K61" s="625">
        <v>22.650707698800346</v>
      </c>
      <c r="M61" s="553">
        <f t="shared" si="11"/>
        <v>0</v>
      </c>
      <c r="O61" s="625">
        <v>1.0199999999999998</v>
      </c>
      <c r="Q61" s="625">
        <v>0</v>
      </c>
      <c r="S61" s="475">
        <f t="shared" si="0"/>
        <v>19367.992270221024</v>
      </c>
      <c r="U61" s="475">
        <f t="shared" si="1"/>
        <v>27205.328485300008</v>
      </c>
      <c r="W61" s="475">
        <f t="shared" si="2"/>
        <v>-7837.3362150789835</v>
      </c>
      <c r="Y61" s="554">
        <f t="shared" si="3"/>
        <v>-24.226396629033903</v>
      </c>
      <c r="Z61" s="516"/>
      <c r="AB61" s="423">
        <f>+IF(AB60&gt;$I$13+$I$14,XX,AB60+1)</f>
        <v>2042</v>
      </c>
      <c r="AC61" s="503"/>
      <c r="AD61" s="488">
        <f t="shared" si="4"/>
        <v>323504</v>
      </c>
      <c r="AF61" s="555">
        <f t="shared" si="19"/>
        <v>164.86542642263271</v>
      </c>
      <c r="AH61" s="555">
        <f t="shared" si="20"/>
        <v>33.023261187171535</v>
      </c>
      <c r="AJ61" s="555">
        <f t="shared" si="21"/>
        <v>3.3700904645186118</v>
      </c>
      <c r="AL61" s="558">
        <f t="shared" si="15"/>
        <v>14862.582343851713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18"/>
        <v>3.8029665440554061</v>
      </c>
      <c r="AS61" s="555"/>
      <c r="AT61" s="558">
        <f t="shared" si="6"/>
        <v>8568.9571239507932</v>
      </c>
      <c r="AV61" s="558">
        <f t="shared" si="7"/>
        <v>18636.371361349215</v>
      </c>
      <c r="AW61" s="560"/>
      <c r="AX61" s="561">
        <f t="shared" si="8"/>
        <v>27205.328485300008</v>
      </c>
      <c r="AZ61" s="430">
        <f>+IF(AZ60&gt;$I$13+$I$14,XX,AZ60+1)</f>
        <v>2042</v>
      </c>
      <c r="BA61" s="503"/>
      <c r="BB61" s="555">
        <f t="shared" si="16"/>
        <v>78.495579809557171</v>
      </c>
      <c r="BD61" s="555">
        <f t="shared" si="17"/>
        <v>11.934718836564237</v>
      </c>
      <c r="BF61" s="558">
        <f t="shared" si="9"/>
        <v>6293.6252199009186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743">
        <v>323504</v>
      </c>
      <c r="I62" s="726">
        <v>120.53456258705103</v>
      </c>
      <c r="K62" s="625">
        <v>23.171673975872761</v>
      </c>
      <c r="M62" s="553">
        <f t="shared" si="11"/>
        <v>0</v>
      </c>
      <c r="O62" s="625">
        <v>1.05</v>
      </c>
      <c r="Q62" s="625">
        <v>0</v>
      </c>
      <c r="S62" s="475">
        <f t="shared" si="0"/>
        <v>19768.730114008791</v>
      </c>
      <c r="U62" s="475">
        <f t="shared" si="1"/>
        <v>27803.84571197661</v>
      </c>
      <c r="W62" s="475">
        <f t="shared" si="2"/>
        <v>-8035.1155979678188</v>
      </c>
      <c r="Y62" s="554">
        <f t="shared" si="3"/>
        <v>-24.837762741628598</v>
      </c>
      <c r="Z62" s="516"/>
      <c r="AB62" s="423">
        <f>+IF(AB61&gt;$I$13+$I$14,XX,AB61+1)</f>
        <v>2043</v>
      </c>
      <c r="AC62" s="503"/>
      <c r="AD62" s="488">
        <f t="shared" si="4"/>
        <v>323504</v>
      </c>
      <c r="AF62" s="555">
        <f t="shared" si="19"/>
        <v>168.49246580393063</v>
      </c>
      <c r="AH62" s="555">
        <f t="shared" si="20"/>
        <v>33.749772933289307</v>
      </c>
      <c r="AJ62" s="555">
        <f t="shared" si="21"/>
        <v>3.4442324547380214</v>
      </c>
      <c r="AL62" s="558">
        <f t="shared" si="15"/>
        <v>15189.559155416453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18"/>
        <v>3.8866318080246249</v>
      </c>
      <c r="AS62" s="555"/>
      <c r="AT62" s="558">
        <f t="shared" si="6"/>
        <v>8757.4741806777129</v>
      </c>
      <c r="AV62" s="558">
        <f t="shared" si="7"/>
        <v>19046.371531298897</v>
      </c>
      <c r="AW62" s="560"/>
      <c r="AX62" s="561">
        <f t="shared" si="8"/>
        <v>27803.84571197661</v>
      </c>
      <c r="AZ62" s="430">
        <f>+IF(AZ61&gt;$I$13+$I$14,XX,AZ61+1)</f>
        <v>2043</v>
      </c>
      <c r="BA62" s="503"/>
      <c r="BB62" s="555">
        <f t="shared" si="16"/>
        <v>80.222482565367429</v>
      </c>
      <c r="BD62" s="555">
        <f t="shared" si="17"/>
        <v>12.197282650968651</v>
      </c>
      <c r="BF62" s="558">
        <f t="shared" si="9"/>
        <v>6432.0849747387392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743">
        <v>323504</v>
      </c>
      <c r="I63" s="726">
        <v>122.824719276205</v>
      </c>
      <c r="K63" s="625">
        <v>23.76956664848856</v>
      </c>
      <c r="M63" s="553">
        <f t="shared" si="11"/>
        <v>0</v>
      </c>
      <c r="O63" s="625">
        <v>1.0700000000000003</v>
      </c>
      <c r="Q63" s="625">
        <v>0</v>
      </c>
      <c r="S63" s="475">
        <f t="shared" si="0"/>
        <v>20195.346377396938</v>
      </c>
      <c r="U63" s="475">
        <f t="shared" si="1"/>
        <v>28425.545132757194</v>
      </c>
      <c r="W63" s="475">
        <f t="shared" si="2"/>
        <v>-8230.1987553602557</v>
      </c>
      <c r="Y63" s="554">
        <f t="shared" si="3"/>
        <v>-25.440794411692764</v>
      </c>
      <c r="Z63" s="516"/>
      <c r="AB63" s="423">
        <f>+IF(AB62&gt;$I$13+$I$14,XX,AB62+1)</f>
        <v>2044</v>
      </c>
      <c r="AC63" s="503"/>
      <c r="AD63" s="488">
        <f t="shared" si="4"/>
        <v>323504</v>
      </c>
      <c r="AF63" s="555">
        <f t="shared" si="19"/>
        <v>172.36779251742101</v>
      </c>
      <c r="AH63" s="555">
        <f t="shared" si="20"/>
        <v>34.526017710754957</v>
      </c>
      <c r="AJ63" s="555">
        <f t="shared" si="21"/>
        <v>3.5234498011969957</v>
      </c>
      <c r="AL63" s="558">
        <f t="shared" si="15"/>
        <v>15538.919015991029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18"/>
        <v>3.9760243396091908</v>
      </c>
      <c r="AS63" s="555"/>
      <c r="AT63" s="558">
        <f t="shared" si="6"/>
        <v>8958.8960868332979</v>
      </c>
      <c r="AV63" s="558">
        <f t="shared" si="7"/>
        <v>19466.649045923896</v>
      </c>
      <c r="AW63" s="560"/>
      <c r="AX63" s="561">
        <f t="shared" si="8"/>
        <v>28425.545132757194</v>
      </c>
      <c r="AZ63" s="430">
        <f>+IF(AZ62&gt;$I$13+$I$14,XX,AZ62+1)</f>
        <v>2044</v>
      </c>
      <c r="BA63" s="503"/>
      <c r="BB63" s="555">
        <f t="shared" si="16"/>
        <v>82.067599664370874</v>
      </c>
      <c r="BD63" s="555">
        <f t="shared" si="17"/>
        <v>12.477820151940929</v>
      </c>
      <c r="BF63" s="558">
        <f t="shared" si="9"/>
        <v>6580.0229291577298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743">
        <v>323504</v>
      </c>
      <c r="I64" s="726">
        <v>125.15838894245289</v>
      </c>
      <c r="K64" s="625">
        <v>24.249828794296135</v>
      </c>
      <c r="M64" s="553">
        <f t="shared" si="11"/>
        <v>0</v>
      </c>
      <c r="O64" s="625">
        <v>1.1000000000000001</v>
      </c>
      <c r="Q64" s="625">
        <v>0</v>
      </c>
      <c r="S64" s="475">
        <f t="shared" si="0"/>
        <v>20591.451519572816</v>
      </c>
      <c r="U64" s="475">
        <f t="shared" si="1"/>
        <v>29061.152281542651</v>
      </c>
      <c r="W64" s="475">
        <f t="shared" si="2"/>
        <v>-8469.7007619698343</v>
      </c>
      <c r="Y64" s="554">
        <f t="shared" si="3"/>
        <v>-26.181131491325715</v>
      </c>
      <c r="Z64" s="516"/>
      <c r="AB64" s="423">
        <f>+IF(AB63&gt;$I$13+$I$14,XX,AB63+1)</f>
        <v>2045</v>
      </c>
      <c r="AC64" s="503"/>
      <c r="AD64" s="488">
        <f t="shared" si="4"/>
        <v>323504</v>
      </c>
      <c r="AF64" s="555">
        <f t="shared" si="19"/>
        <v>176.33225174532168</v>
      </c>
      <c r="AH64" s="555">
        <f t="shared" si="20"/>
        <v>35.32011611810232</v>
      </c>
      <c r="AJ64" s="555">
        <f t="shared" si="21"/>
        <v>3.6044891466245264</v>
      </c>
      <c r="AL64" s="558">
        <f t="shared" si="15"/>
        <v>15896.314153358822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18"/>
        <v>4.0674728994202018</v>
      </c>
      <c r="AS64" s="555"/>
      <c r="AT64" s="558">
        <f t="shared" si="6"/>
        <v>9164.9506968304649</v>
      </c>
      <c r="AV64" s="558">
        <f t="shared" si="7"/>
        <v>19896.201584712184</v>
      </c>
      <c r="AW64" s="560"/>
      <c r="AX64" s="561">
        <f t="shared" si="8"/>
        <v>29061.152281542651</v>
      </c>
      <c r="AZ64" s="430">
        <f>+IF(AZ63&gt;$I$13+$I$14,XX,AZ63+1)</f>
        <v>2045</v>
      </c>
      <c r="BA64" s="503"/>
      <c r="BB64" s="555">
        <f t="shared" si="16"/>
        <v>83.9551544566514</v>
      </c>
      <c r="BD64" s="555">
        <f t="shared" si="17"/>
        <v>12.764810015435568</v>
      </c>
      <c r="BF64" s="558">
        <f t="shared" si="9"/>
        <v>6731.3634565283573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743">
        <v>323504</v>
      </c>
      <c r="I65" s="726">
        <v>127.53639833235947</v>
      </c>
      <c r="K65" s="625">
        <v>24.807574856564941</v>
      </c>
      <c r="M65" s="553">
        <f t="shared" si="11"/>
        <v>0</v>
      </c>
      <c r="O65" s="625">
        <v>1.1200000000000001</v>
      </c>
      <c r="Q65" s="625">
        <v>0</v>
      </c>
      <c r="S65" s="475">
        <f t="shared" si="0"/>
        <v>21013.777611301772</v>
      </c>
      <c r="U65" s="475">
        <f t="shared" si="1"/>
        <v>29710.978426186273</v>
      </c>
      <c r="W65" s="475">
        <f t="shared" si="2"/>
        <v>-8697.2008148845016</v>
      </c>
      <c r="Y65" s="554">
        <f t="shared" si="3"/>
        <v>-26.884368709148891</v>
      </c>
      <c r="Z65" s="516"/>
      <c r="AB65" s="423">
        <f>+IF(AB64&gt;$I$13+$I$14,XX,AB64+1)</f>
        <v>2046</v>
      </c>
      <c r="AC65" s="503"/>
      <c r="AD65" s="488">
        <f t="shared" si="4"/>
        <v>323504</v>
      </c>
      <c r="AF65" s="555">
        <f t="shared" si="19"/>
        <v>180.38789353546406</v>
      </c>
      <c r="AH65" s="555">
        <f t="shared" si="20"/>
        <v>36.132478788818666</v>
      </c>
      <c r="AJ65" s="555">
        <f t="shared" si="21"/>
        <v>3.68739239699689</v>
      </c>
      <c r="AL65" s="558">
        <f t="shared" si="15"/>
        <v>16261.929378886074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18"/>
        <v>4.1610247761068662</v>
      </c>
      <c r="AS65" s="555"/>
      <c r="AT65" s="558">
        <f t="shared" si="6"/>
        <v>9375.7445628575661</v>
      </c>
      <c r="AV65" s="558">
        <f t="shared" si="7"/>
        <v>20335.233863328707</v>
      </c>
      <c r="AW65" s="560"/>
      <c r="AX65" s="561">
        <f t="shared" si="8"/>
        <v>29710.978426186273</v>
      </c>
      <c r="AZ65" s="430">
        <f>+IF(AZ64&gt;$I$13+$I$14,XX,AZ64+1)</f>
        <v>2046</v>
      </c>
      <c r="BA65" s="503"/>
      <c r="BB65" s="555">
        <f t="shared" si="16"/>
        <v>85.886123009154375</v>
      </c>
      <c r="BD65" s="555">
        <f t="shared" si="17"/>
        <v>13.058400645790584</v>
      </c>
      <c r="BF65" s="558">
        <f t="shared" si="9"/>
        <v>6886.184816028509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743">
        <v>323504</v>
      </c>
      <c r="I66" s="726">
        <v>129.9595899006743</v>
      </c>
      <c r="K66" s="625">
        <v>25.378149078265938</v>
      </c>
      <c r="M66" s="553">
        <f t="shared" si="11"/>
        <v>0</v>
      </c>
      <c r="O66" s="625">
        <v>1.1499999999999997</v>
      </c>
      <c r="Q66" s="625">
        <v>0</v>
      </c>
      <c r="S66" s="475">
        <f t="shared" si="0"/>
        <v>21447.961739582101</v>
      </c>
      <c r="U66" s="475">
        <f t="shared" si="1"/>
        <v>30375.341804284395</v>
      </c>
      <c r="W66" s="475">
        <f t="shared" si="2"/>
        <v>-8927.3800647022945</v>
      </c>
      <c r="Y66" s="554">
        <f t="shared" si="3"/>
        <v>-27.595887731534368</v>
      </c>
      <c r="Z66" s="516"/>
      <c r="AB66" s="423">
        <f>+IF(AB65&gt;$I$13+$I$14,XX,AB65+1)</f>
        <v>2047</v>
      </c>
      <c r="AC66" s="503"/>
      <c r="AD66" s="488">
        <f t="shared" si="4"/>
        <v>323504</v>
      </c>
      <c r="AF66" s="555">
        <f t="shared" si="19"/>
        <v>184.53681508677971</v>
      </c>
      <c r="AH66" s="555">
        <f t="shared" si="20"/>
        <v>36.963525800961492</v>
      </c>
      <c r="AJ66" s="555">
        <f t="shared" si="21"/>
        <v>3.7722024221278181</v>
      </c>
      <c r="AL66" s="558">
        <f t="shared" si="15"/>
        <v>16635.95375460045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18"/>
        <v>4.256728345957324</v>
      </c>
      <c r="AS66" s="555"/>
      <c r="AT66" s="558">
        <f t="shared" si="6"/>
        <v>9591.3866878032859</v>
      </c>
      <c r="AV66" s="558">
        <f t="shared" si="7"/>
        <v>20783.955116481109</v>
      </c>
      <c r="AW66" s="560"/>
      <c r="AX66" s="561">
        <f t="shared" si="8"/>
        <v>30375.341804284395</v>
      </c>
      <c r="AZ66" s="430">
        <f>+IF(AZ65&gt;$I$13+$I$14,XX,AZ65+1)</f>
        <v>2047</v>
      </c>
      <c r="BA66" s="503"/>
      <c r="BB66" s="555">
        <f t="shared" si="16"/>
        <v>87.861503838364911</v>
      </c>
      <c r="BD66" s="555">
        <f t="shared" si="17"/>
        <v>13.358743860643767</v>
      </c>
      <c r="BF66" s="558">
        <f t="shared" si="9"/>
        <v>7044.5670667971635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743">
        <v>323504</v>
      </c>
      <c r="I67" s="726">
        <v>132.42882210878713</v>
      </c>
      <c r="K67" s="625">
        <v>26.032974853660765</v>
      </c>
      <c r="M67" s="553">
        <f t="shared" si="11"/>
        <v>0</v>
      </c>
      <c r="O67" s="625">
        <v>1.17</v>
      </c>
      <c r="Q67" s="625">
        <v>0</v>
      </c>
      <c r="S67" s="475">
        <f t="shared" si="0"/>
        <v>21910.724565828594</v>
      </c>
      <c r="U67" s="475">
        <f t="shared" si="1"/>
        <v>31043.599323978659</v>
      </c>
      <c r="W67" s="475">
        <f t="shared" si="2"/>
        <v>-9132.8747581500647</v>
      </c>
      <c r="Y67" s="554">
        <f t="shared" si="3"/>
        <v>-28.231103040920871</v>
      </c>
      <c r="Z67" s="516"/>
      <c r="AB67" s="423">
        <f>+IF(AB66&gt;$I$13+$I$14,XX,AB66+1)</f>
        <v>2048</v>
      </c>
      <c r="AC67" s="503"/>
      <c r="AD67" s="488">
        <f t="shared" si="4"/>
        <v>323504</v>
      </c>
      <c r="AF67" s="555">
        <f t="shared" si="19"/>
        <v>188.59662501868885</v>
      </c>
      <c r="AH67" s="555">
        <f t="shared" si="20"/>
        <v>37.776723368582644</v>
      </c>
      <c r="AJ67" s="555">
        <f t="shared" si="21"/>
        <v>3.85519087541463</v>
      </c>
      <c r="AL67" s="558">
        <f>((AF67+AH67)*$AF$11*1000+AJ67*AD67)/1000</f>
        <v>17001.944737201662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18"/>
        <v>4.3503763695683855</v>
      </c>
      <c r="AS67" s="555"/>
      <c r="AT67" s="558">
        <f t="shared" si="6"/>
        <v>9802.3971949349616</v>
      </c>
      <c r="AV67" s="558">
        <f t="shared" si="7"/>
        <v>21241.202129043697</v>
      </c>
      <c r="AW67" s="560"/>
      <c r="AX67" s="561">
        <f>AT67+AV67</f>
        <v>31043.599323978659</v>
      </c>
      <c r="AZ67" s="430">
        <f>+IF(AZ66&gt;$I$13+$I$14,XX,AZ66+1)</f>
        <v>2048</v>
      </c>
      <c r="BA67" s="503"/>
      <c r="BB67" s="555">
        <f t="shared" si="16"/>
        <v>89.794456922808934</v>
      </c>
      <c r="BD67" s="555">
        <f t="shared" si="17"/>
        <v>13.652636225577929</v>
      </c>
      <c r="BF67" s="558">
        <f t="shared" si="9"/>
        <v>7199.5475422667014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743">
        <v>161310.05464480867</v>
      </c>
      <c r="I68" s="726">
        <v>67.472484864427045</v>
      </c>
      <c r="K68" s="625">
        <v>13.279484488364286</v>
      </c>
      <c r="M68" s="553">
        <f t="shared" si="11"/>
        <v>0</v>
      </c>
      <c r="O68" s="625">
        <v>1.2000000000000002</v>
      </c>
      <c r="Q68" s="625">
        <v>0</v>
      </c>
      <c r="S68" s="475">
        <f t="shared" si="0"/>
        <v>9015.4624356249788</v>
      </c>
      <c r="U68" s="475">
        <f t="shared" si="1"/>
        <v>16258.942926848411</v>
      </c>
      <c r="W68" s="475">
        <f t="shared" si="2"/>
        <v>-7243.4804912234322</v>
      </c>
      <c r="Y68" s="554">
        <f t="shared" si="3"/>
        <v>-44.904085533744158</v>
      </c>
      <c r="Z68" s="516"/>
      <c r="AB68" s="423">
        <f>+IF(AB67&gt;$I$13+$I$14,XX,AB67+1)</f>
        <v>2049</v>
      </c>
      <c r="AC68" s="503"/>
      <c r="AD68" s="488">
        <f t="shared" si="4"/>
        <v>161310.05464480867</v>
      </c>
      <c r="AF68" s="555">
        <f t="shared" si="19"/>
        <v>192.7457507691</v>
      </c>
      <c r="AH68" s="555">
        <f t="shared" si="20"/>
        <v>38.607811282691465</v>
      </c>
      <c r="AJ68" s="555">
        <f t="shared" si="21"/>
        <v>3.9400050746737518</v>
      </c>
      <c r="AL68" s="558">
        <f>((AF68+AH68)*$AR$11*1000+AJ68*AD68)/1000</f>
        <v>12792.282659584369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18"/>
        <v>4.4460846496988902</v>
      </c>
      <c r="AS68" s="555"/>
      <c r="AT68" s="558">
        <f t="shared" si="6"/>
        <v>5434.345071387801</v>
      </c>
      <c r="AV68" s="558">
        <f t="shared" si="7"/>
        <v>10824.59785546061</v>
      </c>
      <c r="AW68" s="560"/>
      <c r="AX68" s="561">
        <f t="shared" si="8"/>
        <v>16258.942926848411</v>
      </c>
      <c r="AZ68" s="430">
        <f>+IF(AZ67&gt;$I$13+$I$14,XX,AZ67+1)</f>
        <v>2049</v>
      </c>
      <c r="BA68" s="503"/>
      <c r="BB68" s="555">
        <f t="shared" si="16"/>
        <v>91.769934975110729</v>
      </c>
      <c r="BD68" s="555">
        <f t="shared" si="17"/>
        <v>13.952994222540644</v>
      </c>
      <c r="BF68" s="558">
        <f t="shared" si="9"/>
        <v>7357.937588196568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308295.19216592406</v>
      </c>
      <c r="I70" s="617">
        <f>+-PMT($I$18,41,NPV($I$18,I28:I68))</f>
        <v>216.98948392318408</v>
      </c>
      <c r="J70" s="553"/>
      <c r="K70" s="617">
        <f>+-PMT($I$18,41,NPV($I$18,K28:K68))</f>
        <v>12.391138628673955</v>
      </c>
      <c r="M70" s="553">
        <f>+-PMT($G$18,$G$14,NPV($G$18,M28:M51))</f>
        <v>0</v>
      </c>
      <c r="O70" s="617">
        <f>+-PMT($I$18,41,NPV($I$18,O28:O68))</f>
        <v>3.2245428273260783</v>
      </c>
      <c r="Q70" s="617">
        <f>+-PMT($I$18,41,NPV($I$18,Q28:Q68))</f>
        <v>-30.449620160483835</v>
      </c>
      <c r="S70" s="617">
        <f>+-PMT($I$18,41,NPV($I$18,S28:S68))</f>
        <v>16990.625702525427</v>
      </c>
      <c r="U70" s="617">
        <f>+-PMT($I$18,41,NPV($I$18,U28:U68))</f>
        <v>19410.26634290806</v>
      </c>
      <c r="W70" s="626">
        <f>+-PMT($I$18,41,NPV($I$18,W28:W68))</f>
        <v>-2419.64064038263</v>
      </c>
      <c r="Y70" s="617">
        <f>+-PMT($I$18,41,NPV($I$18,Y28:Y68))</f>
        <v>-8.8136173210603506</v>
      </c>
      <c r="Z70" s="516"/>
      <c r="AB70" s="526"/>
      <c r="AD70" s="617">
        <f>+-PMT($I$18,41,NPV($I$18,AD28:AD68))</f>
        <v>308295.19216592406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8497.5342796891891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4396.832809016998</v>
      </c>
      <c r="AV70" s="618">
        <f>+-PMT($I$18,41,NPV($I$18,AV28:AV68))</f>
        <v>15013.433533891051</v>
      </c>
      <c r="AW70" s="560"/>
      <c r="AX70" s="618">
        <f>+-PMT($I$18,41,NPV($I$18,AX28:AX68))</f>
        <v>19410.26634290806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4100.7014706721939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145C8-7359-4F4F-BBB1-91B31A61283D}">
  <sheetPr codeName="Sheet16">
    <tabColor theme="0" tint="-0.249977111117893"/>
    <pageSetUpPr fitToPage="1"/>
  </sheetPr>
  <dimension ref="A1:BH84"/>
  <sheetViews>
    <sheetView topLeftCell="C45" workbookViewId="0">
      <selection activeCell="I39" sqref="I39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309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'[5]New_Sage Solar I'!$X$12</f>
        <v>20</v>
      </c>
      <c r="H11" s="275"/>
      <c r="AB11" s="129" t="s">
        <v>99</v>
      </c>
      <c r="AC11" s="130"/>
      <c r="AD11" s="130"/>
      <c r="AE11" s="130"/>
      <c r="AF11" s="312">
        <f>+G11*(G12/AJ16)</f>
        <v>7.6251487361344221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-4.3148512638655774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'[5]New_Sage Solar I'!$X$13</f>
        <v>0.26600000000000001</v>
      </c>
      <c r="H12" s="275"/>
      <c r="AB12" s="129" t="s">
        <v>32</v>
      </c>
      <c r="AC12" s="130"/>
      <c r="AD12" s="130"/>
      <c r="AE12" s="130"/>
      <c r="AF12" s="138">
        <f>+AD58/8760/AF11</f>
        <v>0.66350431319357084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'(2.2)_Forward_Price_Curve'!E84</f>
        <v>0.59699999999999998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2019</v>
      </c>
      <c r="D28" s="6"/>
      <c r="E28" s="292">
        <f>'(2.2)_Forward_Price_Curve'!P31</f>
        <v>1.9E-2</v>
      </c>
      <c r="F28" s="6"/>
      <c r="G28" s="20">
        <v>7680</v>
      </c>
      <c r="H28" s="6"/>
      <c r="I28" s="293">
        <f>$G$15*(1+E28)</f>
        <v>0</v>
      </c>
      <c r="J28" s="293"/>
      <c r="K28" s="293">
        <v>46.511573151828316</v>
      </c>
      <c r="L28" s="294"/>
      <c r="M28" s="293">
        <f>$G$17</f>
        <v>0</v>
      </c>
      <c r="N28" s="6"/>
      <c r="O28" s="295">
        <f>'(2.2)_Forward_Price_Curve'!Z31</f>
        <v>0.85</v>
      </c>
      <c r="P28" s="6"/>
      <c r="Q28" s="30"/>
      <c r="R28" s="6"/>
      <c r="S28" s="20">
        <f>(I28*$G$11*1000+(K28+M28+O28+Q28)*G28)/1000</f>
        <v>363.73688180604148</v>
      </c>
      <c r="T28" s="6"/>
      <c r="U28" s="20">
        <f t="shared" ref="U28:U47" si="0">AX28</f>
        <v>1282.7044337034572</v>
      </c>
      <c r="V28" s="6"/>
      <c r="W28" s="20">
        <f t="shared" ref="W28:W47" si="1">S28-U28</f>
        <v>-918.96755189741566</v>
      </c>
      <c r="X28" s="6"/>
      <c r="Y28" s="296">
        <f>+W28*1000/G28</f>
        <v>-119.657233319976</v>
      </c>
      <c r="Z28" s="255"/>
      <c r="AB28" s="154">
        <f>$C$28</f>
        <v>2019</v>
      </c>
      <c r="AC28" s="124"/>
      <c r="AD28" s="159">
        <f t="shared" ref="AD28:AD47" si="2">G28</f>
        <v>7680</v>
      </c>
      <c r="AE28" s="3"/>
      <c r="AF28" s="160">
        <f>$AF$15*$AF$16*(1+E28)</f>
        <v>93.459428720318471</v>
      </c>
      <c r="AG28" s="297"/>
      <c r="AH28" s="160">
        <f>$AJ$11*(1+E28)</f>
        <v>19.580361122485801</v>
      </c>
      <c r="AI28" s="297"/>
      <c r="AJ28" s="160">
        <f>$AJ$13*(1+E28)</f>
        <v>2.2522833937355777</v>
      </c>
      <c r="AK28" s="298"/>
      <c r="AL28" s="161">
        <f>((AF28+AH28)*$AF$11*1000+AJ28*AD28)/1000</f>
        <v>879.24274711664884</v>
      </c>
      <c r="AM28" s="3"/>
      <c r="AN28" s="162">
        <f>INDEX('(2.2)_Forward_Price_Curve'!$H:$H,MATCH($AB28,'(2.2)_Forward_Price_Curve'!$C:$C,0),1)</f>
        <v>1.9742583333333332</v>
      </c>
      <c r="AO28" s="310"/>
      <c r="AP28" s="162">
        <f>AN28*$AF$14/1000+$AJ$14/(1+E29)</f>
        <v>12.834453669759327</v>
      </c>
      <c r="AQ28" s="297"/>
      <c r="AR28" s="160">
        <f>$AJ$15*(1+E28)</f>
        <v>2.3249328704020966</v>
      </c>
      <c r="AS28" s="160"/>
      <c r="AT28" s="161">
        <f t="shared" ref="AT28:AT47" si="3">AL28-BF28</f>
        <v>1166.2803450750175</v>
      </c>
      <c r="AU28" s="298"/>
      <c r="AV28" s="161">
        <f t="shared" ref="AV28:AV47" si="4">(AP28+AR28)*AD28/1000</f>
        <v>116.42408862843975</v>
      </c>
      <c r="AW28" s="299"/>
      <c r="AX28" s="163">
        <f>AT28+AV28</f>
        <v>1282.7044337034572</v>
      </c>
      <c r="AZ28" s="154">
        <f>$C$28</f>
        <v>2019</v>
      </c>
      <c r="BA28" s="124"/>
      <c r="BB28" s="160">
        <f>$BD$14*$BD$15*(1+E28)</f>
        <v>59.787583199999986</v>
      </c>
      <c r="BC28" s="3"/>
      <c r="BD28" s="160">
        <f>$BB$16*(1+E28)</f>
        <v>6.7355899999999993</v>
      </c>
      <c r="BE28" s="297"/>
      <c r="BF28" s="161">
        <f>(BB28+BD28)*$BD$11</f>
        <v>-287.03759795836868</v>
      </c>
      <c r="BG28" s="297"/>
      <c r="BH28" s="164"/>
    </row>
    <row r="29" spans="1:60" ht="12">
      <c r="B29" s="2"/>
      <c r="C29" s="6">
        <f>+IF(C28&gt;$G$13+$G$14,XX,C28+1)</f>
        <v>2020</v>
      </c>
      <c r="D29" s="6"/>
      <c r="E29" s="292">
        <f>'(2.2)_Forward_Price_Curve'!P32</f>
        <v>2.5000000000000001E-2</v>
      </c>
      <c r="F29" s="6"/>
      <c r="G29" s="20">
        <v>49590</v>
      </c>
      <c r="H29" s="6"/>
      <c r="I29" s="30">
        <f>I28*(1+$E29)</f>
        <v>0</v>
      </c>
      <c r="J29" s="6"/>
      <c r="K29" s="30">
        <v>46.511573151828316</v>
      </c>
      <c r="L29" s="6"/>
      <c r="M29" s="30">
        <f>M28*(1+$E29)</f>
        <v>0</v>
      </c>
      <c r="N29" s="6"/>
      <c r="O29" s="295">
        <f>'(2.2)_Forward_Price_Curve'!Z32</f>
        <v>0.87222518878125355</v>
      </c>
      <c r="P29" s="6"/>
      <c r="Q29" s="30"/>
      <c r="R29" s="6"/>
      <c r="S29" s="20">
        <f t="shared" ref="S29:S47" si="5">(I29*$G$11*1000+(K29+M29+O29+Q29)*G29)/1000</f>
        <v>2349.7625597108286</v>
      </c>
      <c r="T29" s="6"/>
      <c r="U29" s="20">
        <f t="shared" si="0"/>
        <v>2018.0489448742817</v>
      </c>
      <c r="V29" s="6"/>
      <c r="W29" s="20">
        <f t="shared" si="1"/>
        <v>331.71361483654687</v>
      </c>
      <c r="X29" s="6"/>
      <c r="Y29" s="296">
        <f t="shared" ref="Y29:Y47" si="6">+W29*1000/G29</f>
        <v>6.6891231062017926</v>
      </c>
      <c r="Z29" s="255"/>
      <c r="AB29" s="154">
        <f>+IF(AB28&gt;$G$13+$G$14,XX,AB28+1)</f>
        <v>2020</v>
      </c>
      <c r="AC29" s="124"/>
      <c r="AD29" s="159">
        <f t="shared" si="2"/>
        <v>49590</v>
      </c>
      <c r="AE29" s="3"/>
      <c r="AF29" s="162">
        <f>AF28*(1+$E29)</f>
        <v>95.79591443832642</v>
      </c>
      <c r="AG29" s="3"/>
      <c r="AH29" s="162">
        <f>AH28*(1+$E29)</f>
        <v>20.069870150547946</v>
      </c>
      <c r="AI29" s="3"/>
      <c r="AJ29" s="162">
        <f>AJ28*(1+$E29)</f>
        <v>2.3085904785789668</v>
      </c>
      <c r="AK29" s="3"/>
      <c r="AL29" s="161">
        <f t="shared" ref="AL29:AL47" si="7">((AF29+AH29)*$AF$11*1000+AJ29*AD29)/1000</f>
        <v>997.9768427518095</v>
      </c>
      <c r="AM29" s="3"/>
      <c r="AN29" s="162">
        <f>INDEX('(2.2)_Forward_Price_Curve'!$H:$H,MATCH($AB29,'(2.2)_Forward_Price_Curve'!$C:$C,0),1)</f>
        <v>1.8849916666666668</v>
      </c>
      <c r="AO29" s="3"/>
      <c r="AP29" s="162">
        <f>AN29*$AF$14/1000+$AJ$14</f>
        <v>12.254140101750828</v>
      </c>
      <c r="AQ29" s="3"/>
      <c r="AR29" s="162">
        <f>AR28*(1+$E29)</f>
        <v>2.3830561921621487</v>
      </c>
      <c r="AS29" s="162"/>
      <c r="AT29" s="161">
        <f t="shared" si="3"/>
        <v>1292.1903806591372</v>
      </c>
      <c r="AU29" s="3"/>
      <c r="AV29" s="161">
        <f t="shared" si="4"/>
        <v>725.8585642151445</v>
      </c>
      <c r="AW29" s="299"/>
      <c r="AX29" s="163">
        <f t="shared" ref="AX29:AX47" si="8">AT29+AV29</f>
        <v>2018.0489448742817</v>
      </c>
      <c r="AZ29" s="154">
        <f>+IF(AZ28&gt;$G$13+$G$14,XX,AZ28+1)</f>
        <v>2020</v>
      </c>
      <c r="BA29" s="124"/>
      <c r="BB29" s="162">
        <f>BB28*(1+$E29)</f>
        <v>61.282272779999978</v>
      </c>
      <c r="BC29" s="3"/>
      <c r="BD29" s="162">
        <f>BD28*(1+$E29)</f>
        <v>6.9039797499999986</v>
      </c>
      <c r="BE29" s="3"/>
      <c r="BF29" s="161">
        <f t="shared" ref="BF29:BF47" si="9">(BB29+BD29)*$BD$11</f>
        <v>-294.2135379073278</v>
      </c>
      <c r="BG29" s="3"/>
      <c r="BH29" s="165"/>
    </row>
    <row r="30" spans="1:60" ht="12">
      <c r="B30" s="2"/>
      <c r="C30" s="6">
        <f>+IF(C29&gt;$G$13+$G$14,XX,C29+1)</f>
        <v>2021</v>
      </c>
      <c r="D30" s="6"/>
      <c r="E30" s="292">
        <f>'(2.2)_Forward_Price_Curve'!P33</f>
        <v>2.4E-2</v>
      </c>
      <c r="F30" s="6"/>
      <c r="G30" s="20">
        <v>49280</v>
      </c>
      <c r="H30" s="6"/>
      <c r="I30" s="30">
        <f t="shared" ref="I30:I47" si="10">I29*(1+$E30)</f>
        <v>0</v>
      </c>
      <c r="J30" s="6"/>
      <c r="K30" s="30">
        <v>46.511573151828316</v>
      </c>
      <c r="L30" s="6"/>
      <c r="M30" s="30">
        <f t="shared" ref="M30:M46" si="11">M29*(1+$E30)</f>
        <v>0</v>
      </c>
      <c r="N30" s="6"/>
      <c r="O30" s="295">
        <f>'(2.2)_Forward_Price_Curve'!Z33</f>
        <v>0.89441110644161892</v>
      </c>
      <c r="P30" s="6"/>
      <c r="Q30" s="30"/>
      <c r="R30" s="6"/>
      <c r="S30" s="20">
        <f t="shared" si="5"/>
        <v>2336.1669042475423</v>
      </c>
      <c r="T30" s="6"/>
      <c r="U30" s="20">
        <f t="shared" si="0"/>
        <v>2067.6522271184399</v>
      </c>
      <c r="V30" s="6"/>
      <c r="W30" s="20">
        <f t="shared" si="1"/>
        <v>268.51467712910244</v>
      </c>
      <c r="X30" s="6"/>
      <c r="Y30" s="296">
        <f t="shared" si="6"/>
        <v>5.4487556235613326</v>
      </c>
      <c r="Z30" s="255"/>
      <c r="AB30" s="154">
        <f>+IF(AB29&gt;$G$13+$G$14,XX,AB29+1)</f>
        <v>2021</v>
      </c>
      <c r="AC30" s="124"/>
      <c r="AD30" s="159">
        <f t="shared" si="2"/>
        <v>49280</v>
      </c>
      <c r="AE30" s="3"/>
      <c r="AF30" s="162">
        <f>AF29*(1+$E30)</f>
        <v>98.095016384846261</v>
      </c>
      <c r="AG30" s="3"/>
      <c r="AH30" s="162">
        <f t="shared" ref="AH30:AH47" si="12">AH29*(1+$E30)</f>
        <v>20.551547034161096</v>
      </c>
      <c r="AI30" s="3"/>
      <c r="AJ30" s="162">
        <f t="shared" ref="AJ30:AJ47" si="13">AJ29*(1+$E30)</f>
        <v>2.3639966500648621</v>
      </c>
      <c r="AK30" s="3"/>
      <c r="AL30" s="161">
        <f t="shared" si="7"/>
        <v>1021.1954480163329</v>
      </c>
      <c r="AM30" s="3"/>
      <c r="AN30" s="162">
        <f>INDEX('(2.2)_Forward_Price_Curve'!$H:$H,MATCH($AB30,'(2.2)_Forward_Price_Curve'!$C:$C,0),1)</f>
        <v>1.9506749999999997</v>
      </c>
      <c r="AO30" s="3"/>
      <c r="AP30" s="162">
        <f>AN30*$AF$14/1000+$AJ$14*(1+E30)</f>
        <v>12.681140805918394</v>
      </c>
      <c r="AQ30" s="3"/>
      <c r="AR30" s="162">
        <f t="shared" ref="AR30:AR47" si="14">AR29*(1+$E30)</f>
        <v>2.4402495407740403</v>
      </c>
      <c r="AS30" s="162"/>
      <c r="AT30" s="161">
        <f t="shared" si="3"/>
        <v>1322.4701108334366</v>
      </c>
      <c r="AU30" s="3"/>
      <c r="AV30" s="161">
        <f t="shared" si="4"/>
        <v>745.18211628500319</v>
      </c>
      <c r="AW30" s="299"/>
      <c r="AX30" s="163">
        <f t="shared" si="8"/>
        <v>2067.6522271184399</v>
      </c>
      <c r="AZ30" s="154">
        <f>+IF(AZ29&gt;$G$13+$G$14,XX,AZ29+1)</f>
        <v>2021</v>
      </c>
      <c r="BA30" s="124"/>
      <c r="BB30" s="162">
        <f t="shared" ref="BB30:BB47" si="15">BB29*(1+$E30)</f>
        <v>62.75304732671998</v>
      </c>
      <c r="BC30" s="3"/>
      <c r="BD30" s="162">
        <f t="shared" ref="BD30:BD47" si="16">BD29*(1+$E30)</f>
        <v>7.0696752639999989</v>
      </c>
      <c r="BE30" s="3"/>
      <c r="BF30" s="161">
        <f t="shared" si="9"/>
        <v>-301.27466281710372</v>
      </c>
      <c r="BG30" s="3"/>
      <c r="BH30" s="165"/>
    </row>
    <row r="31" spans="1:60" ht="12">
      <c r="B31" s="2"/>
      <c r="C31" s="6">
        <f>+IF(C30&gt;$G$13+$G$14,XX,C30+1)</f>
        <v>2022</v>
      </c>
      <c r="D31" s="6"/>
      <c r="E31" s="292">
        <f>'(2.2)_Forward_Price_Curve'!P34</f>
        <v>2.4E-2</v>
      </c>
      <c r="F31" s="6"/>
      <c r="G31" s="20">
        <v>49030</v>
      </c>
      <c r="H31" s="6"/>
      <c r="I31" s="30">
        <f t="shared" si="10"/>
        <v>0</v>
      </c>
      <c r="J31" s="6"/>
      <c r="K31" s="30">
        <v>46.511573151828316</v>
      </c>
      <c r="L31" s="6"/>
      <c r="M31" s="30">
        <f t="shared" si="11"/>
        <v>0</v>
      </c>
      <c r="N31" s="6"/>
      <c r="O31" s="295">
        <f>'(2.2)_Forward_Price_Curve'!Z34</f>
        <v>0.91699200095245803</v>
      </c>
      <c r="P31" s="6"/>
      <c r="Q31" s="30"/>
      <c r="R31" s="6"/>
      <c r="S31" s="20">
        <f t="shared" si="5"/>
        <v>2325.4225494408411</v>
      </c>
      <c r="T31" s="6"/>
      <c r="U31" s="20">
        <f t="shared" si="0"/>
        <v>2251.0701065197368</v>
      </c>
      <c r="V31" s="6"/>
      <c r="W31" s="20">
        <f t="shared" si="1"/>
        <v>74.352442921104284</v>
      </c>
      <c r="X31" s="6"/>
      <c r="Y31" s="296">
        <f t="shared" si="6"/>
        <v>1.5164683443015357</v>
      </c>
      <c r="Z31" s="255"/>
      <c r="AB31" s="154">
        <f>+IF(AB30&gt;$G$13+$G$14,XX,AB30+1)</f>
        <v>2022</v>
      </c>
      <c r="AC31" s="124"/>
      <c r="AD31" s="159">
        <f t="shared" si="2"/>
        <v>49030</v>
      </c>
      <c r="AE31" s="3"/>
      <c r="AF31" s="162">
        <f>AF30*(1+$E31)</f>
        <v>100.44929677808257</v>
      </c>
      <c r="AG31" s="3"/>
      <c r="AH31" s="162">
        <f t="shared" si="12"/>
        <v>21.044784162980964</v>
      </c>
      <c r="AI31" s="3"/>
      <c r="AJ31" s="162">
        <f t="shared" si="13"/>
        <v>2.420732569666419</v>
      </c>
      <c r="AK31" s="3"/>
      <c r="AL31" s="161">
        <f t="shared" si="7"/>
        <v>1045.0989556263082</v>
      </c>
      <c r="AM31" s="3"/>
      <c r="AN31" s="162">
        <f>INDEX('(2.2)_Forward_Price_Curve'!$H:$H,MATCH($AB31,'(2.2)_Forward_Price_Curve'!$C:$C,0),1)</f>
        <v>2.431295833333333</v>
      </c>
      <c r="AO31" s="3"/>
      <c r="AP31" s="162">
        <f>AN31*$AF$14/1000+$AJ$14*(1+E31)</f>
        <v>15.805608214255424</v>
      </c>
      <c r="AQ31" s="3"/>
      <c r="AR31" s="162">
        <f t="shared" si="14"/>
        <v>2.4988155297526173</v>
      </c>
      <c r="AS31" s="162"/>
      <c r="AT31" s="161">
        <f t="shared" si="3"/>
        <v>1353.6042103510224</v>
      </c>
      <c r="AU31" s="3"/>
      <c r="AV31" s="161">
        <f t="shared" si="4"/>
        <v>897.46589616871427</v>
      </c>
      <c r="AW31" s="299"/>
      <c r="AX31" s="163">
        <f t="shared" si="8"/>
        <v>2251.0701065197368</v>
      </c>
      <c r="AZ31" s="154">
        <f>+IF(AZ30&gt;$G$13+$G$14,XX,AZ30+1)</f>
        <v>2022</v>
      </c>
      <c r="BA31" s="124"/>
      <c r="BB31" s="162">
        <f t="shared" si="15"/>
        <v>64.259120462561256</v>
      </c>
      <c r="BC31" s="3"/>
      <c r="BD31" s="162">
        <f t="shared" si="16"/>
        <v>7.239347470335999</v>
      </c>
      <c r="BE31" s="3"/>
      <c r="BF31" s="161">
        <f t="shared" si="9"/>
        <v>-308.50525472471418</v>
      </c>
      <c r="BG31" s="3"/>
      <c r="BH31" s="165"/>
    </row>
    <row r="32" spans="1:60" ht="12">
      <c r="B32" s="2"/>
      <c r="C32" s="6">
        <f>+IF(C31&gt;$G$13+$G$14,XX,C31+1)</f>
        <v>2023</v>
      </c>
      <c r="D32" s="6"/>
      <c r="E32" s="292">
        <f>'(2.2)_Forward_Price_Curve'!P35</f>
        <v>2.4E-2</v>
      </c>
      <c r="F32" s="6"/>
      <c r="G32" s="20">
        <v>48790</v>
      </c>
      <c r="H32" s="6"/>
      <c r="I32" s="30">
        <f t="shared" si="10"/>
        <v>0</v>
      </c>
      <c r="J32" s="6"/>
      <c r="K32" s="30">
        <v>46.51157315182833</v>
      </c>
      <c r="L32" s="6"/>
      <c r="M32" s="30">
        <f t="shared" si="11"/>
        <v>0</v>
      </c>
      <c r="N32" s="6"/>
      <c r="O32" s="295">
        <f>'(2.2)_Forward_Price_Curve'!Z35</f>
        <v>0.93952909305922927</v>
      </c>
      <c r="P32" s="6"/>
      <c r="Q32" s="30"/>
      <c r="R32" s="6"/>
      <c r="S32" s="20">
        <f t="shared" si="5"/>
        <v>2315.1392785280641</v>
      </c>
      <c r="T32" s="6"/>
      <c r="U32" s="20">
        <f t="shared" si="0"/>
        <v>2441.9567431963969</v>
      </c>
      <c r="V32" s="6"/>
      <c r="W32" s="20">
        <f t="shared" si="1"/>
        <v>-126.81746466833283</v>
      </c>
      <c r="X32" s="6"/>
      <c r="Y32" s="296">
        <f t="shared" si="6"/>
        <v>-2.599251171722337</v>
      </c>
      <c r="Z32" s="255"/>
      <c r="AB32" s="154">
        <f>+IF(AB31&gt;$G$13+$G$14,XX,AB31+1)</f>
        <v>2023</v>
      </c>
      <c r="AC32" s="124"/>
      <c r="AD32" s="159">
        <f t="shared" si="2"/>
        <v>48790</v>
      </c>
      <c r="AE32" s="3"/>
      <c r="AF32" s="162">
        <f t="shared" ref="AF32:AF47" si="17">AF31*(1+$E32)</f>
        <v>102.86007990075656</v>
      </c>
      <c r="AG32" s="3"/>
      <c r="AH32" s="162">
        <f t="shared" si="12"/>
        <v>21.549858982892509</v>
      </c>
      <c r="AI32" s="3"/>
      <c r="AJ32" s="162">
        <f t="shared" si="13"/>
        <v>2.4788301513384132</v>
      </c>
      <c r="AK32" s="3"/>
      <c r="AL32" s="161">
        <f t="shared" si="7"/>
        <v>1069.5864113250186</v>
      </c>
      <c r="AM32" s="3"/>
      <c r="AN32" s="162">
        <f>INDEX('(2.2)_Forward_Price_Curve'!$H:$H,MATCH($AB32,'(2.2)_Forward_Price_Curve'!$C:$C,0),1)</f>
        <v>2.9371999999999994</v>
      </c>
      <c r="AO32" s="3"/>
      <c r="AP32" s="162">
        <f t="shared" ref="AP32:AP47" si="18">AN32*$AF$14/1000+$AJ$14*(1+E32)</f>
        <v>19.094440014427573</v>
      </c>
      <c r="AQ32" s="3"/>
      <c r="AR32" s="162">
        <f t="shared" si="14"/>
        <v>2.5587871024666802</v>
      </c>
      <c r="AS32" s="162"/>
      <c r="AT32" s="161">
        <f t="shared" si="3"/>
        <v>1385.495792163126</v>
      </c>
      <c r="AU32" s="3"/>
      <c r="AV32" s="161">
        <f t="shared" si="4"/>
        <v>1056.4609510332707</v>
      </c>
      <c r="AW32" s="299"/>
      <c r="AX32" s="163">
        <f t="shared" si="8"/>
        <v>2441.9567431963969</v>
      </c>
      <c r="AZ32" s="154">
        <f>+IF(AZ31&gt;$G$13+$G$14,XX,AZ31+1)</f>
        <v>2023</v>
      </c>
      <c r="BA32" s="124"/>
      <c r="BB32" s="162">
        <f t="shared" si="15"/>
        <v>65.801339353662726</v>
      </c>
      <c r="BC32" s="3"/>
      <c r="BD32" s="162">
        <f t="shared" si="16"/>
        <v>7.4130918096240634</v>
      </c>
      <c r="BE32" s="3"/>
      <c r="BF32" s="161">
        <f t="shared" si="9"/>
        <v>-315.90938083810732</v>
      </c>
      <c r="BG32" s="3"/>
      <c r="BH32" s="165"/>
    </row>
    <row r="33" spans="2:60" ht="12">
      <c r="B33" s="2"/>
      <c r="C33" s="6">
        <f>+IF(C32&gt;$G$13+$G$14,XX,C32+1)</f>
        <v>2024</v>
      </c>
      <c r="D33" s="6"/>
      <c r="E33" s="292">
        <f>'(2.2)_Forward_Price_Curve'!P36</f>
        <v>2.3E-2</v>
      </c>
      <c r="F33" s="6"/>
      <c r="G33" s="20">
        <v>48600</v>
      </c>
      <c r="H33" s="6"/>
      <c r="I33" s="30">
        <f t="shared" si="10"/>
        <v>0</v>
      </c>
      <c r="J33" s="6"/>
      <c r="K33" s="30">
        <v>46.511573151828323</v>
      </c>
      <c r="L33" s="6"/>
      <c r="M33" s="30">
        <f t="shared" si="11"/>
        <v>0</v>
      </c>
      <c r="N33" s="6"/>
      <c r="O33" s="295">
        <f>'(2.2)_Forward_Price_Curve'!Z36</f>
        <v>0.961379129353919</v>
      </c>
      <c r="P33" s="6"/>
      <c r="Q33" s="30"/>
      <c r="R33" s="6"/>
      <c r="S33" s="20">
        <f t="shared" si="5"/>
        <v>2307.1854808654571</v>
      </c>
      <c r="T33" s="6"/>
      <c r="U33" s="20">
        <f t="shared" si="0"/>
        <v>2639.6521166639209</v>
      </c>
      <c r="V33" s="6"/>
      <c r="W33" s="20">
        <f t="shared" si="1"/>
        <v>-332.46663579846381</v>
      </c>
      <c r="X33" s="6"/>
      <c r="Y33" s="296">
        <f t="shared" si="6"/>
        <v>-6.8408772798037827</v>
      </c>
      <c r="Z33" s="255"/>
      <c r="AB33" s="154">
        <f>+IF(AB32&gt;$G$13+$G$14,XX,AB32+1)</f>
        <v>2024</v>
      </c>
      <c r="AC33" s="124"/>
      <c r="AD33" s="159">
        <f t="shared" si="2"/>
        <v>48600</v>
      </c>
      <c r="AE33" s="3"/>
      <c r="AF33" s="162">
        <f t="shared" si="17"/>
        <v>105.22586173847395</v>
      </c>
      <c r="AG33" s="3"/>
      <c r="AH33" s="162">
        <f t="shared" si="12"/>
        <v>22.045505739499035</v>
      </c>
      <c r="AI33" s="3"/>
      <c r="AJ33" s="162">
        <f t="shared" si="13"/>
        <v>2.5358432448191963</v>
      </c>
      <c r="AK33" s="3"/>
      <c r="AL33" s="161">
        <f t="shared" si="7"/>
        <v>1093.7050885689782</v>
      </c>
      <c r="AM33" s="3"/>
      <c r="AN33" s="162">
        <f>INDEX('(2.2)_Forward_Price_Curve'!$H:$H,MATCH($AB33,'(2.2)_Forward_Price_Curve'!$C:$C,0),1)</f>
        <v>3.4675625000000001</v>
      </c>
      <c r="AO33" s="3"/>
      <c r="AP33" s="162">
        <f t="shared" si="18"/>
        <v>22.542272964908253</v>
      </c>
      <c r="AQ33" s="3"/>
      <c r="AR33" s="162">
        <f t="shared" si="14"/>
        <v>2.6176392058234135</v>
      </c>
      <c r="AS33" s="162"/>
      <c r="AT33" s="161">
        <f t="shared" si="3"/>
        <v>1416.880385166362</v>
      </c>
      <c r="AU33" s="3"/>
      <c r="AV33" s="161">
        <f t="shared" si="4"/>
        <v>1222.7717314975589</v>
      </c>
      <c r="AW33" s="299"/>
      <c r="AX33" s="163">
        <f t="shared" si="8"/>
        <v>2639.6521166639209</v>
      </c>
      <c r="AZ33" s="154">
        <f>+IF(AZ32&gt;$G$13+$G$14,XX,AZ32+1)</f>
        <v>2024</v>
      </c>
      <c r="BA33" s="124"/>
      <c r="BB33" s="162">
        <f t="shared" si="15"/>
        <v>67.314770158796961</v>
      </c>
      <c r="BC33" s="3"/>
      <c r="BD33" s="162">
        <f t="shared" si="16"/>
        <v>7.5835929212454163</v>
      </c>
      <c r="BE33" s="3"/>
      <c r="BF33" s="161">
        <f t="shared" si="9"/>
        <v>-323.17529659738375</v>
      </c>
      <c r="BG33" s="3"/>
      <c r="BH33" s="165"/>
    </row>
    <row r="34" spans="2:60" ht="12">
      <c r="B34" s="2"/>
      <c r="C34" s="6">
        <f>+IF(C33&gt;$G$13+$G$14,XX,C33+1)</f>
        <v>2025</v>
      </c>
      <c r="D34" s="6"/>
      <c r="E34" s="292">
        <f>'(2.2)_Forward_Price_Curve'!P37</f>
        <v>2.1999999999999999E-2</v>
      </c>
      <c r="F34" s="6"/>
      <c r="G34" s="20">
        <v>48300</v>
      </c>
      <c r="H34" s="6"/>
      <c r="I34" s="30">
        <f t="shared" si="10"/>
        <v>0</v>
      </c>
      <c r="J34" s="6"/>
      <c r="K34" s="30">
        <v>46.51157315182833</v>
      </c>
      <c r="L34" s="6"/>
      <c r="M34" s="30">
        <f t="shared" si="11"/>
        <v>0</v>
      </c>
      <c r="N34" s="6"/>
      <c r="O34" s="295">
        <f>'(2.2)_Forward_Price_Curve'!Z37</f>
        <v>0.98282248298325492</v>
      </c>
      <c r="P34" s="6"/>
      <c r="Q34" s="30"/>
      <c r="R34" s="6"/>
      <c r="S34" s="20">
        <f t="shared" si="5"/>
        <v>2293.9793091613997</v>
      </c>
      <c r="T34" s="6"/>
      <c r="U34" s="20">
        <f t="shared" si="0"/>
        <v>2777.5635698604565</v>
      </c>
      <c r="V34" s="6"/>
      <c r="W34" s="20">
        <f t="shared" si="1"/>
        <v>-483.58426069905681</v>
      </c>
      <c r="X34" s="6"/>
      <c r="Y34" s="296">
        <f t="shared" si="6"/>
        <v>-10.012096494804489</v>
      </c>
      <c r="Z34" s="255"/>
      <c r="AB34" s="154">
        <f>+IF(AB33&gt;$G$13+$G$14,XX,AB33+1)</f>
        <v>2025</v>
      </c>
      <c r="AC34" s="124"/>
      <c r="AD34" s="159">
        <f t="shared" si="2"/>
        <v>48300</v>
      </c>
      <c r="AE34" s="3"/>
      <c r="AF34" s="162">
        <f t="shared" si="17"/>
        <v>107.54083069672038</v>
      </c>
      <c r="AG34" s="3"/>
      <c r="AH34" s="162">
        <f t="shared" si="12"/>
        <v>22.530506865768015</v>
      </c>
      <c r="AI34" s="3"/>
      <c r="AJ34" s="162">
        <f t="shared" si="13"/>
        <v>2.5916317962052187</v>
      </c>
      <c r="AK34" s="3"/>
      <c r="AL34" s="161">
        <f t="shared" si="7"/>
        <v>1116.9891109786342</v>
      </c>
      <c r="AM34" s="3"/>
      <c r="AN34" s="162">
        <f>INDEX('(2.2)_Forward_Price_Curve'!$H:$H,MATCH($AB34,'(2.2)_Forward_Price_Curve'!$C:$C,0),1)</f>
        <v>3.8251624999999998</v>
      </c>
      <c r="AO34" s="3"/>
      <c r="AP34" s="162">
        <f t="shared" si="18"/>
        <v>24.866994382979648</v>
      </c>
      <c r="AQ34" s="3"/>
      <c r="AR34" s="162">
        <f t="shared" si="14"/>
        <v>2.6752272683515286</v>
      </c>
      <c r="AS34" s="162"/>
      <c r="AT34" s="161">
        <f t="shared" si="3"/>
        <v>1447.2742641011605</v>
      </c>
      <c r="AU34" s="3"/>
      <c r="AV34" s="161">
        <f t="shared" si="4"/>
        <v>1330.2893057592958</v>
      </c>
      <c r="AW34" s="299"/>
      <c r="AX34" s="163">
        <f t="shared" si="8"/>
        <v>2777.5635698604565</v>
      </c>
      <c r="AZ34" s="154">
        <f>+IF(AZ33&gt;$G$13+$G$14,XX,AZ33+1)</f>
        <v>2025</v>
      </c>
      <c r="BA34" s="124"/>
      <c r="BB34" s="162">
        <f t="shared" si="15"/>
        <v>68.795695102290495</v>
      </c>
      <c r="BC34" s="3"/>
      <c r="BD34" s="162">
        <f t="shared" si="16"/>
        <v>7.7504319655128153</v>
      </c>
      <c r="BE34" s="3"/>
      <c r="BF34" s="161">
        <f t="shared" si="9"/>
        <v>-330.2851531225262</v>
      </c>
      <c r="BG34" s="3"/>
      <c r="BH34" s="165"/>
    </row>
    <row r="35" spans="2:60" ht="12">
      <c r="B35" s="2"/>
      <c r="C35" s="6">
        <f>+IF(C34&gt;$G$13+$G$14,XX,C34+1)</f>
        <v>2026</v>
      </c>
      <c r="D35" s="6"/>
      <c r="E35" s="292">
        <f>'(2.2)_Forward_Price_Curve'!P38</f>
        <v>2.1999999999999999E-2</v>
      </c>
      <c r="F35" s="6"/>
      <c r="G35" s="20">
        <v>48060</v>
      </c>
      <c r="H35" s="6"/>
      <c r="I35" s="30">
        <f t="shared" si="10"/>
        <v>0</v>
      </c>
      <c r="J35" s="6"/>
      <c r="K35" s="30">
        <v>46.511573151828308</v>
      </c>
      <c r="L35" s="6"/>
      <c r="M35" s="30">
        <f t="shared" si="11"/>
        <v>0</v>
      </c>
      <c r="N35" s="6"/>
      <c r="O35" s="295">
        <f>'(2.2)_Forward_Price_Curve'!Z38</f>
        <v>1.0045007081240578</v>
      </c>
      <c r="P35" s="6"/>
      <c r="Q35" s="30"/>
      <c r="R35" s="6"/>
      <c r="S35" s="20">
        <f t="shared" si="5"/>
        <v>2283.6225097093106</v>
      </c>
      <c r="T35" s="6"/>
      <c r="U35" s="20">
        <f t="shared" si="0"/>
        <v>2870.3656164666127</v>
      </c>
      <c r="V35" s="6"/>
      <c r="W35" s="20">
        <f t="shared" si="1"/>
        <v>-586.74310675730203</v>
      </c>
      <c r="X35" s="6"/>
      <c r="Y35" s="296">
        <f t="shared" si="6"/>
        <v>-12.208554031570996</v>
      </c>
      <c r="Z35" s="255"/>
      <c r="AB35" s="154">
        <f>+IF(AB34&gt;$G$13+$G$14,XX,AB34+1)</f>
        <v>2026</v>
      </c>
      <c r="AC35" s="124"/>
      <c r="AD35" s="159">
        <f t="shared" si="2"/>
        <v>48060</v>
      </c>
      <c r="AE35" s="3"/>
      <c r="AF35" s="162">
        <f t="shared" si="17"/>
        <v>109.90672897204823</v>
      </c>
      <c r="AG35" s="3"/>
      <c r="AH35" s="162">
        <f t="shared" si="12"/>
        <v>23.02617801681491</v>
      </c>
      <c r="AI35" s="3"/>
      <c r="AJ35" s="162">
        <f t="shared" si="13"/>
        <v>2.6486476957217335</v>
      </c>
      <c r="AK35" s="3"/>
      <c r="AL35" s="161">
        <f t="shared" si="7"/>
        <v>1140.9271959731909</v>
      </c>
      <c r="AM35" s="3"/>
      <c r="AN35" s="162">
        <f>INDEX('(2.2)_Forward_Price_Curve'!$H:$H,MATCH($AB35,'(2.2)_Forward_Price_Curve'!$C:$C,0),1)</f>
        <v>4.0344208333333329</v>
      </c>
      <c r="AO35" s="3"/>
      <c r="AP35" s="162">
        <f t="shared" si="18"/>
        <v>26.227361635244531</v>
      </c>
      <c r="AQ35" s="3"/>
      <c r="AR35" s="162">
        <f t="shared" si="14"/>
        <v>2.7340822682552623</v>
      </c>
      <c r="AS35" s="162"/>
      <c r="AT35" s="161">
        <f t="shared" si="3"/>
        <v>1478.4786224644126</v>
      </c>
      <c r="AU35" s="3"/>
      <c r="AV35" s="161">
        <f t="shared" si="4"/>
        <v>1391.8869940022</v>
      </c>
      <c r="AW35" s="299"/>
      <c r="AX35" s="163">
        <f t="shared" si="8"/>
        <v>2870.3656164666127</v>
      </c>
      <c r="AZ35" s="154">
        <f>+IF(AZ34&gt;$G$13+$G$14,XX,AZ34+1)</f>
        <v>2026</v>
      </c>
      <c r="BA35" s="124"/>
      <c r="BB35" s="162">
        <f t="shared" si="15"/>
        <v>70.309200394540881</v>
      </c>
      <c r="BC35" s="3"/>
      <c r="BD35" s="162">
        <f t="shared" si="16"/>
        <v>7.9209414687540978</v>
      </c>
      <c r="BE35" s="3"/>
      <c r="BF35" s="161">
        <f t="shared" si="9"/>
        <v>-337.55142649122172</v>
      </c>
      <c r="BG35" s="3"/>
      <c r="BH35" s="165"/>
    </row>
    <row r="36" spans="2:60" ht="12">
      <c r="B36" s="2"/>
      <c r="C36" s="6">
        <f>+IF(C35&gt;$G$13+$G$14,XX,C35+1)</f>
        <v>2027</v>
      </c>
      <c r="D36" s="6"/>
      <c r="E36" s="292">
        <f>'(2.2)_Forward_Price_Curve'!P39</f>
        <v>2.1999999999999999E-2</v>
      </c>
      <c r="F36" s="6"/>
      <c r="G36" s="20">
        <v>47820</v>
      </c>
      <c r="H36" s="6"/>
      <c r="I36" s="30">
        <f t="shared" si="10"/>
        <v>0</v>
      </c>
      <c r="J36" s="6"/>
      <c r="K36" s="30">
        <v>46.511573151828337</v>
      </c>
      <c r="L36" s="6"/>
      <c r="M36" s="30">
        <f t="shared" si="11"/>
        <v>0</v>
      </c>
      <c r="N36" s="6"/>
      <c r="O36" s="295">
        <f>'(2.2)_Forward_Price_Curve'!Z39</f>
        <v>1.026779705893067</v>
      </c>
      <c r="P36" s="6"/>
      <c r="Q36" s="30"/>
      <c r="R36" s="6"/>
      <c r="S36" s="20">
        <f t="shared" si="5"/>
        <v>2273.2840336562376</v>
      </c>
      <c r="T36" s="6"/>
      <c r="U36" s="20">
        <f t="shared" si="0"/>
        <v>2885.1438206026642</v>
      </c>
      <c r="V36" s="6"/>
      <c r="W36" s="20">
        <f t="shared" si="1"/>
        <v>-611.85978694642654</v>
      </c>
      <c r="X36" s="6"/>
      <c r="Y36" s="296">
        <f t="shared" si="6"/>
        <v>-12.795060371108876</v>
      </c>
      <c r="Z36" s="255"/>
      <c r="AB36" s="154">
        <f>+IF(AB35&gt;$G$13+$G$14,XX,AB35+1)</f>
        <v>2027</v>
      </c>
      <c r="AC36" s="124"/>
      <c r="AD36" s="159">
        <f t="shared" si="2"/>
        <v>47820</v>
      </c>
      <c r="AE36" s="3"/>
      <c r="AF36" s="162">
        <f t="shared" si="17"/>
        <v>112.32467700943329</v>
      </c>
      <c r="AG36" s="3"/>
      <c r="AH36" s="162">
        <f t="shared" si="12"/>
        <v>23.532753933184839</v>
      </c>
      <c r="AI36" s="3"/>
      <c r="AJ36" s="162">
        <f t="shared" si="13"/>
        <v>2.7069179450276115</v>
      </c>
      <c r="AK36" s="3"/>
      <c r="AL36" s="161">
        <f t="shared" si="7"/>
        <v>1165.3779339777943</v>
      </c>
      <c r="AM36" s="3"/>
      <c r="AN36" s="162">
        <f>INDEX('(2.2)_Forward_Price_Curve'!$H:$H,MATCH($AB36,'(2.2)_Forward_Price_Curve'!$C:$C,0),1)</f>
        <v>3.9925249999999992</v>
      </c>
      <c r="AO36" s="3"/>
      <c r="AP36" s="162">
        <f t="shared" si="18"/>
        <v>25.955001061760328</v>
      </c>
      <c r="AQ36" s="3"/>
      <c r="AR36" s="162">
        <f t="shared" si="14"/>
        <v>2.7942320781568784</v>
      </c>
      <c r="AS36" s="162"/>
      <c r="AT36" s="161">
        <f t="shared" si="3"/>
        <v>1510.355491851823</v>
      </c>
      <c r="AU36" s="3"/>
      <c r="AV36" s="161">
        <f t="shared" si="4"/>
        <v>1374.7883287508409</v>
      </c>
      <c r="AW36" s="299"/>
      <c r="AX36" s="163">
        <f t="shared" si="8"/>
        <v>2885.1438206026642</v>
      </c>
      <c r="AZ36" s="154">
        <f>+IF(AZ35&gt;$G$13+$G$14,XX,AZ35+1)</f>
        <v>2027</v>
      </c>
      <c r="BA36" s="124"/>
      <c r="BB36" s="162">
        <f t="shared" si="15"/>
        <v>71.856002803220775</v>
      </c>
      <c r="BC36" s="3"/>
      <c r="BD36" s="162">
        <f t="shared" si="16"/>
        <v>8.0952021810666874</v>
      </c>
      <c r="BE36" s="3"/>
      <c r="BF36" s="161">
        <f t="shared" si="9"/>
        <v>-344.97755787402861</v>
      </c>
      <c r="BG36" s="3"/>
      <c r="BH36" s="165"/>
    </row>
    <row r="37" spans="2:60" ht="12">
      <c r="B37" s="2"/>
      <c r="C37" s="6">
        <f>+IF(C36&gt;$G$13+$G$14,XX,C36+1)</f>
        <v>2028</v>
      </c>
      <c r="D37" s="6"/>
      <c r="E37" s="292">
        <f>'(2.2)_Forward_Price_Curve'!P40</f>
        <v>2.1999999999999999E-2</v>
      </c>
      <c r="F37" s="6"/>
      <c r="G37" s="20">
        <v>47640</v>
      </c>
      <c r="H37" s="6"/>
      <c r="I37" s="30">
        <f t="shared" si="10"/>
        <v>0</v>
      </c>
      <c r="J37" s="6"/>
      <c r="K37" s="30">
        <v>46.511573151828308</v>
      </c>
      <c r="L37" s="6"/>
      <c r="M37" s="30">
        <f t="shared" si="11"/>
        <v>0</v>
      </c>
      <c r="N37" s="6"/>
      <c r="O37" s="295">
        <f>'(2.2)_Forward_Price_Curve'!Z40</f>
        <v>1.0498288329991143</v>
      </c>
      <c r="P37" s="6"/>
      <c r="Q37" s="30"/>
      <c r="R37" s="6"/>
      <c r="S37" s="20">
        <f t="shared" si="5"/>
        <v>2265.8251905571783</v>
      </c>
      <c r="T37" s="6"/>
      <c r="U37" s="20">
        <f t="shared" si="0"/>
        <v>2897.0452244021239</v>
      </c>
      <c r="V37" s="6"/>
      <c r="W37" s="20">
        <f t="shared" si="1"/>
        <v>-631.22003384494565</v>
      </c>
      <c r="X37" s="6"/>
      <c r="Y37" s="296">
        <f t="shared" si="6"/>
        <v>-13.249790802790629</v>
      </c>
      <c r="Z37" s="255"/>
      <c r="AB37" s="154">
        <f>+IF(AB36&gt;$G$13+$G$14,XX,AB36+1)</f>
        <v>2028</v>
      </c>
      <c r="AC37" s="124"/>
      <c r="AD37" s="159">
        <f t="shared" si="2"/>
        <v>47640</v>
      </c>
      <c r="AE37" s="3"/>
      <c r="AF37" s="162">
        <f t="shared" si="17"/>
        <v>114.79581990364082</v>
      </c>
      <c r="AG37" s="3"/>
      <c r="AH37" s="162">
        <f t="shared" si="12"/>
        <v>24.050474519714907</v>
      </c>
      <c r="AI37" s="3"/>
      <c r="AJ37" s="162">
        <f t="shared" si="13"/>
        <v>2.7664701398182192</v>
      </c>
      <c r="AK37" s="3"/>
      <c r="AL37" s="161">
        <f t="shared" si="7"/>
        <v>1190.5182839001388</v>
      </c>
      <c r="AM37" s="3"/>
      <c r="AN37" s="162">
        <f>INDEX('(2.2)_Forward_Price_Curve'!$H:$H,MATCH($AB37,'(2.2)_Forward_Price_Curve'!$C:$C,0),1)</f>
        <v>3.9325250000000005</v>
      </c>
      <c r="AO37" s="3"/>
      <c r="AP37" s="162">
        <f t="shared" si="18"/>
        <v>25.564947132553726</v>
      </c>
      <c r="AQ37" s="3"/>
      <c r="AR37" s="162">
        <f t="shared" si="14"/>
        <v>2.8557051838763297</v>
      </c>
      <c r="AS37" s="162"/>
      <c r="AT37" s="161">
        <f t="shared" si="3"/>
        <v>1543.0853480473961</v>
      </c>
      <c r="AU37" s="3"/>
      <c r="AV37" s="161">
        <f t="shared" si="4"/>
        <v>1353.9598763547278</v>
      </c>
      <c r="AW37" s="299"/>
      <c r="AX37" s="163">
        <f t="shared" si="8"/>
        <v>2897.0452244021239</v>
      </c>
      <c r="AZ37" s="154">
        <f>+IF(AZ36&gt;$G$13+$G$14,XX,AZ36+1)</f>
        <v>2028</v>
      </c>
      <c r="BA37" s="124"/>
      <c r="BB37" s="162">
        <f t="shared" si="15"/>
        <v>73.436834864891637</v>
      </c>
      <c r="BC37" s="3"/>
      <c r="BD37" s="162">
        <f t="shared" si="16"/>
        <v>8.2732966290501544</v>
      </c>
      <c r="BE37" s="3"/>
      <c r="BF37" s="161">
        <f t="shared" si="9"/>
        <v>-352.56706414725721</v>
      </c>
      <c r="BG37" s="3"/>
      <c r="BH37" s="165"/>
    </row>
    <row r="38" spans="2:60" ht="12">
      <c r="B38" s="2"/>
      <c r="C38" s="6">
        <f>+IF(C37&gt;$G$13+$G$14,XX,C37+1)</f>
        <v>2029</v>
      </c>
      <c r="D38" s="6"/>
      <c r="E38" s="292">
        <f>'(2.2)_Forward_Price_Curve'!P41</f>
        <v>2.1999999999999999E-2</v>
      </c>
      <c r="F38" s="6"/>
      <c r="G38" s="20">
        <v>47340</v>
      </c>
      <c r="H38" s="6"/>
      <c r="I38" s="30">
        <f t="shared" si="10"/>
        <v>0</v>
      </c>
      <c r="J38" s="6"/>
      <c r="K38" s="30">
        <v>46.511573151828308</v>
      </c>
      <c r="L38" s="6"/>
      <c r="M38" s="30">
        <f t="shared" si="11"/>
        <v>0</v>
      </c>
      <c r="N38" s="6"/>
      <c r="O38" s="295">
        <f>'(2.2)_Forward_Price_Curve'!Z41</f>
        <v>1.0737281421117022</v>
      </c>
      <c r="P38" s="6"/>
      <c r="Q38" s="30"/>
      <c r="R38" s="6"/>
      <c r="S38" s="20">
        <f t="shared" si="5"/>
        <v>2252.6881632551203</v>
      </c>
      <c r="T38" s="6"/>
      <c r="U38" s="20">
        <f t="shared" si="0"/>
        <v>3022.7697768570906</v>
      </c>
      <c r="V38" s="6"/>
      <c r="W38" s="20">
        <f t="shared" si="1"/>
        <v>-770.08161360197028</v>
      </c>
      <c r="X38" s="6"/>
      <c r="Y38" s="296">
        <f t="shared" si="6"/>
        <v>-16.267038732614495</v>
      </c>
      <c r="Z38" s="255"/>
      <c r="AB38" s="154">
        <f>+IF(AB37&gt;$G$13+$G$14,XX,AB37+1)</f>
        <v>2029</v>
      </c>
      <c r="AC38" s="124"/>
      <c r="AD38" s="159">
        <f t="shared" si="2"/>
        <v>47340</v>
      </c>
      <c r="AE38" s="3"/>
      <c r="AF38" s="162">
        <f t="shared" si="17"/>
        <v>117.32132794152092</v>
      </c>
      <c r="AG38" s="3"/>
      <c r="AH38" s="162">
        <f t="shared" si="12"/>
        <v>24.579584959148637</v>
      </c>
      <c r="AI38" s="3"/>
      <c r="AJ38" s="162">
        <f t="shared" si="13"/>
        <v>2.8273324828942199</v>
      </c>
      <c r="AK38" s="3"/>
      <c r="AL38" s="161">
        <f t="shared" si="7"/>
        <v>1215.8614864010735</v>
      </c>
      <c r="AM38" s="3"/>
      <c r="AN38" s="162">
        <f>INDEX('(2.2)_Forward_Price_Curve'!$H:$H,MATCH($AB38,'(2.2)_Forward_Price_Curve'!$C:$C,0),1)</f>
        <v>4.2515375000000004</v>
      </c>
      <c r="AO38" s="3"/>
      <c r="AP38" s="162">
        <f t="shared" si="18"/>
        <v>27.638815117404125</v>
      </c>
      <c r="AQ38" s="3"/>
      <c r="AR38" s="162">
        <f t="shared" si="14"/>
        <v>2.918530697921609</v>
      </c>
      <c r="AS38" s="162"/>
      <c r="AT38" s="161">
        <f t="shared" si="3"/>
        <v>1576.1850259595703</v>
      </c>
      <c r="AU38" s="3"/>
      <c r="AV38" s="161">
        <f t="shared" si="4"/>
        <v>1446.5847508975203</v>
      </c>
      <c r="AW38" s="299"/>
      <c r="AX38" s="163">
        <f t="shared" si="8"/>
        <v>3022.7697768570906</v>
      </c>
      <c r="AZ38" s="154">
        <f>+IF(AZ37&gt;$G$13+$G$14,XX,AZ37+1)</f>
        <v>2029</v>
      </c>
      <c r="BA38" s="124"/>
      <c r="BB38" s="162">
        <f t="shared" si="15"/>
        <v>75.052445231919251</v>
      </c>
      <c r="BC38" s="3"/>
      <c r="BD38" s="162">
        <f t="shared" si="16"/>
        <v>8.4553091548892585</v>
      </c>
      <c r="BE38" s="3"/>
      <c r="BF38" s="161">
        <f t="shared" si="9"/>
        <v>-360.32353955849692</v>
      </c>
      <c r="BG38" s="3"/>
      <c r="BH38" s="165"/>
    </row>
    <row r="39" spans="2:60" ht="12">
      <c r="B39" s="2"/>
      <c r="C39" s="6">
        <f>+IF(C38&gt;$G$13+$G$14,XX,C38+1)</f>
        <v>2030</v>
      </c>
      <c r="D39" s="6"/>
      <c r="E39" s="292">
        <f>'(2.2)_Forward_Price_Curve'!P42</f>
        <v>2.1999999999999999E-2</v>
      </c>
      <c r="F39" s="6"/>
      <c r="G39" s="20">
        <v>47110</v>
      </c>
      <c r="H39" s="6"/>
      <c r="I39" s="30">
        <f t="shared" si="10"/>
        <v>0</v>
      </c>
      <c r="J39" s="6"/>
      <c r="K39" s="30">
        <v>46.511573151828301</v>
      </c>
      <c r="L39" s="6"/>
      <c r="M39" s="30">
        <f t="shared" si="11"/>
        <v>0</v>
      </c>
      <c r="N39" s="6"/>
      <c r="O39" s="295">
        <f>'(2.2)_Forward_Price_Curve'!Z42</f>
        <v>1.0977895859175892</v>
      </c>
      <c r="P39" s="6"/>
      <c r="Q39" s="30"/>
      <c r="R39" s="6"/>
      <c r="S39" s="20">
        <f t="shared" si="5"/>
        <v>2242.877078575209</v>
      </c>
      <c r="T39" s="6"/>
      <c r="U39" s="20">
        <f t="shared" si="0"/>
        <v>3223.8136824948324</v>
      </c>
      <c r="V39" s="6"/>
      <c r="W39" s="20">
        <f t="shared" si="1"/>
        <v>-980.93660391962339</v>
      </c>
      <c r="X39" s="6"/>
      <c r="Y39" s="296">
        <f t="shared" si="6"/>
        <v>-20.822258627035097</v>
      </c>
      <c r="Z39" s="255"/>
      <c r="AB39" s="154">
        <f>+IF(AB38&gt;$G$13+$G$14,XX,AB38+1)</f>
        <v>2030</v>
      </c>
      <c r="AC39" s="124"/>
      <c r="AD39" s="159">
        <f t="shared" si="2"/>
        <v>47110</v>
      </c>
      <c r="AE39" s="3"/>
      <c r="AF39" s="162">
        <f t="shared" si="17"/>
        <v>119.90239715623439</v>
      </c>
      <c r="AG39" s="3"/>
      <c r="AH39" s="162">
        <f t="shared" si="12"/>
        <v>25.120335828249907</v>
      </c>
      <c r="AI39" s="3"/>
      <c r="AJ39" s="162">
        <f t="shared" si="13"/>
        <v>2.8895337975178927</v>
      </c>
      <c r="AK39" s="3"/>
      <c r="AL39" s="161">
        <f t="shared" si="7"/>
        <v>1241.945846328468</v>
      </c>
      <c r="AM39" s="3"/>
      <c r="AN39" s="162">
        <f>INDEX('(2.2)_Forward_Price_Curve'!$H:$H,MATCH($AB39,'(2.2)_Forward_Price_Curve'!$C:$C,0),1)</f>
        <v>4.8100083333333341</v>
      </c>
      <c r="AO39" s="3"/>
      <c r="AP39" s="162">
        <f t="shared" si="18"/>
        <v>31.26937749888673</v>
      </c>
      <c r="AQ39" s="3"/>
      <c r="AR39" s="162">
        <f t="shared" si="14"/>
        <v>2.9827383732758843</v>
      </c>
      <c r="AS39" s="162"/>
      <c r="AT39" s="161">
        <f t="shared" si="3"/>
        <v>1610.1965037572518</v>
      </c>
      <c r="AU39" s="3"/>
      <c r="AV39" s="161">
        <f t="shared" si="4"/>
        <v>1613.6171787375808</v>
      </c>
      <c r="AW39" s="299"/>
      <c r="AX39" s="163">
        <f t="shared" si="8"/>
        <v>3223.8136824948324</v>
      </c>
      <c r="AZ39" s="154">
        <f>+IF(AZ38&gt;$G$13+$G$14,XX,AZ38+1)</f>
        <v>2030</v>
      </c>
      <c r="BA39" s="124"/>
      <c r="BB39" s="162">
        <f t="shared" si="15"/>
        <v>76.703599027021482</v>
      </c>
      <c r="BC39" s="3"/>
      <c r="BD39" s="162">
        <f t="shared" si="16"/>
        <v>8.6413259562968232</v>
      </c>
      <c r="BE39" s="3"/>
      <c r="BF39" s="161">
        <f t="shared" si="9"/>
        <v>-368.25065742878388</v>
      </c>
      <c r="BG39" s="3"/>
      <c r="BH39" s="165"/>
    </row>
    <row r="40" spans="2:60" ht="12">
      <c r="B40" s="2"/>
      <c r="C40" s="6">
        <f>+IF(C39&gt;$G$13+$G$14,XX,C39+1)</f>
        <v>2031</v>
      </c>
      <c r="D40" s="6"/>
      <c r="E40" s="292">
        <f>'(2.2)_Forward_Price_Curve'!P43</f>
        <v>2.1999999999999999E-2</v>
      </c>
      <c r="F40" s="6"/>
      <c r="G40" s="20">
        <v>46870</v>
      </c>
      <c r="H40" s="6"/>
      <c r="I40" s="30">
        <f t="shared" si="10"/>
        <v>0</v>
      </c>
      <c r="J40" s="6"/>
      <c r="K40" s="30">
        <v>46.511573151828316</v>
      </c>
      <c r="L40" s="6"/>
      <c r="M40" s="30">
        <f t="shared" si="11"/>
        <v>0</v>
      </c>
      <c r="N40" s="6"/>
      <c r="O40" s="295">
        <f>'(2.2)_Forward_Price_Curve'!Z43</f>
        <v>1.1218057776996744</v>
      </c>
      <c r="P40" s="6"/>
      <c r="Q40" s="30"/>
      <c r="R40" s="6"/>
      <c r="S40" s="20">
        <f t="shared" si="5"/>
        <v>2232.5764704269773</v>
      </c>
      <c r="T40" s="6"/>
      <c r="U40" s="20">
        <f t="shared" si="0"/>
        <v>3348.1566066210798</v>
      </c>
      <c r="V40" s="6"/>
      <c r="W40" s="20">
        <f t="shared" si="1"/>
        <v>-1115.5801361941026</v>
      </c>
      <c r="X40" s="6"/>
      <c r="Y40" s="296">
        <f t="shared" si="6"/>
        <v>-23.801581740859877</v>
      </c>
      <c r="Z40" s="255"/>
      <c r="AB40" s="154">
        <f>+IF(AB39&gt;$G$13+$G$14,XX,AB39+1)</f>
        <v>2031</v>
      </c>
      <c r="AC40" s="124"/>
      <c r="AD40" s="159">
        <f t="shared" si="2"/>
        <v>46870</v>
      </c>
      <c r="AE40" s="3"/>
      <c r="AF40" s="162">
        <f t="shared" si="17"/>
        <v>122.54024989367154</v>
      </c>
      <c r="AG40" s="3"/>
      <c r="AH40" s="162">
        <f t="shared" si="12"/>
        <v>25.672983216471405</v>
      </c>
      <c r="AI40" s="3"/>
      <c r="AJ40" s="162">
        <f t="shared" si="13"/>
        <v>2.9531035410632867</v>
      </c>
      <c r="AK40" s="3"/>
      <c r="AL40" s="161">
        <f t="shared" si="7"/>
        <v>1268.5599100978393</v>
      </c>
      <c r="AM40" s="3"/>
      <c r="AN40" s="162">
        <f>INDEX('(2.2)_Forward_Price_Curve'!$H:$H,MATCH($AB40,'(2.2)_Forward_Price_Curve'!$C:$C,0),1)</f>
        <v>5.1210458333333335</v>
      </c>
      <c r="AO40" s="3"/>
      <c r="AP40" s="162">
        <f t="shared" si="18"/>
        <v>33.291400815646746</v>
      </c>
      <c r="AQ40" s="3"/>
      <c r="AR40" s="162">
        <f t="shared" si="14"/>
        <v>3.048358617487954</v>
      </c>
      <c r="AS40" s="162"/>
      <c r="AT40" s="161">
        <f t="shared" si="3"/>
        <v>1644.9120819900563</v>
      </c>
      <c r="AU40" s="3"/>
      <c r="AV40" s="161">
        <f t="shared" si="4"/>
        <v>1703.2445246310233</v>
      </c>
      <c r="AW40" s="299"/>
      <c r="AX40" s="163">
        <f t="shared" si="8"/>
        <v>3348.1566066210798</v>
      </c>
      <c r="AZ40" s="154">
        <f>+IF(AZ39&gt;$G$13+$G$14,XX,AZ39+1)</f>
        <v>2031</v>
      </c>
      <c r="BA40" s="124"/>
      <c r="BB40" s="162">
        <f t="shared" si="15"/>
        <v>78.391078205615955</v>
      </c>
      <c r="BC40" s="3"/>
      <c r="BD40" s="162">
        <f t="shared" si="16"/>
        <v>8.8314351273353537</v>
      </c>
      <c r="BE40" s="3"/>
      <c r="BF40" s="161">
        <f t="shared" si="9"/>
        <v>-376.35217189221714</v>
      </c>
      <c r="BG40" s="3"/>
      <c r="BH40" s="165"/>
    </row>
    <row r="41" spans="2:60" ht="12">
      <c r="B41" s="2"/>
      <c r="C41" s="6">
        <f>+IF(C40&gt;$G$13+$G$14,XX,C40+1)</f>
        <v>2032</v>
      </c>
      <c r="D41" s="6"/>
      <c r="E41" s="292">
        <f>'(2.2)_Forward_Price_Curve'!P44</f>
        <v>2.1000000000000001E-2</v>
      </c>
      <c r="F41" s="6"/>
      <c r="G41" s="20">
        <v>46690</v>
      </c>
      <c r="H41" s="6"/>
      <c r="I41" s="30">
        <f t="shared" si="10"/>
        <v>0</v>
      </c>
      <c r="J41" s="6"/>
      <c r="K41" s="30">
        <v>46.511573151828323</v>
      </c>
      <c r="L41" s="6"/>
      <c r="M41" s="30">
        <f t="shared" si="11"/>
        <v>0</v>
      </c>
      <c r="N41" s="6"/>
      <c r="O41" s="295">
        <f>'(2.2)_Forward_Price_Curve'!Z44</f>
        <v>1.1460041088775619</v>
      </c>
      <c r="P41" s="6"/>
      <c r="Q41" s="30"/>
      <c r="R41" s="6"/>
      <c r="S41" s="20">
        <f t="shared" si="5"/>
        <v>2225.1322823023579</v>
      </c>
      <c r="T41" s="6"/>
      <c r="U41" s="20">
        <f t="shared" si="0"/>
        <v>3470.302793210069</v>
      </c>
      <c r="V41" s="6"/>
      <c r="W41" s="20">
        <f t="shared" si="1"/>
        <v>-1245.1705109077111</v>
      </c>
      <c r="X41" s="6"/>
      <c r="Y41" s="296">
        <f t="shared" si="6"/>
        <v>-26.668890788342495</v>
      </c>
      <c r="Z41" s="255"/>
      <c r="AB41" s="154">
        <f>+IF(AB40&gt;$G$13+$G$14,XX,AB40+1)</f>
        <v>2032</v>
      </c>
      <c r="AC41" s="124"/>
      <c r="AD41" s="159">
        <f t="shared" si="2"/>
        <v>46690</v>
      </c>
      <c r="AE41" s="3"/>
      <c r="AF41" s="162">
        <f t="shared" si="17"/>
        <v>125.11359514143864</v>
      </c>
      <c r="AG41" s="3"/>
      <c r="AH41" s="162">
        <f t="shared" si="12"/>
        <v>26.212115864017303</v>
      </c>
      <c r="AI41" s="3"/>
      <c r="AJ41" s="162">
        <f t="shared" si="13"/>
        <v>3.0151187154256154</v>
      </c>
      <c r="AK41" s="3"/>
      <c r="AL41" s="161">
        <f t="shared" si="7"/>
        <v>1294.6569468411169</v>
      </c>
      <c r="AM41" s="3"/>
      <c r="AN41" s="162">
        <f>INDEX('(2.2)_Forward_Price_Curve'!$H:$H,MATCH($AB41,'(2.2)_Forward_Price_Curve'!$C:$C,0),1)</f>
        <v>5.4231541666666665</v>
      </c>
      <c r="AO41" s="3"/>
      <c r="AP41" s="162">
        <f t="shared" si="18"/>
        <v>35.255376523358855</v>
      </c>
      <c r="AQ41" s="3"/>
      <c r="AR41" s="162">
        <f t="shared" si="14"/>
        <v>3.1123741484552006</v>
      </c>
      <c r="AS41" s="162"/>
      <c r="AT41" s="161">
        <f t="shared" si="3"/>
        <v>1678.9125143430706</v>
      </c>
      <c r="AU41" s="3"/>
      <c r="AV41" s="161">
        <f t="shared" si="4"/>
        <v>1791.3902788669984</v>
      </c>
      <c r="AW41" s="299"/>
      <c r="AX41" s="163">
        <f t="shared" si="8"/>
        <v>3470.302793210069</v>
      </c>
      <c r="AZ41" s="154">
        <f>+IF(AZ40&gt;$G$13+$G$14,XX,AZ40+1)</f>
        <v>2032</v>
      </c>
      <c r="BA41" s="124"/>
      <c r="BB41" s="162">
        <f t="shared" si="15"/>
        <v>80.037290847933889</v>
      </c>
      <c r="BC41" s="3"/>
      <c r="BD41" s="162">
        <f t="shared" si="16"/>
        <v>9.0168952650093956</v>
      </c>
      <c r="BE41" s="3"/>
      <c r="BF41" s="161">
        <f t="shared" si="9"/>
        <v>-384.25556750195369</v>
      </c>
      <c r="BG41" s="3"/>
      <c r="BH41" s="165"/>
    </row>
    <row r="42" spans="2:60" ht="12">
      <c r="B42" s="2"/>
      <c r="C42" s="6">
        <f>+IF(C41&gt;$G$13+$G$14,XX,C41+1)</f>
        <v>2033</v>
      </c>
      <c r="D42" s="6"/>
      <c r="E42" s="292">
        <f>'(2.2)_Forward_Price_Curve'!P45</f>
        <v>2.1000000000000001E-2</v>
      </c>
      <c r="F42" s="6"/>
      <c r="G42" s="20">
        <v>46400</v>
      </c>
      <c r="H42" s="6"/>
      <c r="I42" s="30">
        <f t="shared" si="10"/>
        <v>0</v>
      </c>
      <c r="J42" s="6"/>
      <c r="K42" s="30">
        <v>46.511573151828323</v>
      </c>
      <c r="L42" s="6"/>
      <c r="M42" s="30">
        <f t="shared" si="11"/>
        <v>0</v>
      </c>
      <c r="N42" s="6"/>
      <c r="O42" s="295">
        <f>'(2.2)_Forward_Price_Curve'!Z45</f>
        <v>1.1705802944541936</v>
      </c>
      <c r="P42" s="6"/>
      <c r="Q42" s="30"/>
      <c r="R42" s="6"/>
      <c r="S42" s="20">
        <f t="shared" si="5"/>
        <v>2212.4519199075085</v>
      </c>
      <c r="T42" s="6"/>
      <c r="U42" s="20">
        <f t="shared" si="0"/>
        <v>3592.2326418050829</v>
      </c>
      <c r="V42" s="6"/>
      <c r="W42" s="20">
        <f t="shared" si="1"/>
        <v>-1379.7807218975745</v>
      </c>
      <c r="X42" s="6"/>
      <c r="Y42" s="296">
        <f t="shared" si="6"/>
        <v>-29.736653489171868</v>
      </c>
      <c r="Z42" s="255"/>
      <c r="AB42" s="154">
        <f>+IF(AB41&gt;$G$13+$G$14,XX,AB41+1)</f>
        <v>2033</v>
      </c>
      <c r="AC42" s="124"/>
      <c r="AD42" s="159">
        <f t="shared" si="2"/>
        <v>46400</v>
      </c>
      <c r="AE42" s="3"/>
      <c r="AF42" s="162">
        <f t="shared" si="17"/>
        <v>127.74098063940883</v>
      </c>
      <c r="AG42" s="3"/>
      <c r="AH42" s="162">
        <f t="shared" si="12"/>
        <v>26.762570297161663</v>
      </c>
      <c r="AI42" s="3"/>
      <c r="AJ42" s="162">
        <f t="shared" si="13"/>
        <v>3.0784362084495531</v>
      </c>
      <c r="AK42" s="3"/>
      <c r="AL42" s="161">
        <f t="shared" si="7"/>
        <v>1320.9519962243301</v>
      </c>
      <c r="AM42" s="3"/>
      <c r="AN42" s="162">
        <f>INDEX('(2.2)_Forward_Price_Curve'!$H:$H,MATCH($AB42,'(2.2)_Forward_Price_Curve'!$C:$C,0),1)</f>
        <v>5.7402833333333332</v>
      </c>
      <c r="AO42" s="3"/>
      <c r="AP42" s="162">
        <f t="shared" si="18"/>
        <v>37.317001148764703</v>
      </c>
      <c r="AQ42" s="3"/>
      <c r="AR42" s="162">
        <f t="shared" si="14"/>
        <v>3.1777340055727596</v>
      </c>
      <c r="AS42" s="162"/>
      <c r="AT42" s="161">
        <f t="shared" si="3"/>
        <v>1713.2769306438247</v>
      </c>
      <c r="AU42" s="3"/>
      <c r="AV42" s="161">
        <f t="shared" si="4"/>
        <v>1878.9557111612583</v>
      </c>
      <c r="AW42" s="299"/>
      <c r="AX42" s="163">
        <f t="shared" si="8"/>
        <v>3592.2326418050829</v>
      </c>
      <c r="AZ42" s="154">
        <f>+IF(AZ41&gt;$G$13+$G$14,XX,AZ41+1)</f>
        <v>2033</v>
      </c>
      <c r="BA42" s="124"/>
      <c r="BB42" s="162">
        <f t="shared" si="15"/>
        <v>81.718073955740493</v>
      </c>
      <c r="BC42" s="3"/>
      <c r="BD42" s="162">
        <f t="shared" si="16"/>
        <v>9.2062500655745918</v>
      </c>
      <c r="BE42" s="3"/>
      <c r="BF42" s="161">
        <f t="shared" si="9"/>
        <v>-392.3249344194947</v>
      </c>
      <c r="BG42" s="3"/>
      <c r="BH42" s="165"/>
    </row>
    <row r="43" spans="2:60" ht="12">
      <c r="B43" s="2"/>
      <c r="C43" s="6">
        <f>+IF(C42&gt;$G$13+$G$14,XX,C42+1)</f>
        <v>2034</v>
      </c>
      <c r="D43" s="6"/>
      <c r="E43" s="292">
        <f>'(2.2)_Forward_Price_Curve'!P46</f>
        <v>2.1000000000000001E-2</v>
      </c>
      <c r="F43" s="6"/>
      <c r="G43" s="20">
        <v>46170</v>
      </c>
      <c r="H43" s="6"/>
      <c r="I43" s="30">
        <f t="shared" si="10"/>
        <v>0</v>
      </c>
      <c r="J43" s="6"/>
      <c r="K43" s="30">
        <v>46.511573151828323</v>
      </c>
      <c r="L43" s="6"/>
      <c r="M43" s="30">
        <f t="shared" si="11"/>
        <v>0</v>
      </c>
      <c r="N43" s="6"/>
      <c r="O43" s="295">
        <f>'(2.2)_Forward_Price_Curve'!Z46</f>
        <v>1.1951742037401478</v>
      </c>
      <c r="P43" s="6"/>
      <c r="Q43" s="30"/>
      <c r="R43" s="6"/>
      <c r="S43" s="20">
        <f t="shared" si="5"/>
        <v>2202.6205254065962</v>
      </c>
      <c r="T43" s="6"/>
      <c r="U43" s="20">
        <f t="shared" si="0"/>
        <v>3713.8647461573787</v>
      </c>
      <c r="V43" s="6"/>
      <c r="W43" s="20">
        <f t="shared" si="1"/>
        <v>-1511.2442207507825</v>
      </c>
      <c r="X43" s="6"/>
      <c r="Y43" s="296">
        <f t="shared" si="6"/>
        <v>-32.732168523950236</v>
      </c>
      <c r="Z43" s="255"/>
      <c r="AB43" s="154">
        <f>+IF(AB42&gt;$G$13+$G$14,XX,AB42+1)</f>
        <v>2034</v>
      </c>
      <c r="AC43" s="124"/>
      <c r="AD43" s="159">
        <f t="shared" si="2"/>
        <v>46170</v>
      </c>
      <c r="AE43" s="3"/>
      <c r="AF43" s="162">
        <f t="shared" si="17"/>
        <v>130.42354123283641</v>
      </c>
      <c r="AG43" s="3"/>
      <c r="AH43" s="162">
        <f t="shared" si="12"/>
        <v>27.324584273402056</v>
      </c>
      <c r="AI43" s="3"/>
      <c r="AJ43" s="162">
        <f t="shared" si="13"/>
        <v>3.1430833688269932</v>
      </c>
      <c r="AK43" s="3"/>
      <c r="AL43" s="161">
        <f t="shared" si="7"/>
        <v>1347.9690789702108</v>
      </c>
      <c r="AM43" s="3"/>
      <c r="AN43" s="162">
        <f>INDEX('(2.2)_Forward_Price_Curve'!$H:$H,MATCH($AB43,'(2.2)_Forward_Price_Curve'!$C:$C,0),1)</f>
        <v>6.0488291666666667</v>
      </c>
      <c r="AO43" s="3"/>
      <c r="AP43" s="162">
        <f t="shared" si="18"/>
        <v>39.322826392631285</v>
      </c>
      <c r="AQ43" s="3"/>
      <c r="AR43" s="162">
        <f t="shared" si="14"/>
        <v>3.2444664196897874</v>
      </c>
      <c r="AS43" s="162"/>
      <c r="AT43" s="161">
        <f t="shared" si="3"/>
        <v>1748.5328370125148</v>
      </c>
      <c r="AU43" s="3"/>
      <c r="AV43" s="161">
        <f t="shared" si="4"/>
        <v>1965.3319091448639</v>
      </c>
      <c r="AW43" s="299"/>
      <c r="AX43" s="163">
        <f t="shared" si="8"/>
        <v>3713.8647461573787</v>
      </c>
      <c r="AZ43" s="154">
        <f>+IF(AZ42&gt;$G$13+$G$14,XX,AZ42+1)</f>
        <v>2034</v>
      </c>
      <c r="BA43" s="124"/>
      <c r="BB43" s="162">
        <f t="shared" si="15"/>
        <v>83.434153508811036</v>
      </c>
      <c r="BC43" s="3"/>
      <c r="BD43" s="162">
        <f t="shared" si="16"/>
        <v>9.3995813169516573</v>
      </c>
      <c r="BE43" s="3"/>
      <c r="BF43" s="161">
        <f t="shared" si="9"/>
        <v>-400.56375804230402</v>
      </c>
      <c r="BG43" s="3"/>
      <c r="BH43" s="165"/>
    </row>
    <row r="44" spans="2:60" ht="12">
      <c r="B44" s="2"/>
      <c r="C44" s="6">
        <f>+IF(C43&gt;$G$13+$G$14,XX,C43+1)</f>
        <v>2035</v>
      </c>
      <c r="D44" s="6"/>
      <c r="E44" s="292">
        <f>'(2.2)_Forward_Price_Curve'!P47</f>
        <v>2.1000000000000001E-2</v>
      </c>
      <c r="F44" s="6"/>
      <c r="G44" s="20">
        <v>45940</v>
      </c>
      <c r="H44" s="6"/>
      <c r="I44" s="30">
        <f t="shared" si="10"/>
        <v>0</v>
      </c>
      <c r="J44" s="6"/>
      <c r="K44" s="30">
        <v>46.511573151828316</v>
      </c>
      <c r="L44" s="6"/>
      <c r="M44" s="30">
        <f t="shared" si="11"/>
        <v>0</v>
      </c>
      <c r="N44" s="6"/>
      <c r="O44" s="295">
        <f>'(2.2)_Forward_Price_Curve'!Z47</f>
        <v>1.2202670165885168</v>
      </c>
      <c r="P44" s="6"/>
      <c r="Q44" s="30"/>
      <c r="R44" s="6"/>
      <c r="S44" s="20">
        <f t="shared" si="5"/>
        <v>2192.8007373370692</v>
      </c>
      <c r="T44" s="6"/>
      <c r="U44" s="20">
        <f t="shared" si="0"/>
        <v>3647.948026461102</v>
      </c>
      <c r="V44" s="6"/>
      <c r="W44" s="20">
        <f t="shared" si="1"/>
        <v>-1455.1472891240328</v>
      </c>
      <c r="X44" s="6"/>
      <c r="Y44" s="296">
        <f t="shared" si="6"/>
        <v>-31.674951874706849</v>
      </c>
      <c r="Z44" s="255"/>
      <c r="AB44" s="154">
        <f>+IF(AB43&gt;$G$13+$G$14,XX,AB43+1)</f>
        <v>2035</v>
      </c>
      <c r="AC44" s="124"/>
      <c r="AD44" s="159">
        <f t="shared" si="2"/>
        <v>45940</v>
      </c>
      <c r="AE44" s="3"/>
      <c r="AF44" s="162">
        <f t="shared" si="17"/>
        <v>133.16243559872598</v>
      </c>
      <c r="AG44" s="3"/>
      <c r="AH44" s="162">
        <f t="shared" si="12"/>
        <v>27.898400543143499</v>
      </c>
      <c r="AI44" s="3"/>
      <c r="AJ44" s="162">
        <f t="shared" si="13"/>
        <v>3.20908811957236</v>
      </c>
      <c r="AK44" s="3"/>
      <c r="AL44" s="161">
        <f t="shared" si="7"/>
        <v>1375.5383393610837</v>
      </c>
      <c r="AM44" s="3"/>
      <c r="AN44" s="162">
        <f>INDEX('(2.2)_Forward_Price_Curve'!$H:$H,MATCH($AB44,'(2.2)_Forward_Price_Curve'!$C:$C,0),1)</f>
        <v>5.7299374999999992</v>
      </c>
      <c r="AO44" s="3"/>
      <c r="AP44" s="162">
        <f t="shared" si="18"/>
        <v>37.24974393305498</v>
      </c>
      <c r="AQ44" s="3"/>
      <c r="AR44" s="162">
        <f t="shared" si="14"/>
        <v>3.3126002145032727</v>
      </c>
      <c r="AS44" s="162"/>
      <c r="AT44" s="161">
        <f t="shared" si="3"/>
        <v>1784.5139363222761</v>
      </c>
      <c r="AU44" s="3"/>
      <c r="AV44" s="161">
        <f t="shared" si="4"/>
        <v>1863.4340901388261</v>
      </c>
      <c r="AW44" s="299"/>
      <c r="AX44" s="163">
        <f t="shared" si="8"/>
        <v>3647.948026461102</v>
      </c>
      <c r="AZ44" s="154">
        <f>+IF(AZ43&gt;$G$13+$G$14,XX,AZ43+1)</f>
        <v>2035</v>
      </c>
      <c r="BA44" s="124"/>
      <c r="BB44" s="162">
        <f t="shared" si="15"/>
        <v>85.186270732496055</v>
      </c>
      <c r="BC44" s="3"/>
      <c r="BD44" s="162">
        <f t="shared" si="16"/>
        <v>9.5969725246076418</v>
      </c>
      <c r="BE44" s="3"/>
      <c r="BF44" s="161">
        <f t="shared" si="9"/>
        <v>-408.97559696119231</v>
      </c>
      <c r="BG44" s="3"/>
      <c r="BH44" s="165"/>
    </row>
    <row r="45" spans="2:60" ht="12">
      <c r="B45" s="2"/>
      <c r="C45" s="6">
        <f>+IF(C44&gt;$G$13+$G$14,XX,C44+1)</f>
        <v>2036</v>
      </c>
      <c r="D45" s="6"/>
      <c r="E45" s="292">
        <f>'(2.2)_Forward_Price_Curve'!P48</f>
        <v>2.1000000000000001E-2</v>
      </c>
      <c r="F45" s="6"/>
      <c r="G45" s="20">
        <v>45760</v>
      </c>
      <c r="H45" s="6"/>
      <c r="I45" s="30">
        <f t="shared" si="10"/>
        <v>0</v>
      </c>
      <c r="J45" s="6"/>
      <c r="K45" s="30">
        <v>46.511573151828316</v>
      </c>
      <c r="L45" s="6"/>
      <c r="M45" s="30">
        <f t="shared" si="11"/>
        <v>0</v>
      </c>
      <c r="N45" s="6"/>
      <c r="O45" s="295">
        <f>'(2.2)_Forward_Price_Curve'!Z48</f>
        <v>1.2456969570142082</v>
      </c>
      <c r="P45" s="6"/>
      <c r="Q45" s="30"/>
      <c r="R45" s="6"/>
      <c r="S45" s="20">
        <f t="shared" si="5"/>
        <v>2185.3726801806338</v>
      </c>
      <c r="T45" s="6"/>
      <c r="U45" s="20">
        <f t="shared" si="0"/>
        <v>3694.9731299251762</v>
      </c>
      <c r="V45" s="6"/>
      <c r="W45" s="20">
        <f t="shared" si="1"/>
        <v>-1509.6004497445424</v>
      </c>
      <c r="X45" s="6"/>
      <c r="Y45" s="296">
        <f t="shared" si="6"/>
        <v>-32.989520317844018</v>
      </c>
      <c r="Z45" s="255"/>
      <c r="AB45" s="154">
        <f>+IF(AB44&gt;$G$13+$G$14,XX,AB44+1)</f>
        <v>2036</v>
      </c>
      <c r="AC45" s="124"/>
      <c r="AD45" s="159">
        <f t="shared" si="2"/>
        <v>45760</v>
      </c>
      <c r="AE45" s="3"/>
      <c r="AF45" s="162">
        <f t="shared" si="17"/>
        <v>135.9588467462992</v>
      </c>
      <c r="AG45" s="3"/>
      <c r="AH45" s="162">
        <f t="shared" si="12"/>
        <v>28.484266954549511</v>
      </c>
      <c r="AI45" s="3"/>
      <c r="AJ45" s="162">
        <f t="shared" si="13"/>
        <v>3.2764789700833794</v>
      </c>
      <c r="AK45" s="3"/>
      <c r="AL45" s="161">
        <f t="shared" si="7"/>
        <v>1403.8348782730509</v>
      </c>
      <c r="AM45" s="3"/>
      <c r="AN45" s="162">
        <f>INDEX('(2.2)_Forward_Price_Curve'!$H:$H,MATCH($AB45,'(2.2)_Forward_Price_Curve'!$C:$C,0),1)</f>
        <v>5.7778666666666672</v>
      </c>
      <c r="AO45" s="3"/>
      <c r="AP45" s="162">
        <f t="shared" si="18"/>
        <v>37.561326596087184</v>
      </c>
      <c r="AQ45" s="3"/>
      <c r="AR45" s="162">
        <f t="shared" si="14"/>
        <v>3.3821648190078411</v>
      </c>
      <c r="AS45" s="162"/>
      <c r="AT45" s="161">
        <f t="shared" si="3"/>
        <v>1821.3989627704282</v>
      </c>
      <c r="AU45" s="3"/>
      <c r="AV45" s="161">
        <f t="shared" si="4"/>
        <v>1873.5741671547482</v>
      </c>
      <c r="AW45" s="299"/>
      <c r="AX45" s="163">
        <f t="shared" si="8"/>
        <v>3694.9731299251762</v>
      </c>
      <c r="AZ45" s="154">
        <f>+IF(AZ44&gt;$G$13+$G$14,XX,AZ44+1)</f>
        <v>2036</v>
      </c>
      <c r="BA45" s="124"/>
      <c r="BB45" s="162">
        <f t="shared" si="15"/>
        <v>86.975182417878472</v>
      </c>
      <c r="BC45" s="3"/>
      <c r="BD45" s="162">
        <f t="shared" si="16"/>
        <v>9.7985089476244021</v>
      </c>
      <c r="BE45" s="3"/>
      <c r="BF45" s="161">
        <f t="shared" si="9"/>
        <v>-417.56408449737739</v>
      </c>
      <c r="BG45" s="3"/>
      <c r="BH45" s="165"/>
    </row>
    <row r="46" spans="2:60" ht="12">
      <c r="B46" s="2"/>
      <c r="C46" s="6">
        <f>+IF(C45&gt;$G$13+$G$14,XX,C45+1)</f>
        <v>2037</v>
      </c>
      <c r="D46" s="6"/>
      <c r="E46" s="292">
        <f>'(2.2)_Forward_Price_Curve'!P49</f>
        <v>2.1000000000000001E-2</v>
      </c>
      <c r="F46" s="6"/>
      <c r="G46" s="20">
        <v>45480</v>
      </c>
      <c r="H46" s="6"/>
      <c r="I46" s="30">
        <f t="shared" si="10"/>
        <v>0</v>
      </c>
      <c r="J46" s="6"/>
      <c r="K46" s="30">
        <v>46.511573151828316</v>
      </c>
      <c r="L46" s="6"/>
      <c r="M46" s="30">
        <f t="shared" si="11"/>
        <v>0</v>
      </c>
      <c r="N46" s="6"/>
      <c r="O46" s="295">
        <f>'(2.2)_Forward_Price_Curve'!Z49</f>
        <v>1.2716748240280993</v>
      </c>
      <c r="P46" s="6"/>
      <c r="Q46" s="30"/>
      <c r="R46" s="6"/>
      <c r="S46" s="20">
        <f t="shared" si="5"/>
        <v>2173.1821179419494</v>
      </c>
      <c r="T46" s="6"/>
      <c r="U46" s="20">
        <f t="shared" si="0"/>
        <v>3824.6973155416154</v>
      </c>
      <c r="V46" s="6"/>
      <c r="W46" s="20">
        <f t="shared" si="1"/>
        <v>-1651.515197599666</v>
      </c>
      <c r="X46" s="6"/>
      <c r="Y46" s="296">
        <f t="shared" si="6"/>
        <v>-36.312999067714728</v>
      </c>
      <c r="Z46" s="255"/>
      <c r="AB46" s="154">
        <f>+IF(AB45&gt;$G$13+$G$14,XX,AB45+1)</f>
        <v>2037</v>
      </c>
      <c r="AC46" s="124"/>
      <c r="AD46" s="159">
        <f t="shared" si="2"/>
        <v>45480</v>
      </c>
      <c r="AE46" s="3"/>
      <c r="AF46" s="162">
        <f t="shared" si="17"/>
        <v>138.81398252797146</v>
      </c>
      <c r="AG46" s="3"/>
      <c r="AH46" s="162">
        <f t="shared" si="12"/>
        <v>29.082436560595049</v>
      </c>
      <c r="AI46" s="3"/>
      <c r="AJ46" s="162">
        <f t="shared" si="13"/>
        <v>3.3452850284551299</v>
      </c>
      <c r="AK46" s="3"/>
      <c r="AL46" s="161">
        <f t="shared" si="7"/>
        <v>1432.3787309088177</v>
      </c>
      <c r="AM46" s="3"/>
      <c r="AN46" s="162">
        <f>INDEX('(2.2)_Forward_Price_Curve'!$H:$H,MATCH($AB46,'(2.2)_Forward_Price_Curve'!$C:$C,0),1)</f>
        <v>6.1182749999999997</v>
      </c>
      <c r="AO46" s="3"/>
      <c r="AP46" s="162">
        <f t="shared" si="18"/>
        <v>39.774286728609511</v>
      </c>
      <c r="AQ46" s="3"/>
      <c r="AR46" s="162">
        <f t="shared" si="14"/>
        <v>3.4531902802070054</v>
      </c>
      <c r="AS46" s="162"/>
      <c r="AT46" s="161">
        <f t="shared" si="3"/>
        <v>1858.71166118064</v>
      </c>
      <c r="AU46" s="3"/>
      <c r="AV46" s="161">
        <f t="shared" si="4"/>
        <v>1965.9856543609751</v>
      </c>
      <c r="AW46" s="299"/>
      <c r="AX46" s="163">
        <f t="shared" si="8"/>
        <v>3824.6973155416154</v>
      </c>
      <c r="AZ46" s="154">
        <f>+IF(AZ45&gt;$G$13+$G$14,XX,AZ45+1)</f>
        <v>2037</v>
      </c>
      <c r="BA46" s="124"/>
      <c r="BB46" s="162">
        <f t="shared" si="15"/>
        <v>88.801661248653915</v>
      </c>
      <c r="BC46" s="3"/>
      <c r="BD46" s="162">
        <f t="shared" si="16"/>
        <v>10.004277635524513</v>
      </c>
      <c r="BE46" s="3"/>
      <c r="BF46" s="161">
        <f t="shared" si="9"/>
        <v>-426.33293027182231</v>
      </c>
      <c r="BG46" s="3"/>
      <c r="BH46" s="165"/>
    </row>
    <row r="47" spans="2:60" ht="12">
      <c r="B47" s="2"/>
      <c r="C47" s="6">
        <f>+IF(C46&gt;$G$13+$G$14,XX,C46+1)</f>
        <v>2038</v>
      </c>
      <c r="D47" s="6"/>
      <c r="E47" s="292">
        <f>'(2.2)_Forward_Price_Curve'!P50</f>
        <v>2.1000000000000001E-2</v>
      </c>
      <c r="F47" s="6"/>
      <c r="G47" s="20">
        <v>45250</v>
      </c>
      <c r="H47" s="6"/>
      <c r="I47" s="30">
        <f t="shared" si="10"/>
        <v>0</v>
      </c>
      <c r="J47" s="6"/>
      <c r="K47" s="30">
        <v>46.511573151828316</v>
      </c>
      <c r="L47" s="6"/>
      <c r="M47" s="30"/>
      <c r="N47" s="6"/>
      <c r="O47" s="295">
        <f>'(2.2)_Forward_Price_Curve'!Z50</f>
        <v>1.2982351222983386</v>
      </c>
      <c r="P47" s="6"/>
      <c r="Q47" s="30"/>
      <c r="R47" s="6"/>
      <c r="S47" s="20">
        <f t="shared" si="5"/>
        <v>2163.3938244042306</v>
      </c>
      <c r="T47" s="6"/>
      <c r="U47" s="20">
        <f t="shared" si="0"/>
        <v>4001.4802599307091</v>
      </c>
      <c r="V47" s="6"/>
      <c r="W47" s="20">
        <f t="shared" si="1"/>
        <v>-1838.0864355264785</v>
      </c>
      <c r="X47" s="6"/>
      <c r="Y47" s="296">
        <f t="shared" si="6"/>
        <v>-40.620694707767484</v>
      </c>
      <c r="Z47" s="255"/>
      <c r="AB47" s="154">
        <f>+IF(AB46&gt;$G$13+$G$14,XX,AB46+1)</f>
        <v>2038</v>
      </c>
      <c r="AC47" s="124"/>
      <c r="AD47" s="159">
        <f t="shared" si="2"/>
        <v>45250</v>
      </c>
      <c r="AE47" s="3"/>
      <c r="AF47" s="162">
        <f t="shared" si="17"/>
        <v>141.72907616105886</v>
      </c>
      <c r="AG47" s="3"/>
      <c r="AH47" s="162">
        <f t="shared" si="12"/>
        <v>29.693167728367541</v>
      </c>
      <c r="AI47" s="3"/>
      <c r="AJ47" s="162">
        <f t="shared" si="13"/>
        <v>3.4155360140526874</v>
      </c>
      <c r="AK47" s="3"/>
      <c r="AL47" s="161">
        <f t="shared" si="7"/>
        <v>1461.6731109746706</v>
      </c>
      <c r="AM47" s="3"/>
      <c r="AN47" s="162">
        <f>INDEX('(2.2)_Forward_Price_Curve'!$H:$H,MATCH($AB47,'(2.2)_Forward_Price_Curve'!$C:$C,0),1)</f>
        <v>6.6118625</v>
      </c>
      <c r="AO47" s="3"/>
      <c r="AP47" s="162">
        <f t="shared" si="18"/>
        <v>42.983049124980646</v>
      </c>
      <c r="AQ47" s="3"/>
      <c r="AR47" s="162">
        <f t="shared" si="14"/>
        <v>3.5257072760913521</v>
      </c>
      <c r="AS47" s="162"/>
      <c r="AT47" s="161">
        <f t="shared" si="3"/>
        <v>1896.9590327822011</v>
      </c>
      <c r="AU47" s="3"/>
      <c r="AV47" s="161">
        <f t="shared" si="4"/>
        <v>2104.5212271485079</v>
      </c>
      <c r="AW47" s="299"/>
      <c r="AX47" s="163">
        <f t="shared" si="8"/>
        <v>4001.4802599307091</v>
      </c>
      <c r="AZ47" s="154">
        <f>+IF(AZ46&gt;$G$13+$G$14,XX,AZ46+1)</f>
        <v>2038</v>
      </c>
      <c r="BA47" s="124"/>
      <c r="BB47" s="162">
        <f t="shared" si="15"/>
        <v>90.666496134875644</v>
      </c>
      <c r="BC47" s="3"/>
      <c r="BD47" s="162">
        <f t="shared" si="16"/>
        <v>10.214367465870527</v>
      </c>
      <c r="BE47" s="3"/>
      <c r="BF47" s="161">
        <f t="shared" si="9"/>
        <v>-435.28592180753054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6.91%</v>
      </c>
      <c r="E58" s="178"/>
      <c r="F58" s="3"/>
      <c r="G58" s="20">
        <f>+-PMT($G$18,$G$14,NPV($G$18,G28:G56))</f>
        <v>44319.635098469007</v>
      </c>
      <c r="H58" s="6"/>
      <c r="I58" s="30">
        <f>+-PMT($G$18,$G$14,NPV($G$18,I28:I56))</f>
        <v>0</v>
      </c>
      <c r="J58" s="30"/>
      <c r="K58" s="30">
        <f>+-PMT($G$18,$G$14,NPV($G$18,K28:K56))</f>
        <v>46.511573151828351</v>
      </c>
      <c r="L58" s="6"/>
      <c r="M58" s="30">
        <f>+-PMT($G$18,$G$14,NPV($G$18,M28:M56))</f>
        <v>0</v>
      </c>
      <c r="N58" s="6"/>
      <c r="O58" s="30">
        <f>+-PMT($G$18,$G$14,NPV($G$18,O28:O56))</f>
        <v>1.0166251298389934</v>
      </c>
      <c r="P58" s="6"/>
      <c r="Q58" s="30">
        <f>+-PMT($G$18,$G$14,NPV($G$18,Q28:Q56))</f>
        <v>0</v>
      </c>
      <c r="R58" s="6"/>
      <c r="S58" s="20">
        <f>+-PMT($G$18,$G$14,NPV($G$18,S28:S56))</f>
        <v>2106.8780649583409</v>
      </c>
      <c r="T58" s="6"/>
      <c r="U58" s="20">
        <f>+-PMT($G$18,$G$14,NPV($G$18,U28:U56))</f>
        <v>2722.7840655659088</v>
      </c>
      <c r="V58" s="3"/>
      <c r="W58" s="20">
        <f>+-PMT($G$18,$G$14,NPV($G$18,W28:W56))</f>
        <v>-615.90600060756753</v>
      </c>
      <c r="X58" s="3"/>
      <c r="Y58" s="296">
        <f>+-PMT($G$18,$G$14,NPV($G$18,Y28:Y56))</f>
        <v>-22.011095141487989</v>
      </c>
      <c r="Z58" s="255"/>
      <c r="AB58" s="2"/>
      <c r="AC58" s="3"/>
      <c r="AD58" s="159">
        <f>+-PMT($G$18,$G$14,NPV($G$18,AD28:AD56))</f>
        <v>44319.635098469007</v>
      </c>
      <c r="AE58" s="3"/>
      <c r="AF58" s="162">
        <f>+-PMT($G$18,$G$14,NPV($G$18,AF28:AF56))</f>
        <v>111.23855642114968</v>
      </c>
      <c r="AG58" s="3"/>
      <c r="AH58" s="162">
        <f>+-PMT($G$18,$G$14,NPV($G$18,AH28:AH56))</f>
        <v>23.30520457158109</v>
      </c>
      <c r="AI58" s="3"/>
      <c r="AJ58" s="162">
        <f>+-PMT($G$18,$G$14,NPV($G$18,AJ28:AJ56))</f>
        <v>2.6807434712684581</v>
      </c>
      <c r="AK58" s="3"/>
      <c r="AL58" s="161">
        <f>+-PMT($G$18,$G$14,NPV($G$18,AL28:AL56))</f>
        <v>1145.8682824237753</v>
      </c>
      <c r="AM58" s="3"/>
      <c r="AN58" s="162">
        <f>+-PMT($G$18,$G$14,NPV($G$18,AN28:AN56))</f>
        <v>3.7522917437315124</v>
      </c>
      <c r="AO58" s="3"/>
      <c r="AP58" s="162">
        <f>+-PMT($G$18,$G$14,NPV($G$18,AP28:AP56))</f>
        <v>24.393268969533302</v>
      </c>
      <c r="AQ58" s="3"/>
      <c r="AR58" s="162">
        <f>+-PMT($G$18,$G$14,NPV($G$18,AR28:AR56))</f>
        <v>2.7672133226230979</v>
      </c>
      <c r="AS58" s="162"/>
      <c r="AT58" s="161">
        <f>+-PMT($G$18,$G$14,NPV($G$18,AT28:AT56))</f>
        <v>1487.5100886350481</v>
      </c>
      <c r="AU58" s="3"/>
      <c r="AV58" s="161">
        <f>+-PMT($G$18,$G$14,NPV($G$18,AV28:AV56))</f>
        <v>1235.27397693086</v>
      </c>
      <c r="AW58" s="299"/>
      <c r="AX58" s="163">
        <f>+-PMT($G$18,$G$14,NPV($G$18,AX28:AX56))</f>
        <v>2722.7840655659088</v>
      </c>
      <c r="AZ58" s="2"/>
      <c r="BA58" s="3"/>
      <c r="BB58" s="162">
        <f>+-PMT($G$18,$G$14,NPV($G$18,BB28:BB56))</f>
        <v>71.161193023978882</v>
      </c>
      <c r="BC58" s="3"/>
      <c r="BD58" s="162">
        <f>+-PMT($G$18,$G$14,NPV($G$18,BD28:BD56))</f>
        <v>8.0169258308534879</v>
      </c>
      <c r="BE58" s="3"/>
      <c r="BF58" s="161">
        <f>+-PMT($G$18,$G$14,NPV($G$18,BF28:BF56))</f>
        <v>-341.64180621127235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4B404-84B7-4CF7-9AAE-40D80B3C39F3}">
  <sheetPr codeName="Sheet17">
    <tabColor theme="0" tint="-0.249977111117893"/>
    <pageSetUpPr fitToPage="1"/>
  </sheetPr>
  <dimension ref="A1:BH84"/>
  <sheetViews>
    <sheetView topLeftCell="A43" workbookViewId="0">
      <selection activeCell="G58" sqref="G58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312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'[5]New_Sage Solar I'!$X$12</f>
        <v>20</v>
      </c>
      <c r="H11" s="275"/>
      <c r="AB11" s="129" t="s">
        <v>99</v>
      </c>
      <c r="AC11" s="130"/>
      <c r="AD11" s="130"/>
      <c r="AE11" s="130"/>
      <c r="AF11" s="312">
        <f>+G11*(G12/AJ16)</f>
        <v>7.6251487361344221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-4.3148512638655774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'[5]New_Sage Solar I'!$X$13</f>
        <v>0.26600000000000001</v>
      </c>
      <c r="H12" s="275"/>
      <c r="AB12" s="129" t="s">
        <v>32</v>
      </c>
      <c r="AC12" s="130"/>
      <c r="AD12" s="130"/>
      <c r="AE12" s="130"/>
      <c r="AF12" s="138">
        <f>+AD58/8760/AF11</f>
        <v>0.66350431319357084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'(2.2)_Forward_Price_Curve'!E84</f>
        <v>0.59699999999999998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2019</v>
      </c>
      <c r="D28" s="6"/>
      <c r="E28" s="292">
        <f>'(2.2)_Forward_Price_Curve'!P31</f>
        <v>1.9E-2</v>
      </c>
      <c r="F28" s="6"/>
      <c r="G28" s="20">
        <v>7680</v>
      </c>
      <c r="H28" s="6"/>
      <c r="I28" s="293">
        <f>$G$15*(1+E28)</f>
        <v>0</v>
      </c>
      <c r="J28" s="293"/>
      <c r="K28" s="293">
        <v>44.644851417567764</v>
      </c>
      <c r="L28" s="294"/>
      <c r="M28" s="293">
        <f>$G$17</f>
        <v>0</v>
      </c>
      <c r="N28" s="6"/>
      <c r="O28" s="295">
        <f>'(2.2)_Forward_Price_Curve'!Z31</f>
        <v>0.85</v>
      </c>
      <c r="P28" s="6"/>
      <c r="Q28" s="30"/>
      <c r="R28" s="6"/>
      <c r="S28" s="20">
        <f>(I28*$G$11*1000+(K28+M28+O28+Q28)*G28)/1000</f>
        <v>349.40045888692043</v>
      </c>
      <c r="T28" s="6"/>
      <c r="U28" s="20">
        <f t="shared" ref="U28:U47" si="0">AX28</f>
        <v>1282.7044337034572</v>
      </c>
      <c r="V28" s="6"/>
      <c r="W28" s="20">
        <f t="shared" ref="W28:W47" si="1">S28-U28</f>
        <v>-933.30397481653677</v>
      </c>
      <c r="X28" s="6"/>
      <c r="Y28" s="296">
        <f>+W28*1000/G28</f>
        <v>-121.52395505423655</v>
      </c>
      <c r="Z28" s="255"/>
      <c r="AB28" s="154">
        <f>$C$28</f>
        <v>2019</v>
      </c>
      <c r="AC28" s="124"/>
      <c r="AD28" s="159">
        <f t="shared" ref="AD28:AD47" si="2">G28</f>
        <v>7680</v>
      </c>
      <c r="AE28" s="3"/>
      <c r="AF28" s="160">
        <f>$AF$15*$AF$16*(1+E28)</f>
        <v>93.459428720318471</v>
      </c>
      <c r="AG28" s="297"/>
      <c r="AH28" s="160">
        <f>$AJ$11*(1+E28)</f>
        <v>19.580361122485801</v>
      </c>
      <c r="AI28" s="297"/>
      <c r="AJ28" s="160">
        <f>$AJ$13*(1+E28)</f>
        <v>2.2522833937355777</v>
      </c>
      <c r="AK28" s="298"/>
      <c r="AL28" s="161">
        <f>((AF28+AH28)*$AF$11*1000+AJ28*AD28)/1000</f>
        <v>879.24274711664884</v>
      </c>
      <c r="AM28" s="3"/>
      <c r="AN28" s="162">
        <f>INDEX('(2.2)_Forward_Price_Curve'!$H:$H,MATCH($AB28,'(2.2)_Forward_Price_Curve'!$C:$C,0),1)</f>
        <v>1.9742583333333332</v>
      </c>
      <c r="AO28" s="310"/>
      <c r="AP28" s="162">
        <f>AN28*$AF$14/1000+$AJ$14/(1+E29)</f>
        <v>12.834453669759327</v>
      </c>
      <c r="AQ28" s="297"/>
      <c r="AR28" s="160">
        <f>$AJ$15*(1+E28)</f>
        <v>2.3249328704020966</v>
      </c>
      <c r="AS28" s="160"/>
      <c r="AT28" s="161">
        <f t="shared" ref="AT28:AT47" si="3">AL28-BF28</f>
        <v>1166.2803450750175</v>
      </c>
      <c r="AU28" s="298"/>
      <c r="AV28" s="161">
        <f t="shared" ref="AV28:AV47" si="4">(AP28+AR28)*AD28/1000</f>
        <v>116.42408862843975</v>
      </c>
      <c r="AW28" s="299"/>
      <c r="AX28" s="163">
        <f>AT28+AV28</f>
        <v>1282.7044337034572</v>
      </c>
      <c r="AZ28" s="154">
        <f>$C$28</f>
        <v>2019</v>
      </c>
      <c r="BA28" s="124"/>
      <c r="BB28" s="160">
        <f>$BD$14*$BD$15*(1+E28)</f>
        <v>59.787583199999986</v>
      </c>
      <c r="BC28" s="3"/>
      <c r="BD28" s="160">
        <f>$BB$16*(1+E28)</f>
        <v>6.7355899999999993</v>
      </c>
      <c r="BE28" s="297"/>
      <c r="BF28" s="161">
        <f>(BB28+BD28)*$BD$11</f>
        <v>-287.03759795836868</v>
      </c>
      <c r="BG28" s="297"/>
      <c r="BH28" s="164"/>
    </row>
    <row r="29" spans="1:60" ht="12">
      <c r="B29" s="2"/>
      <c r="C29" s="6">
        <f>+IF(C28&gt;$G$13+$G$14,XX,C28+1)</f>
        <v>2020</v>
      </c>
      <c r="D29" s="6"/>
      <c r="E29" s="292">
        <f>'(2.2)_Forward_Price_Curve'!P32</f>
        <v>2.5000000000000001E-2</v>
      </c>
      <c r="F29" s="6"/>
      <c r="G29" s="20">
        <v>49590</v>
      </c>
      <c r="H29" s="6"/>
      <c r="I29" s="30">
        <f>I28*(1+$E29)</f>
        <v>0</v>
      </c>
      <c r="J29" s="6"/>
      <c r="K29" s="30">
        <f>K28</f>
        <v>44.644851417567764</v>
      </c>
      <c r="L29" s="6"/>
      <c r="M29" s="30">
        <f>M28*(1+$E29)</f>
        <v>0</v>
      </c>
      <c r="N29" s="6"/>
      <c r="O29" s="295">
        <f>'(2.2)_Forward_Price_Curve'!Z32</f>
        <v>0.87222518878125355</v>
      </c>
      <c r="P29" s="6"/>
      <c r="Q29" s="30"/>
      <c r="R29" s="6"/>
      <c r="S29" s="20">
        <f t="shared" ref="S29:S47" si="5">(I29*$G$11*1000+(K29+M29+O29+Q29)*G29)/1000</f>
        <v>2257.1918289088476</v>
      </c>
      <c r="T29" s="6"/>
      <c r="U29" s="20">
        <f t="shared" si="0"/>
        <v>2018.0489448742817</v>
      </c>
      <c r="V29" s="6"/>
      <c r="W29" s="20">
        <f t="shared" si="1"/>
        <v>239.1428840345659</v>
      </c>
      <c r="X29" s="6"/>
      <c r="Y29" s="296">
        <f t="shared" ref="Y29:Y47" si="6">+W29*1000/G29</f>
        <v>4.8224013719412362</v>
      </c>
      <c r="Z29" s="255"/>
      <c r="AB29" s="154">
        <f>+IF(AB28&gt;$G$13+$G$14,XX,AB28+1)</f>
        <v>2020</v>
      </c>
      <c r="AC29" s="124"/>
      <c r="AD29" s="159">
        <f t="shared" si="2"/>
        <v>49590</v>
      </c>
      <c r="AE29" s="3"/>
      <c r="AF29" s="162">
        <f>AF28*(1+$E29)</f>
        <v>95.79591443832642</v>
      </c>
      <c r="AG29" s="3"/>
      <c r="AH29" s="162">
        <f>AH28*(1+$E29)</f>
        <v>20.069870150547946</v>
      </c>
      <c r="AI29" s="3"/>
      <c r="AJ29" s="162">
        <f>AJ28*(1+$E29)</f>
        <v>2.3085904785789668</v>
      </c>
      <c r="AK29" s="3"/>
      <c r="AL29" s="161">
        <f>((AF29+AH29)*$AF$11*1000+AJ29*AD29)/1000</f>
        <v>997.9768427518095</v>
      </c>
      <c r="AM29" s="3"/>
      <c r="AN29" s="162">
        <f>INDEX('(2.2)_Forward_Price_Curve'!$H:$H,MATCH($AB29,'(2.2)_Forward_Price_Curve'!$C:$C,0),1)</f>
        <v>1.8849916666666668</v>
      </c>
      <c r="AO29" s="3"/>
      <c r="AP29" s="162">
        <f>AN29*$AF$14/1000+$AJ$14</f>
        <v>12.254140101750828</v>
      </c>
      <c r="AQ29" s="3"/>
      <c r="AR29" s="162">
        <f>AR28*(1+$E29)</f>
        <v>2.3830561921621487</v>
      </c>
      <c r="AS29" s="162"/>
      <c r="AT29" s="161">
        <f t="shared" si="3"/>
        <v>1292.1903806591372</v>
      </c>
      <c r="AU29" s="3"/>
      <c r="AV29" s="161">
        <f t="shared" si="4"/>
        <v>725.8585642151445</v>
      </c>
      <c r="AW29" s="299"/>
      <c r="AX29" s="163">
        <f t="shared" ref="AX29:AX47" si="7">AT29+AV29</f>
        <v>2018.0489448742817</v>
      </c>
      <c r="AZ29" s="154">
        <f>+IF(AZ28&gt;$G$13+$G$14,XX,AZ28+1)</f>
        <v>2020</v>
      </c>
      <c r="BA29" s="124"/>
      <c r="BB29" s="162">
        <f>BB28*(1+$E29)</f>
        <v>61.282272779999978</v>
      </c>
      <c r="BC29" s="3"/>
      <c r="BD29" s="162">
        <f>BD28*(1+$E29)</f>
        <v>6.9039797499999986</v>
      </c>
      <c r="BE29" s="3"/>
      <c r="BF29" s="161">
        <f t="shared" ref="BF29:BF47" si="8">(BB29+BD29)*$BD$11</f>
        <v>-294.2135379073278</v>
      </c>
      <c r="BG29" s="3"/>
      <c r="BH29" s="165"/>
    </row>
    <row r="30" spans="1:60" ht="12">
      <c r="B30" s="2"/>
      <c r="C30" s="6">
        <f>+IF(C29&gt;$G$13+$G$14,XX,C29+1)</f>
        <v>2021</v>
      </c>
      <c r="D30" s="6"/>
      <c r="E30" s="292">
        <f>'(2.2)_Forward_Price_Curve'!P33</f>
        <v>2.4E-2</v>
      </c>
      <c r="F30" s="6"/>
      <c r="G30" s="20">
        <v>49280</v>
      </c>
      <c r="H30" s="6"/>
      <c r="I30" s="30">
        <f t="shared" ref="I30:I47" si="9">I29*(1+$E30)</f>
        <v>0</v>
      </c>
      <c r="J30" s="6"/>
      <c r="K30" s="30">
        <f t="shared" ref="K30:K47" si="10">K29</f>
        <v>44.644851417567764</v>
      </c>
      <c r="L30" s="6"/>
      <c r="M30" s="30">
        <f t="shared" ref="M30:M46" si="11">M29*(1+$E30)</f>
        <v>0</v>
      </c>
      <c r="N30" s="6"/>
      <c r="O30" s="295">
        <f>'(2.2)_Forward_Price_Curve'!Z33</f>
        <v>0.89441110644161892</v>
      </c>
      <c r="P30" s="6"/>
      <c r="Q30" s="30"/>
      <c r="R30" s="6"/>
      <c r="S30" s="20">
        <f t="shared" si="5"/>
        <v>2244.1748571831822</v>
      </c>
      <c r="T30" s="6"/>
      <c r="U30" s="20">
        <f t="shared" si="0"/>
        <v>2067.6522271184399</v>
      </c>
      <c r="V30" s="6"/>
      <c r="W30" s="20">
        <f t="shared" si="1"/>
        <v>176.52263006474232</v>
      </c>
      <c r="X30" s="6"/>
      <c r="Y30" s="296">
        <f t="shared" si="6"/>
        <v>3.5820338893007775</v>
      </c>
      <c r="Z30" s="255"/>
      <c r="AB30" s="154">
        <f>+IF(AB29&gt;$G$13+$G$14,XX,AB29+1)</f>
        <v>2021</v>
      </c>
      <c r="AC30" s="124"/>
      <c r="AD30" s="159">
        <f t="shared" si="2"/>
        <v>49280</v>
      </c>
      <c r="AE30" s="3"/>
      <c r="AF30" s="162">
        <f t="shared" ref="AF30:AF47" si="12">AF29*(1+$E30)</f>
        <v>98.095016384846261</v>
      </c>
      <c r="AG30" s="3"/>
      <c r="AH30" s="162">
        <f t="shared" ref="AH30:AH47" si="13">AH29*(1+$E30)</f>
        <v>20.551547034161096</v>
      </c>
      <c r="AI30" s="3"/>
      <c r="AJ30" s="162">
        <f t="shared" ref="AJ30:AJ47" si="14">AJ29*(1+$E30)</f>
        <v>2.3639966500648621</v>
      </c>
      <c r="AK30" s="3"/>
      <c r="AL30" s="161">
        <f t="shared" ref="AL30:AL47" si="15">((AF30+AH30)*$AF$11*1000+AJ30*AD30)/1000</f>
        <v>1021.1954480163329</v>
      </c>
      <c r="AM30" s="3"/>
      <c r="AN30" s="162">
        <f>INDEX('(2.2)_Forward_Price_Curve'!$H:$H,MATCH($AB30,'(2.2)_Forward_Price_Curve'!$C:$C,0),1)</f>
        <v>1.9506749999999997</v>
      </c>
      <c r="AO30" s="3"/>
      <c r="AP30" s="162">
        <f>AN30*$AF$14/1000+$AJ$14*(1+E30)</f>
        <v>12.681140805918394</v>
      </c>
      <c r="AQ30" s="3"/>
      <c r="AR30" s="162">
        <f t="shared" ref="AR30:AR47" si="16">AR29*(1+$E30)</f>
        <v>2.4402495407740403</v>
      </c>
      <c r="AS30" s="162"/>
      <c r="AT30" s="161">
        <f t="shared" si="3"/>
        <v>1322.4701108334366</v>
      </c>
      <c r="AU30" s="3"/>
      <c r="AV30" s="161">
        <f t="shared" si="4"/>
        <v>745.18211628500319</v>
      </c>
      <c r="AW30" s="299"/>
      <c r="AX30" s="163">
        <f t="shared" si="7"/>
        <v>2067.6522271184399</v>
      </c>
      <c r="AZ30" s="154">
        <f>+IF(AZ29&gt;$G$13+$G$14,XX,AZ29+1)</f>
        <v>2021</v>
      </c>
      <c r="BA30" s="124"/>
      <c r="BB30" s="162">
        <f t="shared" ref="BB30:BB47" si="17">BB29*(1+$E30)</f>
        <v>62.75304732671998</v>
      </c>
      <c r="BC30" s="3"/>
      <c r="BD30" s="162">
        <f t="shared" ref="BD30:BD47" si="18">BD29*(1+$E30)</f>
        <v>7.0696752639999989</v>
      </c>
      <c r="BE30" s="3"/>
      <c r="BF30" s="161">
        <f t="shared" si="8"/>
        <v>-301.27466281710372</v>
      </c>
      <c r="BG30" s="3"/>
      <c r="BH30" s="165"/>
    </row>
    <row r="31" spans="1:60" ht="12">
      <c r="B31" s="2"/>
      <c r="C31" s="6">
        <f>+IF(C30&gt;$G$13+$G$14,XX,C30+1)</f>
        <v>2022</v>
      </c>
      <c r="D31" s="6"/>
      <c r="E31" s="292">
        <f>'(2.2)_Forward_Price_Curve'!P34</f>
        <v>2.4E-2</v>
      </c>
      <c r="F31" s="6"/>
      <c r="G31" s="20">
        <v>49030</v>
      </c>
      <c r="H31" s="6"/>
      <c r="I31" s="30">
        <f t="shared" si="9"/>
        <v>0</v>
      </c>
      <c r="J31" s="6"/>
      <c r="K31" s="30">
        <f t="shared" si="10"/>
        <v>44.644851417567764</v>
      </c>
      <c r="L31" s="6"/>
      <c r="M31" s="30">
        <f t="shared" si="11"/>
        <v>0</v>
      </c>
      <c r="N31" s="6"/>
      <c r="O31" s="295">
        <f>'(2.2)_Forward_Price_Curve'!Z34</f>
        <v>0.91699200095245803</v>
      </c>
      <c r="P31" s="6"/>
      <c r="Q31" s="30"/>
      <c r="R31" s="6"/>
      <c r="S31" s="20">
        <f t="shared" si="5"/>
        <v>2233.8971828100462</v>
      </c>
      <c r="T31" s="6"/>
      <c r="U31" s="20">
        <f t="shared" si="0"/>
        <v>2251.0701065197368</v>
      </c>
      <c r="V31" s="6"/>
      <c r="W31" s="20">
        <f t="shared" si="1"/>
        <v>-17.172923709690622</v>
      </c>
      <c r="X31" s="6"/>
      <c r="Y31" s="296">
        <f t="shared" si="6"/>
        <v>-0.35025338995901739</v>
      </c>
      <c r="Z31" s="255"/>
      <c r="AB31" s="154">
        <f>+IF(AB30&gt;$G$13+$G$14,XX,AB30+1)</f>
        <v>2022</v>
      </c>
      <c r="AC31" s="124"/>
      <c r="AD31" s="159">
        <f t="shared" si="2"/>
        <v>49030</v>
      </c>
      <c r="AE31" s="3"/>
      <c r="AF31" s="162">
        <f t="shared" si="12"/>
        <v>100.44929677808257</v>
      </c>
      <c r="AG31" s="3"/>
      <c r="AH31" s="162">
        <f t="shared" si="13"/>
        <v>21.044784162980964</v>
      </c>
      <c r="AI31" s="3"/>
      <c r="AJ31" s="162">
        <f t="shared" si="14"/>
        <v>2.420732569666419</v>
      </c>
      <c r="AK31" s="3"/>
      <c r="AL31" s="161">
        <f t="shared" si="15"/>
        <v>1045.0989556263082</v>
      </c>
      <c r="AM31" s="3"/>
      <c r="AN31" s="162">
        <f>INDEX('(2.2)_Forward_Price_Curve'!$H:$H,MATCH($AB31,'(2.2)_Forward_Price_Curve'!$C:$C,0),1)</f>
        <v>2.431295833333333</v>
      </c>
      <c r="AO31" s="3"/>
      <c r="AP31" s="162">
        <f>AN31*$AF$14/1000+$AJ$14*(1+E31)</f>
        <v>15.805608214255424</v>
      </c>
      <c r="AQ31" s="3"/>
      <c r="AR31" s="162">
        <f t="shared" si="16"/>
        <v>2.4988155297526173</v>
      </c>
      <c r="AS31" s="162"/>
      <c r="AT31" s="161">
        <f t="shared" si="3"/>
        <v>1353.6042103510224</v>
      </c>
      <c r="AU31" s="3"/>
      <c r="AV31" s="161">
        <f t="shared" si="4"/>
        <v>897.46589616871427</v>
      </c>
      <c r="AW31" s="299"/>
      <c r="AX31" s="163">
        <f t="shared" si="7"/>
        <v>2251.0701065197368</v>
      </c>
      <c r="AZ31" s="154">
        <f>+IF(AZ30&gt;$G$13+$G$14,XX,AZ30+1)</f>
        <v>2022</v>
      </c>
      <c r="BA31" s="124"/>
      <c r="BB31" s="162">
        <f t="shared" si="17"/>
        <v>64.259120462561256</v>
      </c>
      <c r="BC31" s="3"/>
      <c r="BD31" s="162">
        <f t="shared" si="18"/>
        <v>7.239347470335999</v>
      </c>
      <c r="BE31" s="3"/>
      <c r="BF31" s="161">
        <f t="shared" si="8"/>
        <v>-308.50525472471418</v>
      </c>
      <c r="BG31" s="3"/>
      <c r="BH31" s="165"/>
    </row>
    <row r="32" spans="1:60" ht="12">
      <c r="B32" s="2"/>
      <c r="C32" s="6">
        <f>+IF(C31&gt;$G$13+$G$14,XX,C31+1)</f>
        <v>2023</v>
      </c>
      <c r="D32" s="6"/>
      <c r="E32" s="292">
        <f>'(2.2)_Forward_Price_Curve'!P35</f>
        <v>2.4E-2</v>
      </c>
      <c r="F32" s="6"/>
      <c r="G32" s="20">
        <v>48790</v>
      </c>
      <c r="H32" s="6"/>
      <c r="I32" s="30">
        <f t="shared" si="9"/>
        <v>0</v>
      </c>
      <c r="J32" s="6"/>
      <c r="K32" s="30">
        <f t="shared" si="10"/>
        <v>44.644851417567764</v>
      </c>
      <c r="L32" s="6"/>
      <c r="M32" s="30">
        <f t="shared" si="11"/>
        <v>0</v>
      </c>
      <c r="N32" s="6"/>
      <c r="O32" s="295">
        <f>'(2.2)_Forward_Price_Curve'!Z35</f>
        <v>0.93952909305922927</v>
      </c>
      <c r="P32" s="6"/>
      <c r="Q32" s="30"/>
      <c r="R32" s="6"/>
      <c r="S32" s="20">
        <f t="shared" si="5"/>
        <v>2224.0619251134908</v>
      </c>
      <c r="T32" s="6"/>
      <c r="U32" s="20">
        <f t="shared" si="0"/>
        <v>2441.9567431963969</v>
      </c>
      <c r="V32" s="6"/>
      <c r="W32" s="20">
        <f t="shared" si="1"/>
        <v>-217.89481808290611</v>
      </c>
      <c r="X32" s="6"/>
      <c r="Y32" s="296">
        <f t="shared" si="6"/>
        <v>-4.4659729059829081</v>
      </c>
      <c r="Z32" s="255"/>
      <c r="AB32" s="154">
        <f>+IF(AB31&gt;$G$13+$G$14,XX,AB31+1)</f>
        <v>2023</v>
      </c>
      <c r="AC32" s="124"/>
      <c r="AD32" s="159">
        <f t="shared" si="2"/>
        <v>48790</v>
      </c>
      <c r="AE32" s="3"/>
      <c r="AF32" s="162">
        <f t="shared" si="12"/>
        <v>102.86007990075656</v>
      </c>
      <c r="AG32" s="3"/>
      <c r="AH32" s="162">
        <f t="shared" si="13"/>
        <v>21.549858982892509</v>
      </c>
      <c r="AI32" s="3"/>
      <c r="AJ32" s="162">
        <f t="shared" si="14"/>
        <v>2.4788301513384132</v>
      </c>
      <c r="AK32" s="3"/>
      <c r="AL32" s="161">
        <f t="shared" si="15"/>
        <v>1069.5864113250186</v>
      </c>
      <c r="AM32" s="3"/>
      <c r="AN32" s="162">
        <f>INDEX('(2.2)_Forward_Price_Curve'!$H:$H,MATCH($AB32,'(2.2)_Forward_Price_Curve'!$C:$C,0),1)</f>
        <v>2.9371999999999994</v>
      </c>
      <c r="AO32" s="3"/>
      <c r="AP32" s="162">
        <f t="shared" ref="AP32:AP47" si="19">AN32*$AF$14/1000+$AJ$14*(1+E32)</f>
        <v>19.094440014427573</v>
      </c>
      <c r="AQ32" s="3"/>
      <c r="AR32" s="162">
        <f t="shared" si="16"/>
        <v>2.5587871024666802</v>
      </c>
      <c r="AS32" s="162"/>
      <c r="AT32" s="161">
        <f t="shared" si="3"/>
        <v>1385.495792163126</v>
      </c>
      <c r="AU32" s="3"/>
      <c r="AV32" s="161">
        <f t="shared" si="4"/>
        <v>1056.4609510332707</v>
      </c>
      <c r="AW32" s="299"/>
      <c r="AX32" s="163">
        <f t="shared" si="7"/>
        <v>2441.9567431963969</v>
      </c>
      <c r="AZ32" s="154">
        <f>+IF(AZ31&gt;$G$13+$G$14,XX,AZ31+1)</f>
        <v>2023</v>
      </c>
      <c r="BA32" s="124"/>
      <c r="BB32" s="162">
        <f t="shared" si="17"/>
        <v>65.801339353662726</v>
      </c>
      <c r="BC32" s="3"/>
      <c r="BD32" s="162">
        <f t="shared" si="18"/>
        <v>7.4130918096240634</v>
      </c>
      <c r="BE32" s="3"/>
      <c r="BF32" s="161">
        <f t="shared" si="8"/>
        <v>-315.90938083810732</v>
      </c>
      <c r="BG32" s="3"/>
      <c r="BH32" s="165"/>
    </row>
    <row r="33" spans="2:60" ht="12">
      <c r="B33" s="2"/>
      <c r="C33" s="6">
        <f>+IF(C32&gt;$G$13+$G$14,XX,C32+1)</f>
        <v>2024</v>
      </c>
      <c r="D33" s="6"/>
      <c r="E33" s="292">
        <f>'(2.2)_Forward_Price_Curve'!P36</f>
        <v>2.3E-2</v>
      </c>
      <c r="F33" s="6"/>
      <c r="G33" s="20">
        <v>48600</v>
      </c>
      <c r="H33" s="6"/>
      <c r="I33" s="30">
        <f t="shared" si="9"/>
        <v>0</v>
      </c>
      <c r="J33" s="6"/>
      <c r="K33" s="30">
        <f t="shared" si="10"/>
        <v>44.644851417567764</v>
      </c>
      <c r="L33" s="6"/>
      <c r="M33" s="30">
        <f t="shared" si="11"/>
        <v>0</v>
      </c>
      <c r="N33" s="6"/>
      <c r="O33" s="295">
        <f>'(2.2)_Forward_Price_Curve'!Z36</f>
        <v>0.961379129353919</v>
      </c>
      <c r="P33" s="6"/>
      <c r="Q33" s="30"/>
      <c r="R33" s="6"/>
      <c r="S33" s="20">
        <f t="shared" si="5"/>
        <v>2216.4628045803943</v>
      </c>
      <c r="T33" s="6"/>
      <c r="U33" s="20">
        <f t="shared" si="0"/>
        <v>2639.6521166639209</v>
      </c>
      <c r="V33" s="6"/>
      <c r="W33" s="20">
        <f t="shared" si="1"/>
        <v>-423.1893120835266</v>
      </c>
      <c r="X33" s="6"/>
      <c r="Y33" s="296">
        <f t="shared" si="6"/>
        <v>-8.7075990140643338</v>
      </c>
      <c r="Z33" s="255"/>
      <c r="AB33" s="154">
        <f>+IF(AB32&gt;$G$13+$G$14,XX,AB32+1)</f>
        <v>2024</v>
      </c>
      <c r="AC33" s="124"/>
      <c r="AD33" s="159">
        <f t="shared" si="2"/>
        <v>48600</v>
      </c>
      <c r="AE33" s="3"/>
      <c r="AF33" s="162">
        <f t="shared" si="12"/>
        <v>105.22586173847395</v>
      </c>
      <c r="AG33" s="3"/>
      <c r="AH33" s="162">
        <f t="shared" si="13"/>
        <v>22.045505739499035</v>
      </c>
      <c r="AI33" s="3"/>
      <c r="AJ33" s="162">
        <f t="shared" si="14"/>
        <v>2.5358432448191963</v>
      </c>
      <c r="AK33" s="3"/>
      <c r="AL33" s="161">
        <f t="shared" si="15"/>
        <v>1093.7050885689782</v>
      </c>
      <c r="AM33" s="3"/>
      <c r="AN33" s="162">
        <f>INDEX('(2.2)_Forward_Price_Curve'!$H:$H,MATCH($AB33,'(2.2)_Forward_Price_Curve'!$C:$C,0),1)</f>
        <v>3.4675625000000001</v>
      </c>
      <c r="AO33" s="3"/>
      <c r="AP33" s="162">
        <f t="shared" si="19"/>
        <v>22.542272964908253</v>
      </c>
      <c r="AQ33" s="3"/>
      <c r="AR33" s="162">
        <f t="shared" si="16"/>
        <v>2.6176392058234135</v>
      </c>
      <c r="AS33" s="162"/>
      <c r="AT33" s="161">
        <f t="shared" si="3"/>
        <v>1416.880385166362</v>
      </c>
      <c r="AU33" s="3"/>
      <c r="AV33" s="161">
        <f t="shared" si="4"/>
        <v>1222.7717314975589</v>
      </c>
      <c r="AW33" s="299"/>
      <c r="AX33" s="163">
        <f t="shared" si="7"/>
        <v>2639.6521166639209</v>
      </c>
      <c r="AZ33" s="154">
        <f>+IF(AZ32&gt;$G$13+$G$14,XX,AZ32+1)</f>
        <v>2024</v>
      </c>
      <c r="BA33" s="124"/>
      <c r="BB33" s="162">
        <f t="shared" si="17"/>
        <v>67.314770158796961</v>
      </c>
      <c r="BC33" s="3"/>
      <c r="BD33" s="162">
        <f t="shared" si="18"/>
        <v>7.5835929212454163</v>
      </c>
      <c r="BE33" s="3"/>
      <c r="BF33" s="161">
        <f t="shared" si="8"/>
        <v>-323.17529659738375</v>
      </c>
      <c r="BG33" s="3"/>
      <c r="BH33" s="165"/>
    </row>
    <row r="34" spans="2:60" ht="12">
      <c r="B34" s="2"/>
      <c r="C34" s="6">
        <f>+IF(C33&gt;$G$13+$G$14,XX,C33+1)</f>
        <v>2025</v>
      </c>
      <c r="D34" s="6"/>
      <c r="E34" s="292">
        <f>'(2.2)_Forward_Price_Curve'!P37</f>
        <v>2.1999999999999999E-2</v>
      </c>
      <c r="F34" s="6"/>
      <c r="G34" s="20">
        <v>48300</v>
      </c>
      <c r="H34" s="6"/>
      <c r="I34" s="30">
        <f t="shared" si="9"/>
        <v>0</v>
      </c>
      <c r="J34" s="6"/>
      <c r="K34" s="30">
        <f t="shared" si="10"/>
        <v>44.644851417567764</v>
      </c>
      <c r="L34" s="6"/>
      <c r="M34" s="30">
        <f t="shared" si="11"/>
        <v>0</v>
      </c>
      <c r="N34" s="6"/>
      <c r="O34" s="295">
        <f>'(2.2)_Forward_Price_Curve'!Z37</f>
        <v>0.98282248298325492</v>
      </c>
      <c r="P34" s="6"/>
      <c r="Q34" s="30"/>
      <c r="R34" s="6"/>
      <c r="S34" s="20">
        <f t="shared" si="5"/>
        <v>2203.8166493966141</v>
      </c>
      <c r="T34" s="6"/>
      <c r="U34" s="20">
        <f t="shared" si="0"/>
        <v>2777.5635698604565</v>
      </c>
      <c r="V34" s="6"/>
      <c r="W34" s="20">
        <f t="shared" si="1"/>
        <v>-573.74692046384234</v>
      </c>
      <c r="X34" s="6"/>
      <c r="Y34" s="296">
        <f t="shared" si="6"/>
        <v>-11.878818229065059</v>
      </c>
      <c r="Z34" s="255"/>
      <c r="AB34" s="154">
        <f>+IF(AB33&gt;$G$13+$G$14,XX,AB33+1)</f>
        <v>2025</v>
      </c>
      <c r="AC34" s="124"/>
      <c r="AD34" s="159">
        <f t="shared" si="2"/>
        <v>48300</v>
      </c>
      <c r="AE34" s="3"/>
      <c r="AF34" s="162">
        <f t="shared" si="12"/>
        <v>107.54083069672038</v>
      </c>
      <c r="AG34" s="3"/>
      <c r="AH34" s="162">
        <f t="shared" si="13"/>
        <v>22.530506865768015</v>
      </c>
      <c r="AI34" s="3"/>
      <c r="AJ34" s="162">
        <f t="shared" si="14"/>
        <v>2.5916317962052187</v>
      </c>
      <c r="AK34" s="3"/>
      <c r="AL34" s="161">
        <f t="shared" si="15"/>
        <v>1116.9891109786342</v>
      </c>
      <c r="AM34" s="3"/>
      <c r="AN34" s="162">
        <f>INDEX('(2.2)_Forward_Price_Curve'!$H:$H,MATCH($AB34,'(2.2)_Forward_Price_Curve'!$C:$C,0),1)</f>
        <v>3.8251624999999998</v>
      </c>
      <c r="AO34" s="3"/>
      <c r="AP34" s="162">
        <f t="shared" si="19"/>
        <v>24.866994382979648</v>
      </c>
      <c r="AQ34" s="3"/>
      <c r="AR34" s="162">
        <f t="shared" si="16"/>
        <v>2.6752272683515286</v>
      </c>
      <c r="AS34" s="162"/>
      <c r="AT34" s="161">
        <f t="shared" si="3"/>
        <v>1447.2742641011605</v>
      </c>
      <c r="AU34" s="3"/>
      <c r="AV34" s="161">
        <f t="shared" si="4"/>
        <v>1330.2893057592958</v>
      </c>
      <c r="AW34" s="299"/>
      <c r="AX34" s="163">
        <f t="shared" si="7"/>
        <v>2777.5635698604565</v>
      </c>
      <c r="AZ34" s="154">
        <f>+IF(AZ33&gt;$G$13+$G$14,XX,AZ33+1)</f>
        <v>2025</v>
      </c>
      <c r="BA34" s="124"/>
      <c r="BB34" s="162">
        <f t="shared" si="17"/>
        <v>68.795695102290495</v>
      </c>
      <c r="BC34" s="3"/>
      <c r="BD34" s="162">
        <f t="shared" si="18"/>
        <v>7.7504319655128153</v>
      </c>
      <c r="BE34" s="3"/>
      <c r="BF34" s="161">
        <f t="shared" si="8"/>
        <v>-330.2851531225262</v>
      </c>
      <c r="BG34" s="3"/>
      <c r="BH34" s="165"/>
    </row>
    <row r="35" spans="2:60" ht="12">
      <c r="B35" s="2"/>
      <c r="C35" s="6">
        <f>+IF(C34&gt;$G$13+$G$14,XX,C34+1)</f>
        <v>2026</v>
      </c>
      <c r="D35" s="6"/>
      <c r="E35" s="292">
        <f>'(2.2)_Forward_Price_Curve'!P38</f>
        <v>2.1999999999999999E-2</v>
      </c>
      <c r="F35" s="6"/>
      <c r="G35" s="20">
        <v>48060</v>
      </c>
      <c r="H35" s="6"/>
      <c r="I35" s="30">
        <f t="shared" si="9"/>
        <v>0</v>
      </c>
      <c r="J35" s="6"/>
      <c r="K35" s="30">
        <f t="shared" si="10"/>
        <v>44.644851417567764</v>
      </c>
      <c r="L35" s="6"/>
      <c r="M35" s="30">
        <f t="shared" si="11"/>
        <v>0</v>
      </c>
      <c r="N35" s="6"/>
      <c r="O35" s="295">
        <f>'(2.2)_Forward_Price_Curve'!Z38</f>
        <v>1.0045007081240578</v>
      </c>
      <c r="P35" s="6"/>
      <c r="Q35" s="30"/>
      <c r="R35" s="6"/>
      <c r="S35" s="20">
        <f t="shared" si="5"/>
        <v>2193.907863160749</v>
      </c>
      <c r="T35" s="6"/>
      <c r="U35" s="20">
        <f t="shared" si="0"/>
        <v>2870.3656164666127</v>
      </c>
      <c r="V35" s="6"/>
      <c r="W35" s="20">
        <f t="shared" si="1"/>
        <v>-676.45775330586366</v>
      </c>
      <c r="X35" s="6"/>
      <c r="Y35" s="296">
        <f t="shared" si="6"/>
        <v>-14.075275765831538</v>
      </c>
      <c r="Z35" s="255"/>
      <c r="AB35" s="154">
        <f>+IF(AB34&gt;$G$13+$G$14,XX,AB34+1)</f>
        <v>2026</v>
      </c>
      <c r="AC35" s="124"/>
      <c r="AD35" s="159">
        <f t="shared" si="2"/>
        <v>48060</v>
      </c>
      <c r="AE35" s="3"/>
      <c r="AF35" s="162">
        <f t="shared" si="12"/>
        <v>109.90672897204823</v>
      </c>
      <c r="AG35" s="3"/>
      <c r="AH35" s="162">
        <f t="shared" si="13"/>
        <v>23.02617801681491</v>
      </c>
      <c r="AI35" s="3"/>
      <c r="AJ35" s="162">
        <f t="shared" si="14"/>
        <v>2.6486476957217335</v>
      </c>
      <c r="AK35" s="3"/>
      <c r="AL35" s="161">
        <f t="shared" si="15"/>
        <v>1140.9271959731909</v>
      </c>
      <c r="AM35" s="3"/>
      <c r="AN35" s="162">
        <f>INDEX('(2.2)_Forward_Price_Curve'!$H:$H,MATCH($AB35,'(2.2)_Forward_Price_Curve'!$C:$C,0),1)</f>
        <v>4.0344208333333329</v>
      </c>
      <c r="AO35" s="3"/>
      <c r="AP35" s="162">
        <f t="shared" si="19"/>
        <v>26.227361635244531</v>
      </c>
      <c r="AQ35" s="3"/>
      <c r="AR35" s="162">
        <f t="shared" si="16"/>
        <v>2.7340822682552623</v>
      </c>
      <c r="AS35" s="162"/>
      <c r="AT35" s="161">
        <f t="shared" si="3"/>
        <v>1478.4786224644126</v>
      </c>
      <c r="AU35" s="3"/>
      <c r="AV35" s="161">
        <f t="shared" si="4"/>
        <v>1391.8869940022</v>
      </c>
      <c r="AW35" s="299"/>
      <c r="AX35" s="163">
        <f t="shared" si="7"/>
        <v>2870.3656164666127</v>
      </c>
      <c r="AZ35" s="154">
        <f>+IF(AZ34&gt;$G$13+$G$14,XX,AZ34+1)</f>
        <v>2026</v>
      </c>
      <c r="BA35" s="124"/>
      <c r="BB35" s="162">
        <f t="shared" si="17"/>
        <v>70.309200394540881</v>
      </c>
      <c r="BC35" s="3"/>
      <c r="BD35" s="162">
        <f t="shared" si="18"/>
        <v>7.9209414687540978</v>
      </c>
      <c r="BE35" s="3"/>
      <c r="BF35" s="161">
        <f t="shared" si="8"/>
        <v>-337.55142649122172</v>
      </c>
      <c r="BG35" s="3"/>
      <c r="BH35" s="165"/>
    </row>
    <row r="36" spans="2:60" ht="12">
      <c r="B36" s="2"/>
      <c r="C36" s="6">
        <f>+IF(C35&gt;$G$13+$G$14,XX,C35+1)</f>
        <v>2027</v>
      </c>
      <c r="D36" s="6"/>
      <c r="E36" s="292">
        <f>'(2.2)_Forward_Price_Curve'!P39</f>
        <v>2.1999999999999999E-2</v>
      </c>
      <c r="F36" s="6"/>
      <c r="G36" s="20">
        <v>47820</v>
      </c>
      <c r="H36" s="6"/>
      <c r="I36" s="30">
        <f t="shared" si="9"/>
        <v>0</v>
      </c>
      <c r="J36" s="6"/>
      <c r="K36" s="30">
        <f t="shared" si="10"/>
        <v>44.644851417567764</v>
      </c>
      <c r="L36" s="6"/>
      <c r="M36" s="30">
        <f t="shared" si="11"/>
        <v>0</v>
      </c>
      <c r="N36" s="6"/>
      <c r="O36" s="295">
        <f>'(2.2)_Forward_Price_Curve'!Z39</f>
        <v>1.026779705893067</v>
      </c>
      <c r="P36" s="6"/>
      <c r="Q36" s="30"/>
      <c r="R36" s="6"/>
      <c r="S36" s="20">
        <f t="shared" si="5"/>
        <v>2184.0174003238972</v>
      </c>
      <c r="T36" s="6"/>
      <c r="U36" s="20">
        <f t="shared" si="0"/>
        <v>2885.1438206026642</v>
      </c>
      <c r="V36" s="6"/>
      <c r="W36" s="20">
        <f t="shared" si="1"/>
        <v>-701.126420278767</v>
      </c>
      <c r="X36" s="6"/>
      <c r="Y36" s="296">
        <f t="shared" si="6"/>
        <v>-14.661782105369449</v>
      </c>
      <c r="Z36" s="255"/>
      <c r="AB36" s="154">
        <f>+IF(AB35&gt;$G$13+$G$14,XX,AB35+1)</f>
        <v>2027</v>
      </c>
      <c r="AC36" s="124"/>
      <c r="AD36" s="159">
        <f t="shared" si="2"/>
        <v>47820</v>
      </c>
      <c r="AE36" s="3"/>
      <c r="AF36" s="162">
        <f t="shared" si="12"/>
        <v>112.32467700943329</v>
      </c>
      <c r="AG36" s="3"/>
      <c r="AH36" s="162">
        <f t="shared" si="13"/>
        <v>23.532753933184839</v>
      </c>
      <c r="AI36" s="3"/>
      <c r="AJ36" s="162">
        <f t="shared" si="14"/>
        <v>2.7069179450276115</v>
      </c>
      <c r="AK36" s="3"/>
      <c r="AL36" s="161">
        <f t="shared" si="15"/>
        <v>1165.3779339777943</v>
      </c>
      <c r="AM36" s="3"/>
      <c r="AN36" s="162">
        <f>INDEX('(2.2)_Forward_Price_Curve'!$H:$H,MATCH($AB36,'(2.2)_Forward_Price_Curve'!$C:$C,0),1)</f>
        <v>3.9925249999999992</v>
      </c>
      <c r="AO36" s="3"/>
      <c r="AP36" s="162">
        <f t="shared" si="19"/>
        <v>25.955001061760328</v>
      </c>
      <c r="AQ36" s="3"/>
      <c r="AR36" s="162">
        <f t="shared" si="16"/>
        <v>2.7942320781568784</v>
      </c>
      <c r="AS36" s="162"/>
      <c r="AT36" s="161">
        <f t="shared" si="3"/>
        <v>1510.355491851823</v>
      </c>
      <c r="AU36" s="3"/>
      <c r="AV36" s="161">
        <f t="shared" si="4"/>
        <v>1374.7883287508409</v>
      </c>
      <c r="AW36" s="299"/>
      <c r="AX36" s="163">
        <f t="shared" si="7"/>
        <v>2885.1438206026642</v>
      </c>
      <c r="AZ36" s="154">
        <f>+IF(AZ35&gt;$G$13+$G$14,XX,AZ35+1)</f>
        <v>2027</v>
      </c>
      <c r="BA36" s="124"/>
      <c r="BB36" s="162">
        <f t="shared" si="17"/>
        <v>71.856002803220775</v>
      </c>
      <c r="BC36" s="3"/>
      <c r="BD36" s="162">
        <f t="shared" si="18"/>
        <v>8.0952021810666874</v>
      </c>
      <c r="BE36" s="3"/>
      <c r="BF36" s="161">
        <f t="shared" si="8"/>
        <v>-344.97755787402861</v>
      </c>
      <c r="BG36" s="3"/>
      <c r="BH36" s="165"/>
    </row>
    <row r="37" spans="2:60" ht="12">
      <c r="B37" s="2"/>
      <c r="C37" s="6">
        <f>+IF(C36&gt;$G$13+$G$14,XX,C36+1)</f>
        <v>2028</v>
      </c>
      <c r="D37" s="6"/>
      <c r="E37" s="292">
        <f>'(2.2)_Forward_Price_Curve'!P40</f>
        <v>2.1999999999999999E-2</v>
      </c>
      <c r="F37" s="6"/>
      <c r="G37" s="20">
        <v>47640</v>
      </c>
      <c r="H37" s="6"/>
      <c r="I37" s="30">
        <f t="shared" si="9"/>
        <v>0</v>
      </c>
      <c r="J37" s="6"/>
      <c r="K37" s="30">
        <f t="shared" si="10"/>
        <v>44.644851417567764</v>
      </c>
      <c r="L37" s="6"/>
      <c r="M37" s="30">
        <f t="shared" si="11"/>
        <v>0</v>
      </c>
      <c r="N37" s="6"/>
      <c r="O37" s="295">
        <f>'(2.2)_Forward_Price_Curve'!Z40</f>
        <v>1.0498288329991143</v>
      </c>
      <c r="P37" s="6"/>
      <c r="Q37" s="30"/>
      <c r="R37" s="6"/>
      <c r="S37" s="20">
        <f t="shared" si="5"/>
        <v>2176.8945671370057</v>
      </c>
      <c r="T37" s="6"/>
      <c r="U37" s="20">
        <f t="shared" si="0"/>
        <v>2897.0452244021239</v>
      </c>
      <c r="V37" s="6"/>
      <c r="W37" s="20">
        <f t="shared" si="1"/>
        <v>-720.1506572651183</v>
      </c>
      <c r="X37" s="6"/>
      <c r="Y37" s="296">
        <f t="shared" si="6"/>
        <v>-15.116512537051182</v>
      </c>
      <c r="Z37" s="255"/>
      <c r="AB37" s="154">
        <f>+IF(AB36&gt;$G$13+$G$14,XX,AB36+1)</f>
        <v>2028</v>
      </c>
      <c r="AC37" s="124"/>
      <c r="AD37" s="159">
        <f t="shared" si="2"/>
        <v>47640</v>
      </c>
      <c r="AE37" s="3"/>
      <c r="AF37" s="162">
        <f t="shared" si="12"/>
        <v>114.79581990364082</v>
      </c>
      <c r="AG37" s="3"/>
      <c r="AH37" s="162">
        <f t="shared" si="13"/>
        <v>24.050474519714907</v>
      </c>
      <c r="AI37" s="3"/>
      <c r="AJ37" s="162">
        <f t="shared" si="14"/>
        <v>2.7664701398182192</v>
      </c>
      <c r="AK37" s="3"/>
      <c r="AL37" s="161">
        <f t="shared" si="15"/>
        <v>1190.5182839001388</v>
      </c>
      <c r="AM37" s="3"/>
      <c r="AN37" s="162">
        <f>INDEX('(2.2)_Forward_Price_Curve'!$H:$H,MATCH($AB37,'(2.2)_Forward_Price_Curve'!$C:$C,0),1)</f>
        <v>3.9325250000000005</v>
      </c>
      <c r="AO37" s="3"/>
      <c r="AP37" s="162">
        <f t="shared" si="19"/>
        <v>25.564947132553726</v>
      </c>
      <c r="AQ37" s="3"/>
      <c r="AR37" s="162">
        <f t="shared" si="16"/>
        <v>2.8557051838763297</v>
      </c>
      <c r="AS37" s="162"/>
      <c r="AT37" s="161">
        <f t="shared" si="3"/>
        <v>1543.0853480473961</v>
      </c>
      <c r="AU37" s="3"/>
      <c r="AV37" s="161">
        <f t="shared" si="4"/>
        <v>1353.9598763547278</v>
      </c>
      <c r="AW37" s="299"/>
      <c r="AX37" s="163">
        <f t="shared" si="7"/>
        <v>2897.0452244021239</v>
      </c>
      <c r="AZ37" s="154">
        <f>+IF(AZ36&gt;$G$13+$G$14,XX,AZ36+1)</f>
        <v>2028</v>
      </c>
      <c r="BA37" s="124"/>
      <c r="BB37" s="162">
        <f t="shared" si="17"/>
        <v>73.436834864891637</v>
      </c>
      <c r="BC37" s="3"/>
      <c r="BD37" s="162">
        <f t="shared" si="18"/>
        <v>8.2732966290501544</v>
      </c>
      <c r="BE37" s="3"/>
      <c r="BF37" s="161">
        <f t="shared" si="8"/>
        <v>-352.56706414725721</v>
      </c>
      <c r="BG37" s="3"/>
      <c r="BH37" s="165"/>
    </row>
    <row r="38" spans="2:60" ht="12">
      <c r="B38" s="2"/>
      <c r="C38" s="6">
        <f>+IF(C37&gt;$G$13+$G$14,XX,C37+1)</f>
        <v>2029</v>
      </c>
      <c r="D38" s="6"/>
      <c r="E38" s="292">
        <f>'(2.2)_Forward_Price_Curve'!P41</f>
        <v>2.1999999999999999E-2</v>
      </c>
      <c r="F38" s="6"/>
      <c r="G38" s="20">
        <v>47340</v>
      </c>
      <c r="H38" s="6"/>
      <c r="I38" s="30">
        <f t="shared" si="9"/>
        <v>0</v>
      </c>
      <c r="J38" s="6"/>
      <c r="K38" s="30">
        <f t="shared" si="10"/>
        <v>44.644851417567764</v>
      </c>
      <c r="L38" s="6"/>
      <c r="M38" s="30">
        <f t="shared" si="11"/>
        <v>0</v>
      </c>
      <c r="N38" s="6"/>
      <c r="O38" s="295">
        <f>'(2.2)_Forward_Price_Curve'!Z41</f>
        <v>1.0737281421117022</v>
      </c>
      <c r="P38" s="6"/>
      <c r="Q38" s="30"/>
      <c r="R38" s="6"/>
      <c r="S38" s="20">
        <f t="shared" si="5"/>
        <v>2164.3175563552259</v>
      </c>
      <c r="T38" s="6"/>
      <c r="U38" s="20">
        <f t="shared" si="0"/>
        <v>3022.7697768570906</v>
      </c>
      <c r="V38" s="6"/>
      <c r="W38" s="20">
        <f t="shared" si="1"/>
        <v>-858.45222050186476</v>
      </c>
      <c r="X38" s="6"/>
      <c r="Y38" s="296">
        <f t="shared" si="6"/>
        <v>-18.133760466875049</v>
      </c>
      <c r="Z38" s="255"/>
      <c r="AB38" s="154">
        <f>+IF(AB37&gt;$G$13+$G$14,XX,AB37+1)</f>
        <v>2029</v>
      </c>
      <c r="AC38" s="124"/>
      <c r="AD38" s="159">
        <f t="shared" si="2"/>
        <v>47340</v>
      </c>
      <c r="AE38" s="3"/>
      <c r="AF38" s="162">
        <f t="shared" si="12"/>
        <v>117.32132794152092</v>
      </c>
      <c r="AG38" s="3"/>
      <c r="AH38" s="162">
        <f t="shared" si="13"/>
        <v>24.579584959148637</v>
      </c>
      <c r="AI38" s="3"/>
      <c r="AJ38" s="162">
        <f t="shared" si="14"/>
        <v>2.8273324828942199</v>
      </c>
      <c r="AK38" s="3"/>
      <c r="AL38" s="161">
        <f t="shared" si="15"/>
        <v>1215.8614864010735</v>
      </c>
      <c r="AM38" s="3"/>
      <c r="AN38" s="162">
        <f>INDEX('(2.2)_Forward_Price_Curve'!$H:$H,MATCH($AB38,'(2.2)_Forward_Price_Curve'!$C:$C,0),1)</f>
        <v>4.2515375000000004</v>
      </c>
      <c r="AO38" s="3"/>
      <c r="AP38" s="162">
        <f t="shared" si="19"/>
        <v>27.638815117404125</v>
      </c>
      <c r="AQ38" s="3"/>
      <c r="AR38" s="162">
        <f t="shared" si="16"/>
        <v>2.918530697921609</v>
      </c>
      <c r="AS38" s="162"/>
      <c r="AT38" s="161">
        <f t="shared" si="3"/>
        <v>1576.1850259595703</v>
      </c>
      <c r="AU38" s="3"/>
      <c r="AV38" s="161">
        <f t="shared" si="4"/>
        <v>1446.5847508975203</v>
      </c>
      <c r="AW38" s="299"/>
      <c r="AX38" s="163">
        <f t="shared" si="7"/>
        <v>3022.7697768570906</v>
      </c>
      <c r="AZ38" s="154">
        <f>+IF(AZ37&gt;$G$13+$G$14,XX,AZ37+1)</f>
        <v>2029</v>
      </c>
      <c r="BA38" s="124"/>
      <c r="BB38" s="162">
        <f t="shared" si="17"/>
        <v>75.052445231919251</v>
      </c>
      <c r="BC38" s="3"/>
      <c r="BD38" s="162">
        <f t="shared" si="18"/>
        <v>8.4553091548892585</v>
      </c>
      <c r="BE38" s="3"/>
      <c r="BF38" s="161">
        <f t="shared" si="8"/>
        <v>-360.32353955849692</v>
      </c>
      <c r="BG38" s="3"/>
      <c r="BH38" s="165"/>
    </row>
    <row r="39" spans="2:60" ht="12">
      <c r="B39" s="2"/>
      <c r="C39" s="6">
        <f>+IF(C38&gt;$G$13+$G$14,XX,C38+1)</f>
        <v>2030</v>
      </c>
      <c r="D39" s="6"/>
      <c r="E39" s="292">
        <f>'(2.2)_Forward_Price_Curve'!P42</f>
        <v>2.1999999999999999E-2</v>
      </c>
      <c r="F39" s="6"/>
      <c r="G39" s="20">
        <v>47110</v>
      </c>
      <c r="H39" s="6"/>
      <c r="I39" s="30">
        <f t="shared" si="9"/>
        <v>0</v>
      </c>
      <c r="J39" s="6"/>
      <c r="K39" s="30">
        <f t="shared" si="10"/>
        <v>44.644851417567764</v>
      </c>
      <c r="L39" s="6"/>
      <c r="M39" s="30">
        <f t="shared" si="11"/>
        <v>0</v>
      </c>
      <c r="N39" s="6"/>
      <c r="O39" s="295">
        <f>'(2.2)_Forward_Price_Curve'!Z42</f>
        <v>1.0977895859175892</v>
      </c>
      <c r="P39" s="6"/>
      <c r="Q39" s="30"/>
      <c r="R39" s="6"/>
      <c r="S39" s="20">
        <f t="shared" si="5"/>
        <v>2154.9358176741948</v>
      </c>
      <c r="T39" s="6"/>
      <c r="U39" s="20">
        <f t="shared" si="0"/>
        <v>3223.8136824948324</v>
      </c>
      <c r="V39" s="6"/>
      <c r="W39" s="20">
        <f t="shared" si="1"/>
        <v>-1068.8778648206376</v>
      </c>
      <c r="X39" s="6"/>
      <c r="Y39" s="296">
        <f t="shared" si="6"/>
        <v>-22.688980361295638</v>
      </c>
      <c r="Z39" s="255"/>
      <c r="AB39" s="154">
        <f>+IF(AB38&gt;$G$13+$G$14,XX,AB38+1)</f>
        <v>2030</v>
      </c>
      <c r="AC39" s="124"/>
      <c r="AD39" s="159">
        <f t="shared" si="2"/>
        <v>47110</v>
      </c>
      <c r="AE39" s="3"/>
      <c r="AF39" s="162">
        <f t="shared" si="12"/>
        <v>119.90239715623439</v>
      </c>
      <c r="AG39" s="3"/>
      <c r="AH39" s="162">
        <f t="shared" si="13"/>
        <v>25.120335828249907</v>
      </c>
      <c r="AI39" s="3"/>
      <c r="AJ39" s="162">
        <f t="shared" si="14"/>
        <v>2.8895337975178927</v>
      </c>
      <c r="AK39" s="3"/>
      <c r="AL39" s="161">
        <f t="shared" si="15"/>
        <v>1241.945846328468</v>
      </c>
      <c r="AM39" s="3"/>
      <c r="AN39" s="162">
        <f>INDEX('(2.2)_Forward_Price_Curve'!$H:$H,MATCH($AB39,'(2.2)_Forward_Price_Curve'!$C:$C,0),1)</f>
        <v>4.8100083333333341</v>
      </c>
      <c r="AO39" s="3"/>
      <c r="AP39" s="162">
        <f t="shared" si="19"/>
        <v>31.26937749888673</v>
      </c>
      <c r="AQ39" s="3"/>
      <c r="AR39" s="162">
        <f t="shared" si="16"/>
        <v>2.9827383732758843</v>
      </c>
      <c r="AS39" s="162"/>
      <c r="AT39" s="161">
        <f t="shared" si="3"/>
        <v>1610.1965037572518</v>
      </c>
      <c r="AU39" s="3"/>
      <c r="AV39" s="161">
        <f t="shared" si="4"/>
        <v>1613.6171787375808</v>
      </c>
      <c r="AW39" s="299"/>
      <c r="AX39" s="163">
        <f t="shared" si="7"/>
        <v>3223.8136824948324</v>
      </c>
      <c r="AZ39" s="154">
        <f>+IF(AZ38&gt;$G$13+$G$14,XX,AZ38+1)</f>
        <v>2030</v>
      </c>
      <c r="BA39" s="124"/>
      <c r="BB39" s="162">
        <f t="shared" si="17"/>
        <v>76.703599027021482</v>
      </c>
      <c r="BC39" s="3"/>
      <c r="BD39" s="162">
        <f t="shared" si="18"/>
        <v>8.6413259562968232</v>
      </c>
      <c r="BE39" s="3"/>
      <c r="BF39" s="161">
        <f t="shared" si="8"/>
        <v>-368.25065742878388</v>
      </c>
      <c r="BG39" s="3"/>
      <c r="BH39" s="165"/>
    </row>
    <row r="40" spans="2:60" ht="12">
      <c r="B40" s="2"/>
      <c r="C40" s="6">
        <f>+IF(C39&gt;$G$13+$G$14,XX,C39+1)</f>
        <v>2031</v>
      </c>
      <c r="D40" s="6"/>
      <c r="E40" s="292">
        <f>'(2.2)_Forward_Price_Curve'!P43</f>
        <v>2.1999999999999999E-2</v>
      </c>
      <c r="F40" s="6"/>
      <c r="G40" s="20">
        <v>46870</v>
      </c>
      <c r="H40" s="6"/>
      <c r="I40" s="30">
        <f t="shared" si="9"/>
        <v>0</v>
      </c>
      <c r="J40" s="6"/>
      <c r="K40" s="30">
        <f t="shared" si="10"/>
        <v>44.644851417567764</v>
      </c>
      <c r="L40" s="6"/>
      <c r="M40" s="30">
        <f t="shared" si="11"/>
        <v>0</v>
      </c>
      <c r="N40" s="6"/>
      <c r="O40" s="295">
        <f>'(2.2)_Forward_Price_Curve'!Z43</f>
        <v>1.1218057776996744</v>
      </c>
      <c r="P40" s="6"/>
      <c r="Q40" s="30"/>
      <c r="R40" s="6"/>
      <c r="S40" s="20">
        <f t="shared" si="5"/>
        <v>2145.0832227421852</v>
      </c>
      <c r="T40" s="6"/>
      <c r="U40" s="20">
        <f t="shared" si="0"/>
        <v>3348.1566066210798</v>
      </c>
      <c r="V40" s="6"/>
      <c r="W40" s="20">
        <f t="shared" si="1"/>
        <v>-1203.0733838788947</v>
      </c>
      <c r="X40" s="6"/>
      <c r="Y40" s="296">
        <f t="shared" si="6"/>
        <v>-25.668303475120432</v>
      </c>
      <c r="Z40" s="255"/>
      <c r="AB40" s="154">
        <f>+IF(AB39&gt;$G$13+$G$14,XX,AB39+1)</f>
        <v>2031</v>
      </c>
      <c r="AC40" s="124"/>
      <c r="AD40" s="159">
        <f t="shared" si="2"/>
        <v>46870</v>
      </c>
      <c r="AE40" s="3"/>
      <c r="AF40" s="162">
        <f t="shared" si="12"/>
        <v>122.54024989367154</v>
      </c>
      <c r="AG40" s="3"/>
      <c r="AH40" s="162">
        <f t="shared" si="13"/>
        <v>25.672983216471405</v>
      </c>
      <c r="AI40" s="3"/>
      <c r="AJ40" s="162">
        <f t="shared" si="14"/>
        <v>2.9531035410632867</v>
      </c>
      <c r="AK40" s="3"/>
      <c r="AL40" s="161">
        <f t="shared" si="15"/>
        <v>1268.5599100978393</v>
      </c>
      <c r="AM40" s="3"/>
      <c r="AN40" s="162">
        <f>INDEX('(2.2)_Forward_Price_Curve'!$H:$H,MATCH($AB40,'(2.2)_Forward_Price_Curve'!$C:$C,0),1)</f>
        <v>5.1210458333333335</v>
      </c>
      <c r="AO40" s="3"/>
      <c r="AP40" s="162">
        <f t="shared" si="19"/>
        <v>33.291400815646746</v>
      </c>
      <c r="AQ40" s="3"/>
      <c r="AR40" s="162">
        <f t="shared" si="16"/>
        <v>3.048358617487954</v>
      </c>
      <c r="AS40" s="162"/>
      <c r="AT40" s="161">
        <f t="shared" si="3"/>
        <v>1644.9120819900563</v>
      </c>
      <c r="AU40" s="3"/>
      <c r="AV40" s="161">
        <f t="shared" si="4"/>
        <v>1703.2445246310233</v>
      </c>
      <c r="AW40" s="299"/>
      <c r="AX40" s="163">
        <f t="shared" si="7"/>
        <v>3348.1566066210798</v>
      </c>
      <c r="AZ40" s="154">
        <f>+IF(AZ39&gt;$G$13+$G$14,XX,AZ39+1)</f>
        <v>2031</v>
      </c>
      <c r="BA40" s="124"/>
      <c r="BB40" s="162">
        <f t="shared" si="17"/>
        <v>78.391078205615955</v>
      </c>
      <c r="BC40" s="3"/>
      <c r="BD40" s="162">
        <f t="shared" si="18"/>
        <v>8.8314351273353537</v>
      </c>
      <c r="BE40" s="3"/>
      <c r="BF40" s="161">
        <f t="shared" si="8"/>
        <v>-376.35217189221714</v>
      </c>
      <c r="BG40" s="3"/>
      <c r="BH40" s="165"/>
    </row>
    <row r="41" spans="2:60" ht="12">
      <c r="B41" s="2"/>
      <c r="C41" s="6">
        <f>+IF(C40&gt;$G$13+$G$14,XX,C40+1)</f>
        <v>2032</v>
      </c>
      <c r="D41" s="6"/>
      <c r="E41" s="292">
        <f>'(2.2)_Forward_Price_Curve'!P44</f>
        <v>2.1000000000000001E-2</v>
      </c>
      <c r="F41" s="6"/>
      <c r="G41" s="20">
        <v>46690</v>
      </c>
      <c r="H41" s="6"/>
      <c r="I41" s="30">
        <f t="shared" si="9"/>
        <v>0</v>
      </c>
      <c r="J41" s="6"/>
      <c r="K41" s="30">
        <f t="shared" si="10"/>
        <v>44.644851417567764</v>
      </c>
      <c r="L41" s="6"/>
      <c r="M41" s="30">
        <f t="shared" si="11"/>
        <v>0</v>
      </c>
      <c r="N41" s="6"/>
      <c r="O41" s="295">
        <f>'(2.2)_Forward_Price_Curve'!Z44</f>
        <v>1.1460041088775619</v>
      </c>
      <c r="P41" s="6"/>
      <c r="Q41" s="30"/>
      <c r="R41" s="6"/>
      <c r="S41" s="20">
        <f t="shared" si="5"/>
        <v>2137.9750445297323</v>
      </c>
      <c r="T41" s="6"/>
      <c r="U41" s="20">
        <f t="shared" si="0"/>
        <v>3470.302793210069</v>
      </c>
      <c r="V41" s="6"/>
      <c r="W41" s="20">
        <f t="shared" si="1"/>
        <v>-1332.3277486803368</v>
      </c>
      <c r="X41" s="6"/>
      <c r="Y41" s="296">
        <f t="shared" si="6"/>
        <v>-28.53561252260306</v>
      </c>
      <c r="Z41" s="255"/>
      <c r="AB41" s="154">
        <f>+IF(AB40&gt;$G$13+$G$14,XX,AB40+1)</f>
        <v>2032</v>
      </c>
      <c r="AC41" s="124"/>
      <c r="AD41" s="159">
        <f t="shared" si="2"/>
        <v>46690</v>
      </c>
      <c r="AE41" s="3"/>
      <c r="AF41" s="162">
        <f t="shared" si="12"/>
        <v>125.11359514143864</v>
      </c>
      <c r="AG41" s="3"/>
      <c r="AH41" s="162">
        <f t="shared" si="13"/>
        <v>26.212115864017303</v>
      </c>
      <c r="AI41" s="3"/>
      <c r="AJ41" s="162">
        <f t="shared" si="14"/>
        <v>3.0151187154256154</v>
      </c>
      <c r="AK41" s="3"/>
      <c r="AL41" s="161">
        <f t="shared" si="15"/>
        <v>1294.6569468411169</v>
      </c>
      <c r="AM41" s="3"/>
      <c r="AN41" s="162">
        <f>INDEX('(2.2)_Forward_Price_Curve'!$H:$H,MATCH($AB41,'(2.2)_Forward_Price_Curve'!$C:$C,0),1)</f>
        <v>5.4231541666666665</v>
      </c>
      <c r="AO41" s="3"/>
      <c r="AP41" s="162">
        <f t="shared" si="19"/>
        <v>35.255376523358855</v>
      </c>
      <c r="AQ41" s="3"/>
      <c r="AR41" s="162">
        <f t="shared" si="16"/>
        <v>3.1123741484552006</v>
      </c>
      <c r="AS41" s="162"/>
      <c r="AT41" s="161">
        <f t="shared" si="3"/>
        <v>1678.9125143430706</v>
      </c>
      <c r="AU41" s="3"/>
      <c r="AV41" s="161">
        <f t="shared" si="4"/>
        <v>1791.3902788669984</v>
      </c>
      <c r="AW41" s="299"/>
      <c r="AX41" s="163">
        <f t="shared" si="7"/>
        <v>3470.302793210069</v>
      </c>
      <c r="AZ41" s="154">
        <f>+IF(AZ40&gt;$G$13+$G$14,XX,AZ40+1)</f>
        <v>2032</v>
      </c>
      <c r="BA41" s="124"/>
      <c r="BB41" s="162">
        <f t="shared" si="17"/>
        <v>80.037290847933889</v>
      </c>
      <c r="BC41" s="3"/>
      <c r="BD41" s="162">
        <f t="shared" si="18"/>
        <v>9.0168952650093956</v>
      </c>
      <c r="BE41" s="3"/>
      <c r="BF41" s="161">
        <f t="shared" si="8"/>
        <v>-384.25556750195369</v>
      </c>
      <c r="BG41" s="3"/>
      <c r="BH41" s="165"/>
    </row>
    <row r="42" spans="2:60" ht="12">
      <c r="B42" s="2"/>
      <c r="C42" s="6">
        <f>+IF(C41&gt;$G$13+$G$14,XX,C41+1)</f>
        <v>2033</v>
      </c>
      <c r="D42" s="6"/>
      <c r="E42" s="292">
        <f>'(2.2)_Forward_Price_Curve'!P45</f>
        <v>2.1000000000000001E-2</v>
      </c>
      <c r="F42" s="6"/>
      <c r="G42" s="20">
        <v>46400</v>
      </c>
      <c r="H42" s="6"/>
      <c r="I42" s="30">
        <f t="shared" si="9"/>
        <v>0</v>
      </c>
      <c r="J42" s="6"/>
      <c r="K42" s="30">
        <f t="shared" si="10"/>
        <v>44.644851417567764</v>
      </c>
      <c r="L42" s="6"/>
      <c r="M42" s="30">
        <f t="shared" si="11"/>
        <v>0</v>
      </c>
      <c r="N42" s="6"/>
      <c r="O42" s="295">
        <f>'(2.2)_Forward_Price_Curve'!Z45</f>
        <v>1.1705802944541936</v>
      </c>
      <c r="P42" s="6"/>
      <c r="Q42" s="30"/>
      <c r="R42" s="6"/>
      <c r="S42" s="20">
        <f t="shared" si="5"/>
        <v>2125.8360314378187</v>
      </c>
      <c r="T42" s="6"/>
      <c r="U42" s="20">
        <f t="shared" si="0"/>
        <v>3592.2326418050829</v>
      </c>
      <c r="V42" s="6"/>
      <c r="W42" s="20">
        <f t="shared" si="1"/>
        <v>-1466.3966103672642</v>
      </c>
      <c r="X42" s="6"/>
      <c r="Y42" s="296">
        <f t="shared" si="6"/>
        <v>-31.603375223432415</v>
      </c>
      <c r="Z42" s="255"/>
      <c r="AB42" s="154">
        <f>+IF(AB41&gt;$G$13+$G$14,XX,AB41+1)</f>
        <v>2033</v>
      </c>
      <c r="AC42" s="124"/>
      <c r="AD42" s="159">
        <f t="shared" si="2"/>
        <v>46400</v>
      </c>
      <c r="AE42" s="3"/>
      <c r="AF42" s="162">
        <f t="shared" si="12"/>
        <v>127.74098063940883</v>
      </c>
      <c r="AG42" s="3"/>
      <c r="AH42" s="162">
        <f t="shared" si="13"/>
        <v>26.762570297161663</v>
      </c>
      <c r="AI42" s="3"/>
      <c r="AJ42" s="162">
        <f t="shared" si="14"/>
        <v>3.0784362084495531</v>
      </c>
      <c r="AK42" s="3"/>
      <c r="AL42" s="161">
        <f t="shared" si="15"/>
        <v>1320.9519962243301</v>
      </c>
      <c r="AM42" s="3"/>
      <c r="AN42" s="162">
        <f>INDEX('(2.2)_Forward_Price_Curve'!$H:$H,MATCH($AB42,'(2.2)_Forward_Price_Curve'!$C:$C,0),1)</f>
        <v>5.7402833333333332</v>
      </c>
      <c r="AO42" s="3"/>
      <c r="AP42" s="162">
        <f t="shared" si="19"/>
        <v>37.317001148764703</v>
      </c>
      <c r="AQ42" s="3"/>
      <c r="AR42" s="162">
        <f t="shared" si="16"/>
        <v>3.1777340055727596</v>
      </c>
      <c r="AS42" s="162"/>
      <c r="AT42" s="161">
        <f t="shared" si="3"/>
        <v>1713.2769306438247</v>
      </c>
      <c r="AU42" s="3"/>
      <c r="AV42" s="161">
        <f t="shared" si="4"/>
        <v>1878.9557111612583</v>
      </c>
      <c r="AW42" s="299"/>
      <c r="AX42" s="163">
        <f t="shared" si="7"/>
        <v>3592.2326418050829</v>
      </c>
      <c r="AZ42" s="154">
        <f>+IF(AZ41&gt;$G$13+$G$14,XX,AZ41+1)</f>
        <v>2033</v>
      </c>
      <c r="BA42" s="124"/>
      <c r="BB42" s="162">
        <f t="shared" si="17"/>
        <v>81.718073955740493</v>
      </c>
      <c r="BC42" s="3"/>
      <c r="BD42" s="162">
        <f t="shared" si="18"/>
        <v>9.2062500655745918</v>
      </c>
      <c r="BE42" s="3"/>
      <c r="BF42" s="161">
        <f t="shared" si="8"/>
        <v>-392.3249344194947</v>
      </c>
      <c r="BG42" s="3"/>
      <c r="BH42" s="165"/>
    </row>
    <row r="43" spans="2:60" ht="12">
      <c r="B43" s="2"/>
      <c r="C43" s="6">
        <f>+IF(C42&gt;$G$13+$G$14,XX,C42+1)</f>
        <v>2034</v>
      </c>
      <c r="D43" s="6"/>
      <c r="E43" s="292">
        <f>'(2.2)_Forward_Price_Curve'!P46</f>
        <v>2.1000000000000001E-2</v>
      </c>
      <c r="F43" s="6"/>
      <c r="G43" s="20">
        <v>46170</v>
      </c>
      <c r="H43" s="6"/>
      <c r="I43" s="30">
        <f t="shared" si="9"/>
        <v>0</v>
      </c>
      <c r="J43" s="6"/>
      <c r="K43" s="30">
        <f t="shared" si="10"/>
        <v>44.644851417567764</v>
      </c>
      <c r="L43" s="6"/>
      <c r="M43" s="30">
        <f t="shared" si="11"/>
        <v>0</v>
      </c>
      <c r="N43" s="6"/>
      <c r="O43" s="295">
        <f>'(2.2)_Forward_Price_Curve'!Z46</f>
        <v>1.1951742037401478</v>
      </c>
      <c r="P43" s="6"/>
      <c r="Q43" s="30"/>
      <c r="R43" s="6"/>
      <c r="S43" s="20">
        <f t="shared" si="5"/>
        <v>2116.4339829357864</v>
      </c>
      <c r="T43" s="6"/>
      <c r="U43" s="20">
        <f t="shared" si="0"/>
        <v>3713.8647461573787</v>
      </c>
      <c r="V43" s="6"/>
      <c r="W43" s="20">
        <f t="shared" si="1"/>
        <v>-1597.4307632215923</v>
      </c>
      <c r="X43" s="6"/>
      <c r="Y43" s="296">
        <f t="shared" si="6"/>
        <v>-34.598890258210794</v>
      </c>
      <c r="Z43" s="255"/>
      <c r="AB43" s="154">
        <f>+IF(AB42&gt;$G$13+$G$14,XX,AB42+1)</f>
        <v>2034</v>
      </c>
      <c r="AC43" s="124"/>
      <c r="AD43" s="159">
        <f t="shared" si="2"/>
        <v>46170</v>
      </c>
      <c r="AE43" s="3"/>
      <c r="AF43" s="162">
        <f t="shared" si="12"/>
        <v>130.42354123283641</v>
      </c>
      <c r="AG43" s="3"/>
      <c r="AH43" s="162">
        <f t="shared" si="13"/>
        <v>27.324584273402056</v>
      </c>
      <c r="AI43" s="3"/>
      <c r="AJ43" s="162">
        <f t="shared" si="14"/>
        <v>3.1430833688269932</v>
      </c>
      <c r="AK43" s="3"/>
      <c r="AL43" s="161">
        <f t="shared" si="15"/>
        <v>1347.9690789702108</v>
      </c>
      <c r="AM43" s="3"/>
      <c r="AN43" s="162">
        <f>INDEX('(2.2)_Forward_Price_Curve'!$H:$H,MATCH($AB43,'(2.2)_Forward_Price_Curve'!$C:$C,0),1)</f>
        <v>6.0488291666666667</v>
      </c>
      <c r="AO43" s="3"/>
      <c r="AP43" s="162">
        <f t="shared" si="19"/>
        <v>39.322826392631285</v>
      </c>
      <c r="AQ43" s="3"/>
      <c r="AR43" s="162">
        <f t="shared" si="16"/>
        <v>3.2444664196897874</v>
      </c>
      <c r="AS43" s="162"/>
      <c r="AT43" s="161">
        <f t="shared" si="3"/>
        <v>1748.5328370125148</v>
      </c>
      <c r="AU43" s="3"/>
      <c r="AV43" s="161">
        <f t="shared" si="4"/>
        <v>1965.3319091448639</v>
      </c>
      <c r="AW43" s="299"/>
      <c r="AX43" s="163">
        <f t="shared" si="7"/>
        <v>3713.8647461573787</v>
      </c>
      <c r="AZ43" s="154">
        <f>+IF(AZ42&gt;$G$13+$G$14,XX,AZ42+1)</f>
        <v>2034</v>
      </c>
      <c r="BA43" s="124"/>
      <c r="BB43" s="162">
        <f t="shared" si="17"/>
        <v>83.434153508811036</v>
      </c>
      <c r="BC43" s="3"/>
      <c r="BD43" s="162">
        <f t="shared" si="18"/>
        <v>9.3995813169516573</v>
      </c>
      <c r="BE43" s="3"/>
      <c r="BF43" s="161">
        <f t="shared" si="8"/>
        <v>-400.56375804230402</v>
      </c>
      <c r="BG43" s="3"/>
      <c r="BH43" s="165"/>
    </row>
    <row r="44" spans="2:60" ht="12">
      <c r="B44" s="2"/>
      <c r="C44" s="6">
        <f>+IF(C43&gt;$G$13+$G$14,XX,C43+1)</f>
        <v>2035</v>
      </c>
      <c r="D44" s="6"/>
      <c r="E44" s="292">
        <f>'(2.2)_Forward_Price_Curve'!P47</f>
        <v>2.1000000000000001E-2</v>
      </c>
      <c r="F44" s="6"/>
      <c r="G44" s="20">
        <v>45940</v>
      </c>
      <c r="H44" s="6"/>
      <c r="I44" s="30">
        <f t="shared" si="9"/>
        <v>0</v>
      </c>
      <c r="J44" s="6"/>
      <c r="K44" s="30">
        <f t="shared" si="10"/>
        <v>44.644851417567764</v>
      </c>
      <c r="L44" s="6"/>
      <c r="M44" s="30">
        <f t="shared" si="11"/>
        <v>0</v>
      </c>
      <c r="N44" s="6"/>
      <c r="O44" s="295">
        <f>'(2.2)_Forward_Price_Curve'!Z47</f>
        <v>1.2202670165885168</v>
      </c>
      <c r="P44" s="6"/>
      <c r="Q44" s="30"/>
      <c r="R44" s="6"/>
      <c r="S44" s="20">
        <f t="shared" si="5"/>
        <v>2107.0435408651397</v>
      </c>
      <c r="T44" s="6"/>
      <c r="U44" s="20">
        <f t="shared" si="0"/>
        <v>3647.948026461102</v>
      </c>
      <c r="V44" s="6"/>
      <c r="W44" s="20">
        <f t="shared" si="1"/>
        <v>-1540.9044855959623</v>
      </c>
      <c r="X44" s="6"/>
      <c r="Y44" s="296">
        <f t="shared" si="6"/>
        <v>-33.5416736089674</v>
      </c>
      <c r="Z44" s="255"/>
      <c r="AB44" s="154">
        <f>+IF(AB43&gt;$G$13+$G$14,XX,AB43+1)</f>
        <v>2035</v>
      </c>
      <c r="AC44" s="124"/>
      <c r="AD44" s="159">
        <f t="shared" si="2"/>
        <v>45940</v>
      </c>
      <c r="AE44" s="3"/>
      <c r="AF44" s="162">
        <f t="shared" si="12"/>
        <v>133.16243559872598</v>
      </c>
      <c r="AG44" s="3"/>
      <c r="AH44" s="162">
        <f t="shared" si="13"/>
        <v>27.898400543143499</v>
      </c>
      <c r="AI44" s="3"/>
      <c r="AJ44" s="162">
        <f t="shared" si="14"/>
        <v>3.20908811957236</v>
      </c>
      <c r="AK44" s="3"/>
      <c r="AL44" s="161">
        <f t="shared" si="15"/>
        <v>1375.5383393610837</v>
      </c>
      <c r="AM44" s="3"/>
      <c r="AN44" s="162">
        <f>INDEX('(2.2)_Forward_Price_Curve'!$H:$H,MATCH($AB44,'(2.2)_Forward_Price_Curve'!$C:$C,0),1)</f>
        <v>5.7299374999999992</v>
      </c>
      <c r="AO44" s="3"/>
      <c r="AP44" s="162">
        <f t="shared" si="19"/>
        <v>37.24974393305498</v>
      </c>
      <c r="AQ44" s="3"/>
      <c r="AR44" s="162">
        <f t="shared" si="16"/>
        <v>3.3126002145032727</v>
      </c>
      <c r="AS44" s="162"/>
      <c r="AT44" s="161">
        <f t="shared" si="3"/>
        <v>1784.5139363222761</v>
      </c>
      <c r="AU44" s="3"/>
      <c r="AV44" s="161">
        <f t="shared" si="4"/>
        <v>1863.4340901388261</v>
      </c>
      <c r="AW44" s="299"/>
      <c r="AX44" s="163">
        <f t="shared" si="7"/>
        <v>3647.948026461102</v>
      </c>
      <c r="AZ44" s="154">
        <f>+IF(AZ43&gt;$G$13+$G$14,XX,AZ43+1)</f>
        <v>2035</v>
      </c>
      <c r="BA44" s="124"/>
      <c r="BB44" s="162">
        <f t="shared" si="17"/>
        <v>85.186270732496055</v>
      </c>
      <c r="BC44" s="3"/>
      <c r="BD44" s="162">
        <f t="shared" si="18"/>
        <v>9.5969725246076418</v>
      </c>
      <c r="BE44" s="3"/>
      <c r="BF44" s="161">
        <f t="shared" si="8"/>
        <v>-408.97559696119231</v>
      </c>
      <c r="BG44" s="3"/>
      <c r="BH44" s="165"/>
    </row>
    <row r="45" spans="2:60" ht="12">
      <c r="B45" s="2"/>
      <c r="C45" s="6">
        <f>+IF(C44&gt;$G$13+$G$14,XX,C44+1)</f>
        <v>2036</v>
      </c>
      <c r="D45" s="6"/>
      <c r="E45" s="292">
        <f>'(2.2)_Forward_Price_Curve'!P48</f>
        <v>2.1000000000000001E-2</v>
      </c>
      <c r="F45" s="6"/>
      <c r="G45" s="20">
        <v>45760</v>
      </c>
      <c r="H45" s="6"/>
      <c r="I45" s="30">
        <f t="shared" si="9"/>
        <v>0</v>
      </c>
      <c r="J45" s="6"/>
      <c r="K45" s="30">
        <f t="shared" si="10"/>
        <v>44.644851417567764</v>
      </c>
      <c r="L45" s="6"/>
      <c r="M45" s="30">
        <f t="shared" si="11"/>
        <v>0</v>
      </c>
      <c r="N45" s="6"/>
      <c r="O45" s="295">
        <f>'(2.2)_Forward_Price_Curve'!Z48</f>
        <v>1.2456969570142082</v>
      </c>
      <c r="P45" s="6"/>
      <c r="Q45" s="30"/>
      <c r="R45" s="6"/>
      <c r="S45" s="20">
        <f t="shared" si="5"/>
        <v>2099.9514936208711</v>
      </c>
      <c r="T45" s="6"/>
      <c r="U45" s="20">
        <f t="shared" si="0"/>
        <v>3694.9731299251762</v>
      </c>
      <c r="V45" s="6"/>
      <c r="W45" s="20">
        <f t="shared" si="1"/>
        <v>-1595.021636304305</v>
      </c>
      <c r="X45" s="6"/>
      <c r="Y45" s="296">
        <f t="shared" si="6"/>
        <v>-34.856242052104562</v>
      </c>
      <c r="Z45" s="255"/>
      <c r="AB45" s="154">
        <f>+IF(AB44&gt;$G$13+$G$14,XX,AB44+1)</f>
        <v>2036</v>
      </c>
      <c r="AC45" s="124"/>
      <c r="AD45" s="159">
        <f t="shared" si="2"/>
        <v>45760</v>
      </c>
      <c r="AE45" s="3"/>
      <c r="AF45" s="162">
        <f t="shared" si="12"/>
        <v>135.9588467462992</v>
      </c>
      <c r="AG45" s="3"/>
      <c r="AH45" s="162">
        <f t="shared" si="13"/>
        <v>28.484266954549511</v>
      </c>
      <c r="AI45" s="3"/>
      <c r="AJ45" s="162">
        <f t="shared" si="14"/>
        <v>3.2764789700833794</v>
      </c>
      <c r="AK45" s="3"/>
      <c r="AL45" s="161">
        <f t="shared" si="15"/>
        <v>1403.8348782730509</v>
      </c>
      <c r="AM45" s="3"/>
      <c r="AN45" s="162">
        <f>INDEX('(2.2)_Forward_Price_Curve'!$H:$H,MATCH($AB45,'(2.2)_Forward_Price_Curve'!$C:$C,0),1)</f>
        <v>5.7778666666666672</v>
      </c>
      <c r="AO45" s="3"/>
      <c r="AP45" s="162">
        <f t="shared" si="19"/>
        <v>37.561326596087184</v>
      </c>
      <c r="AQ45" s="3"/>
      <c r="AR45" s="162">
        <f t="shared" si="16"/>
        <v>3.3821648190078411</v>
      </c>
      <c r="AS45" s="162"/>
      <c r="AT45" s="161">
        <f t="shared" si="3"/>
        <v>1821.3989627704282</v>
      </c>
      <c r="AU45" s="3"/>
      <c r="AV45" s="161">
        <f t="shared" si="4"/>
        <v>1873.5741671547482</v>
      </c>
      <c r="AW45" s="299"/>
      <c r="AX45" s="163">
        <f t="shared" si="7"/>
        <v>3694.9731299251762</v>
      </c>
      <c r="AZ45" s="154">
        <f>+IF(AZ44&gt;$G$13+$G$14,XX,AZ44+1)</f>
        <v>2036</v>
      </c>
      <c r="BA45" s="124"/>
      <c r="BB45" s="162">
        <f t="shared" si="17"/>
        <v>86.975182417878472</v>
      </c>
      <c r="BC45" s="3"/>
      <c r="BD45" s="162">
        <f t="shared" si="18"/>
        <v>9.7985089476244021</v>
      </c>
      <c r="BE45" s="3"/>
      <c r="BF45" s="161">
        <f t="shared" si="8"/>
        <v>-417.56408449737739</v>
      </c>
      <c r="BG45" s="3"/>
      <c r="BH45" s="165"/>
    </row>
    <row r="46" spans="2:60" ht="12">
      <c r="B46" s="2"/>
      <c r="C46" s="6">
        <f>+IF(C45&gt;$G$13+$G$14,XX,C45+1)</f>
        <v>2037</v>
      </c>
      <c r="D46" s="6"/>
      <c r="E46" s="292">
        <f>'(2.2)_Forward_Price_Curve'!P49</f>
        <v>2.1000000000000001E-2</v>
      </c>
      <c r="F46" s="6"/>
      <c r="G46" s="20">
        <v>45480</v>
      </c>
      <c r="H46" s="6"/>
      <c r="I46" s="30">
        <f t="shared" si="9"/>
        <v>0</v>
      </c>
      <c r="J46" s="6"/>
      <c r="K46" s="30">
        <f t="shared" si="10"/>
        <v>44.644851417567764</v>
      </c>
      <c r="L46" s="6"/>
      <c r="M46" s="30">
        <f t="shared" si="11"/>
        <v>0</v>
      </c>
      <c r="N46" s="6"/>
      <c r="O46" s="295">
        <f>'(2.2)_Forward_Price_Curve'!Z49</f>
        <v>1.2716748240280993</v>
      </c>
      <c r="P46" s="6"/>
      <c r="Q46" s="30"/>
      <c r="R46" s="6"/>
      <c r="S46" s="20">
        <f t="shared" si="5"/>
        <v>2088.2836134677796</v>
      </c>
      <c r="T46" s="6"/>
      <c r="U46" s="20">
        <f t="shared" si="0"/>
        <v>3824.6973155416154</v>
      </c>
      <c r="V46" s="6"/>
      <c r="W46" s="20">
        <f t="shared" si="1"/>
        <v>-1736.4137020738358</v>
      </c>
      <c r="X46" s="6"/>
      <c r="Y46" s="296">
        <f t="shared" si="6"/>
        <v>-38.179720801975279</v>
      </c>
      <c r="Z46" s="255"/>
      <c r="AB46" s="154">
        <f>+IF(AB45&gt;$G$13+$G$14,XX,AB45+1)</f>
        <v>2037</v>
      </c>
      <c r="AC46" s="124"/>
      <c r="AD46" s="159">
        <f t="shared" si="2"/>
        <v>45480</v>
      </c>
      <c r="AE46" s="3"/>
      <c r="AF46" s="162">
        <f t="shared" si="12"/>
        <v>138.81398252797146</v>
      </c>
      <c r="AG46" s="3"/>
      <c r="AH46" s="162">
        <f t="shared" si="13"/>
        <v>29.082436560595049</v>
      </c>
      <c r="AI46" s="3"/>
      <c r="AJ46" s="162">
        <f t="shared" si="14"/>
        <v>3.3452850284551299</v>
      </c>
      <c r="AK46" s="3"/>
      <c r="AL46" s="161">
        <f t="shared" si="15"/>
        <v>1432.3787309088177</v>
      </c>
      <c r="AM46" s="3"/>
      <c r="AN46" s="162">
        <f>INDEX('(2.2)_Forward_Price_Curve'!$H:$H,MATCH($AB46,'(2.2)_Forward_Price_Curve'!$C:$C,0),1)</f>
        <v>6.1182749999999997</v>
      </c>
      <c r="AO46" s="3"/>
      <c r="AP46" s="162">
        <f t="shared" si="19"/>
        <v>39.774286728609511</v>
      </c>
      <c r="AQ46" s="3"/>
      <c r="AR46" s="162">
        <f t="shared" si="16"/>
        <v>3.4531902802070054</v>
      </c>
      <c r="AS46" s="162"/>
      <c r="AT46" s="161">
        <f t="shared" si="3"/>
        <v>1858.71166118064</v>
      </c>
      <c r="AU46" s="3"/>
      <c r="AV46" s="161">
        <f t="shared" si="4"/>
        <v>1965.9856543609751</v>
      </c>
      <c r="AW46" s="299"/>
      <c r="AX46" s="163">
        <f t="shared" si="7"/>
        <v>3824.6973155416154</v>
      </c>
      <c r="AZ46" s="154">
        <f>+IF(AZ45&gt;$G$13+$G$14,XX,AZ45+1)</f>
        <v>2037</v>
      </c>
      <c r="BA46" s="124"/>
      <c r="BB46" s="162">
        <f t="shared" si="17"/>
        <v>88.801661248653915</v>
      </c>
      <c r="BC46" s="3"/>
      <c r="BD46" s="162">
        <f t="shared" si="18"/>
        <v>10.004277635524513</v>
      </c>
      <c r="BE46" s="3"/>
      <c r="BF46" s="161">
        <f t="shared" si="8"/>
        <v>-426.33293027182231</v>
      </c>
      <c r="BG46" s="3"/>
      <c r="BH46" s="165"/>
    </row>
    <row r="47" spans="2:60" ht="12">
      <c r="B47" s="2"/>
      <c r="C47" s="6">
        <f>+IF(C46&gt;$G$13+$G$14,XX,C46+1)</f>
        <v>2038</v>
      </c>
      <c r="D47" s="6"/>
      <c r="E47" s="292">
        <f>'(2.2)_Forward_Price_Curve'!P50</f>
        <v>2.1000000000000001E-2</v>
      </c>
      <c r="F47" s="6"/>
      <c r="G47" s="20">
        <v>45250</v>
      </c>
      <c r="H47" s="6"/>
      <c r="I47" s="30">
        <f t="shared" si="9"/>
        <v>0</v>
      </c>
      <c r="J47" s="6"/>
      <c r="K47" s="30">
        <f t="shared" si="10"/>
        <v>44.644851417567764</v>
      </c>
      <c r="L47" s="6"/>
      <c r="M47" s="30"/>
      <c r="N47" s="6"/>
      <c r="O47" s="295">
        <f>'(2.2)_Forward_Price_Curve'!Z50</f>
        <v>1.2982351222983386</v>
      </c>
      <c r="P47" s="6"/>
      <c r="Q47" s="30"/>
      <c r="R47" s="6"/>
      <c r="S47" s="20">
        <f t="shared" si="5"/>
        <v>2078.9246659289411</v>
      </c>
      <c r="T47" s="6"/>
      <c r="U47" s="20">
        <f t="shared" si="0"/>
        <v>4001.4802599307091</v>
      </c>
      <c r="V47" s="6"/>
      <c r="W47" s="20">
        <f t="shared" si="1"/>
        <v>-1922.555594001768</v>
      </c>
      <c r="X47" s="6"/>
      <c r="Y47" s="296">
        <f t="shared" si="6"/>
        <v>-42.487416442028021</v>
      </c>
      <c r="Z47" s="255"/>
      <c r="AB47" s="154">
        <f>+IF(AB46&gt;$G$13+$G$14,XX,AB46+1)</f>
        <v>2038</v>
      </c>
      <c r="AC47" s="124"/>
      <c r="AD47" s="159">
        <f t="shared" si="2"/>
        <v>45250</v>
      </c>
      <c r="AE47" s="3"/>
      <c r="AF47" s="162">
        <f t="shared" si="12"/>
        <v>141.72907616105886</v>
      </c>
      <c r="AG47" s="3"/>
      <c r="AH47" s="162">
        <f t="shared" si="13"/>
        <v>29.693167728367541</v>
      </c>
      <c r="AI47" s="3"/>
      <c r="AJ47" s="162">
        <f t="shared" si="14"/>
        <v>3.4155360140526874</v>
      </c>
      <c r="AK47" s="3"/>
      <c r="AL47" s="161">
        <f t="shared" si="15"/>
        <v>1461.6731109746706</v>
      </c>
      <c r="AM47" s="3"/>
      <c r="AN47" s="162">
        <f>INDEX('(2.2)_Forward_Price_Curve'!$H:$H,MATCH($AB47,'(2.2)_Forward_Price_Curve'!$C:$C,0),1)</f>
        <v>6.6118625</v>
      </c>
      <c r="AO47" s="3"/>
      <c r="AP47" s="162">
        <f t="shared" si="19"/>
        <v>42.983049124980646</v>
      </c>
      <c r="AQ47" s="3"/>
      <c r="AR47" s="162">
        <f t="shared" si="16"/>
        <v>3.5257072760913521</v>
      </c>
      <c r="AS47" s="162"/>
      <c r="AT47" s="161">
        <f t="shared" si="3"/>
        <v>1896.9590327822011</v>
      </c>
      <c r="AU47" s="3"/>
      <c r="AV47" s="161">
        <f t="shared" si="4"/>
        <v>2104.5212271485079</v>
      </c>
      <c r="AW47" s="299"/>
      <c r="AX47" s="163">
        <f t="shared" si="7"/>
        <v>4001.4802599307091</v>
      </c>
      <c r="AZ47" s="154">
        <f>+IF(AZ46&gt;$G$13+$G$14,XX,AZ46+1)</f>
        <v>2038</v>
      </c>
      <c r="BA47" s="124"/>
      <c r="BB47" s="162">
        <f t="shared" si="17"/>
        <v>90.666496134875644</v>
      </c>
      <c r="BC47" s="3"/>
      <c r="BD47" s="162">
        <f t="shared" si="18"/>
        <v>10.214367465870527</v>
      </c>
      <c r="BE47" s="3"/>
      <c r="BF47" s="161">
        <f t="shared" si="8"/>
        <v>-435.28592180753054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6.91%</v>
      </c>
      <c r="E58" s="178"/>
      <c r="F58" s="3"/>
      <c r="G58" s="20">
        <f>+-PMT($G$18,$G$14,NPV($G$18,G28:G56))</f>
        <v>44319.635098469007</v>
      </c>
      <c r="H58" s="6"/>
      <c r="I58" s="30">
        <f>+-PMT($G$18,$G$14,NPV($G$18,I28:I56))</f>
        <v>0</v>
      </c>
      <c r="J58" s="30"/>
      <c r="K58" s="30">
        <f>+-PMT($G$18,$G$14,NPV($G$18,K28:K56))</f>
        <v>44.644851417567793</v>
      </c>
      <c r="L58" s="6"/>
      <c r="M58" s="30">
        <f>+-PMT($G$18,$G$14,NPV($G$18,M28:M56))</f>
        <v>0</v>
      </c>
      <c r="N58" s="6"/>
      <c r="O58" s="30">
        <f>+-PMT($G$18,$G$14,NPV($G$18,O28:O56))</f>
        <v>1.0166251298389934</v>
      </c>
      <c r="P58" s="6"/>
      <c r="Q58" s="30">
        <f>+-PMT($G$18,$G$14,NPV($G$18,Q28:Q56))</f>
        <v>0</v>
      </c>
      <c r="R58" s="6"/>
      <c r="S58" s="20">
        <f>+-PMT($G$18,$G$14,NPV($G$18,S28:S56))</f>
        <v>2024.1456388655315</v>
      </c>
      <c r="T58" s="6"/>
      <c r="U58" s="20">
        <f>+-PMT($G$18,$G$14,NPV($G$18,U28:U56))</f>
        <v>2722.7840655659088</v>
      </c>
      <c r="V58" s="3"/>
      <c r="W58" s="20">
        <f>+-PMT($G$18,$G$14,NPV($G$18,W28:W56))</f>
        <v>-698.63842670037661</v>
      </c>
      <c r="X58" s="3"/>
      <c r="Y58" s="296">
        <f>+-PMT($G$18,$G$14,NPV($G$18,Y28:Y56))</f>
        <v>-23.877816875748543</v>
      </c>
      <c r="Z58" s="255"/>
      <c r="AB58" s="2"/>
      <c r="AC58" s="3"/>
      <c r="AD58" s="159">
        <f>+-PMT($G$18,$G$14,NPV($G$18,AD28:AD56))</f>
        <v>44319.635098469007</v>
      </c>
      <c r="AE58" s="3"/>
      <c r="AF58" s="162">
        <f>+-PMT($G$18,$G$14,NPV($G$18,AF28:AF56))</f>
        <v>111.23855642114968</v>
      </c>
      <c r="AG58" s="3"/>
      <c r="AH58" s="162">
        <f>+-PMT($G$18,$G$14,NPV($G$18,AH28:AH56))</f>
        <v>23.30520457158109</v>
      </c>
      <c r="AI58" s="3"/>
      <c r="AJ58" s="162">
        <f>+-PMT($G$18,$G$14,NPV($G$18,AJ28:AJ56))</f>
        <v>2.6807434712684581</v>
      </c>
      <c r="AK58" s="3"/>
      <c r="AL58" s="161">
        <f>+-PMT($G$18,$G$14,NPV($G$18,AL28:AL56))</f>
        <v>1145.8682824237753</v>
      </c>
      <c r="AM58" s="3"/>
      <c r="AN58" s="162">
        <f>+-PMT($G$18,$G$14,NPV($G$18,AN28:AN56))</f>
        <v>3.7522917437315124</v>
      </c>
      <c r="AO58" s="3"/>
      <c r="AP58" s="162">
        <f>+-PMT($G$18,$G$14,NPV($G$18,AP28:AP56))</f>
        <v>24.393268969533302</v>
      </c>
      <c r="AQ58" s="3"/>
      <c r="AR58" s="162">
        <f>+-PMT($G$18,$G$14,NPV($G$18,AR28:AR56))</f>
        <v>2.7672133226230979</v>
      </c>
      <c r="AS58" s="162"/>
      <c r="AT58" s="161">
        <f>+-PMT($G$18,$G$14,NPV($G$18,AT28:AT56))</f>
        <v>1487.5100886350481</v>
      </c>
      <c r="AU58" s="3"/>
      <c r="AV58" s="161">
        <f>+-PMT($G$18,$G$14,NPV($G$18,AV28:AV56))</f>
        <v>1235.27397693086</v>
      </c>
      <c r="AW58" s="299"/>
      <c r="AX58" s="163">
        <f>+-PMT($G$18,$G$14,NPV($G$18,AX28:AX56))</f>
        <v>2722.7840655659088</v>
      </c>
      <c r="AZ58" s="2"/>
      <c r="BA58" s="3"/>
      <c r="BB58" s="162">
        <f>+-PMT($G$18,$G$14,NPV($G$18,BB28:BB56))</f>
        <v>71.161193023978882</v>
      </c>
      <c r="BC58" s="3"/>
      <c r="BD58" s="162">
        <f>+-PMT($G$18,$G$14,NPV($G$18,BD28:BD56))</f>
        <v>8.0169258308534879</v>
      </c>
      <c r="BE58" s="3"/>
      <c r="BF58" s="161">
        <f>+-PMT($G$18,$G$14,NPV($G$18,BF28:BF56))</f>
        <v>-341.64180621127235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508ED-AA35-467F-866D-C7206B0A8BBF}">
  <sheetPr codeName="Sheet18">
    <tabColor theme="0" tint="-0.249977111117893"/>
    <pageSetUpPr fitToPage="1"/>
  </sheetPr>
  <dimension ref="A1:BH84"/>
  <sheetViews>
    <sheetView topLeftCell="L24" workbookViewId="0">
      <selection activeCell="I16" sqref="I16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313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'[5]New_Sage Solar III'!$X$12</f>
        <v>17.600000000000001</v>
      </c>
      <c r="H11" s="275"/>
      <c r="AB11" s="129" t="s">
        <v>99</v>
      </c>
      <c r="AC11" s="130"/>
      <c r="AD11" s="130"/>
      <c r="AE11" s="130"/>
      <c r="AF11" s="312">
        <f>+G11*(G12/AJ16)</f>
        <v>6.3317400482607935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-4.1754599517392075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'[5]New_Sage Solar III'!$X$13</f>
        <v>0.251</v>
      </c>
      <c r="H12" s="275"/>
      <c r="AB12" s="129" t="s">
        <v>32</v>
      </c>
      <c r="AC12" s="130"/>
      <c r="AD12" s="130"/>
      <c r="AE12" s="130"/>
      <c r="AF12" s="138">
        <f>+AD58/8760/AF11</f>
        <v>0.66379333165875209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'(2.2)_Forward_Price_Curve'!E84</f>
        <v>0.59699999999999998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2019</v>
      </c>
      <c r="D28" s="6"/>
      <c r="E28" s="292">
        <f>'(2.2)_Forward_Price_Curve'!P31</f>
        <v>1.9E-2</v>
      </c>
      <c r="F28" s="6"/>
      <c r="G28" s="20">
        <v>6520</v>
      </c>
      <c r="H28" s="6"/>
      <c r="I28" s="293">
        <f>$G$15*(1+E28)</f>
        <v>0</v>
      </c>
      <c r="J28" s="293"/>
      <c r="K28" s="293">
        <v>44.437609139010831</v>
      </c>
      <c r="L28" s="294"/>
      <c r="M28" s="293">
        <f>$G$17</f>
        <v>0</v>
      </c>
      <c r="N28" s="6"/>
      <c r="O28" s="295">
        <f>'(2.2)_Forward_Price_Curve'!Z31</f>
        <v>0.85</v>
      </c>
      <c r="P28" s="6"/>
      <c r="Q28" s="30"/>
      <c r="R28" s="6"/>
      <c r="S28" s="20">
        <f>(I28*$G$11*1000+(K28+M28+O28+Q28)*G28)/1000</f>
        <v>295.27521158635062</v>
      </c>
      <c r="T28" s="6"/>
      <c r="U28" s="20">
        <f t="shared" ref="U28:U47" si="0">AX28</f>
        <v>1107.0274979228868</v>
      </c>
      <c r="V28" s="6"/>
      <c r="W28" s="20">
        <f t="shared" ref="W28:W47" si="1">S28-U28</f>
        <v>-811.75228633653614</v>
      </c>
      <c r="X28" s="6"/>
      <c r="Y28" s="296">
        <f>+W28*1000/G28</f>
        <v>-124.50188440744419</v>
      </c>
      <c r="Z28" s="255"/>
      <c r="AB28" s="154">
        <f>$C$28</f>
        <v>2019</v>
      </c>
      <c r="AC28" s="124"/>
      <c r="AD28" s="159">
        <f t="shared" ref="AD28:AD47" si="2">G28</f>
        <v>6520</v>
      </c>
      <c r="AE28" s="3"/>
      <c r="AF28" s="160">
        <f>$AF$15*$AF$16*(1+E28)</f>
        <v>93.459428720318471</v>
      </c>
      <c r="AG28" s="297"/>
      <c r="AH28" s="160">
        <f>$AJ$11*(1+E28)</f>
        <v>19.580361122485801</v>
      </c>
      <c r="AI28" s="297"/>
      <c r="AJ28" s="160">
        <f>$AJ$13*(1+E28)</f>
        <v>2.2522833937355777</v>
      </c>
      <c r="AK28" s="298"/>
      <c r="AL28" s="161">
        <f>((AF28+AH28)*$AF$11*1000+AJ28*AD28)/1000</f>
        <v>730.4234521218234</v>
      </c>
      <c r="AM28" s="3"/>
      <c r="AN28" s="162">
        <f>INDEX('(2.2)_Forward_Price_Curve'!$H:$H,MATCH($AB28,'(2.2)_Forward_Price_Curve'!$C:$C,0),1)</f>
        <v>1.9742583333333332</v>
      </c>
      <c r="AO28" s="310"/>
      <c r="AP28" s="162">
        <f>AN28*$AF$14/1000+$AJ$14/(1+E29)</f>
        <v>12.834453669759327</v>
      </c>
      <c r="AQ28" s="297"/>
      <c r="AR28" s="160">
        <f>$AJ$15*(1+E28)</f>
        <v>2.3249328704020966</v>
      </c>
      <c r="AS28" s="160"/>
      <c r="AT28" s="161">
        <f t="shared" ref="AT28:AT47" si="3">AL28-BF28</f>
        <v>1008.1882976810343</v>
      </c>
      <c r="AU28" s="298"/>
      <c r="AV28" s="161">
        <f t="shared" ref="AV28:AV47" si="4">(AP28+AR28)*AD28/1000</f>
        <v>98.839200241852495</v>
      </c>
      <c r="AW28" s="299"/>
      <c r="AX28" s="163">
        <f>AT28+AV28</f>
        <v>1107.0274979228868</v>
      </c>
      <c r="AZ28" s="154">
        <f>$C$28</f>
        <v>2019</v>
      </c>
      <c r="BA28" s="124"/>
      <c r="BB28" s="160">
        <f>$BD$14*$BD$15*(1+E28)</f>
        <v>59.787583199999986</v>
      </c>
      <c r="BC28" s="3"/>
      <c r="BD28" s="160">
        <f>$BB$16*(1+E28)</f>
        <v>6.7355899999999993</v>
      </c>
      <c r="BE28" s="297"/>
      <c r="BF28" s="161">
        <f>(BB28+BD28)*$BD$11</f>
        <v>-277.76484555921087</v>
      </c>
      <c r="BG28" s="297"/>
      <c r="BH28" s="164"/>
    </row>
    <row r="29" spans="1:60" ht="12">
      <c r="B29" s="2"/>
      <c r="C29" s="6">
        <f>+IF(C28&gt;$G$13+$G$14,XX,C28+1)</f>
        <v>2020</v>
      </c>
      <c r="D29" s="6"/>
      <c r="E29" s="292">
        <f>'(2.2)_Forward_Price_Curve'!P32</f>
        <v>2.5000000000000001E-2</v>
      </c>
      <c r="F29" s="6"/>
      <c r="G29" s="20">
        <v>41180</v>
      </c>
      <c r="H29" s="6"/>
      <c r="I29" s="30">
        <f>I28*(1+$E29)</f>
        <v>0</v>
      </c>
      <c r="J29" s="6"/>
      <c r="K29" s="30">
        <v>46.517510066271136</v>
      </c>
      <c r="L29" s="6"/>
      <c r="M29" s="30">
        <f>M28*(1+$E29)</f>
        <v>0</v>
      </c>
      <c r="N29" s="6"/>
      <c r="O29" s="295">
        <f>'(2.2)_Forward_Price_Curve'!Z32</f>
        <v>0.87222518878125355</v>
      </c>
      <c r="P29" s="6"/>
      <c r="Q29" s="30"/>
      <c r="R29" s="6"/>
      <c r="S29" s="20">
        <f t="shared" ref="S29:S47" si="5">(I29*$G$11*1000+(K29+M29+O29+Q29)*G29)/1000</f>
        <v>1951.5092978030573</v>
      </c>
      <c r="T29" s="6"/>
      <c r="U29" s="20">
        <f t="shared" si="0"/>
        <v>1716.1684944939436</v>
      </c>
      <c r="V29" s="6"/>
      <c r="W29" s="20">
        <f t="shared" si="1"/>
        <v>235.34080330911365</v>
      </c>
      <c r="X29" s="6"/>
      <c r="Y29" s="296">
        <f t="shared" ref="Y29:Y47" si="6">+W29*1000/G29</f>
        <v>5.7149296578220898</v>
      </c>
      <c r="Z29" s="255"/>
      <c r="AB29" s="154">
        <f>+IF(AB28&gt;$G$13+$G$14,XX,AB28+1)</f>
        <v>2020</v>
      </c>
      <c r="AC29" s="124"/>
      <c r="AD29" s="159">
        <f t="shared" si="2"/>
        <v>41180</v>
      </c>
      <c r="AE29" s="3"/>
      <c r="AF29" s="162">
        <f>AF28*(1+$E29)</f>
        <v>95.79591443832642</v>
      </c>
      <c r="AG29" s="3"/>
      <c r="AH29" s="162">
        <f>AH28*(1+$E29)</f>
        <v>20.069870150547946</v>
      </c>
      <c r="AI29" s="3"/>
      <c r="AJ29" s="162">
        <f>AJ28*(1+$E29)</f>
        <v>2.3085904785789668</v>
      </c>
      <c r="AK29" s="3"/>
      <c r="AL29" s="161">
        <f>((AF29+AH29)*$AF$11*1000+AJ29*AD29)/1000</f>
        <v>828.69978441241608</v>
      </c>
      <c r="AM29" s="3"/>
      <c r="AN29" s="162">
        <f>INDEX('(2.2)_Forward_Price_Curve'!$H:$H,MATCH($AB29,'(2.2)_Forward_Price_Curve'!$C:$C,0),1)</f>
        <v>1.8849916666666668</v>
      </c>
      <c r="AO29" s="3"/>
      <c r="AP29" s="162">
        <f>AN29*$AF$14/1000+$AJ$14</f>
        <v>12.254140101750828</v>
      </c>
      <c r="AQ29" s="3"/>
      <c r="AR29" s="162">
        <f>AR28*(1+$E29)</f>
        <v>2.3830561921621487</v>
      </c>
      <c r="AS29" s="162"/>
      <c r="AT29" s="161">
        <f t="shared" si="3"/>
        <v>1113.4087511106072</v>
      </c>
      <c r="AU29" s="3"/>
      <c r="AV29" s="161">
        <f t="shared" si="4"/>
        <v>602.7597433833364</v>
      </c>
      <c r="AW29" s="299"/>
      <c r="AX29" s="163">
        <f t="shared" ref="AX29:AX47" si="7">AT29+AV29</f>
        <v>1716.1684944939436</v>
      </c>
      <c r="AZ29" s="154">
        <f>+IF(AZ28&gt;$G$13+$G$14,XX,AZ28+1)</f>
        <v>2020</v>
      </c>
      <c r="BA29" s="124"/>
      <c r="BB29" s="162">
        <f>BB28*(1+$E29)</f>
        <v>61.282272779999978</v>
      </c>
      <c r="BC29" s="3"/>
      <c r="BD29" s="162">
        <f>BD28*(1+$E29)</f>
        <v>6.9039797499999986</v>
      </c>
      <c r="BE29" s="3"/>
      <c r="BF29" s="161">
        <f t="shared" ref="BF29:BF47" si="8">(BB29+BD29)*$BD$11</f>
        <v>-284.70896669819109</v>
      </c>
      <c r="BG29" s="3"/>
      <c r="BH29" s="165"/>
    </row>
    <row r="30" spans="1:60" ht="12">
      <c r="B30" s="2"/>
      <c r="C30" s="6">
        <f>+IF(C29&gt;$G$13+$G$14,XX,C29+1)</f>
        <v>2021</v>
      </c>
      <c r="D30" s="6"/>
      <c r="E30" s="292">
        <f>'(2.2)_Forward_Price_Curve'!P33</f>
        <v>2.4E-2</v>
      </c>
      <c r="F30" s="6"/>
      <c r="G30" s="20">
        <v>40920</v>
      </c>
      <c r="H30" s="6"/>
      <c r="I30" s="30">
        <f t="shared" ref="I30:I47" si="9">I29*(1+$E30)</f>
        <v>0</v>
      </c>
      <c r="J30" s="6"/>
      <c r="K30" s="30">
        <v>46.517510066271157</v>
      </c>
      <c r="L30" s="6"/>
      <c r="M30" s="30">
        <f t="shared" ref="M30:M46" si="10">M29*(1+$E30)</f>
        <v>0</v>
      </c>
      <c r="N30" s="6"/>
      <c r="O30" s="295">
        <f>'(2.2)_Forward_Price_Curve'!Z33</f>
        <v>0.89441110644161892</v>
      </c>
      <c r="P30" s="6"/>
      <c r="Q30" s="30"/>
      <c r="R30" s="6"/>
      <c r="S30" s="20">
        <f t="shared" si="5"/>
        <v>1940.0958143874068</v>
      </c>
      <c r="T30" s="6"/>
      <c r="U30" s="20">
        <f t="shared" si="0"/>
        <v>1758.283214994899</v>
      </c>
      <c r="V30" s="6"/>
      <c r="W30" s="20">
        <f t="shared" si="1"/>
        <v>181.81259939250776</v>
      </c>
      <c r="X30" s="6"/>
      <c r="Y30" s="296">
        <f t="shared" si="6"/>
        <v>4.4431231523095738</v>
      </c>
      <c r="Z30" s="255"/>
      <c r="AB30" s="154">
        <f>+IF(AB29&gt;$G$13+$G$14,XX,AB29+1)</f>
        <v>2021</v>
      </c>
      <c r="AC30" s="124"/>
      <c r="AD30" s="159">
        <f t="shared" si="2"/>
        <v>40920</v>
      </c>
      <c r="AE30" s="3"/>
      <c r="AF30" s="162">
        <f t="shared" ref="AF30:AF47" si="11">AF29*(1+$E30)</f>
        <v>98.095016384846261</v>
      </c>
      <c r="AG30" s="3"/>
      <c r="AH30" s="162">
        <f t="shared" ref="AH30:AH47" si="12">AH29*(1+$E30)</f>
        <v>20.551547034161096</v>
      </c>
      <c r="AI30" s="3"/>
      <c r="AJ30" s="162">
        <f t="shared" ref="AJ30:AJ47" si="13">AJ29*(1+$E30)</f>
        <v>2.3639966500648621</v>
      </c>
      <c r="AK30" s="3"/>
      <c r="AL30" s="161">
        <f t="shared" ref="AL30:AL47" si="14">((AF30+AH30)*$AF$11*1000+AJ30*AD30)/1000</f>
        <v>847.97394010929702</v>
      </c>
      <c r="AM30" s="3"/>
      <c r="AN30" s="162">
        <f>INDEX('(2.2)_Forward_Price_Curve'!$H:$H,MATCH($AB30,'(2.2)_Forward_Price_Curve'!$C:$C,0),1)</f>
        <v>1.9506749999999997</v>
      </c>
      <c r="AO30" s="3"/>
      <c r="AP30" s="162">
        <f>AN30*$AF$14/1000+$AJ$14*(1+E30)</f>
        <v>12.681140805918394</v>
      </c>
      <c r="AQ30" s="3"/>
      <c r="AR30" s="162">
        <f t="shared" ref="AR30:AR47" si="15">AR29*(1+$E30)</f>
        <v>2.4402495407740403</v>
      </c>
      <c r="AS30" s="162"/>
      <c r="AT30" s="161">
        <f t="shared" si="3"/>
        <v>1139.5159220082446</v>
      </c>
      <c r="AU30" s="3"/>
      <c r="AV30" s="161">
        <f t="shared" si="4"/>
        <v>618.76729298665441</v>
      </c>
      <c r="AW30" s="299"/>
      <c r="AX30" s="163">
        <f t="shared" si="7"/>
        <v>1758.283214994899</v>
      </c>
      <c r="AZ30" s="154">
        <f>+IF(AZ29&gt;$G$13+$G$14,XX,AZ29+1)</f>
        <v>2021</v>
      </c>
      <c r="BA30" s="124"/>
      <c r="BB30" s="162">
        <f t="shared" ref="BB30:BB47" si="16">BB29*(1+$E30)</f>
        <v>62.75304732671998</v>
      </c>
      <c r="BC30" s="3"/>
      <c r="BD30" s="162">
        <f t="shared" ref="BD30:BD47" si="17">BD29*(1+$E30)</f>
        <v>7.0696752639999989</v>
      </c>
      <c r="BE30" s="3"/>
      <c r="BF30" s="161">
        <f t="shared" si="8"/>
        <v>-291.54198189894771</v>
      </c>
      <c r="BG30" s="3"/>
      <c r="BH30" s="165"/>
    </row>
    <row r="31" spans="1:60" ht="12">
      <c r="B31" s="2"/>
      <c r="C31" s="6">
        <f>+IF(C30&gt;$G$13+$G$14,XX,C30+1)</f>
        <v>2022</v>
      </c>
      <c r="D31" s="6"/>
      <c r="E31" s="292">
        <f>'(2.2)_Forward_Price_Curve'!P34</f>
        <v>2.4E-2</v>
      </c>
      <c r="F31" s="6"/>
      <c r="G31" s="20">
        <v>40720</v>
      </c>
      <c r="H31" s="6"/>
      <c r="I31" s="30">
        <f t="shared" si="9"/>
        <v>0</v>
      </c>
      <c r="J31" s="6"/>
      <c r="K31" s="30">
        <v>46.517510066271171</v>
      </c>
      <c r="L31" s="6"/>
      <c r="M31" s="30">
        <f t="shared" si="10"/>
        <v>0</v>
      </c>
      <c r="N31" s="6"/>
      <c r="O31" s="295">
        <f>'(2.2)_Forward_Price_Curve'!Z34</f>
        <v>0.91699200095245803</v>
      </c>
      <c r="P31" s="6"/>
      <c r="Q31" s="30"/>
      <c r="R31" s="6"/>
      <c r="S31" s="20">
        <f t="shared" si="5"/>
        <v>1931.5329241773461</v>
      </c>
      <c r="T31" s="6"/>
      <c r="U31" s="20">
        <f t="shared" si="0"/>
        <v>1911.7362924785168</v>
      </c>
      <c r="V31" s="6"/>
      <c r="W31" s="20">
        <f t="shared" si="1"/>
        <v>19.796631698829287</v>
      </c>
      <c r="X31" s="6"/>
      <c r="Y31" s="296">
        <f t="shared" si="6"/>
        <v>0.4861648256097566</v>
      </c>
      <c r="Z31" s="255"/>
      <c r="AB31" s="154">
        <f>+IF(AB30&gt;$G$13+$G$14,XX,AB30+1)</f>
        <v>2022</v>
      </c>
      <c r="AC31" s="124"/>
      <c r="AD31" s="159">
        <f t="shared" si="2"/>
        <v>40720</v>
      </c>
      <c r="AE31" s="3"/>
      <c r="AF31" s="162">
        <f t="shared" si="11"/>
        <v>100.44929677808257</v>
      </c>
      <c r="AG31" s="3"/>
      <c r="AH31" s="162">
        <f t="shared" si="12"/>
        <v>21.044784162980964</v>
      </c>
      <c r="AI31" s="3"/>
      <c r="AJ31" s="162">
        <f t="shared" si="13"/>
        <v>2.420732569666419</v>
      </c>
      <c r="AK31" s="3"/>
      <c r="AL31" s="161">
        <f t="shared" si="14"/>
        <v>867.841168157987</v>
      </c>
      <c r="AM31" s="3"/>
      <c r="AN31" s="162">
        <f>INDEX('(2.2)_Forward_Price_Curve'!$H:$H,MATCH($AB31,'(2.2)_Forward_Price_Curve'!$C:$C,0),1)</f>
        <v>2.431295833333333</v>
      </c>
      <c r="AO31" s="3"/>
      <c r="AP31" s="162">
        <f>AN31*$AF$14/1000+$AJ$14*(1+E31)</f>
        <v>15.805608214255424</v>
      </c>
      <c r="AQ31" s="3"/>
      <c r="AR31" s="162">
        <f t="shared" si="15"/>
        <v>2.4988155297526173</v>
      </c>
      <c r="AS31" s="162"/>
      <c r="AT31" s="161">
        <f t="shared" si="3"/>
        <v>1166.3801576225094</v>
      </c>
      <c r="AU31" s="3"/>
      <c r="AV31" s="161">
        <f t="shared" si="4"/>
        <v>745.35613485600743</v>
      </c>
      <c r="AW31" s="299"/>
      <c r="AX31" s="163">
        <f t="shared" si="7"/>
        <v>1911.7362924785168</v>
      </c>
      <c r="AZ31" s="154">
        <f>+IF(AZ30&gt;$G$13+$G$14,XX,AZ30+1)</f>
        <v>2022</v>
      </c>
      <c r="BA31" s="124"/>
      <c r="BB31" s="162">
        <f t="shared" si="16"/>
        <v>64.259120462561256</v>
      </c>
      <c r="BC31" s="3"/>
      <c r="BD31" s="162">
        <f t="shared" si="17"/>
        <v>7.239347470335999</v>
      </c>
      <c r="BE31" s="3"/>
      <c r="BF31" s="161">
        <f t="shared" si="8"/>
        <v>-298.53898946452244</v>
      </c>
      <c r="BG31" s="3"/>
      <c r="BH31" s="165"/>
    </row>
    <row r="32" spans="1:60" ht="12">
      <c r="B32" s="2"/>
      <c r="C32" s="6">
        <f>+IF(C31&gt;$G$13+$G$14,XX,C31+1)</f>
        <v>2023</v>
      </c>
      <c r="D32" s="6"/>
      <c r="E32" s="292">
        <f>'(2.2)_Forward_Price_Curve'!P35</f>
        <v>2.4E-2</v>
      </c>
      <c r="F32" s="6"/>
      <c r="G32" s="20">
        <v>40520</v>
      </c>
      <c r="H32" s="6"/>
      <c r="I32" s="30">
        <f t="shared" si="9"/>
        <v>0</v>
      </c>
      <c r="J32" s="6"/>
      <c r="K32" s="30">
        <v>46.517510066271143</v>
      </c>
      <c r="L32" s="6"/>
      <c r="M32" s="30">
        <f t="shared" si="10"/>
        <v>0</v>
      </c>
      <c r="N32" s="6"/>
      <c r="O32" s="295">
        <f>'(2.2)_Forward_Price_Curve'!Z35</f>
        <v>0.93952909305922927</v>
      </c>
      <c r="P32" s="6"/>
      <c r="Q32" s="30"/>
      <c r="R32" s="6"/>
      <c r="S32" s="20">
        <f t="shared" si="5"/>
        <v>1922.9592267360667</v>
      </c>
      <c r="T32" s="6"/>
      <c r="U32" s="20">
        <f t="shared" si="0"/>
        <v>2071.266278151737</v>
      </c>
      <c r="V32" s="6"/>
      <c r="W32" s="20">
        <f t="shared" si="1"/>
        <v>-148.30705141567023</v>
      </c>
      <c r="X32" s="6"/>
      <c r="Y32" s="296">
        <f t="shared" si="6"/>
        <v>-3.6600950497450699</v>
      </c>
      <c r="Z32" s="255"/>
      <c r="AB32" s="154">
        <f>+IF(AB31&gt;$G$13+$G$14,XX,AB31+1)</f>
        <v>2023</v>
      </c>
      <c r="AC32" s="124"/>
      <c r="AD32" s="159">
        <f t="shared" si="2"/>
        <v>40520</v>
      </c>
      <c r="AE32" s="3"/>
      <c r="AF32" s="162">
        <f t="shared" si="11"/>
        <v>102.86007990075656</v>
      </c>
      <c r="AG32" s="3"/>
      <c r="AH32" s="162">
        <f t="shared" si="12"/>
        <v>21.549858982892509</v>
      </c>
      <c r="AI32" s="3"/>
      <c r="AJ32" s="162">
        <f t="shared" si="13"/>
        <v>2.4788301513384132</v>
      </c>
      <c r="AK32" s="3"/>
      <c r="AL32" s="161">
        <f t="shared" si="14"/>
        <v>888.17359016351099</v>
      </c>
      <c r="AM32" s="3"/>
      <c r="AN32" s="162">
        <f>INDEX('(2.2)_Forward_Price_Curve'!$H:$H,MATCH($AB32,'(2.2)_Forward_Price_Curve'!$C:$C,0),1)</f>
        <v>2.9371999999999994</v>
      </c>
      <c r="AO32" s="3"/>
      <c r="AP32" s="162">
        <f t="shared" ref="AP32:AP47" si="18">AN32*$AF$14/1000+$AJ$14*(1+E32)</f>
        <v>19.094440014427573</v>
      </c>
      <c r="AQ32" s="3"/>
      <c r="AR32" s="162">
        <f t="shared" si="15"/>
        <v>2.5587871024666802</v>
      </c>
      <c r="AS32" s="162"/>
      <c r="AT32" s="161">
        <f t="shared" si="3"/>
        <v>1193.8775153751819</v>
      </c>
      <c r="AU32" s="3"/>
      <c r="AV32" s="161">
        <f t="shared" si="4"/>
        <v>877.38876277655515</v>
      </c>
      <c r="AW32" s="299"/>
      <c r="AX32" s="163">
        <f t="shared" si="7"/>
        <v>2071.266278151737</v>
      </c>
      <c r="AZ32" s="154">
        <f>+IF(AZ31&gt;$G$13+$G$14,XX,AZ31+1)</f>
        <v>2023</v>
      </c>
      <c r="BA32" s="124"/>
      <c r="BB32" s="162">
        <f t="shared" si="16"/>
        <v>65.801339353662726</v>
      </c>
      <c r="BC32" s="3"/>
      <c r="BD32" s="162">
        <f t="shared" si="17"/>
        <v>7.4130918096240634</v>
      </c>
      <c r="BE32" s="3"/>
      <c r="BF32" s="161">
        <f t="shared" si="8"/>
        <v>-305.70392521167099</v>
      </c>
      <c r="BG32" s="3"/>
      <c r="BH32" s="165"/>
    </row>
    <row r="33" spans="2:60" ht="12">
      <c r="B33" s="2"/>
      <c r="C33" s="6">
        <f>+IF(C32&gt;$G$13+$G$14,XX,C32+1)</f>
        <v>2024</v>
      </c>
      <c r="D33" s="6"/>
      <c r="E33" s="292">
        <f>'(2.2)_Forward_Price_Curve'!P36</f>
        <v>2.3E-2</v>
      </c>
      <c r="F33" s="6"/>
      <c r="G33" s="20">
        <v>40360</v>
      </c>
      <c r="H33" s="6"/>
      <c r="I33" s="30">
        <f t="shared" si="9"/>
        <v>0</v>
      </c>
      <c r="J33" s="6"/>
      <c r="K33" s="30">
        <v>46.51751006627115</v>
      </c>
      <c r="L33" s="6"/>
      <c r="M33" s="30">
        <f t="shared" si="10"/>
        <v>0</v>
      </c>
      <c r="N33" s="6"/>
      <c r="O33" s="295">
        <f>'(2.2)_Forward_Price_Curve'!Z36</f>
        <v>0.961379129353919</v>
      </c>
      <c r="P33" s="6"/>
      <c r="Q33" s="30"/>
      <c r="R33" s="6"/>
      <c r="S33" s="20">
        <f t="shared" si="5"/>
        <v>1916.2479679354281</v>
      </c>
      <c r="T33" s="6"/>
      <c r="U33" s="20">
        <f t="shared" si="0"/>
        <v>2236.3850185203701</v>
      </c>
      <c r="V33" s="6"/>
      <c r="W33" s="20">
        <f t="shared" si="1"/>
        <v>-320.13705058494202</v>
      </c>
      <c r="X33" s="6"/>
      <c r="Y33" s="296">
        <f t="shared" si="6"/>
        <v>-7.9320379233137279</v>
      </c>
      <c r="Z33" s="255"/>
      <c r="AB33" s="154">
        <f>+IF(AB32&gt;$G$13+$G$14,XX,AB32+1)</f>
        <v>2024</v>
      </c>
      <c r="AC33" s="124"/>
      <c r="AD33" s="159">
        <f t="shared" si="2"/>
        <v>40360</v>
      </c>
      <c r="AE33" s="3"/>
      <c r="AF33" s="162">
        <f t="shared" si="11"/>
        <v>105.22586173847395</v>
      </c>
      <c r="AG33" s="3"/>
      <c r="AH33" s="162">
        <f t="shared" si="12"/>
        <v>22.045505739499035</v>
      </c>
      <c r="AI33" s="3"/>
      <c r="AJ33" s="162">
        <f t="shared" si="13"/>
        <v>2.5358432448191963</v>
      </c>
      <c r="AK33" s="3"/>
      <c r="AL33" s="161">
        <f t="shared" si="14"/>
        <v>908.19584781810056</v>
      </c>
      <c r="AM33" s="3"/>
      <c r="AN33" s="162">
        <f>INDEX('(2.2)_Forward_Price_Curve'!$H:$H,MATCH($AB33,'(2.2)_Forward_Price_Curve'!$C:$C,0),1)</f>
        <v>3.4675625000000001</v>
      </c>
      <c r="AO33" s="3"/>
      <c r="AP33" s="162">
        <f t="shared" si="18"/>
        <v>22.542272964908253</v>
      </c>
      <c r="AQ33" s="3"/>
      <c r="AR33" s="162">
        <f t="shared" si="15"/>
        <v>2.6176392058234135</v>
      </c>
      <c r="AS33" s="162"/>
      <c r="AT33" s="161">
        <f t="shared" si="3"/>
        <v>1220.93096330964</v>
      </c>
      <c r="AU33" s="3"/>
      <c r="AV33" s="161">
        <f t="shared" si="4"/>
        <v>1015.4540552107301</v>
      </c>
      <c r="AW33" s="299"/>
      <c r="AX33" s="163">
        <f t="shared" si="7"/>
        <v>2236.3850185203701</v>
      </c>
      <c r="AZ33" s="154">
        <f>+IF(AZ32&gt;$G$13+$G$14,XX,AZ32+1)</f>
        <v>2024</v>
      </c>
      <c r="BA33" s="124"/>
      <c r="BB33" s="162">
        <f t="shared" si="16"/>
        <v>67.314770158796961</v>
      </c>
      <c r="BC33" s="3"/>
      <c r="BD33" s="162">
        <f t="shared" si="17"/>
        <v>7.5835929212454163</v>
      </c>
      <c r="BE33" s="3"/>
      <c r="BF33" s="161">
        <f t="shared" si="8"/>
        <v>-312.73511549153937</v>
      </c>
      <c r="BG33" s="3"/>
      <c r="BH33" s="165"/>
    </row>
    <row r="34" spans="2:60" ht="12">
      <c r="B34" s="2"/>
      <c r="C34" s="6">
        <f>+IF(C33&gt;$G$13+$G$14,XX,C33+1)</f>
        <v>2025</v>
      </c>
      <c r="D34" s="6"/>
      <c r="E34" s="292">
        <f>'(2.2)_Forward_Price_Curve'!P37</f>
        <v>2.1999999999999999E-2</v>
      </c>
      <c r="F34" s="6"/>
      <c r="G34" s="20">
        <v>40110</v>
      </c>
      <c r="H34" s="6"/>
      <c r="I34" s="30">
        <f t="shared" si="9"/>
        <v>0</v>
      </c>
      <c r="J34" s="6"/>
      <c r="K34" s="30">
        <v>46.51751006627115</v>
      </c>
      <c r="L34" s="6"/>
      <c r="M34" s="30">
        <f t="shared" si="10"/>
        <v>0</v>
      </c>
      <c r="N34" s="6"/>
      <c r="O34" s="295">
        <f>'(2.2)_Forward_Price_Curve'!Z37</f>
        <v>0.98282248298325492</v>
      </c>
      <c r="P34" s="6"/>
      <c r="Q34" s="30"/>
      <c r="R34" s="6"/>
      <c r="S34" s="20">
        <f t="shared" si="5"/>
        <v>1905.2383385505941</v>
      </c>
      <c r="T34" s="6"/>
      <c r="U34" s="20">
        <f t="shared" si="0"/>
        <v>2351.8620469882944</v>
      </c>
      <c r="V34" s="6"/>
      <c r="W34" s="20">
        <f t="shared" si="1"/>
        <v>-446.62370843770032</v>
      </c>
      <c r="X34" s="6"/>
      <c r="Y34" s="296">
        <f t="shared" si="6"/>
        <v>-11.13497153920968</v>
      </c>
      <c r="Z34" s="255"/>
      <c r="AB34" s="154">
        <f>+IF(AB33&gt;$G$13+$G$14,XX,AB33+1)</f>
        <v>2025</v>
      </c>
      <c r="AC34" s="124"/>
      <c r="AD34" s="159">
        <f t="shared" si="2"/>
        <v>40110</v>
      </c>
      <c r="AE34" s="3"/>
      <c r="AF34" s="162">
        <f t="shared" si="11"/>
        <v>107.54083069672038</v>
      </c>
      <c r="AG34" s="3"/>
      <c r="AH34" s="162">
        <f t="shared" si="12"/>
        <v>22.530506865768015</v>
      </c>
      <c r="AI34" s="3"/>
      <c r="AJ34" s="162">
        <f t="shared" si="13"/>
        <v>2.5916317962052187</v>
      </c>
      <c r="AK34" s="3"/>
      <c r="AL34" s="161">
        <f t="shared" si="14"/>
        <v>927.52824852104766</v>
      </c>
      <c r="AM34" s="3"/>
      <c r="AN34" s="162">
        <f>INDEX('(2.2)_Forward_Price_Curve'!$H:$H,MATCH($AB34,'(2.2)_Forward_Price_Curve'!$C:$C,0),1)</f>
        <v>3.8251624999999998</v>
      </c>
      <c r="AO34" s="3"/>
      <c r="AP34" s="162">
        <f t="shared" si="18"/>
        <v>24.866994382979648</v>
      </c>
      <c r="AQ34" s="3"/>
      <c r="AR34" s="162">
        <f t="shared" si="15"/>
        <v>2.6752272683515286</v>
      </c>
      <c r="AS34" s="162"/>
      <c r="AT34" s="161">
        <f t="shared" si="3"/>
        <v>1247.143536553401</v>
      </c>
      <c r="AU34" s="3"/>
      <c r="AV34" s="161">
        <f t="shared" si="4"/>
        <v>1104.7185104348935</v>
      </c>
      <c r="AW34" s="299"/>
      <c r="AX34" s="163">
        <f t="shared" si="7"/>
        <v>2351.8620469882944</v>
      </c>
      <c r="AZ34" s="154">
        <f>+IF(AZ33&gt;$G$13+$G$14,XX,AZ33+1)</f>
        <v>2025</v>
      </c>
      <c r="BA34" s="124"/>
      <c r="BB34" s="162">
        <f t="shared" si="16"/>
        <v>68.795695102290495</v>
      </c>
      <c r="BC34" s="3"/>
      <c r="BD34" s="162">
        <f t="shared" si="17"/>
        <v>7.7504319655128153</v>
      </c>
      <c r="BE34" s="3"/>
      <c r="BF34" s="161">
        <f t="shared" si="8"/>
        <v>-319.61528803235325</v>
      </c>
      <c r="BG34" s="3"/>
      <c r="BH34" s="165"/>
    </row>
    <row r="35" spans="2:60" ht="12">
      <c r="B35" s="2"/>
      <c r="C35" s="6">
        <f>+IF(C34&gt;$G$13+$G$14,XX,C34+1)</f>
        <v>2026</v>
      </c>
      <c r="D35" s="6"/>
      <c r="E35" s="292">
        <f>'(2.2)_Forward_Price_Curve'!P38</f>
        <v>2.1999999999999999E-2</v>
      </c>
      <c r="F35" s="6"/>
      <c r="G35" s="20">
        <v>39910</v>
      </c>
      <c r="H35" s="6"/>
      <c r="I35" s="30">
        <f t="shared" si="9"/>
        <v>0</v>
      </c>
      <c r="J35" s="6"/>
      <c r="K35" s="30">
        <v>46.51751006627115</v>
      </c>
      <c r="L35" s="6"/>
      <c r="M35" s="30">
        <f t="shared" si="10"/>
        <v>0</v>
      </c>
      <c r="N35" s="6"/>
      <c r="O35" s="295">
        <f>'(2.2)_Forward_Price_Curve'!Z38</f>
        <v>1.0045007081240578</v>
      </c>
      <c r="P35" s="6"/>
      <c r="Q35" s="30"/>
      <c r="R35" s="6"/>
      <c r="S35" s="20">
        <f t="shared" si="5"/>
        <v>1896.6034500061128</v>
      </c>
      <c r="T35" s="6"/>
      <c r="U35" s="20">
        <f t="shared" si="0"/>
        <v>2429.9021910071078</v>
      </c>
      <c r="V35" s="6"/>
      <c r="W35" s="20">
        <f t="shared" si="1"/>
        <v>-533.29874100099505</v>
      </c>
      <c r="X35" s="6"/>
      <c r="Y35" s="296">
        <f t="shared" si="6"/>
        <v>-13.362534227035706</v>
      </c>
      <c r="Z35" s="255"/>
      <c r="AB35" s="154">
        <f>+IF(AB34&gt;$G$13+$G$14,XX,AB34+1)</f>
        <v>2026</v>
      </c>
      <c r="AC35" s="124"/>
      <c r="AD35" s="159">
        <f t="shared" si="2"/>
        <v>39910</v>
      </c>
      <c r="AE35" s="3"/>
      <c r="AF35" s="162">
        <f t="shared" si="11"/>
        <v>109.90672897204823</v>
      </c>
      <c r="AG35" s="3"/>
      <c r="AH35" s="162">
        <f t="shared" si="12"/>
        <v>23.02617801681491</v>
      </c>
      <c r="AI35" s="3"/>
      <c r="AJ35" s="162">
        <f t="shared" si="13"/>
        <v>2.6486476957217335</v>
      </c>
      <c r="AK35" s="3"/>
      <c r="AL35" s="161">
        <f t="shared" si="14"/>
        <v>947.40414044936608</v>
      </c>
      <c r="AM35" s="3"/>
      <c r="AN35" s="162">
        <f>INDEX('(2.2)_Forward_Price_Curve'!$H:$H,MATCH($AB35,'(2.2)_Forward_Price_Curve'!$C:$C,0),1)</f>
        <v>4.0344208333333329</v>
      </c>
      <c r="AO35" s="3"/>
      <c r="AP35" s="162">
        <f t="shared" si="18"/>
        <v>26.227361635244531</v>
      </c>
      <c r="AQ35" s="3"/>
      <c r="AR35" s="162">
        <f t="shared" si="15"/>
        <v>2.7340822682552623</v>
      </c>
      <c r="AS35" s="162"/>
      <c r="AT35" s="161">
        <f t="shared" si="3"/>
        <v>1274.0509648184311</v>
      </c>
      <c r="AU35" s="3"/>
      <c r="AV35" s="161">
        <f t="shared" si="4"/>
        <v>1155.8512261886767</v>
      </c>
      <c r="AW35" s="299"/>
      <c r="AX35" s="163">
        <f t="shared" si="7"/>
        <v>2429.9021910071078</v>
      </c>
      <c r="AZ35" s="154">
        <f>+IF(AZ34&gt;$G$13+$G$14,XX,AZ34+1)</f>
        <v>2026</v>
      </c>
      <c r="BA35" s="124"/>
      <c r="BB35" s="162">
        <f t="shared" si="16"/>
        <v>70.309200394540881</v>
      </c>
      <c r="BC35" s="3"/>
      <c r="BD35" s="162">
        <f t="shared" si="17"/>
        <v>7.9209414687540978</v>
      </c>
      <c r="BE35" s="3"/>
      <c r="BF35" s="161">
        <f t="shared" si="8"/>
        <v>-326.64682436906497</v>
      </c>
      <c r="BG35" s="3"/>
      <c r="BH35" s="165"/>
    </row>
    <row r="36" spans="2:60" ht="12">
      <c r="B36" s="2"/>
      <c r="C36" s="6">
        <f>+IF(C35&gt;$G$13+$G$14,XX,C35+1)</f>
        <v>2027</v>
      </c>
      <c r="D36" s="6"/>
      <c r="E36" s="292">
        <f>'(2.2)_Forward_Price_Curve'!P39</f>
        <v>2.1999999999999999E-2</v>
      </c>
      <c r="F36" s="6"/>
      <c r="G36" s="20">
        <v>39710</v>
      </c>
      <c r="H36" s="6"/>
      <c r="I36" s="30">
        <f t="shared" si="9"/>
        <v>0</v>
      </c>
      <c r="J36" s="6"/>
      <c r="K36" s="30">
        <v>46.517510066271143</v>
      </c>
      <c r="L36" s="6"/>
      <c r="M36" s="30">
        <f t="shared" si="10"/>
        <v>0</v>
      </c>
      <c r="N36" s="6"/>
      <c r="O36" s="295">
        <f>'(2.2)_Forward_Price_Curve'!Z39</f>
        <v>1.026779705893067</v>
      </c>
      <c r="P36" s="6"/>
      <c r="Q36" s="30"/>
      <c r="R36" s="6"/>
      <c r="S36" s="20">
        <f t="shared" si="5"/>
        <v>1887.9837468526409</v>
      </c>
      <c r="T36" s="6"/>
      <c r="U36" s="20">
        <f t="shared" si="0"/>
        <v>2443.1707504415435</v>
      </c>
      <c r="V36" s="6"/>
      <c r="W36" s="20">
        <f t="shared" si="1"/>
        <v>-555.1870035889026</v>
      </c>
      <c r="X36" s="6"/>
      <c r="Y36" s="296">
        <f t="shared" si="6"/>
        <v>-13.981037612412557</v>
      </c>
      <c r="Z36" s="255"/>
      <c r="AB36" s="154">
        <f>+IF(AB35&gt;$G$13+$G$14,XX,AB35+1)</f>
        <v>2027</v>
      </c>
      <c r="AC36" s="124"/>
      <c r="AD36" s="159">
        <f t="shared" si="2"/>
        <v>39710</v>
      </c>
      <c r="AE36" s="3"/>
      <c r="AF36" s="162">
        <f t="shared" si="11"/>
        <v>112.32467700943329</v>
      </c>
      <c r="AG36" s="3"/>
      <c r="AH36" s="162">
        <f t="shared" si="12"/>
        <v>23.532753933184839</v>
      </c>
      <c r="AI36" s="3"/>
      <c r="AJ36" s="162">
        <f t="shared" si="13"/>
        <v>2.7069179450276115</v>
      </c>
      <c r="AK36" s="3"/>
      <c r="AL36" s="161">
        <f t="shared" si="14"/>
        <v>967.70564795024677</v>
      </c>
      <c r="AM36" s="3"/>
      <c r="AN36" s="162">
        <f>INDEX('(2.2)_Forward_Price_Curve'!$H:$H,MATCH($AB36,'(2.2)_Forward_Price_Curve'!$C:$C,0),1)</f>
        <v>3.9925249999999992</v>
      </c>
      <c r="AO36" s="3"/>
      <c r="AP36" s="162">
        <f t="shared" si="18"/>
        <v>25.955001061760328</v>
      </c>
      <c r="AQ36" s="3"/>
      <c r="AR36" s="162">
        <f t="shared" si="15"/>
        <v>2.7942320781568784</v>
      </c>
      <c r="AS36" s="162"/>
      <c r="AT36" s="161">
        <f t="shared" si="3"/>
        <v>1301.5387024554311</v>
      </c>
      <c r="AU36" s="3"/>
      <c r="AV36" s="161">
        <f t="shared" si="4"/>
        <v>1141.6320479861124</v>
      </c>
      <c r="AW36" s="299"/>
      <c r="AX36" s="163">
        <f t="shared" si="7"/>
        <v>2443.1707504415435</v>
      </c>
      <c r="AZ36" s="154">
        <f>+IF(AZ35&gt;$G$13+$G$14,XX,AZ35+1)</f>
        <v>2027</v>
      </c>
      <c r="BA36" s="124"/>
      <c r="BB36" s="162">
        <f t="shared" si="16"/>
        <v>71.856002803220775</v>
      </c>
      <c r="BC36" s="3"/>
      <c r="BD36" s="162">
        <f t="shared" si="17"/>
        <v>8.0952021810666874</v>
      </c>
      <c r="BE36" s="3"/>
      <c r="BF36" s="161">
        <f t="shared" si="8"/>
        <v>-333.83305450518441</v>
      </c>
      <c r="BG36" s="3"/>
      <c r="BH36" s="165"/>
    </row>
    <row r="37" spans="2:60" ht="12">
      <c r="B37" s="2"/>
      <c r="C37" s="6">
        <f>+IF(C36&gt;$G$13+$G$14,XX,C36+1)</f>
        <v>2028</v>
      </c>
      <c r="D37" s="6"/>
      <c r="E37" s="292">
        <f>'(2.2)_Forward_Price_Curve'!P40</f>
        <v>2.1999999999999999E-2</v>
      </c>
      <c r="F37" s="6"/>
      <c r="G37" s="20">
        <v>39560</v>
      </c>
      <c r="H37" s="6"/>
      <c r="I37" s="30">
        <f t="shared" si="9"/>
        <v>0</v>
      </c>
      <c r="J37" s="6"/>
      <c r="K37" s="30">
        <v>46.51751006627115</v>
      </c>
      <c r="L37" s="6"/>
      <c r="M37" s="30">
        <f t="shared" si="10"/>
        <v>0</v>
      </c>
      <c r="N37" s="6"/>
      <c r="O37" s="295">
        <f>'(2.2)_Forward_Price_Curve'!Z40</f>
        <v>1.0498288329991143</v>
      </c>
      <c r="P37" s="6"/>
      <c r="Q37" s="30"/>
      <c r="R37" s="6"/>
      <c r="S37" s="20">
        <f t="shared" si="5"/>
        <v>1881.7639268551316</v>
      </c>
      <c r="T37" s="6"/>
      <c r="U37" s="20">
        <f t="shared" si="0"/>
        <v>2454.078589026451</v>
      </c>
      <c r="V37" s="6"/>
      <c r="W37" s="20">
        <f t="shared" si="1"/>
        <v>-572.31466217131947</v>
      </c>
      <c r="X37" s="6"/>
      <c r="Y37" s="296">
        <f t="shared" si="6"/>
        <v>-14.467003593814951</v>
      </c>
      <c r="Z37" s="255"/>
      <c r="AB37" s="154">
        <f>+IF(AB36&gt;$G$13+$G$14,XX,AB36+1)</f>
        <v>2028</v>
      </c>
      <c r="AC37" s="124"/>
      <c r="AD37" s="159">
        <f t="shared" si="2"/>
        <v>39560</v>
      </c>
      <c r="AE37" s="3"/>
      <c r="AF37" s="162">
        <f t="shared" si="11"/>
        <v>114.79581990364082</v>
      </c>
      <c r="AG37" s="3"/>
      <c r="AH37" s="162">
        <f t="shared" si="12"/>
        <v>24.050474519714907</v>
      </c>
      <c r="AI37" s="3"/>
      <c r="AJ37" s="162">
        <f t="shared" si="13"/>
        <v>2.7664701398182192</v>
      </c>
      <c r="AK37" s="3"/>
      <c r="AL37" s="161">
        <f t="shared" si="14"/>
        <v>988.58020168417943</v>
      </c>
      <c r="AM37" s="3"/>
      <c r="AN37" s="162">
        <f>INDEX('(2.2)_Forward_Price_Curve'!$H:$H,MATCH($AB37,'(2.2)_Forward_Price_Curve'!$C:$C,0),1)</f>
        <v>3.9325250000000005</v>
      </c>
      <c r="AO37" s="3"/>
      <c r="AP37" s="162">
        <f t="shared" si="18"/>
        <v>25.564947132553726</v>
      </c>
      <c r="AQ37" s="3"/>
      <c r="AR37" s="162">
        <f t="shared" si="15"/>
        <v>2.8557051838763297</v>
      </c>
      <c r="AS37" s="162"/>
      <c r="AT37" s="161">
        <f t="shared" si="3"/>
        <v>1329.757583388478</v>
      </c>
      <c r="AU37" s="3"/>
      <c r="AV37" s="161">
        <f t="shared" si="4"/>
        <v>1124.321005637973</v>
      </c>
      <c r="AW37" s="299"/>
      <c r="AX37" s="163">
        <f t="shared" si="7"/>
        <v>2454.078589026451</v>
      </c>
      <c r="AZ37" s="154">
        <f>+IF(AZ36&gt;$G$13+$G$14,XX,AZ36+1)</f>
        <v>2028</v>
      </c>
      <c r="BA37" s="124"/>
      <c r="BB37" s="162">
        <f t="shared" si="16"/>
        <v>73.436834864891637</v>
      </c>
      <c r="BC37" s="3"/>
      <c r="BD37" s="162">
        <f t="shared" si="17"/>
        <v>8.2732966290501544</v>
      </c>
      <c r="BE37" s="3"/>
      <c r="BF37" s="161">
        <f t="shared" si="8"/>
        <v>-341.17738170429845</v>
      </c>
      <c r="BG37" s="3"/>
      <c r="BH37" s="165"/>
    </row>
    <row r="38" spans="2:60" ht="12">
      <c r="B38" s="2"/>
      <c r="C38" s="6">
        <f>+IF(C37&gt;$G$13+$G$14,XX,C37+1)</f>
        <v>2029</v>
      </c>
      <c r="D38" s="6"/>
      <c r="E38" s="292">
        <f>'(2.2)_Forward_Price_Curve'!P41</f>
        <v>2.1999999999999999E-2</v>
      </c>
      <c r="F38" s="6"/>
      <c r="G38" s="20">
        <v>39320</v>
      </c>
      <c r="H38" s="6"/>
      <c r="I38" s="30">
        <f t="shared" si="9"/>
        <v>0</v>
      </c>
      <c r="J38" s="6"/>
      <c r="K38" s="30">
        <v>46.51751006627115</v>
      </c>
      <c r="L38" s="6"/>
      <c r="M38" s="30">
        <f t="shared" si="10"/>
        <v>0</v>
      </c>
      <c r="N38" s="6"/>
      <c r="O38" s="295">
        <f>'(2.2)_Forward_Price_Curve'!Z41</f>
        <v>1.0737281421117022</v>
      </c>
      <c r="P38" s="6"/>
      <c r="Q38" s="30"/>
      <c r="R38" s="6"/>
      <c r="S38" s="20">
        <f t="shared" si="5"/>
        <v>1871.287486353614</v>
      </c>
      <c r="T38" s="6"/>
      <c r="U38" s="20">
        <f t="shared" si="0"/>
        <v>2559.8485278857379</v>
      </c>
      <c r="V38" s="6"/>
      <c r="W38" s="20">
        <f t="shared" si="1"/>
        <v>-688.56104153212391</v>
      </c>
      <c r="X38" s="6"/>
      <c r="Y38" s="296">
        <f t="shared" si="6"/>
        <v>-17.51172536958606</v>
      </c>
      <c r="Z38" s="255"/>
      <c r="AB38" s="154">
        <f>+IF(AB37&gt;$G$13+$G$14,XX,AB37+1)</f>
        <v>2029</v>
      </c>
      <c r="AC38" s="124"/>
      <c r="AD38" s="159">
        <f t="shared" si="2"/>
        <v>39320</v>
      </c>
      <c r="AE38" s="3"/>
      <c r="AF38" s="162">
        <f t="shared" si="11"/>
        <v>117.32132794152092</v>
      </c>
      <c r="AG38" s="3"/>
      <c r="AH38" s="162">
        <f t="shared" si="12"/>
        <v>24.579584959148637</v>
      </c>
      <c r="AI38" s="3"/>
      <c r="AJ38" s="162">
        <f t="shared" si="13"/>
        <v>2.8273324828942199</v>
      </c>
      <c r="AK38" s="3"/>
      <c r="AL38" s="161">
        <f t="shared" si="14"/>
        <v>1009.650406325337</v>
      </c>
      <c r="AM38" s="3"/>
      <c r="AN38" s="162">
        <f>INDEX('(2.2)_Forward_Price_Curve'!$H:$H,MATCH($AB38,'(2.2)_Forward_Price_Curve'!$C:$C,0),1)</f>
        <v>4.2515375000000004</v>
      </c>
      <c r="AO38" s="3"/>
      <c r="AP38" s="162">
        <f t="shared" si="18"/>
        <v>27.638815117404125</v>
      </c>
      <c r="AQ38" s="3"/>
      <c r="AR38" s="162">
        <f t="shared" si="15"/>
        <v>2.918530697921609</v>
      </c>
      <c r="AS38" s="162"/>
      <c r="AT38" s="161">
        <f t="shared" si="3"/>
        <v>1358.33369042713</v>
      </c>
      <c r="AU38" s="3"/>
      <c r="AV38" s="161">
        <f t="shared" si="4"/>
        <v>1201.5148374586076</v>
      </c>
      <c r="AW38" s="299"/>
      <c r="AX38" s="163">
        <f t="shared" si="7"/>
        <v>2559.8485278857379</v>
      </c>
      <c r="AZ38" s="154">
        <f>+IF(AZ37&gt;$G$13+$G$14,XX,AZ37+1)</f>
        <v>2029</v>
      </c>
      <c r="BA38" s="124"/>
      <c r="BB38" s="162">
        <f t="shared" si="16"/>
        <v>75.052445231919251</v>
      </c>
      <c r="BC38" s="3"/>
      <c r="BD38" s="162">
        <f t="shared" si="17"/>
        <v>8.4553091548892585</v>
      </c>
      <c r="BE38" s="3"/>
      <c r="BF38" s="161">
        <f t="shared" si="8"/>
        <v>-348.68328410179305</v>
      </c>
      <c r="BG38" s="3"/>
      <c r="BH38" s="165"/>
    </row>
    <row r="39" spans="2:60" ht="12">
      <c r="B39" s="2"/>
      <c r="C39" s="6">
        <f>+IF(C38&gt;$G$13+$G$14,XX,C38+1)</f>
        <v>2030</v>
      </c>
      <c r="D39" s="6"/>
      <c r="E39" s="292">
        <f>'(2.2)_Forward_Price_Curve'!P42</f>
        <v>2.1999999999999999E-2</v>
      </c>
      <c r="F39" s="6"/>
      <c r="G39" s="20">
        <v>39120</v>
      </c>
      <c r="H39" s="6"/>
      <c r="I39" s="30">
        <f t="shared" si="9"/>
        <v>0</v>
      </c>
      <c r="J39" s="6"/>
      <c r="K39" s="30">
        <v>46.51751006627115</v>
      </c>
      <c r="L39" s="6"/>
      <c r="M39" s="30">
        <f t="shared" si="10"/>
        <v>0</v>
      </c>
      <c r="N39" s="6"/>
      <c r="O39" s="295">
        <f>'(2.2)_Forward_Price_Curve'!Z42</f>
        <v>1.0977895859175892</v>
      </c>
      <c r="P39" s="6"/>
      <c r="Q39" s="30"/>
      <c r="R39" s="6"/>
      <c r="S39" s="20">
        <f t="shared" si="5"/>
        <v>1862.7105223936235</v>
      </c>
      <c r="T39" s="6"/>
      <c r="U39" s="20">
        <f t="shared" si="0"/>
        <v>2727.5818977760246</v>
      </c>
      <c r="V39" s="6"/>
      <c r="W39" s="20">
        <f t="shared" si="1"/>
        <v>-864.87137538240108</v>
      </c>
      <c r="X39" s="6"/>
      <c r="Y39" s="296">
        <f t="shared" si="6"/>
        <v>-22.108163992392665</v>
      </c>
      <c r="Z39" s="255"/>
      <c r="AB39" s="154">
        <f>+IF(AB38&gt;$G$13+$G$14,XX,AB38+1)</f>
        <v>2030</v>
      </c>
      <c r="AC39" s="124"/>
      <c r="AD39" s="159">
        <f t="shared" si="2"/>
        <v>39120</v>
      </c>
      <c r="AE39" s="3"/>
      <c r="AF39" s="162">
        <f t="shared" si="11"/>
        <v>119.90239715623439</v>
      </c>
      <c r="AG39" s="3"/>
      <c r="AH39" s="162">
        <f t="shared" si="12"/>
        <v>25.120335828249907</v>
      </c>
      <c r="AI39" s="3"/>
      <c r="AJ39" s="162">
        <f t="shared" si="13"/>
        <v>2.8895337975178927</v>
      </c>
      <c r="AK39" s="3"/>
      <c r="AL39" s="161">
        <f t="shared" si="14"/>
        <v>1031.2848085049907</v>
      </c>
      <c r="AM39" s="3"/>
      <c r="AN39" s="162">
        <f>INDEX('(2.2)_Forward_Price_Curve'!$H:$H,MATCH($AB39,'(2.2)_Forward_Price_Curve'!$C:$C,0),1)</f>
        <v>4.8100083333333341</v>
      </c>
      <c r="AO39" s="3"/>
      <c r="AP39" s="162">
        <f t="shared" si="18"/>
        <v>31.26937749888673</v>
      </c>
      <c r="AQ39" s="3"/>
      <c r="AR39" s="162">
        <f t="shared" si="15"/>
        <v>2.9827383732758843</v>
      </c>
      <c r="AS39" s="162"/>
      <c r="AT39" s="161">
        <f t="shared" si="3"/>
        <v>1387.6391248570233</v>
      </c>
      <c r="AU39" s="3"/>
      <c r="AV39" s="161">
        <f t="shared" si="4"/>
        <v>1339.9427729190013</v>
      </c>
      <c r="AW39" s="299"/>
      <c r="AX39" s="163">
        <f t="shared" si="7"/>
        <v>2727.5818977760246</v>
      </c>
      <c r="AZ39" s="154">
        <f>+IF(AZ38&gt;$G$13+$G$14,XX,AZ38+1)</f>
        <v>2030</v>
      </c>
      <c r="BA39" s="124"/>
      <c r="BB39" s="162">
        <f t="shared" si="16"/>
        <v>76.703599027021482</v>
      </c>
      <c r="BC39" s="3"/>
      <c r="BD39" s="162">
        <f t="shared" si="17"/>
        <v>8.6413259562968232</v>
      </c>
      <c r="BE39" s="3"/>
      <c r="BF39" s="161">
        <f t="shared" si="8"/>
        <v>-356.35431635203253</v>
      </c>
      <c r="BG39" s="3"/>
      <c r="BH39" s="165"/>
    </row>
    <row r="40" spans="2:60" ht="12">
      <c r="B40" s="2"/>
      <c r="C40" s="6">
        <f>+IF(C39&gt;$G$13+$G$14,XX,C39+1)</f>
        <v>2031</v>
      </c>
      <c r="D40" s="6"/>
      <c r="E40" s="292">
        <f>'(2.2)_Forward_Price_Curve'!P43</f>
        <v>2.1999999999999999E-2</v>
      </c>
      <c r="F40" s="6"/>
      <c r="G40" s="20">
        <v>38920</v>
      </c>
      <c r="H40" s="6"/>
      <c r="I40" s="30">
        <f t="shared" si="9"/>
        <v>0</v>
      </c>
      <c r="J40" s="6"/>
      <c r="K40" s="30">
        <v>46.517510066271157</v>
      </c>
      <c r="L40" s="6"/>
      <c r="M40" s="30">
        <f t="shared" si="10"/>
        <v>0</v>
      </c>
      <c r="N40" s="6"/>
      <c r="O40" s="295">
        <f>'(2.2)_Forward_Price_Curve'!Z43</f>
        <v>1.1218057776996744</v>
      </c>
      <c r="P40" s="6"/>
      <c r="Q40" s="30"/>
      <c r="R40" s="6"/>
      <c r="S40" s="20">
        <f t="shared" si="5"/>
        <v>1854.1221726473448</v>
      </c>
      <c r="T40" s="6"/>
      <c r="U40" s="20">
        <f t="shared" si="0"/>
        <v>2831.9200020332678</v>
      </c>
      <c r="V40" s="6"/>
      <c r="W40" s="20">
        <f t="shared" si="1"/>
        <v>-977.79782938592302</v>
      </c>
      <c r="X40" s="6"/>
      <c r="Y40" s="296">
        <f t="shared" si="6"/>
        <v>-25.123274136328956</v>
      </c>
      <c r="Z40" s="255"/>
      <c r="AB40" s="154">
        <f>+IF(AB39&gt;$G$13+$G$14,XX,AB39+1)</f>
        <v>2031</v>
      </c>
      <c r="AC40" s="124"/>
      <c r="AD40" s="159">
        <f t="shared" si="2"/>
        <v>38920</v>
      </c>
      <c r="AE40" s="3"/>
      <c r="AF40" s="162">
        <f t="shared" si="11"/>
        <v>122.54024989367154</v>
      </c>
      <c r="AG40" s="3"/>
      <c r="AH40" s="162">
        <f t="shared" si="12"/>
        <v>25.672983216471405</v>
      </c>
      <c r="AI40" s="3"/>
      <c r="AJ40" s="162">
        <f t="shared" si="13"/>
        <v>2.9531035410632867</v>
      </c>
      <c r="AK40" s="3"/>
      <c r="AL40" s="161">
        <f t="shared" si="14"/>
        <v>1053.3824535838878</v>
      </c>
      <c r="AM40" s="3"/>
      <c r="AN40" s="162">
        <f>INDEX('(2.2)_Forward_Price_Curve'!$H:$H,MATCH($AB40,'(2.2)_Forward_Price_Curve'!$C:$C,0),1)</f>
        <v>5.1210458333333335</v>
      </c>
      <c r="AO40" s="3"/>
      <c r="AP40" s="162">
        <f t="shared" si="18"/>
        <v>33.291400815646746</v>
      </c>
      <c r="AQ40" s="3"/>
      <c r="AR40" s="162">
        <f t="shared" si="15"/>
        <v>3.048358617487954</v>
      </c>
      <c r="AS40" s="162"/>
      <c r="AT40" s="161">
        <f t="shared" si="3"/>
        <v>1417.5765648956651</v>
      </c>
      <c r="AU40" s="3"/>
      <c r="AV40" s="161">
        <f t="shared" si="4"/>
        <v>1414.3434371376027</v>
      </c>
      <c r="AW40" s="299"/>
      <c r="AX40" s="163">
        <f t="shared" si="7"/>
        <v>2831.9200020332678</v>
      </c>
      <c r="AZ40" s="154">
        <f>+IF(AZ39&gt;$G$13+$G$14,XX,AZ39+1)</f>
        <v>2031</v>
      </c>
      <c r="BA40" s="124"/>
      <c r="BB40" s="162">
        <f t="shared" si="16"/>
        <v>78.391078205615955</v>
      </c>
      <c r="BC40" s="3"/>
      <c r="BD40" s="162">
        <f t="shared" si="17"/>
        <v>8.8314351273353537</v>
      </c>
      <c r="BE40" s="3"/>
      <c r="BF40" s="161">
        <f t="shared" si="8"/>
        <v>-364.19411131177725</v>
      </c>
      <c r="BG40" s="3"/>
      <c r="BH40" s="165"/>
    </row>
    <row r="41" spans="2:60" ht="12">
      <c r="B41" s="2"/>
      <c r="C41" s="6">
        <f>+IF(C40&gt;$G$13+$G$14,XX,C40+1)</f>
        <v>2032</v>
      </c>
      <c r="D41" s="6"/>
      <c r="E41" s="292">
        <f>'(2.2)_Forward_Price_Curve'!P44</f>
        <v>2.1000000000000001E-2</v>
      </c>
      <c r="F41" s="6"/>
      <c r="G41" s="20">
        <v>38780</v>
      </c>
      <c r="H41" s="6"/>
      <c r="I41" s="30">
        <f t="shared" si="9"/>
        <v>0</v>
      </c>
      <c r="J41" s="6"/>
      <c r="K41" s="30">
        <v>46.51751006627115</v>
      </c>
      <c r="L41" s="6"/>
      <c r="M41" s="30">
        <f t="shared" si="10"/>
        <v>0</v>
      </c>
      <c r="N41" s="6"/>
      <c r="O41" s="295">
        <f>'(2.2)_Forward_Price_Curve'!Z44</f>
        <v>1.1460041088775619</v>
      </c>
      <c r="P41" s="6"/>
      <c r="Q41" s="30"/>
      <c r="R41" s="6"/>
      <c r="S41" s="20">
        <f t="shared" si="5"/>
        <v>1848.3910797122671</v>
      </c>
      <c r="T41" s="6"/>
      <c r="U41" s="20">
        <f t="shared" si="0"/>
        <v>2934.8249271912637</v>
      </c>
      <c r="V41" s="6"/>
      <c r="W41" s="20">
        <f t="shared" si="1"/>
        <v>-1086.4338474789965</v>
      </c>
      <c r="X41" s="6"/>
      <c r="Y41" s="296">
        <f t="shared" si="6"/>
        <v>-28.015313240819921</v>
      </c>
      <c r="Z41" s="255"/>
      <c r="AB41" s="154">
        <f>+IF(AB40&gt;$G$13+$G$14,XX,AB40+1)</f>
        <v>2032</v>
      </c>
      <c r="AC41" s="124"/>
      <c r="AD41" s="159">
        <f t="shared" si="2"/>
        <v>38780</v>
      </c>
      <c r="AE41" s="3"/>
      <c r="AF41" s="162">
        <f t="shared" si="11"/>
        <v>125.11359514143864</v>
      </c>
      <c r="AG41" s="3"/>
      <c r="AH41" s="162">
        <f t="shared" si="12"/>
        <v>26.212115864017303</v>
      </c>
      <c r="AI41" s="3"/>
      <c r="AJ41" s="162">
        <f t="shared" si="13"/>
        <v>3.0151187154256154</v>
      </c>
      <c r="AK41" s="3"/>
      <c r="AL41" s="161">
        <f t="shared" si="14"/>
        <v>1075.0813684889897</v>
      </c>
      <c r="AM41" s="3"/>
      <c r="AN41" s="162">
        <f>INDEX('(2.2)_Forward_Price_Curve'!$H:$H,MATCH($AB41,'(2.2)_Forward_Price_Curve'!$C:$C,0),1)</f>
        <v>5.4231541666666665</v>
      </c>
      <c r="AO41" s="3"/>
      <c r="AP41" s="162">
        <f t="shared" si="18"/>
        <v>35.255376523358855</v>
      </c>
      <c r="AQ41" s="3"/>
      <c r="AR41" s="162">
        <f t="shared" si="15"/>
        <v>3.1123741484552006</v>
      </c>
      <c r="AS41" s="162"/>
      <c r="AT41" s="161">
        <f t="shared" si="3"/>
        <v>1446.9235561383143</v>
      </c>
      <c r="AU41" s="3"/>
      <c r="AV41" s="161">
        <f t="shared" si="4"/>
        <v>1487.9013710529491</v>
      </c>
      <c r="AW41" s="299"/>
      <c r="AX41" s="163">
        <f t="shared" si="7"/>
        <v>2934.8249271912637</v>
      </c>
      <c r="AZ41" s="154">
        <f>+IF(AZ40&gt;$G$13+$G$14,XX,AZ40+1)</f>
        <v>2032</v>
      </c>
      <c r="BA41" s="124"/>
      <c r="BB41" s="162">
        <f t="shared" si="16"/>
        <v>80.037290847933889</v>
      </c>
      <c r="BC41" s="3"/>
      <c r="BD41" s="162">
        <f t="shared" si="17"/>
        <v>9.0168952650093956</v>
      </c>
      <c r="BE41" s="3"/>
      <c r="BF41" s="161">
        <f t="shared" si="8"/>
        <v>-371.84218764932456</v>
      </c>
      <c r="BG41" s="3"/>
      <c r="BH41" s="165"/>
    </row>
    <row r="42" spans="2:60" ht="12">
      <c r="B42" s="2"/>
      <c r="C42" s="6">
        <f>+IF(C41&gt;$G$13+$G$14,XX,C41+1)</f>
        <v>2033</v>
      </c>
      <c r="D42" s="6"/>
      <c r="E42" s="292">
        <f>'(2.2)_Forward_Price_Curve'!P45</f>
        <v>2.1000000000000001E-2</v>
      </c>
      <c r="F42" s="6"/>
      <c r="G42" s="20">
        <v>38540</v>
      </c>
      <c r="H42" s="6"/>
      <c r="I42" s="30">
        <f t="shared" si="9"/>
        <v>0</v>
      </c>
      <c r="J42" s="6"/>
      <c r="K42" s="30">
        <v>46.51751006627115</v>
      </c>
      <c r="L42" s="6"/>
      <c r="M42" s="30">
        <f t="shared" si="10"/>
        <v>0</v>
      </c>
      <c r="N42" s="6"/>
      <c r="O42" s="295">
        <f>'(2.2)_Forward_Price_Curve'!Z45</f>
        <v>1.1705802944541936</v>
      </c>
      <c r="P42" s="6"/>
      <c r="Q42" s="30"/>
      <c r="R42" s="6"/>
      <c r="S42" s="20">
        <f t="shared" si="5"/>
        <v>1837.8990025023545</v>
      </c>
      <c r="T42" s="6"/>
      <c r="U42" s="20">
        <f t="shared" si="0"/>
        <v>3037.2372189753569</v>
      </c>
      <c r="V42" s="6"/>
      <c r="W42" s="20">
        <f t="shared" si="1"/>
        <v>-1199.3382164730024</v>
      </c>
      <c r="X42" s="6"/>
      <c r="Y42" s="296">
        <f t="shared" si="6"/>
        <v>-31.11931023541781</v>
      </c>
      <c r="Z42" s="255"/>
      <c r="AB42" s="154">
        <f>+IF(AB41&gt;$G$13+$G$14,XX,AB41+1)</f>
        <v>2033</v>
      </c>
      <c r="AC42" s="124"/>
      <c r="AD42" s="159">
        <f t="shared" si="2"/>
        <v>38540</v>
      </c>
      <c r="AE42" s="3"/>
      <c r="AF42" s="162">
        <f t="shared" si="11"/>
        <v>127.74098063940883</v>
      </c>
      <c r="AG42" s="3"/>
      <c r="AH42" s="162">
        <f t="shared" si="12"/>
        <v>26.762570297161663</v>
      </c>
      <c r="AI42" s="3"/>
      <c r="AJ42" s="162">
        <f t="shared" si="13"/>
        <v>3.0784362084495531</v>
      </c>
      <c r="AK42" s="3"/>
      <c r="AL42" s="161">
        <f t="shared" si="14"/>
        <v>1096.9192525372305</v>
      </c>
      <c r="AM42" s="3"/>
      <c r="AN42" s="162">
        <f>INDEX('(2.2)_Forward_Price_Curve'!$H:$H,MATCH($AB42,'(2.2)_Forward_Price_Curve'!$C:$C,0),1)</f>
        <v>5.7402833333333332</v>
      </c>
      <c r="AO42" s="3"/>
      <c r="AP42" s="162">
        <f t="shared" si="18"/>
        <v>37.317001148764703</v>
      </c>
      <c r="AQ42" s="3"/>
      <c r="AR42" s="162">
        <f t="shared" si="15"/>
        <v>3.1777340055727596</v>
      </c>
      <c r="AS42" s="162"/>
      <c r="AT42" s="161">
        <f t="shared" si="3"/>
        <v>1476.5701261271909</v>
      </c>
      <c r="AU42" s="3"/>
      <c r="AV42" s="161">
        <f t="shared" si="4"/>
        <v>1560.6670928481658</v>
      </c>
      <c r="AW42" s="299"/>
      <c r="AX42" s="163">
        <f t="shared" si="7"/>
        <v>3037.2372189753569</v>
      </c>
      <c r="AZ42" s="154">
        <f>+IF(AZ41&gt;$G$13+$G$14,XX,AZ41+1)</f>
        <v>2033</v>
      </c>
      <c r="BA42" s="124"/>
      <c r="BB42" s="162">
        <f t="shared" si="16"/>
        <v>81.718073955740493</v>
      </c>
      <c r="BC42" s="3"/>
      <c r="BD42" s="162">
        <f t="shared" si="17"/>
        <v>9.2062500655745918</v>
      </c>
      <c r="BE42" s="3"/>
      <c r="BF42" s="161">
        <f t="shared" si="8"/>
        <v>-379.65087358996038</v>
      </c>
      <c r="BG42" s="3"/>
      <c r="BH42" s="165"/>
    </row>
    <row r="43" spans="2:60" ht="12">
      <c r="B43" s="2"/>
      <c r="C43" s="6">
        <f>+IF(C42&gt;$G$13+$G$14,XX,C42+1)</f>
        <v>2034</v>
      </c>
      <c r="D43" s="6"/>
      <c r="E43" s="292">
        <f>'(2.2)_Forward_Price_Curve'!P46</f>
        <v>2.1000000000000001E-2</v>
      </c>
      <c r="F43" s="6"/>
      <c r="G43" s="20">
        <v>38340</v>
      </c>
      <c r="H43" s="6"/>
      <c r="I43" s="30">
        <f t="shared" si="9"/>
        <v>0</v>
      </c>
      <c r="J43" s="6"/>
      <c r="K43" s="30">
        <v>46.517510066271143</v>
      </c>
      <c r="L43" s="6"/>
      <c r="M43" s="30">
        <f t="shared" si="10"/>
        <v>0</v>
      </c>
      <c r="N43" s="6"/>
      <c r="O43" s="295">
        <f>'(2.2)_Forward_Price_Curve'!Z46</f>
        <v>1.1951742037401478</v>
      </c>
      <c r="P43" s="6"/>
      <c r="Q43" s="30"/>
      <c r="R43" s="6"/>
      <c r="S43" s="20">
        <f t="shared" si="5"/>
        <v>1829.3043149122327</v>
      </c>
      <c r="T43" s="6"/>
      <c r="U43" s="20">
        <f t="shared" si="0"/>
        <v>3138.9794885264864</v>
      </c>
      <c r="V43" s="6"/>
      <c r="W43" s="20">
        <f t="shared" si="1"/>
        <v>-1309.6751736142537</v>
      </c>
      <c r="X43" s="6"/>
      <c r="Y43" s="296">
        <f t="shared" si="6"/>
        <v>-34.159498529323258</v>
      </c>
      <c r="Z43" s="255"/>
      <c r="AB43" s="154">
        <f>+IF(AB42&gt;$G$13+$G$14,XX,AB42+1)</f>
        <v>2034</v>
      </c>
      <c r="AC43" s="124"/>
      <c r="AD43" s="159">
        <f t="shared" si="2"/>
        <v>38340</v>
      </c>
      <c r="AE43" s="3"/>
      <c r="AF43" s="162">
        <f t="shared" si="11"/>
        <v>130.42354123283641</v>
      </c>
      <c r="AG43" s="3"/>
      <c r="AH43" s="162">
        <f t="shared" si="12"/>
        <v>27.324584273402056</v>
      </c>
      <c r="AI43" s="3"/>
      <c r="AJ43" s="162">
        <f t="shared" si="13"/>
        <v>3.1430833688269932</v>
      </c>
      <c r="AK43" s="3"/>
      <c r="AL43" s="161">
        <f t="shared" si="14"/>
        <v>1119.3259401667469</v>
      </c>
      <c r="AM43" s="3"/>
      <c r="AN43" s="162">
        <f>INDEX('(2.2)_Forward_Price_Curve'!$H:$H,MATCH($AB43,'(2.2)_Forward_Price_Curve'!$C:$C,0),1)</f>
        <v>6.0488291666666667</v>
      </c>
      <c r="AO43" s="3"/>
      <c r="AP43" s="162">
        <f t="shared" si="18"/>
        <v>39.322826392631285</v>
      </c>
      <c r="AQ43" s="3"/>
      <c r="AR43" s="162">
        <f t="shared" si="15"/>
        <v>3.2444664196897874</v>
      </c>
      <c r="AS43" s="162"/>
      <c r="AT43" s="161">
        <f t="shared" si="3"/>
        <v>1506.9494821020965</v>
      </c>
      <c r="AU43" s="3"/>
      <c r="AV43" s="161">
        <f t="shared" si="4"/>
        <v>1632.0300064243897</v>
      </c>
      <c r="AW43" s="299"/>
      <c r="AX43" s="163">
        <f t="shared" si="7"/>
        <v>3138.9794885264864</v>
      </c>
      <c r="AZ43" s="154">
        <f>+IF(AZ42&gt;$G$13+$G$14,XX,AZ42+1)</f>
        <v>2034</v>
      </c>
      <c r="BA43" s="124"/>
      <c r="BB43" s="162">
        <f t="shared" si="16"/>
        <v>83.434153508811036</v>
      </c>
      <c r="BC43" s="3"/>
      <c r="BD43" s="162">
        <f t="shared" si="17"/>
        <v>9.3995813169516573</v>
      </c>
      <c r="BE43" s="3"/>
      <c r="BF43" s="161">
        <f t="shared" si="8"/>
        <v>-387.62354193534946</v>
      </c>
      <c r="BG43" s="3"/>
      <c r="BH43" s="165"/>
    </row>
    <row r="44" spans="2:60" ht="12">
      <c r="B44" s="2"/>
      <c r="C44" s="6">
        <f>+IF(C43&gt;$G$13+$G$14,XX,C43+1)</f>
        <v>2035</v>
      </c>
      <c r="D44" s="6"/>
      <c r="E44" s="292">
        <f>'(2.2)_Forward_Price_Curve'!P47</f>
        <v>2.1000000000000001E-2</v>
      </c>
      <c r="F44" s="6"/>
      <c r="G44" s="20">
        <v>38150</v>
      </c>
      <c r="H44" s="6"/>
      <c r="I44" s="30">
        <f t="shared" si="9"/>
        <v>0</v>
      </c>
      <c r="J44" s="6"/>
      <c r="K44" s="30">
        <v>46.517510066271143</v>
      </c>
      <c r="L44" s="6"/>
      <c r="M44" s="30">
        <f t="shared" si="10"/>
        <v>0</v>
      </c>
      <c r="N44" s="6"/>
      <c r="O44" s="295">
        <f>'(2.2)_Forward_Price_Curve'!Z47</f>
        <v>1.2202670165885168</v>
      </c>
      <c r="P44" s="6"/>
      <c r="Q44" s="30"/>
      <c r="R44" s="6"/>
      <c r="S44" s="20">
        <f t="shared" si="5"/>
        <v>1821.1961957110962</v>
      </c>
      <c r="T44" s="6"/>
      <c r="U44" s="20">
        <f t="shared" si="0"/>
        <v>3085.4391237128689</v>
      </c>
      <c r="V44" s="6"/>
      <c r="W44" s="20">
        <f t="shared" si="1"/>
        <v>-1264.2429280017727</v>
      </c>
      <c r="X44" s="6"/>
      <c r="Y44" s="296">
        <f t="shared" si="6"/>
        <v>-33.138739921409503</v>
      </c>
      <c r="Z44" s="255"/>
      <c r="AB44" s="154">
        <f>+IF(AB43&gt;$G$13+$G$14,XX,AB43+1)</f>
        <v>2035</v>
      </c>
      <c r="AC44" s="124"/>
      <c r="AD44" s="159">
        <f t="shared" si="2"/>
        <v>38150</v>
      </c>
      <c r="AE44" s="3"/>
      <c r="AF44" s="162">
        <f t="shared" si="11"/>
        <v>133.16243559872598</v>
      </c>
      <c r="AG44" s="3"/>
      <c r="AH44" s="162">
        <f t="shared" si="12"/>
        <v>27.898400543143499</v>
      </c>
      <c r="AI44" s="3"/>
      <c r="AJ44" s="162">
        <f t="shared" si="13"/>
        <v>3.20908811957236</v>
      </c>
      <c r="AK44" s="3"/>
      <c r="AL44" s="161">
        <f t="shared" si="14"/>
        <v>1142.2220581675299</v>
      </c>
      <c r="AM44" s="3"/>
      <c r="AN44" s="162">
        <f>INDEX('(2.2)_Forward_Price_Curve'!$H:$H,MATCH($AB44,'(2.2)_Forward_Price_Curve'!$C:$C,0),1)</f>
        <v>5.7299374999999992</v>
      </c>
      <c r="AO44" s="3"/>
      <c r="AP44" s="162">
        <f t="shared" si="18"/>
        <v>37.24974393305498</v>
      </c>
      <c r="AQ44" s="3"/>
      <c r="AR44" s="162">
        <f t="shared" si="15"/>
        <v>3.3126002145032727</v>
      </c>
      <c r="AS44" s="162"/>
      <c r="AT44" s="161">
        <f t="shared" si="3"/>
        <v>1537.9856944835217</v>
      </c>
      <c r="AU44" s="3"/>
      <c r="AV44" s="161">
        <f t="shared" si="4"/>
        <v>1547.4534292293472</v>
      </c>
      <c r="AW44" s="299"/>
      <c r="AX44" s="163">
        <f t="shared" si="7"/>
        <v>3085.4391237128689</v>
      </c>
      <c r="AZ44" s="154">
        <f>+IF(AZ43&gt;$G$13+$G$14,XX,AZ43+1)</f>
        <v>2035</v>
      </c>
      <c r="BA44" s="124"/>
      <c r="BB44" s="162">
        <f t="shared" si="16"/>
        <v>85.186270732496055</v>
      </c>
      <c r="BC44" s="3"/>
      <c r="BD44" s="162">
        <f t="shared" si="17"/>
        <v>9.5969725246076418</v>
      </c>
      <c r="BE44" s="3"/>
      <c r="BF44" s="161">
        <f t="shared" si="8"/>
        <v>-395.76363631599173</v>
      </c>
      <c r="BG44" s="3"/>
      <c r="BH44" s="165"/>
    </row>
    <row r="45" spans="2:60" ht="12">
      <c r="B45" s="2"/>
      <c r="C45" s="6">
        <f>+IF(C44&gt;$G$13+$G$14,XX,C44+1)</f>
        <v>2036</v>
      </c>
      <c r="D45" s="6"/>
      <c r="E45" s="292">
        <f>'(2.2)_Forward_Price_Curve'!P48</f>
        <v>2.1000000000000001E-2</v>
      </c>
      <c r="F45" s="6"/>
      <c r="G45" s="20">
        <v>38010</v>
      </c>
      <c r="H45" s="6"/>
      <c r="I45" s="30">
        <f t="shared" si="9"/>
        <v>0</v>
      </c>
      <c r="J45" s="6"/>
      <c r="K45" s="30">
        <v>46.51751006627115</v>
      </c>
      <c r="L45" s="6"/>
      <c r="M45" s="30">
        <f t="shared" si="10"/>
        <v>0</v>
      </c>
      <c r="N45" s="6"/>
      <c r="O45" s="295">
        <f>'(2.2)_Forward_Price_Curve'!Z48</f>
        <v>1.2456969570142082</v>
      </c>
      <c r="P45" s="6"/>
      <c r="Q45" s="30"/>
      <c r="R45" s="6"/>
      <c r="S45" s="20">
        <f t="shared" si="5"/>
        <v>1815.4794989550765</v>
      </c>
      <c r="T45" s="6"/>
      <c r="U45" s="20">
        <f t="shared" si="0"/>
        <v>3126.0867956996258</v>
      </c>
      <c r="V45" s="6"/>
      <c r="W45" s="20">
        <f t="shared" si="1"/>
        <v>-1310.6072967445493</v>
      </c>
      <c r="X45" s="6"/>
      <c r="Y45" s="296">
        <f t="shared" si="6"/>
        <v>-34.480591863839763</v>
      </c>
      <c r="Z45" s="255"/>
      <c r="AB45" s="154">
        <f>+IF(AB44&gt;$G$13+$G$14,XX,AB44+1)</f>
        <v>2036</v>
      </c>
      <c r="AC45" s="124"/>
      <c r="AD45" s="159">
        <f t="shared" si="2"/>
        <v>38010</v>
      </c>
      <c r="AE45" s="3"/>
      <c r="AF45" s="162">
        <f t="shared" si="11"/>
        <v>135.9588467462992</v>
      </c>
      <c r="AG45" s="3"/>
      <c r="AH45" s="162">
        <f t="shared" si="12"/>
        <v>28.484266954549511</v>
      </c>
      <c r="AI45" s="3"/>
      <c r="AJ45" s="162">
        <f t="shared" si="13"/>
        <v>3.2764789700833794</v>
      </c>
      <c r="AK45" s="3"/>
      <c r="AL45" s="161">
        <f t="shared" si="14"/>
        <v>1165.7500143332363</v>
      </c>
      <c r="AM45" s="3"/>
      <c r="AN45" s="162">
        <f>INDEX('(2.2)_Forward_Price_Curve'!$H:$H,MATCH($AB45,'(2.2)_Forward_Price_Curve'!$C:$C,0),1)</f>
        <v>5.7778666666666672</v>
      </c>
      <c r="AO45" s="3"/>
      <c r="AP45" s="162">
        <f t="shared" si="18"/>
        <v>37.561326596087184</v>
      </c>
      <c r="AQ45" s="3"/>
      <c r="AR45" s="162">
        <f t="shared" si="15"/>
        <v>3.3821648190078411</v>
      </c>
      <c r="AS45" s="162"/>
      <c r="AT45" s="161">
        <f t="shared" si="3"/>
        <v>1569.8246870118639</v>
      </c>
      <c r="AU45" s="3"/>
      <c r="AV45" s="161">
        <f t="shared" si="4"/>
        <v>1556.2621086877618</v>
      </c>
      <c r="AW45" s="299"/>
      <c r="AX45" s="163">
        <f t="shared" si="7"/>
        <v>3126.0867956996258</v>
      </c>
      <c r="AZ45" s="154">
        <f>+IF(AZ44&gt;$G$13+$G$14,XX,AZ44+1)</f>
        <v>2036</v>
      </c>
      <c r="BA45" s="124"/>
      <c r="BB45" s="162">
        <f t="shared" si="16"/>
        <v>86.975182417878472</v>
      </c>
      <c r="BC45" s="3"/>
      <c r="BD45" s="162">
        <f t="shared" si="17"/>
        <v>9.7985089476244021</v>
      </c>
      <c r="BE45" s="3"/>
      <c r="BF45" s="161">
        <f t="shared" si="8"/>
        <v>-404.07467267862756</v>
      </c>
      <c r="BG45" s="3"/>
      <c r="BH45" s="165"/>
    </row>
    <row r="46" spans="2:60" ht="12">
      <c r="B46" s="2"/>
      <c r="C46" s="6">
        <f>+IF(C45&gt;$G$13+$G$14,XX,C45+1)</f>
        <v>2037</v>
      </c>
      <c r="D46" s="6"/>
      <c r="E46" s="292">
        <f>'(2.2)_Forward_Price_Curve'!P49</f>
        <v>2.1000000000000001E-2</v>
      </c>
      <c r="F46" s="6"/>
      <c r="G46" s="20">
        <v>37770</v>
      </c>
      <c r="H46" s="6"/>
      <c r="I46" s="30">
        <f t="shared" si="9"/>
        <v>0</v>
      </c>
      <c r="J46" s="6"/>
      <c r="K46" s="30">
        <v>46.517510066271143</v>
      </c>
      <c r="L46" s="6"/>
      <c r="M46" s="30">
        <f t="shared" si="10"/>
        <v>0</v>
      </c>
      <c r="N46" s="6"/>
      <c r="O46" s="295">
        <f>'(2.2)_Forward_Price_Curve'!Z49</f>
        <v>1.2716748240280993</v>
      </c>
      <c r="P46" s="6"/>
      <c r="Q46" s="30"/>
      <c r="R46" s="6"/>
      <c r="S46" s="20">
        <f t="shared" si="5"/>
        <v>1804.9975133066023</v>
      </c>
      <c r="T46" s="6"/>
      <c r="U46" s="20">
        <f t="shared" si="0"/>
        <v>3234.6899436552835</v>
      </c>
      <c r="V46" s="6"/>
      <c r="W46" s="20">
        <f t="shared" si="1"/>
        <v>-1429.6924303486812</v>
      </c>
      <c r="X46" s="6"/>
      <c r="Y46" s="296">
        <f t="shared" si="6"/>
        <v>-37.852592807749041</v>
      </c>
      <c r="Z46" s="255"/>
      <c r="AB46" s="154">
        <f>+IF(AB45&gt;$G$13+$G$14,XX,AB45+1)</f>
        <v>2037</v>
      </c>
      <c r="AC46" s="124"/>
      <c r="AD46" s="159">
        <f t="shared" si="2"/>
        <v>37770</v>
      </c>
      <c r="AE46" s="3"/>
      <c r="AF46" s="162">
        <f t="shared" si="11"/>
        <v>138.81398252797146</v>
      </c>
      <c r="AG46" s="3"/>
      <c r="AH46" s="162">
        <f t="shared" si="12"/>
        <v>29.082436560595049</v>
      </c>
      <c r="AI46" s="3"/>
      <c r="AJ46" s="162">
        <f t="shared" si="13"/>
        <v>3.3452850284551299</v>
      </c>
      <c r="AK46" s="3"/>
      <c r="AL46" s="161">
        <f t="shared" si="14"/>
        <v>1189.427896227405</v>
      </c>
      <c r="AM46" s="3"/>
      <c r="AN46" s="162">
        <f>INDEX('(2.2)_Forward_Price_Curve'!$H:$H,MATCH($AB46,'(2.2)_Forward_Price_Curve'!$C:$C,0),1)</f>
        <v>6.1182749999999997</v>
      </c>
      <c r="AO46" s="3"/>
      <c r="AP46" s="162">
        <f t="shared" si="18"/>
        <v>39.774286728609511</v>
      </c>
      <c r="AQ46" s="3"/>
      <c r="AR46" s="162">
        <f t="shared" si="15"/>
        <v>3.4531902802070054</v>
      </c>
      <c r="AS46" s="162"/>
      <c r="AT46" s="161">
        <f t="shared" si="3"/>
        <v>1601.9881370322837</v>
      </c>
      <c r="AU46" s="3"/>
      <c r="AV46" s="161">
        <f t="shared" si="4"/>
        <v>1632.7018066229998</v>
      </c>
      <c r="AW46" s="299"/>
      <c r="AX46" s="163">
        <f t="shared" si="7"/>
        <v>3234.6899436552835</v>
      </c>
      <c r="AZ46" s="154">
        <f>+IF(AZ45&gt;$G$13+$G$14,XX,AZ45+1)</f>
        <v>2037</v>
      </c>
      <c r="BA46" s="124"/>
      <c r="BB46" s="162">
        <f t="shared" si="16"/>
        <v>88.801661248653915</v>
      </c>
      <c r="BC46" s="3"/>
      <c r="BD46" s="162">
        <f t="shared" si="17"/>
        <v>10.004277635524513</v>
      </c>
      <c r="BE46" s="3"/>
      <c r="BF46" s="161">
        <f t="shared" si="8"/>
        <v>-412.56024080487873</v>
      </c>
      <c r="BG46" s="3"/>
      <c r="BH46" s="165"/>
    </row>
    <row r="47" spans="2:60" ht="12">
      <c r="B47" s="2"/>
      <c r="C47" s="6">
        <f>+IF(C46&gt;$G$13+$G$14,XX,C46+1)</f>
        <v>2038</v>
      </c>
      <c r="D47" s="6"/>
      <c r="E47" s="292">
        <f>'(2.2)_Forward_Price_Curve'!P50</f>
        <v>2.1000000000000001E-2</v>
      </c>
      <c r="F47" s="6"/>
      <c r="G47" s="20">
        <v>37580</v>
      </c>
      <c r="H47" s="6"/>
      <c r="I47" s="30">
        <f t="shared" si="9"/>
        <v>0</v>
      </c>
      <c r="J47" s="6"/>
      <c r="K47" s="30">
        <v>46.517510066271143</v>
      </c>
      <c r="L47" s="6"/>
      <c r="M47" s="30"/>
      <c r="N47" s="6"/>
      <c r="O47" s="295">
        <f>'(2.2)_Forward_Price_Curve'!Z50</f>
        <v>1.2982351222983386</v>
      </c>
      <c r="P47" s="6"/>
      <c r="Q47" s="30"/>
      <c r="R47" s="6"/>
      <c r="S47" s="20">
        <f t="shared" si="5"/>
        <v>1796.9157041864412</v>
      </c>
      <c r="T47" s="6"/>
      <c r="U47" s="20">
        <f t="shared" si="0"/>
        <v>3382.780001619577</v>
      </c>
      <c r="V47" s="6"/>
      <c r="W47" s="20">
        <f t="shared" si="1"/>
        <v>-1585.8642974331358</v>
      </c>
      <c r="X47" s="6"/>
      <c r="Y47" s="296">
        <f t="shared" si="6"/>
        <v>-42.199688595879081</v>
      </c>
      <c r="Z47" s="255"/>
      <c r="AB47" s="154">
        <f>+IF(AB46&gt;$G$13+$G$14,XX,AB46+1)</f>
        <v>2038</v>
      </c>
      <c r="AC47" s="124"/>
      <c r="AD47" s="159">
        <f t="shared" si="2"/>
        <v>37580</v>
      </c>
      <c r="AE47" s="3"/>
      <c r="AF47" s="162">
        <f t="shared" si="11"/>
        <v>141.72907616105886</v>
      </c>
      <c r="AG47" s="3"/>
      <c r="AH47" s="162">
        <f t="shared" si="12"/>
        <v>29.693167728367541</v>
      </c>
      <c r="AI47" s="3"/>
      <c r="AJ47" s="162">
        <f t="shared" si="13"/>
        <v>3.4155360140526874</v>
      </c>
      <c r="AK47" s="3"/>
      <c r="AL47" s="161">
        <f t="shared" si="14"/>
        <v>1213.7569302055103</v>
      </c>
      <c r="AM47" s="3"/>
      <c r="AN47" s="162">
        <f>INDEX('(2.2)_Forward_Price_Curve'!$H:$H,MATCH($AB47,'(2.2)_Forward_Price_Curve'!$C:$C,0),1)</f>
        <v>6.6118625</v>
      </c>
      <c r="AO47" s="3"/>
      <c r="AP47" s="162">
        <f t="shared" si="18"/>
        <v>42.983049124980646</v>
      </c>
      <c r="AQ47" s="3"/>
      <c r="AR47" s="162">
        <f t="shared" si="15"/>
        <v>3.5257072760913521</v>
      </c>
      <c r="AS47" s="162"/>
      <c r="AT47" s="161">
        <f t="shared" si="3"/>
        <v>1634.9809360672916</v>
      </c>
      <c r="AU47" s="3"/>
      <c r="AV47" s="161">
        <f t="shared" si="4"/>
        <v>1747.7990655522856</v>
      </c>
      <c r="AW47" s="299"/>
      <c r="AX47" s="163">
        <f t="shared" si="7"/>
        <v>3382.780001619577</v>
      </c>
      <c r="AZ47" s="154">
        <f>+IF(AZ46&gt;$G$13+$G$14,XX,AZ46+1)</f>
        <v>2038</v>
      </c>
      <c r="BA47" s="124"/>
      <c r="BB47" s="162">
        <f t="shared" si="16"/>
        <v>90.666496134875644</v>
      </c>
      <c r="BC47" s="3"/>
      <c r="BD47" s="162">
        <f t="shared" si="17"/>
        <v>10.214367465870527</v>
      </c>
      <c r="BE47" s="3"/>
      <c r="BF47" s="161">
        <f t="shared" si="8"/>
        <v>-421.22400586178117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6.91%</v>
      </c>
      <c r="E58" s="178"/>
      <c r="F58" s="3"/>
      <c r="G58" s="20">
        <f>+-PMT($G$18,$G$14,NPV($G$18,G28:G56))</f>
        <v>36817.989359249899</v>
      </c>
      <c r="H58" s="6"/>
      <c r="I58" s="30">
        <f>+-PMT($G$18,$G$14,NPV($G$18,I28:I56))</f>
        <v>0</v>
      </c>
      <c r="J58" s="30"/>
      <c r="K58" s="30">
        <f>+-PMT($G$18,$G$14,NPV($G$18,K28:K56))</f>
        <v>46.33515412859721</v>
      </c>
      <c r="L58" s="6"/>
      <c r="M58" s="30">
        <f>+-PMT($G$18,$G$14,NPV($G$18,M28:M56))</f>
        <v>0</v>
      </c>
      <c r="N58" s="6"/>
      <c r="O58" s="30">
        <f>+-PMT($G$18,$G$14,NPV($G$18,O28:O56))</f>
        <v>1.0166251298389934</v>
      </c>
      <c r="P58" s="6"/>
      <c r="Q58" s="30">
        <f>+-PMT($G$18,$G$14,NPV($G$18,Q28:Q56))</f>
        <v>0</v>
      </c>
      <c r="R58" s="6"/>
      <c r="S58" s="20">
        <f>+-PMT($G$18,$G$14,NPV($G$18,S28:S56))</f>
        <v>1749.2904990977061</v>
      </c>
      <c r="T58" s="6"/>
      <c r="U58" s="20">
        <f>+-PMT($G$18,$G$14,NPV($G$18,U28:U56))</f>
        <v>2308.1861000949484</v>
      </c>
      <c r="V58" s="3"/>
      <c r="W58" s="20">
        <f>+-PMT($G$18,$G$14,NPV($G$18,W28:W56))</f>
        <v>-558.89560099724258</v>
      </c>
      <c r="X58" s="3"/>
      <c r="Y58" s="296">
        <f>+-PMT($G$18,$G$14,NPV($G$18,Y28:Y56))</f>
        <v>-23.525723259751</v>
      </c>
      <c r="Z58" s="255"/>
      <c r="AB58" s="2"/>
      <c r="AC58" s="3"/>
      <c r="AD58" s="159">
        <f>+-PMT($G$18,$G$14,NPV($G$18,AD28:AD56))</f>
        <v>36817.989359249899</v>
      </c>
      <c r="AE58" s="3"/>
      <c r="AF58" s="162">
        <f>+-PMT($G$18,$G$14,NPV($G$18,AF28:AF56))</f>
        <v>111.23855642114968</v>
      </c>
      <c r="AG58" s="3"/>
      <c r="AH58" s="162">
        <f>+-PMT($G$18,$G$14,NPV($G$18,AH28:AH56))</f>
        <v>23.30520457158109</v>
      </c>
      <c r="AI58" s="3"/>
      <c r="AJ58" s="162">
        <f>+-PMT($G$18,$G$14,NPV($G$18,AJ28:AJ56))</f>
        <v>2.6807434712684581</v>
      </c>
      <c r="AK58" s="3"/>
      <c r="AL58" s="161">
        <f>+-PMT($G$18,$G$14,NPV($G$18,AL28:AL56))</f>
        <v>951.53956942496654</v>
      </c>
      <c r="AM58" s="3"/>
      <c r="AN58" s="162">
        <f>+-PMT($G$18,$G$14,NPV($G$18,AN28:AN56))</f>
        <v>3.7522917437315124</v>
      </c>
      <c r="AO58" s="3"/>
      <c r="AP58" s="162">
        <f>+-PMT($G$18,$G$14,NPV($G$18,AP28:AP56))</f>
        <v>24.393268969533302</v>
      </c>
      <c r="AQ58" s="3"/>
      <c r="AR58" s="162">
        <f>+-PMT($G$18,$G$14,NPV($G$18,AR28:AR56))</f>
        <v>2.7672133226230979</v>
      </c>
      <c r="AS58" s="162"/>
      <c r="AT58" s="161">
        <f>+-PMT($G$18,$G$14,NPV($G$18,AT28:AT56))</f>
        <v>1282.1446337573661</v>
      </c>
      <c r="AU58" s="3"/>
      <c r="AV58" s="161">
        <f>+-PMT($G$18,$G$14,NPV($G$18,AV28:AV56))</f>
        <v>1026.0414663375818</v>
      </c>
      <c r="AW58" s="299"/>
      <c r="AX58" s="163">
        <f>+-PMT($G$18,$G$14,NPV($G$18,AX28:AX56))</f>
        <v>2308.1861000949484</v>
      </c>
      <c r="AZ58" s="2"/>
      <c r="BA58" s="3"/>
      <c r="BB58" s="162">
        <f>+-PMT($G$18,$G$14,NPV($G$18,BB28:BB56))</f>
        <v>71.161193023978882</v>
      </c>
      <c r="BC58" s="3"/>
      <c r="BD58" s="162">
        <f>+-PMT($G$18,$G$14,NPV($G$18,BD28:BD56))</f>
        <v>8.0169258308534879</v>
      </c>
      <c r="BE58" s="3"/>
      <c r="BF58" s="161">
        <f>+-PMT($G$18,$G$14,NPV($G$18,BF28:BF56))</f>
        <v>-330.60506433239959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D4D0A-693E-40D2-A6FF-541EB751585C}">
  <sheetPr codeName="Sheet36">
    <tabColor theme="4" tint="0.59999389629810485"/>
    <pageSetUpPr fitToPage="1"/>
  </sheetPr>
  <dimension ref="A1:BL81"/>
  <sheetViews>
    <sheetView topLeftCell="H63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212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99</v>
      </c>
      <c r="H11" s="510"/>
      <c r="I11" s="621">
        <v>99</v>
      </c>
      <c r="AB11" s="511" t="s">
        <v>99</v>
      </c>
      <c r="AC11" s="512"/>
      <c r="AD11" s="512"/>
      <c r="AE11" s="512"/>
      <c r="AF11" s="518">
        <f>+G11*(G12/AJ16)</f>
        <v>81.060205019462771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58.636382729686517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81.060205019462771</v>
      </c>
      <c r="BE11" s="519"/>
      <c r="BG11" s="586" t="s">
        <v>99</v>
      </c>
      <c r="BH11" s="587"/>
      <c r="BI11" s="587"/>
      <c r="BJ11" s="587"/>
      <c r="BK11" s="591">
        <f>(AR11*AR13-I11*I19)</f>
        <v>42.994382729686521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0.39867725922522457</v>
      </c>
      <c r="H12" s="510"/>
      <c r="I12" s="593">
        <v>0.41629209998963307</v>
      </c>
      <c r="AB12" s="511" t="s">
        <v>32</v>
      </c>
      <c r="AC12" s="512"/>
      <c r="AD12" s="512"/>
      <c r="AE12" s="512"/>
      <c r="AF12" s="520">
        <f>+AD53/8760/AF11</f>
        <v>0.55320061592312697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0.71153014408148108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f>2077*0.081654</f>
        <v>169.595358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3.0226001759568999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303510</v>
      </c>
      <c r="I28" s="550">
        <f>$G$15</f>
        <v>169.595358</v>
      </c>
      <c r="J28" s="550"/>
      <c r="K28" s="550">
        <f>$G$16</f>
        <v>3.0226001759568999</v>
      </c>
      <c r="L28" s="551"/>
      <c r="M28" s="550">
        <f>$G$17</f>
        <v>0</v>
      </c>
      <c r="O28" s="552">
        <v>5.1866999999999992</v>
      </c>
      <c r="Q28" s="553">
        <v>-33.844219890731516</v>
      </c>
      <c r="S28" s="475">
        <f t="shared" ref="S28:S34" si="0">(I28*$G$11*1000+(K28+M28+O28+Q28)*G28)/1000</f>
        <v>9009.4859593687543</v>
      </c>
      <c r="U28" s="475">
        <f t="shared" ref="U28:U34" si="1">AX28</f>
        <v>20291.435149491492</v>
      </c>
      <c r="W28" s="475">
        <f t="shared" ref="W28:W34" si="2">S28-U28</f>
        <v>-11281.949190122737</v>
      </c>
      <c r="Y28" s="554">
        <f t="shared" ref="Y28:Y34" si="3">+W28*1000/G28</f>
        <v>-37.171589700908491</v>
      </c>
      <c r="Z28" s="516"/>
      <c r="AB28" s="544">
        <f>$C$28</f>
        <v>2009</v>
      </c>
      <c r="AC28" s="503"/>
      <c r="AD28" s="488">
        <f t="shared" ref="AD28:AD68" si="4">G28</f>
        <v>303510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6079.0594658528216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2419.1322193945639</v>
      </c>
      <c r="AU28" s="557"/>
      <c r="AV28" s="558">
        <f t="shared" ref="AV28:AV68" si="7">(AP28+AR28)*AD28/1000</f>
        <v>17872.302930096928</v>
      </c>
      <c r="AW28" s="560"/>
      <c r="AX28" s="561">
        <f t="shared" ref="AX28:AX68" si="8">AT28+AV28</f>
        <v>20291.435149491492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3659.9272464582577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324123</v>
      </c>
      <c r="I29" s="553">
        <f t="shared" ref="I29:I37" si="10">I28*(1+$E29)</f>
        <v>172.81766980199998</v>
      </c>
      <c r="K29" s="553">
        <f t="shared" ref="K29:K37" si="11">K28*(1+$E29)</f>
        <v>3.0800295793000809</v>
      </c>
      <c r="M29" s="553">
        <f t="shared" ref="M29:M37" si="12">M28*(1+$E29)</f>
        <v>0</v>
      </c>
      <c r="O29" s="552">
        <v>5.2748738999999985</v>
      </c>
      <c r="Q29" s="553">
        <v>-35.45584940933778</v>
      </c>
      <c r="S29" s="475">
        <f t="shared" si="0"/>
        <v>8324.9094127163862</v>
      </c>
      <c r="U29" s="475">
        <f t="shared" si="1"/>
        <v>20911.600282219599</v>
      </c>
      <c r="W29" s="475">
        <f t="shared" si="2"/>
        <v>-12586.690869503213</v>
      </c>
      <c r="Y29" s="554">
        <f t="shared" si="3"/>
        <v>-38.83306914197145</v>
      </c>
      <c r="Z29" s="516"/>
      <c r="AB29" s="544">
        <f>+IF(AB28&gt;$G$13+$G$14,XX,AB28+1)</f>
        <v>2010</v>
      </c>
      <c r="AC29" s="503"/>
      <c r="AD29" s="488">
        <f t="shared" si="4"/>
        <v>324123</v>
      </c>
      <c r="AF29" s="555">
        <f t="shared" ref="AF29:AF37" si="13">AF28*(1+$E29)</f>
        <v>59.268516989789418</v>
      </c>
      <c r="AH29" s="555">
        <f t="shared" ref="AH29:AH37" si="14">AH28*(1+$E29)</f>
        <v>8.3559056765968087</v>
      </c>
      <c r="AJ29" s="555">
        <f t="shared" ref="AJ29:AJ37" si="15">AJ28*(1+$E29)</f>
        <v>2.3488914040524227</v>
      </c>
      <c r="AL29" s="558">
        <f t="shared" ref="AL29:AL66" si="16">((AF29+AH29)*$AF$11*1000+AJ29*AD29)/1000</f>
        <v>6242.9792942157555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2513.5134300747914</v>
      </c>
      <c r="AV29" s="558">
        <f t="shared" si="7"/>
        <v>18398.086852144806</v>
      </c>
      <c r="AW29" s="560"/>
      <c r="AX29" s="561">
        <f t="shared" si="8"/>
        <v>20911.600282219599</v>
      </c>
      <c r="AZ29" s="544">
        <f>+IF(AZ28&gt;$G$13+$G$14,XX,AZ28+1)</f>
        <v>2010</v>
      </c>
      <c r="BA29" s="503"/>
      <c r="BB29" s="555">
        <f t="shared" ref="BB29:BB68" si="17">BB28*(1+$E29)</f>
        <v>39.936516017693386</v>
      </c>
      <c r="BD29" s="555">
        <f t="shared" ref="BD29:BD68" si="18">BD28*(1+$E29)</f>
        <v>6.0720755377499982</v>
      </c>
      <c r="BF29" s="558">
        <f t="shared" si="9"/>
        <v>3729.4658641409642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381679</v>
      </c>
      <c r="I30" s="553">
        <f t="shared" si="10"/>
        <v>176.10120552823795</v>
      </c>
      <c r="K30" s="553">
        <f t="shared" si="11"/>
        <v>3.1385501413067822</v>
      </c>
      <c r="M30" s="553">
        <f t="shared" si="12"/>
        <v>0</v>
      </c>
      <c r="O30" s="552">
        <v>5.3750965040999983</v>
      </c>
      <c r="Q30" s="553">
        <v>-35.45584940933778</v>
      </c>
      <c r="S30" s="475">
        <f t="shared" si="0"/>
        <v>7150.7463385611363</v>
      </c>
      <c r="U30" s="475">
        <f t="shared" si="1"/>
        <v>23285.496362615435</v>
      </c>
      <c r="W30" s="475">
        <f t="shared" si="2"/>
        <v>-16134.750024054298</v>
      </c>
      <c r="Y30" s="554">
        <f t="shared" si="3"/>
        <v>-42.273088181572206</v>
      </c>
      <c r="Z30" s="516"/>
      <c r="AB30" s="544">
        <f>+IF(AB29&gt;$G$13+$G$14,XX,AB29+1)</f>
        <v>2011</v>
      </c>
      <c r="AC30" s="503"/>
      <c r="AD30" s="488">
        <f t="shared" si="4"/>
        <v>381679</v>
      </c>
      <c r="AF30" s="555">
        <f t="shared" si="13"/>
        <v>60.394618812595411</v>
      </c>
      <c r="AH30" s="555">
        <f t="shared" si="14"/>
        <v>8.5146678844521482</v>
      </c>
      <c r="AJ30" s="555">
        <f t="shared" si="15"/>
        <v>2.3935203407294185</v>
      </c>
      <c r="AL30" s="558">
        <f t="shared" si="16"/>
        <v>6499.3573575368773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41" si="19">AR29*(1+$E30)</f>
        <v>2.4775859496653472</v>
      </c>
      <c r="AS30" s="555"/>
      <c r="AT30" s="558">
        <f t="shared" si="6"/>
        <v>2699.0316419772348</v>
      </c>
      <c r="AV30" s="558">
        <f t="shared" si="7"/>
        <v>20586.4647206382</v>
      </c>
      <c r="AW30" s="560"/>
      <c r="AX30" s="561">
        <f t="shared" si="8"/>
        <v>23285.496362615435</v>
      </c>
      <c r="AZ30" s="544">
        <f>+IF(AZ29&gt;$G$13+$G$14,XX,AZ29+1)</f>
        <v>2011</v>
      </c>
      <c r="BA30" s="503"/>
      <c r="BB30" s="555">
        <f t="shared" si="17"/>
        <v>40.695309822029557</v>
      </c>
      <c r="BD30" s="555">
        <f t="shared" si="18"/>
        <v>6.1874449729672474</v>
      </c>
      <c r="BF30" s="558">
        <f t="shared" si="9"/>
        <v>3800.3257155596425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342192</v>
      </c>
      <c r="I31" s="553">
        <f t="shared" si="10"/>
        <v>179.62322963880271</v>
      </c>
      <c r="K31" s="553">
        <f t="shared" si="11"/>
        <v>3.2013211441329181</v>
      </c>
      <c r="M31" s="553">
        <f t="shared" si="12"/>
        <v>0</v>
      </c>
      <c r="O31" s="552">
        <v>5.4772233376778976</v>
      </c>
      <c r="Q31" s="553">
        <v>-35.45584940933778</v>
      </c>
      <c r="S31" s="475">
        <f t="shared" si="0"/>
        <v>8619.7202064811645</v>
      </c>
      <c r="U31" s="475">
        <f t="shared" si="1"/>
        <v>20186.224763822931</v>
      </c>
      <c r="W31" s="475">
        <f t="shared" si="2"/>
        <v>-11566.504557341766</v>
      </c>
      <c r="Y31" s="554">
        <f t="shared" si="3"/>
        <v>-33.801212644777685</v>
      </c>
      <c r="Z31" s="516"/>
      <c r="AB31" s="544">
        <f>+IF(AB30&gt;$G$13+$G$14,XX,AB30+1)</f>
        <v>2012</v>
      </c>
      <c r="AC31" s="503"/>
      <c r="AD31" s="488">
        <f t="shared" si="4"/>
        <v>342192</v>
      </c>
      <c r="AF31" s="555">
        <f t="shared" si="13"/>
        <v>61.602511188847323</v>
      </c>
      <c r="AH31" s="555">
        <f t="shared" si="14"/>
        <v>8.6849612421411919</v>
      </c>
      <c r="AJ31" s="555">
        <f t="shared" si="15"/>
        <v>2.4413907475440069</v>
      </c>
      <c r="AL31" s="558">
        <f t="shared" si="16"/>
        <v>6532.9413082393457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9"/>
        <v>2.527137668658654</v>
      </c>
      <c r="AS31" s="555"/>
      <c r="AT31" s="558">
        <f t="shared" si="6"/>
        <v>2656.6090783685104</v>
      </c>
      <c r="AV31" s="558">
        <f t="shared" si="7"/>
        <v>17529.615685454421</v>
      </c>
      <c r="AW31" s="560"/>
      <c r="AX31" s="561">
        <f t="shared" si="8"/>
        <v>20186.224763822931</v>
      </c>
      <c r="AZ31" s="544">
        <f>+IF(AZ30&gt;$G$13+$G$14,XX,AZ30+1)</f>
        <v>2012</v>
      </c>
      <c r="BA31" s="503"/>
      <c r="BB31" s="555">
        <f t="shared" si="17"/>
        <v>41.509216018470148</v>
      </c>
      <c r="BD31" s="555">
        <f t="shared" si="18"/>
        <v>6.3111938724265926</v>
      </c>
      <c r="BF31" s="558">
        <f t="shared" si="9"/>
        <v>3876.3322298708354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346319</v>
      </c>
      <c r="I32" s="553">
        <f t="shared" si="10"/>
        <v>183.03607100193994</v>
      </c>
      <c r="K32" s="553">
        <f t="shared" si="11"/>
        <v>3.2621462458714432</v>
      </c>
      <c r="M32" s="553">
        <f t="shared" si="12"/>
        <v>0</v>
      </c>
      <c r="O32" s="552">
        <v>5.5867678044314557</v>
      </c>
      <c r="Q32" s="553">
        <v>-37.067478927944045</v>
      </c>
      <c r="S32" s="475">
        <f t="shared" si="0"/>
        <v>8347.9458593322524</v>
      </c>
      <c r="U32" s="475">
        <f t="shared" si="1"/>
        <v>20467.525470886601</v>
      </c>
      <c r="W32" s="475">
        <f t="shared" si="2"/>
        <v>-12119.579611554349</v>
      </c>
      <c r="Y32" s="554">
        <f t="shared" si="3"/>
        <v>-34.995422173066878</v>
      </c>
      <c r="Z32" s="516"/>
      <c r="AB32" s="544">
        <f>+IF(AB31&gt;$G$13+$G$14,XX,AB31+1)</f>
        <v>2013</v>
      </c>
      <c r="AC32" s="503"/>
      <c r="AD32" s="488">
        <f t="shared" si="4"/>
        <v>346319</v>
      </c>
      <c r="AF32" s="555">
        <f t="shared" si="13"/>
        <v>62.772958901435416</v>
      </c>
      <c r="AH32" s="555">
        <f t="shared" si="14"/>
        <v>8.8499755057418739</v>
      </c>
      <c r="AJ32" s="555">
        <f t="shared" si="15"/>
        <v>2.4877771717473429</v>
      </c>
      <c r="AL32" s="558">
        <f t="shared" si="16"/>
        <v>6667.3342494836934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9"/>
        <v>2.5751532843631684</v>
      </c>
      <c r="AS32" s="555"/>
      <c r="AT32" s="558">
        <f t="shared" si="6"/>
        <v>2717.3517072453128</v>
      </c>
      <c r="AV32" s="558">
        <f t="shared" si="7"/>
        <v>17750.173763641287</v>
      </c>
      <c r="AW32" s="560"/>
      <c r="AX32" s="561">
        <f t="shared" si="8"/>
        <v>20467.525470886601</v>
      </c>
      <c r="AZ32" s="544">
        <f>+IF(AZ31&gt;$G$13+$G$14,XX,AZ31+1)</f>
        <v>2013</v>
      </c>
      <c r="BA32" s="503"/>
      <c r="BB32" s="555">
        <f t="shared" si="17"/>
        <v>42.297891122821078</v>
      </c>
      <c r="BD32" s="555">
        <f t="shared" si="18"/>
        <v>6.431106556002697</v>
      </c>
      <c r="BF32" s="558">
        <f t="shared" si="9"/>
        <v>3949.9825422383806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349598</v>
      </c>
      <c r="I33" s="553">
        <f t="shared" si="10"/>
        <v>186.33072027997486</v>
      </c>
      <c r="K33" s="553">
        <f t="shared" si="11"/>
        <v>3.3208648782971291</v>
      </c>
      <c r="M33" s="553">
        <f t="shared" si="12"/>
        <v>0</v>
      </c>
      <c r="O33" s="552">
        <v>5.6929163927156532</v>
      </c>
      <c r="Q33" s="553">
        <v>-37.067478927944045</v>
      </c>
      <c r="S33" s="475">
        <f t="shared" si="0"/>
        <v>8639.2247142496581</v>
      </c>
      <c r="U33" s="475">
        <f t="shared" si="1"/>
        <v>21253.912995425824</v>
      </c>
      <c r="W33" s="475">
        <f t="shared" si="2"/>
        <v>-12614.688281176166</v>
      </c>
      <c r="Y33" s="554">
        <f t="shared" si="3"/>
        <v>-36.08341089244265</v>
      </c>
      <c r="Z33" s="516"/>
      <c r="AB33" s="544">
        <f>+IF(AB32&gt;$G$13+$G$14,XX,AB32+1)</f>
        <v>2014</v>
      </c>
      <c r="AC33" s="503"/>
      <c r="AD33" s="488">
        <f t="shared" si="4"/>
        <v>349598</v>
      </c>
      <c r="AF33" s="555">
        <f t="shared" si="13"/>
        <v>63.902872161661257</v>
      </c>
      <c r="AH33" s="555">
        <f t="shared" si="14"/>
        <v>9.0092750648452284</v>
      </c>
      <c r="AJ33" s="555">
        <f t="shared" si="15"/>
        <v>2.5325571608387953</v>
      </c>
      <c r="AL33" s="558">
        <f t="shared" si="16"/>
        <v>6795.6505209047909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9"/>
        <v>2.6215060434817055</v>
      </c>
      <c r="AS33" s="555"/>
      <c r="AT33" s="558">
        <f t="shared" si="6"/>
        <v>2774.5682929061195</v>
      </c>
      <c r="AV33" s="558">
        <f t="shared" si="7"/>
        <v>18479.344702519706</v>
      </c>
      <c r="AW33" s="560"/>
      <c r="AX33" s="561">
        <f t="shared" si="8"/>
        <v>21253.912995425824</v>
      </c>
      <c r="AZ33" s="544">
        <f>+IF(AZ32&gt;$G$13+$G$14,XX,AZ32+1)</f>
        <v>2014</v>
      </c>
      <c r="BA33" s="503"/>
      <c r="BB33" s="555">
        <f t="shared" si="17"/>
        <v>43.059253163031855</v>
      </c>
      <c r="BD33" s="555">
        <f t="shared" si="18"/>
        <v>6.5468664740107458</v>
      </c>
      <c r="BF33" s="558">
        <f t="shared" si="9"/>
        <v>4021.0822279986714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349596</v>
      </c>
      <c r="I34" s="553">
        <f t="shared" si="10"/>
        <v>189.68467324501441</v>
      </c>
      <c r="K34" s="553">
        <f t="shared" si="11"/>
        <v>3.3806404461064776</v>
      </c>
      <c r="M34" s="553">
        <f t="shared" si="12"/>
        <v>0</v>
      </c>
      <c r="O34" s="552">
        <v>5.7953888877845348</v>
      </c>
      <c r="Q34" s="553">
        <v>-37.067478927944045</v>
      </c>
      <c r="S34" s="475">
        <f t="shared" si="0"/>
        <v>9028.0434389738621</v>
      </c>
      <c r="U34" s="475">
        <f t="shared" si="1"/>
        <v>22342.387199846737</v>
      </c>
      <c r="W34" s="475">
        <f t="shared" si="2"/>
        <v>-13314.343760872875</v>
      </c>
      <c r="Y34" s="554">
        <f t="shared" si="3"/>
        <v>-38.084943079648724</v>
      </c>
      <c r="Z34" s="516"/>
      <c r="AB34" s="544">
        <f>+IF(AB33&gt;$G$13+$G$14,XX,AB33+1)</f>
        <v>2015</v>
      </c>
      <c r="AC34" s="503"/>
      <c r="AD34" s="488">
        <f t="shared" si="4"/>
        <v>349596</v>
      </c>
      <c r="AF34" s="555">
        <f t="shared" si="13"/>
        <v>65.053123860571162</v>
      </c>
      <c r="AH34" s="555">
        <f t="shared" si="14"/>
        <v>9.1714420160124419</v>
      </c>
      <c r="AJ34" s="555">
        <f t="shared" si="15"/>
        <v>2.5781431897338938</v>
      </c>
      <c r="AL34" s="558">
        <f t="shared" si="16"/>
        <v>6917.9670739946978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9"/>
        <v>2.6686931522643764</v>
      </c>
      <c r="AS34" s="555"/>
      <c r="AT34" s="558">
        <f t="shared" si="6"/>
        <v>2824.5053658920501</v>
      </c>
      <c r="AV34" s="558">
        <f t="shared" si="7"/>
        <v>19517.881833954685</v>
      </c>
      <c r="AW34" s="560"/>
      <c r="AX34" s="561">
        <f t="shared" si="8"/>
        <v>22342.387199846737</v>
      </c>
      <c r="AZ34" s="544">
        <f>+IF(AZ33&gt;$G$13+$G$14,XX,AZ33+1)</f>
        <v>2015</v>
      </c>
      <c r="BA34" s="503"/>
      <c r="BB34" s="555">
        <f t="shared" si="17"/>
        <v>43.83431971996643</v>
      </c>
      <c r="BD34" s="555">
        <f t="shared" si="18"/>
        <v>6.664710070542939</v>
      </c>
      <c r="BF34" s="558">
        <f t="shared" si="9"/>
        <v>4093.4617081026477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350687</v>
      </c>
      <c r="I35" s="553">
        <f t="shared" si="10"/>
        <v>193.09899736342467</v>
      </c>
      <c r="K35" s="553">
        <f t="shared" si="11"/>
        <v>3.4414919741363943</v>
      </c>
      <c r="M35" s="553">
        <f t="shared" si="12"/>
        <v>0</v>
      </c>
      <c r="O35" s="552">
        <v>5.8997058877646564</v>
      </c>
      <c r="Q35" s="553">
        <v>-37.067478927944045</v>
      </c>
      <c r="S35" s="475">
        <f t="shared" ref="S35:S68" si="20">(I35*$G$11*1000+(K35+M35+O35+Q35)*G35)/1000</f>
        <v>9393.5544107716269</v>
      </c>
      <c r="U35" s="475">
        <f t="shared" ref="U35:U68" si="21">AX35</f>
        <v>24014.891448962313</v>
      </c>
      <c r="W35" s="475">
        <f t="shared" ref="W35:W68" si="22">S35-U35</f>
        <v>-14621.337038190686</v>
      </c>
      <c r="Y35" s="554">
        <f t="shared" ref="Y35:Y68" si="23">+W35*1000/G35</f>
        <v>-41.693410471989793</v>
      </c>
      <c r="Z35" s="516"/>
      <c r="AB35" s="544">
        <f>+IF(AB34&gt;$G$13+$G$14,XX,AB34+1)</f>
        <v>2016</v>
      </c>
      <c r="AC35" s="503"/>
      <c r="AD35" s="488">
        <f t="shared" si="4"/>
        <v>350687</v>
      </c>
      <c r="AF35" s="555">
        <f t="shared" si="13"/>
        <v>66.224080090061449</v>
      </c>
      <c r="AH35" s="555">
        <f t="shared" si="14"/>
        <v>9.3365279723006669</v>
      </c>
      <c r="AJ35" s="555">
        <f t="shared" si="15"/>
        <v>2.6245497671491038</v>
      </c>
      <c r="AL35" s="558">
        <f t="shared" si="16"/>
        <v>7045.3538651225626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9"/>
        <v>2.716729629005135</v>
      </c>
      <c r="AS35" s="555"/>
      <c r="AT35" s="558">
        <f t="shared" si="6"/>
        <v>2878.2098462740678</v>
      </c>
      <c r="AV35" s="558">
        <f t="shared" si="7"/>
        <v>21136.681602688244</v>
      </c>
      <c r="AW35" s="560"/>
      <c r="AX35" s="561">
        <f t="shared" si="8"/>
        <v>24014.891448962313</v>
      </c>
      <c r="AZ35" s="544">
        <f>+IF(AZ34&gt;$G$13+$G$14,XX,AZ34+1)</f>
        <v>2016</v>
      </c>
      <c r="BA35" s="503"/>
      <c r="BB35" s="555">
        <f t="shared" si="17"/>
        <v>44.623337474925826</v>
      </c>
      <c r="BD35" s="555">
        <f t="shared" si="18"/>
        <v>6.7846748518127118</v>
      </c>
      <c r="BF35" s="558">
        <f t="shared" si="9"/>
        <v>4167.1440188484949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349596</v>
      </c>
      <c r="I36" s="553">
        <f t="shared" si="10"/>
        <v>196.57477931596631</v>
      </c>
      <c r="K36" s="553">
        <f t="shared" si="11"/>
        <v>3.5034388296708494</v>
      </c>
      <c r="M36" s="553">
        <f t="shared" si="12"/>
        <v>0</v>
      </c>
      <c r="O36" s="552">
        <v>6.0059005937444203</v>
      </c>
      <c r="Q36" s="553">
        <v>-38.679108446550309</v>
      </c>
      <c r="S36" s="475">
        <f t="shared" si="20"/>
        <v>9263.2685808687493</v>
      </c>
      <c r="U36" s="475">
        <f t="shared" si="21"/>
        <v>25604.182727109888</v>
      </c>
      <c r="W36" s="475">
        <f t="shared" si="22"/>
        <v>-16340.914146241139</v>
      </c>
      <c r="Y36" s="554">
        <f t="shared" si="23"/>
        <v>-46.742280078265026</v>
      </c>
      <c r="Z36" s="516"/>
      <c r="AB36" s="544">
        <f>+IF(AB35&gt;$G$13+$G$14,XX,AB35+1)</f>
        <v>2017</v>
      </c>
      <c r="AC36" s="503"/>
      <c r="AD36" s="488">
        <f t="shared" si="4"/>
        <v>349596</v>
      </c>
      <c r="AF36" s="555">
        <f t="shared" si="13"/>
        <v>67.416113531682555</v>
      </c>
      <c r="AH36" s="555">
        <f t="shared" si="14"/>
        <v>9.5045854758020791</v>
      </c>
      <c r="AJ36" s="555">
        <f t="shared" si="15"/>
        <v>2.6717916629577876</v>
      </c>
      <c r="AL36" s="558">
        <f t="shared" si="16"/>
        <v>7169.2553099904817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9"/>
        <v>2.7656307623272274</v>
      </c>
      <c r="AS36" s="555"/>
      <c r="AT36" s="558">
        <f t="shared" si="6"/>
        <v>2927.1026988027133</v>
      </c>
      <c r="AV36" s="558">
        <f t="shared" si="7"/>
        <v>22677.080028307173</v>
      </c>
      <c r="AW36" s="560"/>
      <c r="AX36" s="561">
        <f t="shared" si="8"/>
        <v>25604.182727109888</v>
      </c>
      <c r="AZ36" s="544">
        <f>+IF(AZ35&gt;$G$13+$G$14,XX,AZ35+1)</f>
        <v>2017</v>
      </c>
      <c r="BA36" s="503"/>
      <c r="BB36" s="555">
        <f t="shared" si="17"/>
        <v>45.426557549474495</v>
      </c>
      <c r="BD36" s="555">
        <f t="shared" si="18"/>
        <v>6.9067989991453409</v>
      </c>
      <c r="BF36" s="558">
        <f t="shared" si="9"/>
        <v>4242.1526111877683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349596</v>
      </c>
      <c r="I37" s="553">
        <f t="shared" si="10"/>
        <v>200.11312534365371</v>
      </c>
      <c r="K37" s="553">
        <f t="shared" si="11"/>
        <v>3.5665007286049248</v>
      </c>
      <c r="M37" s="553">
        <f t="shared" si="12"/>
        <v>0</v>
      </c>
      <c r="O37" s="552">
        <v>6.1140068044318197</v>
      </c>
      <c r="Q37" s="553">
        <v>-31.824751700635172</v>
      </c>
      <c r="S37" s="475">
        <f t="shared" si="20"/>
        <v>12069.660225005977</v>
      </c>
      <c r="U37" s="475">
        <f t="shared" si="21"/>
        <v>27097.771775812824</v>
      </c>
      <c r="W37" s="475">
        <f t="shared" si="22"/>
        <v>-15028.111550806847</v>
      </c>
      <c r="Y37" s="554">
        <f t="shared" si="23"/>
        <v>-42.987080947170007</v>
      </c>
      <c r="Z37" s="516"/>
      <c r="AB37" s="544">
        <f>+IF(AB36&gt;$G$13+$G$14,XX,AB36+1)</f>
        <v>2018</v>
      </c>
      <c r="AC37" s="503"/>
      <c r="AD37" s="488">
        <f t="shared" si="4"/>
        <v>349596</v>
      </c>
      <c r="AF37" s="555">
        <f t="shared" si="13"/>
        <v>68.629603575252844</v>
      </c>
      <c r="AH37" s="555">
        <f t="shared" si="14"/>
        <v>9.6756680143665168</v>
      </c>
      <c r="AJ37" s="555">
        <f t="shared" si="15"/>
        <v>2.7198839128910279</v>
      </c>
      <c r="AL37" s="558">
        <f t="shared" si="16"/>
        <v>7298.3019055703107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9"/>
        <v>2.8154121160491177</v>
      </c>
      <c r="AS37" s="555"/>
      <c r="AT37" s="558">
        <f t="shared" si="6"/>
        <v>2979.7905473811625</v>
      </c>
      <c r="AV37" s="558">
        <f t="shared" si="7"/>
        <v>24117.981228431661</v>
      </c>
      <c r="AW37" s="560"/>
      <c r="AX37" s="561">
        <f t="shared" si="8"/>
        <v>27097.771775812824</v>
      </c>
      <c r="AZ37" s="544">
        <f>+IF(AZ36&gt;$G$13+$G$14,XX,AZ36+1)</f>
        <v>2018</v>
      </c>
      <c r="BA37" s="503"/>
      <c r="BB37" s="555">
        <f t="shared" si="17"/>
        <v>46.24423558536504</v>
      </c>
      <c r="BD37" s="555">
        <f t="shared" si="18"/>
        <v>7.0311213811299575</v>
      </c>
      <c r="BF37" s="558">
        <f t="shared" si="9"/>
        <v>4318.5113581891483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368070.78481012658</v>
      </c>
      <c r="I38" s="725">
        <v>238.27266463045132</v>
      </c>
      <c r="K38" s="613">
        <v>14.390175303445638</v>
      </c>
      <c r="M38" s="553">
        <f t="shared" ref="M38:M68" si="24">M37*(1+$E38)</f>
        <v>0</v>
      </c>
      <c r="O38" s="613">
        <v>6.2240589269115922</v>
      </c>
      <c r="Q38" s="613">
        <v>-22.222056156447483</v>
      </c>
      <c r="S38" s="475">
        <f t="shared" si="20"/>
        <v>22997.201520243711</v>
      </c>
      <c r="U38" s="475">
        <f t="shared" si="21"/>
        <v>32826.708371178363</v>
      </c>
      <c r="W38" s="475">
        <f t="shared" si="22"/>
        <v>-9829.5068509346529</v>
      </c>
      <c r="Y38" s="554">
        <f t="shared" si="23"/>
        <v>-26.705479643012996</v>
      </c>
      <c r="Z38" s="516"/>
      <c r="AB38" s="422">
        <f>+IF(AB37&gt;$G$13+$G$14,XX,AB37+1)</f>
        <v>2019</v>
      </c>
      <c r="AC38" s="503"/>
      <c r="AD38" s="488">
        <f t="shared" si="4"/>
        <v>368070.78481012658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6"/>
        <v>10364.236878707699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5967.992316071146</v>
      </c>
      <c r="AV38" s="558">
        <f t="shared" si="7"/>
        <v>26858.716055107219</v>
      </c>
      <c r="AW38" s="560"/>
      <c r="AX38" s="561">
        <f t="shared" si="8"/>
        <v>32826.708371178363</v>
      </c>
      <c r="AZ38" s="429">
        <f>+IF(AZ37&gt;$G$13+$G$14,XX,AZ37+1)</f>
        <v>2019</v>
      </c>
      <c r="BA38" s="503"/>
      <c r="BB38" s="445">
        <f t="shared" si="17"/>
        <v>47.076631825901615</v>
      </c>
      <c r="BD38" s="445">
        <f t="shared" si="18"/>
        <v>7.1576815659902966</v>
      </c>
      <c r="BF38" s="558">
        <f t="shared" si="9"/>
        <v>4396.2445626365534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392836.78481012664</v>
      </c>
      <c r="I39" s="726">
        <v>281.49229111056701</v>
      </c>
      <c r="K39" s="625">
        <v>16.979618102602799</v>
      </c>
      <c r="M39" s="553">
        <f t="shared" si="24"/>
        <v>0</v>
      </c>
      <c r="O39" s="625">
        <v>0.63</v>
      </c>
      <c r="Q39" s="625">
        <v>-33.150783021494966</v>
      </c>
      <c r="S39" s="475">
        <f t="shared" si="20"/>
        <v>21762.5955610046</v>
      </c>
      <c r="U39" s="475">
        <f t="shared" si="21"/>
        <v>14763.892076010816</v>
      </c>
      <c r="W39" s="475">
        <f t="shared" si="22"/>
        <v>6998.7034849937845</v>
      </c>
      <c r="Y39" s="554">
        <f t="shared" si="23"/>
        <v>17.815804821782489</v>
      </c>
      <c r="Z39" s="516"/>
      <c r="AB39" s="423">
        <f>+IF(AB38&gt;$I$13+$I$14,XX,AB38+1)</f>
        <v>2020</v>
      </c>
      <c r="AC39" s="503"/>
      <c r="AD39" s="488">
        <f t="shared" si="4"/>
        <v>392836.78481012664</v>
      </c>
      <c r="AF39" s="555">
        <f t="shared" ref="AF39:AF68" si="25">AF38*(1+$E39)</f>
        <v>101.14988775589339</v>
      </c>
      <c r="AH39" s="555">
        <f t="shared" ref="AH39:AH68" si="26">AH38*(1+$E39)</f>
        <v>20.260761973544962</v>
      </c>
      <c r="AJ39" s="555">
        <f t="shared" ref="AJ39:AJ68" si="27">AJ38*(1+$E39)</f>
        <v>2.0676516575367789</v>
      </c>
      <c r="AL39" s="558">
        <f t="shared" si="16"/>
        <v>10653.821787868532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6156.4636002913376</v>
      </c>
      <c r="AV39" s="558">
        <f t="shared" si="7"/>
        <v>8607.4284757194782</v>
      </c>
      <c r="AW39" s="560"/>
      <c r="AX39" s="561">
        <f t="shared" si="8"/>
        <v>14763.892076010816</v>
      </c>
      <c r="AZ39" s="430">
        <f>+IF(AZ38&gt;$I$13+$I$14,XX,AZ38+1)</f>
        <v>2020</v>
      </c>
      <c r="BA39" s="503"/>
      <c r="BB39" s="555">
        <f t="shared" si="17"/>
        <v>48.159394357897348</v>
      </c>
      <c r="BD39" s="555">
        <f t="shared" si="18"/>
        <v>7.3223082420080727</v>
      </c>
      <c r="BF39" s="558">
        <f t="shared" si="9"/>
        <v>4497.3581875771943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392820.78481012658</v>
      </c>
      <c r="I40" s="726">
        <v>288.26659496340233</v>
      </c>
      <c r="K40" s="625">
        <v>17.339623120297329</v>
      </c>
      <c r="M40" s="553">
        <f t="shared" si="24"/>
        <v>0</v>
      </c>
      <c r="O40" s="625">
        <v>0.6399999999999999</v>
      </c>
      <c r="Q40" s="625">
        <v>-34.476814342354764</v>
      </c>
      <c r="S40" s="475">
        <f t="shared" si="20"/>
        <v>22057.953298365501</v>
      </c>
      <c r="U40" s="475">
        <f t="shared" si="21"/>
        <v>15467.853370949226</v>
      </c>
      <c r="W40" s="475">
        <f t="shared" si="22"/>
        <v>6590.099927416275</v>
      </c>
      <c r="Y40" s="554">
        <f t="shared" si="23"/>
        <v>16.776352429013293</v>
      </c>
      <c r="Z40" s="516"/>
      <c r="AB40" s="423">
        <f>+IF(AB39&gt;$I$13+$I$14,XX,AB39+1)</f>
        <v>2021</v>
      </c>
      <c r="AC40" s="503"/>
      <c r="AD40" s="488">
        <f t="shared" si="4"/>
        <v>392820.78481012658</v>
      </c>
      <c r="AF40" s="555">
        <f t="shared" si="25"/>
        <v>103.77978483754661</v>
      </c>
      <c r="AH40" s="555">
        <f t="shared" si="26"/>
        <v>20.787541784857133</v>
      </c>
      <c r="AJ40" s="555">
        <f t="shared" si="27"/>
        <v>2.1214106006327351</v>
      </c>
      <c r="AL40" s="558">
        <f t="shared" si="16"/>
        <v>10930.787211783505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9"/>
        <v>2.3938982129262119</v>
      </c>
      <c r="AS40" s="555"/>
      <c r="AT40" s="558">
        <f t="shared" si="6"/>
        <v>6316.4977113293035</v>
      </c>
      <c r="AV40" s="558">
        <f t="shared" si="7"/>
        <v>9151.3556596199232</v>
      </c>
      <c r="AW40" s="560"/>
      <c r="AX40" s="561">
        <f t="shared" si="8"/>
        <v>15467.853370949226</v>
      </c>
      <c r="AZ40" s="430">
        <f>+IF(AZ39&gt;$I$13+$I$14,XX,AZ39+1)</f>
        <v>2021</v>
      </c>
      <c r="BA40" s="503"/>
      <c r="BB40" s="555">
        <f t="shared" si="17"/>
        <v>49.41153861120268</v>
      </c>
      <c r="BD40" s="555">
        <f t="shared" si="18"/>
        <v>7.512688256300283</v>
      </c>
      <c r="BF40" s="558">
        <f t="shared" si="9"/>
        <v>4614.2895004542015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392820.78481012658</v>
      </c>
      <c r="I41" s="726">
        <v>294.78867814634958</v>
      </c>
      <c r="K41" s="625">
        <v>17.738434452064169</v>
      </c>
      <c r="M41" s="553">
        <f t="shared" si="24"/>
        <v>0</v>
      </c>
      <c r="O41" s="625">
        <v>0.66</v>
      </c>
      <c r="Q41" s="625">
        <v>-34.476814342354764</v>
      </c>
      <c r="S41" s="475">
        <f t="shared" si="20"/>
        <v>22868.1573295093</v>
      </c>
      <c r="U41" s="475">
        <f t="shared" si="21"/>
        <v>16021.894385273317</v>
      </c>
      <c r="W41" s="475">
        <f t="shared" si="22"/>
        <v>6846.262944235983</v>
      </c>
      <c r="Y41" s="554">
        <f t="shared" si="23"/>
        <v>17.428464096025838</v>
      </c>
      <c r="Z41" s="516"/>
      <c r="AB41" s="423">
        <f>+IF(AB40&gt;$I$13+$I$14,XX,AB40+1)</f>
        <v>2022</v>
      </c>
      <c r="AC41" s="503"/>
      <c r="AD41" s="488">
        <f t="shared" si="4"/>
        <v>392820.78481012658</v>
      </c>
      <c r="AF41" s="555">
        <f t="shared" si="25"/>
        <v>106.27049967364773</v>
      </c>
      <c r="AH41" s="555">
        <f t="shared" si="26"/>
        <v>21.286442787693705</v>
      </c>
      <c r="AJ41" s="555">
        <f t="shared" si="27"/>
        <v>2.1723244550479208</v>
      </c>
      <c r="AL41" s="558">
        <f t="shared" si="16"/>
        <v>11193.126104866307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9"/>
        <v>2.4513517700364411</v>
      </c>
      <c r="AS41" s="555"/>
      <c r="AT41" s="558">
        <f t="shared" si="6"/>
        <v>6468.0936564012054</v>
      </c>
      <c r="AV41" s="558">
        <f t="shared" si="7"/>
        <v>9553.800728872111</v>
      </c>
      <c r="AW41" s="560"/>
      <c r="AX41" s="561">
        <f t="shared" si="8"/>
        <v>16021.894385273317</v>
      </c>
      <c r="AZ41" s="430">
        <f>+IF(AZ40&gt;$I$13+$I$14,XX,AZ40+1)</f>
        <v>2022</v>
      </c>
      <c r="BA41" s="503"/>
      <c r="BB41" s="555">
        <f t="shared" si="17"/>
        <v>50.597415537871548</v>
      </c>
      <c r="BD41" s="555">
        <f t="shared" si="18"/>
        <v>7.6929927744514899</v>
      </c>
      <c r="BF41" s="558">
        <f t="shared" si="9"/>
        <v>4725.0324484651019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392820.78481012658</v>
      </c>
      <c r="I42" s="726">
        <v>301.24574167731419</v>
      </c>
      <c r="K42" s="625">
        <v>18.146418444461641</v>
      </c>
      <c r="M42" s="553">
        <f t="shared" si="24"/>
        <v>0</v>
      </c>
      <c r="O42" s="625">
        <v>0.67</v>
      </c>
      <c r="Q42" s="625">
        <v>-35.802845663214569</v>
      </c>
      <c r="S42" s="475">
        <f t="shared" si="20"/>
        <v>23150.706754863484</v>
      </c>
      <c r="U42" s="475">
        <f t="shared" si="21"/>
        <v>17526.441914162286</v>
      </c>
      <c r="W42" s="475">
        <f t="shared" si="22"/>
        <v>5624.2648407011984</v>
      </c>
      <c r="Y42" s="554">
        <f t="shared" si="23"/>
        <v>14.317635568646747</v>
      </c>
      <c r="Z42" s="516"/>
      <c r="AB42" s="423">
        <f>+IF(AB41&gt;$I$13+$I$14,XX,AB41+1)</f>
        <v>2023</v>
      </c>
      <c r="AC42" s="503"/>
      <c r="AD42" s="488">
        <f t="shared" si="4"/>
        <v>392820.78481012658</v>
      </c>
      <c r="AF42" s="555">
        <f t="shared" si="25"/>
        <v>108.71472116614163</v>
      </c>
      <c r="AH42" s="555">
        <f t="shared" si="26"/>
        <v>21.776030971810659</v>
      </c>
      <c r="AJ42" s="555">
        <f t="shared" si="27"/>
        <v>2.2222879175140227</v>
      </c>
      <c r="AL42" s="558">
        <f t="shared" si="16"/>
        <v>11450.568005278232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ref="AR42:AR68" si="28">AR41*(1+$E42)</f>
        <v>2.5077328607472791</v>
      </c>
      <c r="AS42" s="555"/>
      <c r="AT42" s="558">
        <f t="shared" si="6"/>
        <v>6616.8598104984321</v>
      </c>
      <c r="AV42" s="558">
        <f t="shared" si="7"/>
        <v>10909.582103663855</v>
      </c>
      <c r="AW42" s="560"/>
      <c r="AX42" s="561">
        <f t="shared" si="8"/>
        <v>17526.441914162286</v>
      </c>
      <c r="AZ42" s="430">
        <f>+IF(AZ41&gt;$I$13+$I$14,XX,AZ41+1)</f>
        <v>2023</v>
      </c>
      <c r="BA42" s="503"/>
      <c r="BB42" s="555">
        <f t="shared" si="17"/>
        <v>51.76115609524259</v>
      </c>
      <c r="BD42" s="555">
        <f t="shared" si="18"/>
        <v>7.8699316082638733</v>
      </c>
      <c r="BF42" s="558">
        <f t="shared" si="9"/>
        <v>4833.7081947797997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392836.78481012664</v>
      </c>
      <c r="I43" s="726">
        <v>307.84517922422941</v>
      </c>
      <c r="K43" s="625">
        <v>18.614645756543666</v>
      </c>
      <c r="M43" s="553">
        <f t="shared" si="24"/>
        <v>0</v>
      </c>
      <c r="O43" s="625">
        <v>0.69</v>
      </c>
      <c r="Q43" s="625">
        <v>-35.802845663214569</v>
      </c>
      <c r="S43" s="475">
        <f t="shared" si="20"/>
        <v>23995.572936707384</v>
      </c>
      <c r="U43" s="475">
        <f t="shared" si="21"/>
        <v>19062.394463891247</v>
      </c>
      <c r="W43" s="475">
        <f t="shared" si="22"/>
        <v>4933.1784728161365</v>
      </c>
      <c r="Y43" s="554">
        <f t="shared" si="23"/>
        <v>12.557832320108552</v>
      </c>
      <c r="Z43" s="516"/>
      <c r="AB43" s="423">
        <f>+IF(AB42&gt;$I$13+$I$14,XX,AB42+1)</f>
        <v>2024</v>
      </c>
      <c r="AC43" s="503"/>
      <c r="AD43" s="488">
        <f t="shared" si="4"/>
        <v>392836.78481012664</v>
      </c>
      <c r="AF43" s="555">
        <f t="shared" si="25"/>
        <v>111.21515975296288</v>
      </c>
      <c r="AH43" s="555">
        <f t="shared" si="26"/>
        <v>22.276879684162303</v>
      </c>
      <c r="AJ43" s="555">
        <f t="shared" si="27"/>
        <v>2.2734005396168451</v>
      </c>
      <c r="AL43" s="558">
        <f t="shared" si="16"/>
        <v>11713.967443808266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28"/>
        <v>2.5654107165444664</v>
      </c>
      <c r="AS43" s="555"/>
      <c r="AT43" s="558">
        <f t="shared" si="6"/>
        <v>6769.0839605485316</v>
      </c>
      <c r="AV43" s="558">
        <f t="shared" si="7"/>
        <v>12293.310503342716</v>
      </c>
      <c r="AW43" s="560"/>
      <c r="AX43" s="561">
        <f t="shared" si="8"/>
        <v>19062.394463891247</v>
      </c>
      <c r="AZ43" s="430">
        <f>+IF(AZ42&gt;$I$13+$I$14,XX,AZ42+1)</f>
        <v>2024</v>
      </c>
      <c r="BA43" s="503"/>
      <c r="BB43" s="555">
        <f t="shared" si="17"/>
        <v>52.951662685433163</v>
      </c>
      <c r="BD43" s="555">
        <f t="shared" si="18"/>
        <v>8.0509400352539409</v>
      </c>
      <c r="BF43" s="558">
        <f t="shared" si="9"/>
        <v>4944.883483259734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392820.78481012658</v>
      </c>
      <c r="I44" s="726">
        <v>314.59014875900209</v>
      </c>
      <c r="K44" s="625">
        <v>18.972189362195312</v>
      </c>
      <c r="M44" s="553">
        <f t="shared" si="24"/>
        <v>0</v>
      </c>
      <c r="O44" s="625">
        <v>0.69999999999999984</v>
      </c>
      <c r="Q44" s="625">
        <v>-37.128876984074353</v>
      </c>
      <c r="S44" s="475">
        <f t="shared" si="20"/>
        <v>24287.074995329458</v>
      </c>
      <c r="U44" s="475">
        <f t="shared" si="21"/>
        <v>19682.810406749188</v>
      </c>
      <c r="W44" s="475">
        <f t="shared" si="22"/>
        <v>4604.2645885802704</v>
      </c>
      <c r="Y44" s="554">
        <f t="shared" si="23"/>
        <v>11.721030980592797</v>
      </c>
      <c r="Z44" s="516"/>
      <c r="AB44" s="423">
        <f>+IF(AB43&gt;$I$13+$I$14,XX,AB43+1)</f>
        <v>2025</v>
      </c>
      <c r="AC44" s="503"/>
      <c r="AD44" s="488">
        <f t="shared" si="4"/>
        <v>392820.78481012658</v>
      </c>
      <c r="AF44" s="555">
        <f t="shared" si="25"/>
        <v>113.77310842728102</v>
      </c>
      <c r="AH44" s="555">
        <f t="shared" si="26"/>
        <v>22.789247916898034</v>
      </c>
      <c r="AJ44" s="555">
        <f t="shared" si="27"/>
        <v>2.3256887520280323</v>
      </c>
      <c r="AL44" s="558">
        <f t="shared" si="16"/>
        <v>11983.351483995822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28"/>
        <v>2.624415163024989</v>
      </c>
      <c r="AS44" s="555"/>
      <c r="AT44" s="558">
        <f t="shared" si="6"/>
        <v>6924.7356806211146</v>
      </c>
      <c r="AV44" s="558">
        <f t="shared" si="7"/>
        <v>12758.074726128074</v>
      </c>
      <c r="AW44" s="560"/>
      <c r="AX44" s="561">
        <f t="shared" si="8"/>
        <v>19682.810406749188</v>
      </c>
      <c r="AZ44" s="430">
        <f>+IF(AZ43&gt;$I$13+$I$14,XX,AZ43+1)</f>
        <v>2025</v>
      </c>
      <c r="BA44" s="503"/>
      <c r="BB44" s="555">
        <f t="shared" si="17"/>
        <v>54.169550927198124</v>
      </c>
      <c r="BD44" s="555">
        <f t="shared" si="18"/>
        <v>8.2361116560647805</v>
      </c>
      <c r="BF44" s="558">
        <f t="shared" si="9"/>
        <v>5058.6158033747079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392820.78481012658</v>
      </c>
      <c r="I45" s="726">
        <v>321.48387867091418</v>
      </c>
      <c r="K45" s="625">
        <v>19.389577528163606</v>
      </c>
      <c r="M45" s="553">
        <f t="shared" si="24"/>
        <v>0</v>
      </c>
      <c r="O45" s="625">
        <v>0.72</v>
      </c>
      <c r="Q45" s="625">
        <v>-38.454908304934172</v>
      </c>
      <c r="S45" s="475">
        <f t="shared" si="20"/>
        <v>24620.476755088122</v>
      </c>
      <c r="U45" s="475">
        <f t="shared" si="21"/>
        <v>20087.934046025464</v>
      </c>
      <c r="W45" s="475">
        <f t="shared" si="22"/>
        <v>4532.5427090626581</v>
      </c>
      <c r="Y45" s="554">
        <f t="shared" si="23"/>
        <v>11.538449298841208</v>
      </c>
      <c r="Z45" s="516"/>
      <c r="AB45" s="423">
        <f>+IF(AB44&gt;$I$13+$I$14,XX,AB44+1)</f>
        <v>2026</v>
      </c>
      <c r="AC45" s="503"/>
      <c r="AD45" s="488">
        <f t="shared" si="4"/>
        <v>392820.78481012658</v>
      </c>
      <c r="AF45" s="555">
        <f t="shared" si="25"/>
        <v>116.38988992110846</v>
      </c>
      <c r="AH45" s="555">
        <f t="shared" si="26"/>
        <v>23.313400618986687</v>
      </c>
      <c r="AJ45" s="555">
        <f t="shared" si="27"/>
        <v>2.3791795933246767</v>
      </c>
      <c r="AL45" s="558">
        <f t="shared" si="16"/>
        <v>12258.968568127724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28"/>
        <v>2.6847767117745636</v>
      </c>
      <c r="AS45" s="555"/>
      <c r="AT45" s="558">
        <f t="shared" si="6"/>
        <v>7084.0046012753983</v>
      </c>
      <c r="AV45" s="558">
        <f t="shared" si="7"/>
        <v>13003.929444750067</v>
      </c>
      <c r="AW45" s="560"/>
      <c r="AX45" s="561">
        <f t="shared" si="8"/>
        <v>20087.934046025464</v>
      </c>
      <c r="AZ45" s="430">
        <f>+IF(AZ44&gt;$I$13+$I$14,XX,AZ44+1)</f>
        <v>2026</v>
      </c>
      <c r="BA45" s="503"/>
      <c r="BB45" s="555">
        <f t="shared" si="17"/>
        <v>55.415450598523677</v>
      </c>
      <c r="BD45" s="555">
        <f t="shared" si="18"/>
        <v>8.4255422241542703</v>
      </c>
      <c r="BF45" s="558">
        <f t="shared" si="9"/>
        <v>5174.9639668523259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392820.78481012658</v>
      </c>
      <c r="I46" s="726">
        <v>328.29527009950459</v>
      </c>
      <c r="K46" s="625">
        <v>19.816148233783206</v>
      </c>
      <c r="M46" s="553">
        <f t="shared" si="24"/>
        <v>0</v>
      </c>
      <c r="O46" s="625">
        <v>0.74</v>
      </c>
      <c r="Q46" s="625">
        <v>-38.454908304934172</v>
      </c>
      <c r="S46" s="475">
        <f t="shared" si="20"/>
        <v>25470.226761573274</v>
      </c>
      <c r="U46" s="475">
        <f t="shared" si="21"/>
        <v>21039.949149175001</v>
      </c>
      <c r="W46" s="475">
        <f t="shared" si="22"/>
        <v>4430.277612398273</v>
      </c>
      <c r="Y46" s="554">
        <f t="shared" si="23"/>
        <v>11.278114050252427</v>
      </c>
      <c r="Z46" s="516"/>
      <c r="AB46" s="423">
        <f>+IF(AB45&gt;$I$13+$I$14,XX,AB45+1)</f>
        <v>2027</v>
      </c>
      <c r="AC46" s="503"/>
      <c r="AD46" s="488">
        <f t="shared" si="4"/>
        <v>392820.78481012658</v>
      </c>
      <c r="AF46" s="555">
        <f t="shared" si="25"/>
        <v>118.95046749937285</v>
      </c>
      <c r="AH46" s="555">
        <f t="shared" si="26"/>
        <v>23.826295432604393</v>
      </c>
      <c r="AJ46" s="555">
        <f t="shared" si="27"/>
        <v>2.4315215443778198</v>
      </c>
      <c r="AL46" s="558">
        <f t="shared" si="16"/>
        <v>12528.665876626532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28"/>
        <v>2.743841799433604</v>
      </c>
      <c r="AS46" s="555"/>
      <c r="AT46" s="558">
        <f t="shared" si="6"/>
        <v>7239.8527025034546</v>
      </c>
      <c r="AV46" s="558">
        <f t="shared" si="7"/>
        <v>13800.096446671545</v>
      </c>
      <c r="AW46" s="560"/>
      <c r="AX46" s="561">
        <f t="shared" si="8"/>
        <v>21039.949149175001</v>
      </c>
      <c r="AZ46" s="430">
        <f>+IF(AZ45&gt;$I$13+$I$14,XX,AZ45+1)</f>
        <v>2027</v>
      </c>
      <c r="BA46" s="503"/>
      <c r="BB46" s="555">
        <f t="shared" si="17"/>
        <v>56.634590511691201</v>
      </c>
      <c r="BD46" s="555">
        <f t="shared" si="18"/>
        <v>8.6109041530856647</v>
      </c>
      <c r="BF46" s="558">
        <f t="shared" si="9"/>
        <v>5288.8131741230773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392836.78481012664</v>
      </c>
      <c r="I47" s="726">
        <v>335.25154831538282</v>
      </c>
      <c r="K47" s="625">
        <v>20.307588709981033</v>
      </c>
      <c r="M47" s="553">
        <f t="shared" si="24"/>
        <v>0</v>
      </c>
      <c r="O47" s="625">
        <v>0.75000000000000011</v>
      </c>
      <c r="Q47" s="625">
        <v>-39.78093962579397</v>
      </c>
      <c r="S47" s="475">
        <f t="shared" si="20"/>
        <v>25834.682308583204</v>
      </c>
      <c r="U47" s="475">
        <f t="shared" si="21"/>
        <v>21669.653918205106</v>
      </c>
      <c r="W47" s="475">
        <f t="shared" si="22"/>
        <v>4165.0283903780983</v>
      </c>
      <c r="Y47" s="554">
        <f t="shared" si="23"/>
        <v>10.602439871793624</v>
      </c>
      <c r="Z47" s="516"/>
      <c r="AB47" s="423">
        <f>+IF(AB46&gt;$I$13+$I$14,XX,AB46+1)</f>
        <v>2028</v>
      </c>
      <c r="AC47" s="503"/>
      <c r="AD47" s="488">
        <f t="shared" si="4"/>
        <v>392836.78481012664</v>
      </c>
      <c r="AF47" s="555">
        <f t="shared" si="25"/>
        <v>121.56737778435905</v>
      </c>
      <c r="AH47" s="555">
        <f t="shared" si="26"/>
        <v>24.350473932121691</v>
      </c>
      <c r="AJ47" s="555">
        <f t="shared" si="27"/>
        <v>2.4850150183541317</v>
      </c>
      <c r="AL47" s="558">
        <f t="shared" si="16"/>
        <v>12804.336286152613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28"/>
        <v>2.8042063190211435</v>
      </c>
      <c r="AS47" s="555"/>
      <c r="AT47" s="558">
        <f t="shared" si="6"/>
        <v>7399.1692221988278</v>
      </c>
      <c r="AV47" s="558">
        <f t="shared" si="7"/>
        <v>14270.484696006277</v>
      </c>
      <c r="AW47" s="560"/>
      <c r="AX47" s="561">
        <f t="shared" si="8"/>
        <v>21669.653918205106</v>
      </c>
      <c r="AZ47" s="430">
        <f>+IF(AZ46&gt;$I$13+$I$14,XX,AZ46+1)</f>
        <v>2028</v>
      </c>
      <c r="BA47" s="503"/>
      <c r="BB47" s="555">
        <f t="shared" si="17"/>
        <v>57.880551502948407</v>
      </c>
      <c r="BD47" s="555">
        <f t="shared" si="18"/>
        <v>8.8003440444535492</v>
      </c>
      <c r="BF47" s="558">
        <f t="shared" si="9"/>
        <v>5405.1670639537851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392820.78481012658</v>
      </c>
      <c r="I48" s="726">
        <v>342.35580651521042</v>
      </c>
      <c r="K48" s="625">
        <v>20.677397668319887</v>
      </c>
      <c r="M48" s="553">
        <f t="shared" si="24"/>
        <v>0</v>
      </c>
      <c r="O48" s="625">
        <v>0.76999999999999991</v>
      </c>
      <c r="Q48" s="625">
        <v>-39.78093962579397</v>
      </c>
      <c r="S48" s="475">
        <f t="shared" si="20"/>
        <v>26691.428504921481</v>
      </c>
      <c r="U48" s="475">
        <f t="shared" si="21"/>
        <v>22257.247590260806</v>
      </c>
      <c r="W48" s="475">
        <f t="shared" si="22"/>
        <v>4434.1809146606756</v>
      </c>
      <c r="Y48" s="554">
        <f t="shared" si="23"/>
        <v>11.288050648348397</v>
      </c>
      <c r="Z48" s="516"/>
      <c r="AB48" s="423">
        <f>+IF(AB47&gt;$I$13+$I$14,XX,AB47+1)</f>
        <v>2029</v>
      </c>
      <c r="AC48" s="503"/>
      <c r="AD48" s="488">
        <f t="shared" si="4"/>
        <v>392820.78481012658</v>
      </c>
      <c r="AF48" s="555">
        <f t="shared" si="25"/>
        <v>124.24186009561495</v>
      </c>
      <c r="AH48" s="555">
        <f t="shared" si="26"/>
        <v>24.88618435862837</v>
      </c>
      <c r="AJ48" s="555">
        <f t="shared" si="27"/>
        <v>2.5396853487579225</v>
      </c>
      <c r="AL48" s="558">
        <f t="shared" si="16"/>
        <v>13085.991049482389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28"/>
        <v>2.8658988580396088</v>
      </c>
      <c r="AS48" s="555"/>
      <c r="AT48" s="558">
        <f t="shared" si="6"/>
        <v>7561.9103101216197</v>
      </c>
      <c r="AV48" s="558">
        <f t="shared" si="7"/>
        <v>14695.337280139185</v>
      </c>
      <c r="AW48" s="560"/>
      <c r="AX48" s="561">
        <f t="shared" si="8"/>
        <v>22257.247590260806</v>
      </c>
      <c r="AZ48" s="430">
        <f>+IF(AZ47&gt;$I$13+$I$14,XX,AZ47+1)</f>
        <v>2029</v>
      </c>
      <c r="BA48" s="503"/>
      <c r="BB48" s="555">
        <f t="shared" si="17"/>
        <v>59.153923636013275</v>
      </c>
      <c r="BD48" s="555">
        <f t="shared" si="18"/>
        <v>8.9939516134315269</v>
      </c>
      <c r="BF48" s="558">
        <f t="shared" si="9"/>
        <v>5524.0807393607693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392820.78481012658</v>
      </c>
      <c r="I49" s="726">
        <v>349.61120415403514</v>
      </c>
      <c r="K49" s="625">
        <v>21.132300417022932</v>
      </c>
      <c r="M49" s="553">
        <f t="shared" si="24"/>
        <v>0</v>
      </c>
      <c r="O49" s="625">
        <v>0.78</v>
      </c>
      <c r="Q49" s="625">
        <v>0</v>
      </c>
      <c r="S49" s="475">
        <f t="shared" si="20"/>
        <v>43219.116258059694</v>
      </c>
      <c r="U49" s="475">
        <f t="shared" si="21"/>
        <v>23299.976314717802</v>
      </c>
      <c r="W49" s="475">
        <f t="shared" si="22"/>
        <v>19919.139943341892</v>
      </c>
      <c r="Y49" s="554">
        <f t="shared" si="23"/>
        <v>50.70795821807134</v>
      </c>
      <c r="Z49" s="516"/>
      <c r="AB49" s="423">
        <f>+IF(AB48&gt;$I$13+$I$14,XX,AB48+1)</f>
        <v>2030</v>
      </c>
      <c r="AC49" s="503"/>
      <c r="AD49" s="488">
        <f t="shared" si="4"/>
        <v>392820.78481012658</v>
      </c>
      <c r="AF49" s="555">
        <f t="shared" si="25"/>
        <v>126.97518101771848</v>
      </c>
      <c r="AH49" s="555">
        <f t="shared" si="26"/>
        <v>25.433680414518193</v>
      </c>
      <c r="AJ49" s="555">
        <f t="shared" si="27"/>
        <v>2.5955584264305966</v>
      </c>
      <c r="AL49" s="558">
        <f t="shared" si="16"/>
        <v>13373.882852571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28"/>
        <v>2.9289486329164802</v>
      </c>
      <c r="AS49" s="555"/>
      <c r="AT49" s="558">
        <f t="shared" si="6"/>
        <v>7728.2723369442938</v>
      </c>
      <c r="AV49" s="558">
        <f t="shared" si="7"/>
        <v>15571.703977773506</v>
      </c>
      <c r="AW49" s="560"/>
      <c r="AX49" s="561">
        <f t="shared" si="8"/>
        <v>23299.976314717802</v>
      </c>
      <c r="AZ49" s="430">
        <f>+IF(AZ48&gt;$I$13+$I$14,XX,AZ48+1)</f>
        <v>2030</v>
      </c>
      <c r="BA49" s="503"/>
      <c r="BB49" s="555">
        <f t="shared" si="17"/>
        <v>60.455309956005571</v>
      </c>
      <c r="BD49" s="555">
        <f t="shared" si="18"/>
        <v>9.1918185489270208</v>
      </c>
      <c r="BF49" s="558">
        <f t="shared" si="9"/>
        <v>5645.6105156267058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392820.78481012658</v>
      </c>
      <c r="I50" s="726">
        <v>357.02096836892827</v>
      </c>
      <c r="K50" s="625">
        <v>21.597211026197435</v>
      </c>
      <c r="M50" s="553">
        <f t="shared" si="24"/>
        <v>0</v>
      </c>
      <c r="O50" s="625">
        <v>0.8</v>
      </c>
      <c r="Q50" s="625">
        <v>0</v>
      </c>
      <c r="S50" s="475">
        <f t="shared" si="20"/>
        <v>44143.165881392793</v>
      </c>
      <c r="U50" s="475">
        <f t="shared" si="21"/>
        <v>23887.340889027852</v>
      </c>
      <c r="W50" s="475">
        <f t="shared" si="22"/>
        <v>20255.824992364942</v>
      </c>
      <c r="Y50" s="554">
        <f t="shared" si="23"/>
        <v>51.56505402878765</v>
      </c>
      <c r="Z50" s="516"/>
      <c r="AB50" s="423">
        <f>+IF(AB49&gt;$I$13+$I$14,XX,AB49+1)</f>
        <v>2031</v>
      </c>
      <c r="AC50" s="503"/>
      <c r="AD50" s="488">
        <f t="shared" si="4"/>
        <v>392820.78481012658</v>
      </c>
      <c r="AF50" s="555">
        <f t="shared" si="25"/>
        <v>129.7686350001083</v>
      </c>
      <c r="AH50" s="555">
        <f t="shared" si="26"/>
        <v>25.993221383637593</v>
      </c>
      <c r="AJ50" s="555">
        <f t="shared" si="27"/>
        <v>2.6526607118120697</v>
      </c>
      <c r="AL50" s="558">
        <f t="shared" si="16"/>
        <v>13668.108275327568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28"/>
        <v>2.9933855028406429</v>
      </c>
      <c r="AS50" s="555"/>
      <c r="AT50" s="558">
        <f t="shared" si="6"/>
        <v>7898.2943283570739</v>
      </c>
      <c r="AV50" s="558">
        <f t="shared" si="7"/>
        <v>15989.046560670777</v>
      </c>
      <c r="AW50" s="560"/>
      <c r="AX50" s="561">
        <f t="shared" si="8"/>
        <v>23887.340889027852</v>
      </c>
      <c r="AZ50" s="430">
        <f>+IF(AZ49&gt;$I$13+$I$14,XX,AZ49+1)</f>
        <v>2031</v>
      </c>
      <c r="BA50" s="503"/>
      <c r="BB50" s="555">
        <f t="shared" si="17"/>
        <v>61.785326775037696</v>
      </c>
      <c r="BD50" s="555">
        <f t="shared" si="18"/>
        <v>9.3940385570034159</v>
      </c>
      <c r="BF50" s="558">
        <f t="shared" si="9"/>
        <v>5769.8139469704938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392836.78481012664</v>
      </c>
      <c r="I51" s="726">
        <v>364.58839543329566</v>
      </c>
      <c r="K51" s="625">
        <v>22.13282185964713</v>
      </c>
      <c r="M51" s="553">
        <f t="shared" si="24"/>
        <v>0</v>
      </c>
      <c r="O51" s="625">
        <v>0.82</v>
      </c>
      <c r="Q51" s="625">
        <v>0</v>
      </c>
      <c r="S51" s="475">
        <f t="shared" si="20"/>
        <v>45110.963889559644</v>
      </c>
      <c r="U51" s="475">
        <f t="shared" si="21"/>
        <v>24495.294513421377</v>
      </c>
      <c r="W51" s="475">
        <f t="shared" si="22"/>
        <v>20615.669376138267</v>
      </c>
      <c r="Y51" s="554">
        <f t="shared" si="23"/>
        <v>52.478968806606602</v>
      </c>
      <c r="Z51" s="516"/>
      <c r="AB51" s="423">
        <f>+IF(AB50&gt;$I$13+$I$14,XX,AB50+1)</f>
        <v>2032</v>
      </c>
      <c r="AC51" s="503"/>
      <c r="AD51" s="488">
        <f t="shared" si="4"/>
        <v>392836.78481012664</v>
      </c>
      <c r="AF51" s="555">
        <f t="shared" si="25"/>
        <v>132.62354497011069</v>
      </c>
      <c r="AH51" s="555">
        <f t="shared" si="26"/>
        <v>26.56507225407762</v>
      </c>
      <c r="AJ51" s="555">
        <f t="shared" si="27"/>
        <v>2.7110192474719352</v>
      </c>
      <c r="AL51" s="558">
        <f t="shared" si="16"/>
        <v>13968.85003369273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28"/>
        <v>3.059239983903137</v>
      </c>
      <c r="AS51" s="555"/>
      <c r="AT51" s="558">
        <f t="shared" si="6"/>
        <v>8072.1001798888865</v>
      </c>
      <c r="AV51" s="558">
        <f t="shared" si="7"/>
        <v>16423.19433353249</v>
      </c>
      <c r="AW51" s="560"/>
      <c r="AX51" s="561">
        <f t="shared" si="8"/>
        <v>24495.294513421377</v>
      </c>
      <c r="AZ51" s="430">
        <f>+IF(AZ50&gt;$I$13+$I$14,XX,AZ50+1)</f>
        <v>2032</v>
      </c>
      <c r="BA51" s="503"/>
      <c r="BB51" s="555">
        <f t="shared" si="17"/>
        <v>63.144603964088525</v>
      </c>
      <c r="BD51" s="555">
        <f t="shared" si="18"/>
        <v>9.6007074052574914</v>
      </c>
      <c r="BF51" s="558">
        <f t="shared" si="9"/>
        <v>5896.7498538038435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392820.78481012658</v>
      </c>
      <c r="I52" s="726">
        <v>372.31685224252396</v>
      </c>
      <c r="K52" s="625">
        <v>22.557941361486801</v>
      </c>
      <c r="M52" s="553">
        <f t="shared" si="24"/>
        <v>0</v>
      </c>
      <c r="O52" s="625">
        <v>0.84000000000000008</v>
      </c>
      <c r="Q52" s="625">
        <v>0</v>
      </c>
      <c r="S52" s="475">
        <f t="shared" si="20"/>
        <v>46050.56606057044</v>
      </c>
      <c r="U52" s="475">
        <f t="shared" si="21"/>
        <v>25224.226569744933</v>
      </c>
      <c r="W52" s="475">
        <f t="shared" si="22"/>
        <v>20826.339490825507</v>
      </c>
      <c r="Y52" s="554">
        <f t="shared" si="23"/>
        <v>53.017407164165469</v>
      </c>
      <c r="Z52" s="516"/>
      <c r="AB52" s="423">
        <f>+IF(AB51&gt;$I$13+$I$14,XX,AB51+1)</f>
        <v>2033</v>
      </c>
      <c r="AC52" s="503"/>
      <c r="AD52" s="488">
        <f t="shared" si="4"/>
        <v>392820.78481012658</v>
      </c>
      <c r="AF52" s="555">
        <f t="shared" si="25"/>
        <v>135.54126295945312</v>
      </c>
      <c r="AH52" s="555">
        <f t="shared" si="26"/>
        <v>27.149503843667329</v>
      </c>
      <c r="AJ52" s="555">
        <f t="shared" si="27"/>
        <v>2.7706616709163177</v>
      </c>
      <c r="AL52" s="558">
        <f t="shared" si="16"/>
        <v>14276.120403847239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28"/>
        <v>3.126543263549006</v>
      </c>
      <c r="AS52" s="555"/>
      <c r="AT52" s="558">
        <f t="shared" si="6"/>
        <v>8249.6420532597112</v>
      </c>
      <c r="AV52" s="558">
        <f t="shared" si="7"/>
        <v>16974.584516485222</v>
      </c>
      <c r="AW52" s="560"/>
      <c r="AX52" s="561">
        <f t="shared" si="8"/>
        <v>25224.226569744933</v>
      </c>
      <c r="AZ52" s="430">
        <f>+IF(AZ51&gt;$I$13+$I$14,XX,AZ51+1)</f>
        <v>2033</v>
      </c>
      <c r="BA52" s="503"/>
      <c r="BB52" s="555">
        <f t="shared" si="17"/>
        <v>64.533785251298468</v>
      </c>
      <c r="BD52" s="555">
        <f t="shared" si="18"/>
        <v>9.8119229681731568</v>
      </c>
      <c r="BF52" s="558">
        <f t="shared" si="9"/>
        <v>6026.4783505875275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392820.78481012658</v>
      </c>
      <c r="I53" s="726">
        <v>101.23600608807673</v>
      </c>
      <c r="K53" s="625">
        <v>23.054216071439516</v>
      </c>
      <c r="M53" s="553">
        <f t="shared" si="24"/>
        <v>0</v>
      </c>
      <c r="O53" s="625">
        <v>0.85999999999999988</v>
      </c>
      <c r="Q53" s="625">
        <v>0</v>
      </c>
      <c r="S53" s="475">
        <f t="shared" si="20"/>
        <v>19416.36572802141</v>
      </c>
      <c r="U53" s="475">
        <f t="shared" si="21"/>
        <v>25922.110521884304</v>
      </c>
      <c r="W53" s="475">
        <f t="shared" si="22"/>
        <v>-6505.7447938628939</v>
      </c>
      <c r="Y53" s="554">
        <f t="shared" si="23"/>
        <v>-16.561610396984221</v>
      </c>
      <c r="Z53" s="516"/>
      <c r="AB53" s="423">
        <f>+IF(AB52&gt;$I$13+$I$14,XX,AB52+1)</f>
        <v>2034</v>
      </c>
      <c r="AC53" s="503"/>
      <c r="AD53" s="488">
        <f t="shared" si="4"/>
        <v>392820.78481012658</v>
      </c>
      <c r="AF53" s="555">
        <f t="shared" si="25"/>
        <v>138.5231707445611</v>
      </c>
      <c r="AH53" s="555">
        <f t="shared" si="26"/>
        <v>27.746792928228011</v>
      </c>
      <c r="AJ53" s="555">
        <f t="shared" si="27"/>
        <v>2.8316162276764767</v>
      </c>
      <c r="AL53" s="558">
        <f t="shared" si="16"/>
        <v>14590.195052731877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28"/>
        <v>3.1953272153470844</v>
      </c>
      <c r="AS53" s="555"/>
      <c r="AT53" s="558">
        <f t="shared" si="6"/>
        <v>8431.1341784314209</v>
      </c>
      <c r="AV53" s="558">
        <f t="shared" si="7"/>
        <v>17490.976343452883</v>
      </c>
      <c r="AW53" s="560"/>
      <c r="AX53" s="561">
        <f t="shared" si="8"/>
        <v>25922.110521884304</v>
      </c>
      <c r="AZ53" s="430">
        <f>+IF(AZ52&gt;$I$13+$I$14,XX,AZ52+1)</f>
        <v>2034</v>
      </c>
      <c r="BA53" s="503"/>
      <c r="BB53" s="555">
        <f t="shared" si="17"/>
        <v>65.953528526827043</v>
      </c>
      <c r="BD53" s="555">
        <f t="shared" si="18"/>
        <v>10.027785273472967</v>
      </c>
      <c r="BF53" s="558">
        <f t="shared" si="9"/>
        <v>6159.060874300455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392820.78481012658</v>
      </c>
      <c r="I54" s="726">
        <v>103.1594902037502</v>
      </c>
      <c r="K54" s="625">
        <v>23.561408825011181</v>
      </c>
      <c r="M54" s="553">
        <f t="shared" si="24"/>
        <v>0</v>
      </c>
      <c r="O54" s="625">
        <v>0.86999999999999988</v>
      </c>
      <c r="Q54" s="625">
        <v>0</v>
      </c>
      <c r="S54" s="475">
        <f t="shared" si="20"/>
        <v>19809.954718829216</v>
      </c>
      <c r="U54" s="475">
        <f t="shared" si="21"/>
        <v>26585.335877856542</v>
      </c>
      <c r="W54" s="475">
        <f t="shared" si="22"/>
        <v>-6775.3811590273253</v>
      </c>
      <c r="Y54" s="554">
        <f t="shared" si="23"/>
        <v>-17.24802103407605</v>
      </c>
      <c r="Z54" s="516"/>
      <c r="AB54" s="423">
        <f>+IF(AB53&gt;$I$13+$I$14,XX,AB53+1)</f>
        <v>2035</v>
      </c>
      <c r="AC54" s="503"/>
      <c r="AD54" s="488">
        <f t="shared" si="4"/>
        <v>392820.78481012658</v>
      </c>
      <c r="AF54" s="555">
        <f t="shared" si="25"/>
        <v>141.57068050094145</v>
      </c>
      <c r="AH54" s="555">
        <f t="shared" si="26"/>
        <v>28.357222372649026</v>
      </c>
      <c r="AJ54" s="555">
        <f t="shared" si="27"/>
        <v>2.893911784685359</v>
      </c>
      <c r="AL54" s="558">
        <f t="shared" si="16"/>
        <v>14911.179343891978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28"/>
        <v>3.2656244140847202</v>
      </c>
      <c r="AS54" s="555"/>
      <c r="AT54" s="558">
        <f t="shared" si="6"/>
        <v>8616.619130356914</v>
      </c>
      <c r="AV54" s="558">
        <f t="shared" si="7"/>
        <v>17968.716747499628</v>
      </c>
      <c r="AW54" s="560"/>
      <c r="AX54" s="561">
        <f t="shared" si="8"/>
        <v>26585.335877856542</v>
      </c>
      <c r="AZ54" s="430">
        <f>+IF(AZ53&gt;$I$13+$I$14,XX,AZ53+1)</f>
        <v>2035</v>
      </c>
      <c r="BA54" s="503"/>
      <c r="BB54" s="555">
        <f t="shared" si="17"/>
        <v>67.404506154417234</v>
      </c>
      <c r="BD54" s="555">
        <f t="shared" si="18"/>
        <v>10.248396549489373</v>
      </c>
      <c r="BF54" s="558">
        <f t="shared" si="9"/>
        <v>6294.5602135350646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392836.78481012664</v>
      </c>
      <c r="I55" s="726">
        <v>105.11952051762142</v>
      </c>
      <c r="K55" s="625">
        <v>24.145731763871463</v>
      </c>
      <c r="M55" s="553">
        <f t="shared" si="24"/>
        <v>0</v>
      </c>
      <c r="O55" s="625">
        <v>0.89000000000000024</v>
      </c>
      <c r="Q55" s="625">
        <v>0</v>
      </c>
      <c r="S55" s="475">
        <f t="shared" si="20"/>
        <v>20241.788902732551</v>
      </c>
      <c r="U55" s="475">
        <f t="shared" si="21"/>
        <v>27448.287333764318</v>
      </c>
      <c r="W55" s="475">
        <f t="shared" si="22"/>
        <v>-7206.4984310317668</v>
      </c>
      <c r="Y55" s="554">
        <f t="shared" si="23"/>
        <v>-18.344764822660252</v>
      </c>
      <c r="Z55" s="516"/>
      <c r="AB55" s="423">
        <f>+IF(AB54&gt;$I$13+$I$14,XX,AB54+1)</f>
        <v>2036</v>
      </c>
      <c r="AC55" s="503"/>
      <c r="AD55" s="488">
        <f t="shared" si="4"/>
        <v>392836.78481012664</v>
      </c>
      <c r="AF55" s="555">
        <f t="shared" si="25"/>
        <v>144.68523547196216</v>
      </c>
      <c r="AH55" s="555">
        <f t="shared" si="26"/>
        <v>28.981081264847305</v>
      </c>
      <c r="AJ55" s="555">
        <f t="shared" si="27"/>
        <v>2.957577843948437</v>
      </c>
      <c r="AL55" s="558">
        <f t="shared" si="16"/>
        <v>15239.272610703103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28"/>
        <v>3.3374681511945838</v>
      </c>
      <c r="AS55" s="555"/>
      <c r="AT55" s="558">
        <f t="shared" si="6"/>
        <v>8806.2320724702677</v>
      </c>
      <c r="AV55" s="558">
        <f t="shared" si="7"/>
        <v>18642.055261294048</v>
      </c>
      <c r="AW55" s="560"/>
      <c r="AX55" s="561">
        <f t="shared" si="8"/>
        <v>27448.287333764318</v>
      </c>
      <c r="AZ55" s="430">
        <f>+IF(AZ54&gt;$I$13+$I$14,XX,AZ54+1)</f>
        <v>2036</v>
      </c>
      <c r="BA55" s="503"/>
      <c r="BB55" s="555">
        <f t="shared" si="17"/>
        <v>68.88740528981441</v>
      </c>
      <c r="BD55" s="555">
        <f t="shared" si="18"/>
        <v>10.473861273578139</v>
      </c>
      <c r="BF55" s="558">
        <f t="shared" si="9"/>
        <v>6433.0405382328354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392836.78481012664</v>
      </c>
      <c r="I56" s="726">
        <v>107.11679140745625</v>
      </c>
      <c r="K56" s="625">
        <v>24.609514535182978</v>
      </c>
      <c r="M56" s="553">
        <f t="shared" si="24"/>
        <v>0</v>
      </c>
      <c r="O56" s="625">
        <v>0.91000000000000025</v>
      </c>
      <c r="Q56" s="625">
        <v>0</v>
      </c>
      <c r="S56" s="475">
        <f t="shared" si="20"/>
        <v>20629.566389254742</v>
      </c>
      <c r="U56" s="475">
        <f t="shared" si="21"/>
        <v>28151.257070096108</v>
      </c>
      <c r="W56" s="475">
        <f t="shared" si="22"/>
        <v>-7521.690680841366</v>
      </c>
      <c r="Y56" s="554">
        <f t="shared" si="23"/>
        <v>-19.147113945749485</v>
      </c>
      <c r="Z56" s="516"/>
      <c r="AB56" s="423">
        <f>+IF(AB55&gt;$I$13+$I$14,XX,AB55+1)</f>
        <v>2037</v>
      </c>
      <c r="AC56" s="503"/>
      <c r="AD56" s="488">
        <f t="shared" si="4"/>
        <v>392836.78481012664</v>
      </c>
      <c r="AF56" s="555">
        <f t="shared" si="25"/>
        <v>147.86831065234534</v>
      </c>
      <c r="AH56" s="555">
        <f t="shared" si="26"/>
        <v>29.618665052673947</v>
      </c>
      <c r="AJ56" s="555">
        <f t="shared" si="27"/>
        <v>3.0226445565153028</v>
      </c>
      <c r="AL56" s="558">
        <f t="shared" si="16"/>
        <v>15574.536608138575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28"/>
        <v>3.4108924505208646</v>
      </c>
      <c r="AS56" s="555"/>
      <c r="AT56" s="558">
        <f t="shared" si="6"/>
        <v>8999.9691780646172</v>
      </c>
      <c r="AV56" s="558">
        <f t="shared" si="7"/>
        <v>19151.287892031491</v>
      </c>
      <c r="AW56" s="560"/>
      <c r="AX56" s="561">
        <f t="shared" si="8"/>
        <v>28151.257070096108</v>
      </c>
      <c r="AZ56" s="430">
        <f>+IF(AZ55&gt;$I$13+$I$14,XX,AZ55+1)</f>
        <v>2037</v>
      </c>
      <c r="BA56" s="503"/>
      <c r="BB56" s="555">
        <f t="shared" si="17"/>
        <v>70.402928206190325</v>
      </c>
      <c r="BD56" s="555">
        <f t="shared" si="18"/>
        <v>10.704286221596858</v>
      </c>
      <c r="BF56" s="558">
        <f t="shared" si="9"/>
        <v>6574.5674300739583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392836.78481012664</v>
      </c>
      <c r="I57" s="726">
        <v>109.1520104441979</v>
      </c>
      <c r="K57" s="625">
        <v>25.175533369492186</v>
      </c>
      <c r="M57" s="553">
        <f t="shared" si="24"/>
        <v>0</v>
      </c>
      <c r="O57" s="625">
        <v>0.92999999999999994</v>
      </c>
      <c r="Q57" s="625">
        <v>0</v>
      </c>
      <c r="S57" s="475">
        <f t="shared" si="20"/>
        <v>21061.262828600375</v>
      </c>
      <c r="U57" s="475">
        <f t="shared" si="21"/>
        <v>29293.129093218246</v>
      </c>
      <c r="W57" s="475">
        <f t="shared" si="22"/>
        <v>-8231.8662646178709</v>
      </c>
      <c r="Y57" s="554">
        <f t="shared" si="23"/>
        <v>-20.95492729530574</v>
      </c>
      <c r="Z57" s="516"/>
      <c r="AB57" s="423">
        <f>+IF(AB56&gt;$I$13+$I$14,XX,AB56+1)</f>
        <v>2038</v>
      </c>
      <c r="AC57" s="503"/>
      <c r="AD57" s="488">
        <f t="shared" si="4"/>
        <v>392836.78481012664</v>
      </c>
      <c r="AF57" s="555">
        <f t="shared" si="25"/>
        <v>151.12141348669695</v>
      </c>
      <c r="AH57" s="555">
        <f t="shared" si="26"/>
        <v>30.270275683832775</v>
      </c>
      <c r="AJ57" s="555">
        <f t="shared" si="27"/>
        <v>3.0891427367586397</v>
      </c>
      <c r="AL57" s="558">
        <f t="shared" si="16"/>
        <v>15917.176413517624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28"/>
        <v>3.4859320844323238</v>
      </c>
      <c r="AS57" s="555"/>
      <c r="AT57" s="558">
        <f t="shared" si="6"/>
        <v>9197.9684999820383</v>
      </c>
      <c r="AV57" s="558">
        <f t="shared" si="7"/>
        <v>20095.160593236207</v>
      </c>
      <c r="AW57" s="560"/>
      <c r="AX57" s="561">
        <f t="shared" si="8"/>
        <v>29293.129093218246</v>
      </c>
      <c r="AZ57" s="430">
        <f>+IF(AZ56&gt;$I$13+$I$14,XX,AZ56+1)</f>
        <v>2038</v>
      </c>
      <c r="BA57" s="503"/>
      <c r="BB57" s="555">
        <f t="shared" si="17"/>
        <v>71.951792626726515</v>
      </c>
      <c r="BD57" s="555">
        <f t="shared" si="18"/>
        <v>10.93978051847199</v>
      </c>
      <c r="BF57" s="558">
        <f t="shared" si="9"/>
        <v>6719.2079135355852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392836.78481012664</v>
      </c>
      <c r="I58" s="726">
        <v>111.22589864263766</v>
      </c>
      <c r="K58" s="625">
        <v>25.754570636990504</v>
      </c>
      <c r="M58" s="553">
        <f t="shared" si="24"/>
        <v>0</v>
      </c>
      <c r="O58" s="625">
        <v>0.95999999999999985</v>
      </c>
      <c r="Q58" s="625">
        <v>0</v>
      </c>
      <c r="S58" s="475">
        <f t="shared" si="20"/>
        <v>21505.830002239494</v>
      </c>
      <c r="U58" s="475">
        <f t="shared" si="21"/>
        <v>30130.295621800164</v>
      </c>
      <c r="W58" s="475">
        <f t="shared" si="22"/>
        <v>-8624.4656195606694</v>
      </c>
      <c r="Y58" s="554">
        <f t="shared" si="23"/>
        <v>-21.954322897050517</v>
      </c>
      <c r="Z58" s="516"/>
      <c r="AB58" s="423">
        <f>+IF(AB57&gt;$I$13+$I$14,XX,AB57+1)</f>
        <v>2039</v>
      </c>
      <c r="AC58" s="503"/>
      <c r="AD58" s="488">
        <f t="shared" si="4"/>
        <v>392836.78481012664</v>
      </c>
      <c r="AF58" s="555">
        <f t="shared" si="25"/>
        <v>154.44608458340429</v>
      </c>
      <c r="AH58" s="555">
        <f t="shared" si="26"/>
        <v>30.936221748877095</v>
      </c>
      <c r="AJ58" s="555">
        <f t="shared" si="27"/>
        <v>3.1571038769673296</v>
      </c>
      <c r="AL58" s="558">
        <f t="shared" si="16"/>
        <v>16267.354294615014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28"/>
        <v>3.562622590289835</v>
      </c>
      <c r="AS58" s="555"/>
      <c r="AT58" s="558">
        <f t="shared" si="6"/>
        <v>9400.3238069816452</v>
      </c>
      <c r="AV58" s="558">
        <f t="shared" si="7"/>
        <v>20729.971814818517</v>
      </c>
      <c r="AW58" s="560"/>
      <c r="AX58" s="561">
        <f t="shared" si="8"/>
        <v>30130.295621800164</v>
      </c>
      <c r="AZ58" s="430">
        <f>+IF(AZ57&gt;$I$13+$I$14,XX,AZ57+1)</f>
        <v>2039</v>
      </c>
      <c r="BA58" s="503"/>
      <c r="BB58" s="555">
        <f t="shared" si="17"/>
        <v>73.5347320645145</v>
      </c>
      <c r="BD58" s="555">
        <f t="shared" si="18"/>
        <v>11.180455689878373</v>
      </c>
      <c r="BF58" s="558">
        <f t="shared" si="9"/>
        <v>6867.0304876333685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392836.78481012664</v>
      </c>
      <c r="I59" s="726">
        <v>113.33919071684778</v>
      </c>
      <c r="K59" s="625">
        <v>26.419109119892358</v>
      </c>
      <c r="M59" s="553">
        <f t="shared" si="24"/>
        <v>0</v>
      </c>
      <c r="O59" s="625">
        <v>0.9800000000000002</v>
      </c>
      <c r="Q59" s="625">
        <v>0</v>
      </c>
      <c r="S59" s="475">
        <f t="shared" si="20"/>
        <v>21983.957814288264</v>
      </c>
      <c r="U59" s="475">
        <f t="shared" si="21"/>
        <v>31234.274039188869</v>
      </c>
      <c r="W59" s="475">
        <f t="shared" si="22"/>
        <v>-9250.3162249006054</v>
      </c>
      <c r="Y59" s="554">
        <f t="shared" si="23"/>
        <v>-23.547479723345266</v>
      </c>
      <c r="Z59" s="516"/>
      <c r="AB59" s="423">
        <f>+IF(AB58&gt;$I$13+$I$14,XX,AB58+1)</f>
        <v>2040</v>
      </c>
      <c r="AC59" s="503"/>
      <c r="AD59" s="488">
        <f t="shared" si="4"/>
        <v>392836.78481012664</v>
      </c>
      <c r="AF59" s="555">
        <f t="shared" si="25"/>
        <v>157.84389844423919</v>
      </c>
      <c r="AH59" s="555">
        <f t="shared" si="26"/>
        <v>31.616818627352391</v>
      </c>
      <c r="AJ59" s="555">
        <f t="shared" si="27"/>
        <v>3.2265601622606108</v>
      </c>
      <c r="AL59" s="558">
        <f t="shared" si="16"/>
        <v>16625.236089096543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28"/>
        <v>3.6410002872762113</v>
      </c>
      <c r="AS59" s="555"/>
      <c r="AT59" s="558">
        <f t="shared" si="6"/>
        <v>9607.1309307352385</v>
      </c>
      <c r="AV59" s="558">
        <f t="shared" si="7"/>
        <v>21627.143108453631</v>
      </c>
      <c r="AW59" s="560"/>
      <c r="AX59" s="561">
        <f t="shared" si="8"/>
        <v>31234.274039188869</v>
      </c>
      <c r="AZ59" s="430">
        <f>+IF(AZ58&gt;$I$13+$I$14,XX,AZ58+1)</f>
        <v>2040</v>
      </c>
      <c r="BA59" s="503"/>
      <c r="BB59" s="555">
        <f t="shared" si="17"/>
        <v>75.152496169933826</v>
      </c>
      <c r="BD59" s="555">
        <f t="shared" si="18"/>
        <v>11.426425715055698</v>
      </c>
      <c r="BF59" s="558">
        <f t="shared" si="9"/>
        <v>7018.1051583613034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392836.78481012664</v>
      </c>
      <c r="I60" s="726">
        <v>115.49263534046787</v>
      </c>
      <c r="K60" s="625">
        <v>26.952905054159029</v>
      </c>
      <c r="M60" s="553">
        <f t="shared" si="24"/>
        <v>0</v>
      </c>
      <c r="O60" s="625">
        <v>1</v>
      </c>
      <c r="Q60" s="625">
        <v>0</v>
      </c>
      <c r="S60" s="475">
        <f t="shared" si="20"/>
        <v>22414.70024628489</v>
      </c>
      <c r="U60" s="475">
        <f t="shared" si="21"/>
        <v>31941.645098806544</v>
      </c>
      <c r="W60" s="475">
        <f t="shared" si="22"/>
        <v>-9526.944852521654</v>
      </c>
      <c r="Y60" s="554">
        <f t="shared" si="23"/>
        <v>-24.251661811982295</v>
      </c>
      <c r="Z60" s="516"/>
      <c r="AB60" s="423">
        <f>+IF(AB59&gt;$I$13+$I$14,XX,AB59+1)</f>
        <v>2041</v>
      </c>
      <c r="AC60" s="503"/>
      <c r="AD60" s="488">
        <f t="shared" si="4"/>
        <v>392836.78481012664</v>
      </c>
      <c r="AF60" s="555">
        <f t="shared" si="25"/>
        <v>161.31646421001244</v>
      </c>
      <c r="AH60" s="555">
        <f t="shared" si="26"/>
        <v>32.312388637154143</v>
      </c>
      <c r="AJ60" s="555">
        <f t="shared" si="27"/>
        <v>3.2975444858303442</v>
      </c>
      <c r="AL60" s="558">
        <f t="shared" si="16"/>
        <v>16990.991283056665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28"/>
        <v>3.7211022935962879</v>
      </c>
      <c r="AS60" s="555"/>
      <c r="AT60" s="558">
        <f t="shared" si="6"/>
        <v>9818.4878112114129</v>
      </c>
      <c r="AV60" s="558">
        <f t="shared" si="7"/>
        <v>22123.157287595131</v>
      </c>
      <c r="AW60" s="560"/>
      <c r="AX60" s="561">
        <f t="shared" si="8"/>
        <v>31941.645098806544</v>
      </c>
      <c r="AZ60" s="430">
        <f>+IF(AZ59&gt;$I$13+$I$14,XX,AZ59+1)</f>
        <v>2041</v>
      </c>
      <c r="BA60" s="503"/>
      <c r="BB60" s="555">
        <f t="shared" si="17"/>
        <v>76.805851085672373</v>
      </c>
      <c r="BD60" s="555">
        <f t="shared" si="18"/>
        <v>11.677807080786923</v>
      </c>
      <c r="BF60" s="558">
        <f t="shared" si="9"/>
        <v>7172.5034718452516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392836.78481012664</v>
      </c>
      <c r="I61" s="726">
        <v>117.68699541193676</v>
      </c>
      <c r="K61" s="625">
        <v>27.572821870404685</v>
      </c>
      <c r="M61" s="553">
        <f t="shared" si="24"/>
        <v>0</v>
      </c>
      <c r="O61" s="625">
        <v>1.0199999999999998</v>
      </c>
      <c r="Q61" s="625">
        <v>0</v>
      </c>
      <c r="S61" s="475">
        <f t="shared" si="20"/>
        <v>22883.324758000188</v>
      </c>
      <c r="U61" s="475">
        <f t="shared" si="21"/>
        <v>32664.978883653388</v>
      </c>
      <c r="W61" s="475">
        <f t="shared" si="22"/>
        <v>-9781.6541256532</v>
      </c>
      <c r="Y61" s="554">
        <f t="shared" si="23"/>
        <v>-24.900046288641363</v>
      </c>
      <c r="Z61" s="516"/>
      <c r="AB61" s="423">
        <f>+IF(AB60&gt;$I$13+$I$14,XX,AB60+1)</f>
        <v>2042</v>
      </c>
      <c r="AC61" s="503"/>
      <c r="AD61" s="488">
        <f t="shared" si="4"/>
        <v>392836.78481012664</v>
      </c>
      <c r="AF61" s="555">
        <f t="shared" si="25"/>
        <v>164.86542642263271</v>
      </c>
      <c r="AH61" s="555">
        <f t="shared" si="26"/>
        <v>33.023261187171535</v>
      </c>
      <c r="AJ61" s="555">
        <f t="shared" si="27"/>
        <v>3.3700904645186118</v>
      </c>
      <c r="AL61" s="558">
        <f t="shared" si="16"/>
        <v>17364.793091283915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28"/>
        <v>3.8029665440554061</v>
      </c>
      <c r="AS61" s="555"/>
      <c r="AT61" s="558">
        <f t="shared" si="6"/>
        <v>10034.494543058066</v>
      </c>
      <c r="AV61" s="558">
        <f t="shared" si="7"/>
        <v>22630.484340595322</v>
      </c>
      <c r="AW61" s="560"/>
      <c r="AX61" s="561">
        <f t="shared" si="8"/>
        <v>32664.978883653388</v>
      </c>
      <c r="AZ61" s="430">
        <f>+IF(AZ60&gt;$I$13+$I$14,XX,AZ60+1)</f>
        <v>2042</v>
      </c>
      <c r="BA61" s="503"/>
      <c r="BB61" s="555">
        <f t="shared" si="17"/>
        <v>78.495579809557171</v>
      </c>
      <c r="BD61" s="555">
        <f t="shared" si="18"/>
        <v>11.934718836564237</v>
      </c>
      <c r="BF61" s="558">
        <f t="shared" si="9"/>
        <v>7330.2985482258473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392836.78481012664</v>
      </c>
      <c r="I62" s="726">
        <v>119.92304832476356</v>
      </c>
      <c r="K62" s="625">
        <v>28.206996773423988</v>
      </c>
      <c r="M62" s="553">
        <f t="shared" si="24"/>
        <v>0</v>
      </c>
      <c r="O62" s="625">
        <v>1.05</v>
      </c>
      <c r="Q62" s="625">
        <v>0</v>
      </c>
      <c r="S62" s="475">
        <f t="shared" si="20"/>
        <v>23365.60632982372</v>
      </c>
      <c r="U62" s="475">
        <f t="shared" si="21"/>
        <v>33383.608419093754</v>
      </c>
      <c r="W62" s="475">
        <f t="shared" si="22"/>
        <v>-10018.002089270034</v>
      </c>
      <c r="Y62" s="554">
        <f t="shared" si="23"/>
        <v>-25.501690464430734</v>
      </c>
      <c r="Z62" s="516"/>
      <c r="AB62" s="423">
        <f>+IF(AB61&gt;$I$13+$I$14,XX,AB61+1)</f>
        <v>2043</v>
      </c>
      <c r="AC62" s="503"/>
      <c r="AD62" s="488">
        <f t="shared" si="4"/>
        <v>392836.78481012664</v>
      </c>
      <c r="AF62" s="555">
        <f t="shared" si="25"/>
        <v>168.49246580393063</v>
      </c>
      <c r="AH62" s="555">
        <f t="shared" si="26"/>
        <v>33.749772933289307</v>
      </c>
      <c r="AJ62" s="555">
        <f t="shared" si="27"/>
        <v>3.4442324547380214</v>
      </c>
      <c r="AL62" s="558">
        <f t="shared" si="16"/>
        <v>17746.818539292155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28"/>
        <v>3.8866318080246249</v>
      </c>
      <c r="AS62" s="555"/>
      <c r="AT62" s="558">
        <f t="shared" si="6"/>
        <v>10255.253423005339</v>
      </c>
      <c r="AV62" s="558">
        <f t="shared" si="7"/>
        <v>23128.354996088419</v>
      </c>
      <c r="AW62" s="560"/>
      <c r="AX62" s="561">
        <f t="shared" si="8"/>
        <v>33383.608419093754</v>
      </c>
      <c r="AZ62" s="430">
        <f>+IF(AZ61&gt;$I$13+$I$14,XX,AZ61+1)</f>
        <v>2043</v>
      </c>
      <c r="BA62" s="503"/>
      <c r="BB62" s="555">
        <f t="shared" si="17"/>
        <v>80.222482565367429</v>
      </c>
      <c r="BD62" s="555">
        <f t="shared" si="18"/>
        <v>12.197282650968651</v>
      </c>
      <c r="BF62" s="558">
        <f t="shared" si="9"/>
        <v>7491.5651162868162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392836.78481012664</v>
      </c>
      <c r="I63" s="726">
        <v>122.20158624293406</v>
      </c>
      <c r="K63" s="625">
        <v>28.934814569621544</v>
      </c>
      <c r="M63" s="553">
        <f t="shared" si="24"/>
        <v>0</v>
      </c>
      <c r="O63" s="625">
        <v>1.0700000000000003</v>
      </c>
      <c r="Q63" s="625">
        <v>0</v>
      </c>
      <c r="S63" s="475">
        <f t="shared" si="20"/>
        <v>23884.951922404642</v>
      </c>
      <c r="U63" s="475">
        <f t="shared" si="21"/>
        <v>34129.829869680034</v>
      </c>
      <c r="W63" s="475">
        <f t="shared" si="22"/>
        <v>-10244.877947275392</v>
      </c>
      <c r="Y63" s="554">
        <f t="shared" si="23"/>
        <v>-26.079222576437544</v>
      </c>
      <c r="Z63" s="516"/>
      <c r="AB63" s="423">
        <f>+IF(AB62&gt;$I$13+$I$14,XX,AB62+1)</f>
        <v>2044</v>
      </c>
      <c r="AC63" s="503"/>
      <c r="AD63" s="488">
        <f t="shared" si="4"/>
        <v>392836.78481012664</v>
      </c>
      <c r="AF63" s="555">
        <f t="shared" si="25"/>
        <v>172.36779251742101</v>
      </c>
      <c r="AH63" s="555">
        <f t="shared" si="26"/>
        <v>34.526017710754957</v>
      </c>
      <c r="AJ63" s="555">
        <f t="shared" si="27"/>
        <v>3.5234498011969957</v>
      </c>
      <c r="AL63" s="558">
        <f t="shared" si="16"/>
        <v>18154.995365695875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28"/>
        <v>3.9760243396091908</v>
      </c>
      <c r="AS63" s="555"/>
      <c r="AT63" s="558">
        <f t="shared" si="6"/>
        <v>10491.124251734462</v>
      </c>
      <c r="AV63" s="558">
        <f t="shared" si="7"/>
        <v>23638.705617945569</v>
      </c>
      <c r="AW63" s="560"/>
      <c r="AX63" s="561">
        <f t="shared" si="8"/>
        <v>34129.829869680034</v>
      </c>
      <c r="AZ63" s="430">
        <f>+IF(AZ62&gt;$I$13+$I$14,XX,AZ62+1)</f>
        <v>2044</v>
      </c>
      <c r="BA63" s="503"/>
      <c r="BB63" s="555">
        <f t="shared" si="17"/>
        <v>82.067599664370874</v>
      </c>
      <c r="BD63" s="555">
        <f t="shared" si="18"/>
        <v>12.477820151940929</v>
      </c>
      <c r="BF63" s="558">
        <f t="shared" si="9"/>
        <v>7663.8711139614134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392836.78481012664</v>
      </c>
      <c r="I64" s="726">
        <v>124.52341638154979</v>
      </c>
      <c r="K64" s="625">
        <v>29.519440126294636</v>
      </c>
      <c r="M64" s="553">
        <f t="shared" si="24"/>
        <v>0</v>
      </c>
      <c r="O64" s="625">
        <v>1.1000000000000001</v>
      </c>
      <c r="Q64" s="625">
        <v>0</v>
      </c>
      <c r="S64" s="475">
        <f t="shared" si="20"/>
        <v>24356.260633673195</v>
      </c>
      <c r="U64" s="475">
        <f t="shared" si="21"/>
        <v>34892.73917968262</v>
      </c>
      <c r="W64" s="475">
        <f t="shared" si="22"/>
        <v>-10536.478546009424</v>
      </c>
      <c r="Y64" s="554">
        <f t="shared" si="23"/>
        <v>-26.821517112003949</v>
      </c>
      <c r="Z64" s="516"/>
      <c r="AB64" s="423">
        <f>+IF(AB63&gt;$I$13+$I$14,XX,AB63+1)</f>
        <v>2045</v>
      </c>
      <c r="AC64" s="503"/>
      <c r="AD64" s="488">
        <f t="shared" si="4"/>
        <v>392836.78481012664</v>
      </c>
      <c r="AF64" s="555">
        <f t="shared" si="25"/>
        <v>176.33225174532168</v>
      </c>
      <c r="AH64" s="555">
        <f t="shared" si="26"/>
        <v>35.32011611810232</v>
      </c>
      <c r="AJ64" s="555">
        <f t="shared" si="27"/>
        <v>3.6044891466245264</v>
      </c>
      <c r="AL64" s="558">
        <f t="shared" si="16"/>
        <v>18572.560259106878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28"/>
        <v>4.0674728994202018</v>
      </c>
      <c r="AS64" s="555"/>
      <c r="AT64" s="558">
        <f t="shared" si="6"/>
        <v>10732.420109524353</v>
      </c>
      <c r="AV64" s="558">
        <f t="shared" si="7"/>
        <v>24160.319070158268</v>
      </c>
      <c r="AW64" s="560"/>
      <c r="AX64" s="561">
        <f t="shared" si="8"/>
        <v>34892.73917968262</v>
      </c>
      <c r="AZ64" s="430">
        <f>+IF(AZ63&gt;$I$13+$I$14,XX,AZ63+1)</f>
        <v>2045</v>
      </c>
      <c r="BA64" s="503"/>
      <c r="BB64" s="555">
        <f t="shared" si="17"/>
        <v>83.9551544566514</v>
      </c>
      <c r="BD64" s="555">
        <f t="shared" si="18"/>
        <v>12.764810015435568</v>
      </c>
      <c r="BF64" s="558">
        <f t="shared" si="9"/>
        <v>7840.1401495825248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392836.78481012664</v>
      </c>
      <c r="I65" s="726">
        <v>126.88936129279922</v>
      </c>
      <c r="K65" s="625">
        <v>30.198387249199406</v>
      </c>
      <c r="M65" s="553">
        <f t="shared" si="24"/>
        <v>0</v>
      </c>
      <c r="O65" s="625">
        <v>1.1200000000000001</v>
      </c>
      <c r="Q65" s="625">
        <v>0</v>
      </c>
      <c r="S65" s="475">
        <f t="shared" si="20"/>
        <v>24865.061320401084</v>
      </c>
      <c r="U65" s="475">
        <f t="shared" si="21"/>
        <v>35672.709714721277</v>
      </c>
      <c r="W65" s="475">
        <f t="shared" si="22"/>
        <v>-10807.648394320193</v>
      </c>
      <c r="Y65" s="554">
        <f t="shared" si="23"/>
        <v>-27.511803405946193</v>
      </c>
      <c r="Z65" s="516"/>
      <c r="AB65" s="423">
        <f>+IF(AB64&gt;$I$13+$I$14,XX,AB64+1)</f>
        <v>2046</v>
      </c>
      <c r="AC65" s="503"/>
      <c r="AD65" s="488">
        <f t="shared" si="4"/>
        <v>392836.78481012664</v>
      </c>
      <c r="AF65" s="555">
        <f t="shared" si="25"/>
        <v>180.38789353546406</v>
      </c>
      <c r="AH65" s="555">
        <f t="shared" si="26"/>
        <v>36.132478788818666</v>
      </c>
      <c r="AJ65" s="555">
        <f t="shared" si="27"/>
        <v>3.68739239699689</v>
      </c>
      <c r="AL65" s="558">
        <f t="shared" si="16"/>
        <v>18999.729145066332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28"/>
        <v>4.1610247761068662</v>
      </c>
      <c r="AS65" s="555"/>
      <c r="AT65" s="558">
        <f t="shared" si="6"/>
        <v>10979.265772043411</v>
      </c>
      <c r="AV65" s="558">
        <f t="shared" si="7"/>
        <v>24693.443942677863</v>
      </c>
      <c r="AW65" s="560"/>
      <c r="AX65" s="561">
        <f t="shared" si="8"/>
        <v>35672.709714721277</v>
      </c>
      <c r="AZ65" s="430">
        <f>+IF(AZ64&gt;$I$13+$I$14,XX,AZ64+1)</f>
        <v>2046</v>
      </c>
      <c r="BA65" s="503"/>
      <c r="BB65" s="555">
        <f t="shared" si="17"/>
        <v>85.886123009154375</v>
      </c>
      <c r="BD65" s="555">
        <f t="shared" si="18"/>
        <v>13.058400645790584</v>
      </c>
      <c r="BF65" s="558">
        <f t="shared" si="9"/>
        <v>8020.4633730229225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392836.78481012664</v>
      </c>
      <c r="I66" s="726">
        <v>129.3002591573624</v>
      </c>
      <c r="K66" s="625">
        <v>30.892950155930983</v>
      </c>
      <c r="M66" s="553">
        <f t="shared" si="24"/>
        <v>0</v>
      </c>
      <c r="O66" s="625">
        <v>1.1499999999999997</v>
      </c>
      <c r="Q66" s="625">
        <v>0</v>
      </c>
      <c r="S66" s="475">
        <f t="shared" si="20"/>
        <v>25388.37517166595</v>
      </c>
      <c r="U66" s="475">
        <f t="shared" si="21"/>
        <v>36470.12319781175</v>
      </c>
      <c r="W66" s="475">
        <f t="shared" si="22"/>
        <v>-11081.7480261458</v>
      </c>
      <c r="Y66" s="554">
        <f t="shared" si="23"/>
        <v>-28.209547717131539</v>
      </c>
      <c r="Z66" s="516"/>
      <c r="AB66" s="423">
        <f>+IF(AB65&gt;$I$13+$I$14,XX,AB65+1)</f>
        <v>2047</v>
      </c>
      <c r="AC66" s="503"/>
      <c r="AD66" s="488">
        <f t="shared" si="4"/>
        <v>392836.78481012664</v>
      </c>
      <c r="AF66" s="555">
        <f t="shared" si="25"/>
        <v>184.53681508677971</v>
      </c>
      <c r="AH66" s="555">
        <f t="shared" si="26"/>
        <v>36.963525800961492</v>
      </c>
      <c r="AJ66" s="555">
        <f t="shared" si="27"/>
        <v>3.7722024221278181</v>
      </c>
      <c r="AL66" s="558">
        <f t="shared" si="16"/>
        <v>19436.722915402865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28"/>
        <v>4.256728345957324</v>
      </c>
      <c r="AS66" s="555"/>
      <c r="AT66" s="558">
        <f t="shared" si="6"/>
        <v>11231.788884800417</v>
      </c>
      <c r="AV66" s="558">
        <f t="shared" si="7"/>
        <v>25238.334313011335</v>
      </c>
      <c r="AW66" s="560"/>
      <c r="AX66" s="561">
        <f t="shared" si="8"/>
        <v>36470.12319781175</v>
      </c>
      <c r="AZ66" s="430">
        <f>+IF(AZ65&gt;$I$13+$I$14,XX,AZ65+1)</f>
        <v>2047</v>
      </c>
      <c r="BA66" s="503"/>
      <c r="BB66" s="555">
        <f t="shared" si="17"/>
        <v>87.861503838364911</v>
      </c>
      <c r="BD66" s="555">
        <f t="shared" si="18"/>
        <v>13.358743860643767</v>
      </c>
      <c r="BF66" s="558">
        <f t="shared" si="9"/>
        <v>8204.9340306024478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392836.78481012664</v>
      </c>
      <c r="I67" s="726">
        <v>131.75696408135232</v>
      </c>
      <c r="K67" s="625">
        <v>31.690072908173615</v>
      </c>
      <c r="M67" s="553">
        <f t="shared" si="24"/>
        <v>0</v>
      </c>
      <c r="O67" s="625">
        <v>1.17</v>
      </c>
      <c r="Q67" s="625">
        <v>0</v>
      </c>
      <c r="S67" s="475">
        <f t="shared" si="20"/>
        <v>25952.584833927147</v>
      </c>
      <c r="U67" s="475">
        <f t="shared" si="21"/>
        <v>37272.465908163613</v>
      </c>
      <c r="W67" s="475">
        <f t="shared" si="22"/>
        <v>-11319.881074236466</v>
      </c>
      <c r="Y67" s="554">
        <f t="shared" si="23"/>
        <v>-28.815735979785615</v>
      </c>
      <c r="Z67" s="516"/>
      <c r="AB67" s="423">
        <f>+IF(AB66&gt;$I$13+$I$14,XX,AB66+1)</f>
        <v>2048</v>
      </c>
      <c r="AC67" s="503"/>
      <c r="AD67" s="488">
        <f t="shared" si="4"/>
        <v>392836.78481012664</v>
      </c>
      <c r="AF67" s="555">
        <f t="shared" si="25"/>
        <v>188.59662501868885</v>
      </c>
      <c r="AH67" s="555">
        <f t="shared" si="26"/>
        <v>37.776723368582644</v>
      </c>
      <c r="AJ67" s="555">
        <f t="shared" si="27"/>
        <v>3.85519087541463</v>
      </c>
      <c r="AL67" s="558">
        <f>((AF67+AH67)*$AF$11*1000+AJ67*AD67)/1000</f>
        <v>19864.330819541723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28"/>
        <v>4.3503763695683855</v>
      </c>
      <c r="AS67" s="555"/>
      <c r="AT67" s="558">
        <f t="shared" si="6"/>
        <v>11478.88824026602</v>
      </c>
      <c r="AV67" s="558">
        <f t="shared" si="7"/>
        <v>25793.577667897593</v>
      </c>
      <c r="AW67" s="560"/>
      <c r="AX67" s="561">
        <f t="shared" si="8"/>
        <v>37272.465908163613</v>
      </c>
      <c r="AZ67" s="430">
        <f>+IF(AZ66&gt;$I$13+$I$14,XX,AZ66+1)</f>
        <v>2048</v>
      </c>
      <c r="BA67" s="503"/>
      <c r="BB67" s="555">
        <f t="shared" si="17"/>
        <v>89.794456922808934</v>
      </c>
      <c r="BD67" s="555">
        <f t="shared" si="18"/>
        <v>13.652636225577929</v>
      </c>
      <c r="BF67" s="558">
        <f t="shared" si="9"/>
        <v>8385.4425792757029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163234.77510894378</v>
      </c>
      <c r="I68" s="726">
        <v>67.130173199449004</v>
      </c>
      <c r="K68" s="625">
        <v>13.470986764056793</v>
      </c>
      <c r="M68" s="553">
        <f t="shared" si="24"/>
        <v>0</v>
      </c>
      <c r="O68" s="625">
        <v>1.2000000000000002</v>
      </c>
      <c r="Q68" s="625">
        <v>0</v>
      </c>
      <c r="S68" s="475">
        <f t="shared" si="20"/>
        <v>9040.7023718025521</v>
      </c>
      <c r="U68" s="475">
        <f t="shared" si="21"/>
        <v>16592.71440621691</v>
      </c>
      <c r="W68" s="475">
        <f t="shared" si="22"/>
        <v>-7552.0120344143579</v>
      </c>
      <c r="Y68" s="554">
        <f t="shared" si="23"/>
        <v>-46.264725328130012</v>
      </c>
      <c r="Z68" s="516"/>
      <c r="AB68" s="423">
        <f>+IF(AB67&gt;$I$13+$I$14,XX,AB67+1)</f>
        <v>2049</v>
      </c>
      <c r="AC68" s="503"/>
      <c r="AD68" s="488">
        <f t="shared" si="4"/>
        <v>163234.77510894378</v>
      </c>
      <c r="AF68" s="555">
        <f t="shared" si="25"/>
        <v>192.7457507691</v>
      </c>
      <c r="AH68" s="555">
        <f t="shared" si="26"/>
        <v>38.607811282691465</v>
      </c>
      <c r="AJ68" s="555">
        <f t="shared" si="27"/>
        <v>3.9400050746737518</v>
      </c>
      <c r="AL68" s="558">
        <f>((AF68+AH68)*$AR$11*1000+AJ68*AD68)/1000</f>
        <v>14208.881852637591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28"/>
        <v>4.4460846496988902</v>
      </c>
      <c r="AS68" s="555"/>
      <c r="AT68" s="558">
        <f t="shared" si="6"/>
        <v>5638.9595366178237</v>
      </c>
      <c r="AV68" s="558">
        <f t="shared" si="7"/>
        <v>10953.754869599088</v>
      </c>
      <c r="AW68" s="560"/>
      <c r="AX68" s="561">
        <f t="shared" si="8"/>
        <v>16592.71440621691</v>
      </c>
      <c r="AZ68" s="430">
        <f>+IF(AZ67&gt;$I$13+$I$14,XX,AZ67+1)</f>
        <v>2049</v>
      </c>
      <c r="BA68" s="503"/>
      <c r="BB68" s="555">
        <f t="shared" si="17"/>
        <v>91.769934975110729</v>
      </c>
      <c r="BD68" s="555">
        <f t="shared" si="18"/>
        <v>13.952994222540644</v>
      </c>
      <c r="BF68" s="558">
        <f t="shared" si="9"/>
        <v>8569.9223160197671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365480.81174413947</v>
      </c>
      <c r="I70" s="617">
        <f>+-PMT($I$18,41,NPV($I$18,I28:I68))</f>
        <v>217.74449468504244</v>
      </c>
      <c r="J70" s="553"/>
      <c r="K70" s="617">
        <f>+-PMT($I$18,41,NPV($I$18,K28:K68))</f>
        <v>11.885279703525475</v>
      </c>
      <c r="M70" s="553">
        <f>+-PMT($G$18,$G$14,NPV($G$18,M28:M51))</f>
        <v>0</v>
      </c>
      <c r="O70" s="617">
        <f>+-PMT($I$18,41,NPV($I$18,O28:O68))</f>
        <v>3.4222699312433287</v>
      </c>
      <c r="Q70" s="617">
        <f>+-PMT($I$18,41,NPV($I$18,Q28:Q68))</f>
        <v>-28.157798181959532</v>
      </c>
      <c r="S70" s="617">
        <f>+-PMT($I$18,41,NPV($I$18,S28:S68))</f>
        <v>17170.797639483721</v>
      </c>
      <c r="U70" s="617">
        <f>+-PMT($I$18,41,NPV($I$18,U28:U68))</f>
        <v>22852.715510645838</v>
      </c>
      <c r="W70" s="626">
        <f>+-PMT($I$18,41,NPV($I$18,W28:W68))</f>
        <v>-5681.9178711621162</v>
      </c>
      <c r="Y70" s="617">
        <f>+-PMT($I$18,41,NPV($I$18,Y28:Y68))</f>
        <v>-17.131349246162966</v>
      </c>
      <c r="Z70" s="516"/>
      <c r="AB70" s="526"/>
      <c r="AD70" s="617">
        <f>+-PMT($I$18,41,NPV($I$18,AD28:AD68))</f>
        <v>365480.81174413947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9911.1438876621687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5134.9830921121011</v>
      </c>
      <c r="AV70" s="618">
        <f>+-PMT($I$18,41,NPV($I$18,AV28:AV68))</f>
        <v>17717.732418533735</v>
      </c>
      <c r="AW70" s="560"/>
      <c r="AX70" s="618">
        <f>+-PMT($I$18,41,NPV($I$18,AX28:AX68))</f>
        <v>22852.715510645838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4776.1607955500749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DF86F-2C2B-42C5-AFCE-0547061412D2}">
  <sheetPr codeName="Sheet37">
    <tabColor theme="4" tint="0.59999389629810485"/>
    <pageSetUpPr fitToPage="1"/>
  </sheetPr>
  <dimension ref="A1:BL81"/>
  <sheetViews>
    <sheetView topLeftCell="A57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340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19.5</v>
      </c>
      <c r="H11" s="510"/>
      <c r="I11" s="621">
        <v>19.5</v>
      </c>
      <c r="AB11" s="511" t="s">
        <v>99</v>
      </c>
      <c r="AC11" s="512"/>
      <c r="AD11" s="512"/>
      <c r="AE11" s="512"/>
      <c r="AF11" s="518">
        <f>+G11*(G12/AJ16)</f>
        <v>17.541218613537112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11.902157981815892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17.541218613537112</v>
      </c>
      <c r="BE11" s="519"/>
      <c r="BG11" s="586" t="s">
        <v>99</v>
      </c>
      <c r="BH11" s="587"/>
      <c r="BI11" s="587"/>
      <c r="BJ11" s="587"/>
      <c r="BK11" s="591">
        <f>(AR11*AR13-I11*I19)</f>
        <v>8.8211579818158921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731">
        <v>0.438</v>
      </c>
      <c r="H12" s="510"/>
      <c r="I12" s="593">
        <v>0.42899999999999999</v>
      </c>
      <c r="AB12" s="511" t="s">
        <v>32</v>
      </c>
      <c r="AC12" s="512"/>
      <c r="AD12" s="512"/>
      <c r="AE12" s="512"/>
      <c r="AF12" s="520">
        <f>+AD53/8760/AF11</f>
        <v>0.49759651338318484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0.70352981994928987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172.81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3.0226001759568999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62229</v>
      </c>
      <c r="I28" s="550">
        <f>$G$15</f>
        <v>172.81</v>
      </c>
      <c r="J28" s="550"/>
      <c r="K28" s="550">
        <f>$G$16</f>
        <v>3.0226001759568999</v>
      </c>
      <c r="L28" s="551"/>
      <c r="M28" s="550">
        <f>$G$17</f>
        <v>0</v>
      </c>
      <c r="O28" s="552">
        <v>5.0889135290620127</v>
      </c>
      <c r="Q28" s="553">
        <v>-33.844219890731516</v>
      </c>
      <c r="S28" s="475">
        <f t="shared" ref="S28:S34" si="0">(I28*$G$11*1000+(K28+M28+O28+Q28)*G28)/1000</f>
        <v>1768.4744267692906</v>
      </c>
      <c r="U28" s="475">
        <f t="shared" ref="U28:U34" si="1">AX28</f>
        <v>4179.9204539217289</v>
      </c>
      <c r="W28" s="475">
        <f t="shared" ref="W28:W34" si="2">S28-U28</f>
        <v>-2411.4460271524385</v>
      </c>
      <c r="Y28" s="554">
        <f t="shared" ref="Y28:Y34" si="3">+W28*1000/G28</f>
        <v>-38.751161470575433</v>
      </c>
      <c r="Z28" s="516"/>
      <c r="AB28" s="544">
        <f>$C$28</f>
        <v>2009</v>
      </c>
      <c r="AC28" s="503"/>
      <c r="AD28" s="488">
        <f t="shared" ref="AD28:AD68" si="4">G28</f>
        <v>62229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1307.5406720197186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515.54188637205425</v>
      </c>
      <c r="AU28" s="557"/>
      <c r="AV28" s="558">
        <f t="shared" ref="AV28:AV68" si="7">(AP28+AR28)*AD28/1000</f>
        <v>3664.3785675496747</v>
      </c>
      <c r="AW28" s="560"/>
      <c r="AX28" s="561">
        <f t="shared" ref="AX28:AX68" si="8">AT28+AV28</f>
        <v>4179.9204539217289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791.99878564766436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67722</v>
      </c>
      <c r="I29" s="553">
        <f>I28*(1+$E29)</f>
        <v>176.09339</v>
      </c>
      <c r="K29" s="553">
        <f t="shared" ref="K29:K37" si="10">K28*(1+$E29)</f>
        <v>3.0800295793000809</v>
      </c>
      <c r="M29" s="553">
        <f t="shared" ref="M29:M37" si="11">M28*(1+$E29)</f>
        <v>0</v>
      </c>
      <c r="O29" s="553">
        <f>O28*(1+$E29)</f>
        <v>5.1856028861141903</v>
      </c>
      <c r="Q29" s="553">
        <v>-35.45584940933778</v>
      </c>
      <c r="S29" s="475">
        <f t="shared" si="0"/>
        <v>1592.4452331236121</v>
      </c>
      <c r="U29" s="475">
        <f t="shared" si="1"/>
        <v>4382.3211728583628</v>
      </c>
      <c r="W29" s="475">
        <f t="shared" si="2"/>
        <v>-2789.8759397347508</v>
      </c>
      <c r="Y29" s="554">
        <f t="shared" si="3"/>
        <v>-41.196006316038378</v>
      </c>
      <c r="Z29" s="516"/>
      <c r="AB29" s="544">
        <f>+IF(AB28&gt;$G$13+$G$14,XX,AB28+1)</f>
        <v>2010</v>
      </c>
      <c r="AC29" s="503"/>
      <c r="AD29" s="488">
        <f t="shared" si="4"/>
        <v>67722</v>
      </c>
      <c r="AF29" s="555">
        <f t="shared" ref="AF29:AF37" si="12">AF28*(1+$E29)</f>
        <v>59.268516989789418</v>
      </c>
      <c r="AH29" s="555">
        <f t="shared" ref="AH29:AH37" si="13">AH28*(1+$E29)</f>
        <v>8.3559056765968087</v>
      </c>
      <c r="AJ29" s="555">
        <f t="shared" ref="AJ29:AJ37" si="14">AJ28*(1+$E29)</f>
        <v>2.3488914040524227</v>
      </c>
      <c r="AL29" s="558">
        <f t="shared" ref="AL29:AL66" si="15">((AF29+AH29)*$AF$11*1000+AJ29*AD29)/1000</f>
        <v>1345.2864052705531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538.23964269558337</v>
      </c>
      <c r="AV29" s="558">
        <f t="shared" si="7"/>
        <v>3844.0815301627795</v>
      </c>
      <c r="AW29" s="560"/>
      <c r="AX29" s="561">
        <f t="shared" si="8"/>
        <v>4382.3211728583628</v>
      </c>
      <c r="AZ29" s="544">
        <f>+IF(AZ28&gt;$G$13+$G$14,XX,AZ28+1)</f>
        <v>2010</v>
      </c>
      <c r="BA29" s="503"/>
      <c r="BB29" s="555">
        <f t="shared" ref="BB29:BB68" si="16">BB28*(1+$E29)</f>
        <v>39.936516017693386</v>
      </c>
      <c r="BD29" s="555">
        <f t="shared" ref="BD29:BD68" si="17">BD28*(1+$E29)</f>
        <v>6.0720755377499982</v>
      </c>
      <c r="BF29" s="558">
        <f t="shared" si="9"/>
        <v>807.04676257496976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83613</v>
      </c>
      <c r="I30" s="553">
        <f t="shared" ref="I30:I37" si="18">I29*(1+$E30)</f>
        <v>179.43916440999999</v>
      </c>
      <c r="K30" s="553">
        <f t="shared" si="10"/>
        <v>3.1385501413067822</v>
      </c>
      <c r="M30" s="553">
        <f t="shared" si="11"/>
        <v>0</v>
      </c>
      <c r="O30" s="553">
        <f t="shared" ref="O30:O37" si="19">O29*(1+$E30)</f>
        <v>5.2841293409503596</v>
      </c>
      <c r="Q30" s="553">
        <v>-35.45584940933778</v>
      </c>
      <c r="S30" s="475">
        <f t="shared" si="0"/>
        <v>1238.7392688820064</v>
      </c>
      <c r="U30" s="475">
        <f t="shared" si="1"/>
        <v>5096.3019433168638</v>
      </c>
      <c r="W30" s="475">
        <f t="shared" si="2"/>
        <v>-3857.5626744348574</v>
      </c>
      <c r="Y30" s="554">
        <f t="shared" si="3"/>
        <v>-46.13591994587992</v>
      </c>
      <c r="Z30" s="516"/>
      <c r="AB30" s="544">
        <f>+IF(AB29&gt;$G$13+$G$14,XX,AB29+1)</f>
        <v>2011</v>
      </c>
      <c r="AC30" s="503"/>
      <c r="AD30" s="488">
        <f t="shared" si="4"/>
        <v>83613</v>
      </c>
      <c r="AF30" s="555">
        <f t="shared" si="12"/>
        <v>60.394618812595411</v>
      </c>
      <c r="AH30" s="555">
        <f t="shared" si="13"/>
        <v>8.5146678844521482</v>
      </c>
      <c r="AJ30" s="555">
        <f t="shared" si="14"/>
        <v>2.3935203407294185</v>
      </c>
      <c r="AL30" s="558">
        <f t="shared" si="15"/>
        <v>1408.882278705225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41" si="20">AR29*(1+$E30)</f>
        <v>2.4775859496653472</v>
      </c>
      <c r="AS30" s="555"/>
      <c r="AT30" s="558">
        <f t="shared" si="6"/>
        <v>586.50162764133074</v>
      </c>
      <c r="AV30" s="558">
        <f t="shared" si="7"/>
        <v>4509.8003156755331</v>
      </c>
      <c r="AW30" s="560"/>
      <c r="AX30" s="561">
        <f t="shared" si="8"/>
        <v>5096.3019433168638</v>
      </c>
      <c r="AZ30" s="544">
        <f>+IF(AZ29&gt;$G$13+$G$14,XX,AZ29+1)</f>
        <v>2011</v>
      </c>
      <c r="BA30" s="503"/>
      <c r="BB30" s="555">
        <f t="shared" si="16"/>
        <v>40.695309822029557</v>
      </c>
      <c r="BD30" s="555">
        <f t="shared" si="17"/>
        <v>6.1874449729672474</v>
      </c>
      <c r="BF30" s="558">
        <f t="shared" si="9"/>
        <v>822.38065106389422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72558</v>
      </c>
      <c r="I31" s="553">
        <f t="shared" si="18"/>
        <v>183.02794769819999</v>
      </c>
      <c r="K31" s="553">
        <f t="shared" si="10"/>
        <v>3.2013211441329181</v>
      </c>
      <c r="M31" s="553">
        <f t="shared" si="11"/>
        <v>0</v>
      </c>
      <c r="O31" s="553">
        <f t="shared" si="19"/>
        <v>5.389811927769367</v>
      </c>
      <c r="Q31" s="553">
        <v>-35.45584940933778</v>
      </c>
      <c r="S31" s="475">
        <f t="shared" si="0"/>
        <v>1619.7948921032548</v>
      </c>
      <c r="U31" s="475">
        <f t="shared" si="1"/>
        <v>4288.2017306652233</v>
      </c>
      <c r="W31" s="475">
        <f t="shared" si="2"/>
        <v>-2668.4068385619685</v>
      </c>
      <c r="Y31" s="554">
        <f t="shared" si="3"/>
        <v>-36.776190613880871</v>
      </c>
      <c r="Z31" s="516"/>
      <c r="AB31" s="544">
        <f>+IF(AB30&gt;$G$13+$G$14,XX,AB30+1)</f>
        <v>2012</v>
      </c>
      <c r="AC31" s="503"/>
      <c r="AD31" s="488">
        <f t="shared" si="4"/>
        <v>72558</v>
      </c>
      <c r="AF31" s="555">
        <f t="shared" si="12"/>
        <v>61.602511188847323</v>
      </c>
      <c r="AH31" s="555">
        <f t="shared" si="13"/>
        <v>8.6849612421411919</v>
      </c>
      <c r="AJ31" s="555">
        <f t="shared" si="14"/>
        <v>2.4413907475440069</v>
      </c>
      <c r="AL31" s="558">
        <f t="shared" si="15"/>
        <v>1410.0703495652303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20"/>
        <v>2.527137668658654</v>
      </c>
      <c r="AS31" s="555"/>
      <c r="AT31" s="558">
        <f t="shared" si="6"/>
        <v>571.24208548005822</v>
      </c>
      <c r="AV31" s="558">
        <f t="shared" si="7"/>
        <v>3716.9596451851653</v>
      </c>
      <c r="AW31" s="560"/>
      <c r="AX31" s="561">
        <f t="shared" si="8"/>
        <v>4288.2017306652233</v>
      </c>
      <c r="AZ31" s="544">
        <f>+IF(AZ30&gt;$G$13+$G$14,XX,AZ30+1)</f>
        <v>2012</v>
      </c>
      <c r="BA31" s="503"/>
      <c r="BB31" s="555">
        <f t="shared" si="16"/>
        <v>41.509216018470148</v>
      </c>
      <c r="BD31" s="555">
        <f t="shared" si="17"/>
        <v>6.3111938724265926</v>
      </c>
      <c r="BF31" s="558">
        <f t="shared" si="9"/>
        <v>838.82826408517212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77049</v>
      </c>
      <c r="I32" s="553">
        <f t="shared" si="18"/>
        <v>186.50547870446579</v>
      </c>
      <c r="K32" s="553">
        <f t="shared" si="10"/>
        <v>3.2621462458714432</v>
      </c>
      <c r="M32" s="553">
        <f t="shared" si="11"/>
        <v>0</v>
      </c>
      <c r="O32" s="553">
        <f t="shared" si="19"/>
        <v>5.4922183543969849</v>
      </c>
      <c r="Q32" s="553">
        <v>-37.067478927944045</v>
      </c>
      <c r="S32" s="475">
        <f t="shared" si="0"/>
        <v>1455.3596889040041</v>
      </c>
      <c r="U32" s="475">
        <f t="shared" si="1"/>
        <v>4542.3243312218265</v>
      </c>
      <c r="W32" s="475">
        <f t="shared" si="2"/>
        <v>-3086.9646423178224</v>
      </c>
      <c r="Y32" s="554">
        <f t="shared" si="3"/>
        <v>-40.064954020400293</v>
      </c>
      <c r="Z32" s="516"/>
      <c r="AB32" s="544">
        <f>+IF(AB31&gt;$G$13+$G$14,XX,AB31+1)</f>
        <v>2013</v>
      </c>
      <c r="AC32" s="503"/>
      <c r="AD32" s="488">
        <f t="shared" si="4"/>
        <v>77049</v>
      </c>
      <c r="AF32" s="555">
        <f t="shared" si="12"/>
        <v>62.772958901435416</v>
      </c>
      <c r="AH32" s="555">
        <f t="shared" si="13"/>
        <v>8.8499755057418739</v>
      </c>
      <c r="AJ32" s="555">
        <f t="shared" si="14"/>
        <v>2.4877771717473429</v>
      </c>
      <c r="AL32" s="558">
        <f t="shared" si="15"/>
        <v>1448.0342934852872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20"/>
        <v>2.5751532843631684</v>
      </c>
      <c r="AS32" s="555"/>
      <c r="AT32" s="558">
        <f t="shared" si="6"/>
        <v>593.26829238249695</v>
      </c>
      <c r="AV32" s="558">
        <f t="shared" si="7"/>
        <v>3949.0560388393292</v>
      </c>
      <c r="AW32" s="560"/>
      <c r="AX32" s="561">
        <f t="shared" si="8"/>
        <v>4542.3243312218265</v>
      </c>
      <c r="AZ32" s="544">
        <f>+IF(AZ31&gt;$G$13+$G$14,XX,AZ31+1)</f>
        <v>2013</v>
      </c>
      <c r="BA32" s="503"/>
      <c r="BB32" s="555">
        <f t="shared" si="16"/>
        <v>42.297891122821078</v>
      </c>
      <c r="BD32" s="555">
        <f t="shared" si="17"/>
        <v>6.431106556002697</v>
      </c>
      <c r="BF32" s="558">
        <f t="shared" si="9"/>
        <v>854.76600110279026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73601</v>
      </c>
      <c r="I33" s="553">
        <f t="shared" si="18"/>
        <v>189.86257732114618</v>
      </c>
      <c r="K33" s="553">
        <f t="shared" si="10"/>
        <v>3.3208648782971291</v>
      </c>
      <c r="M33" s="553">
        <f t="shared" si="11"/>
        <v>0</v>
      </c>
      <c r="O33" s="553">
        <f t="shared" si="19"/>
        <v>5.5910782847761311</v>
      </c>
      <c r="Q33" s="553">
        <v>-37.067478927944045</v>
      </c>
      <c r="S33" s="475">
        <f t="shared" si="0"/>
        <v>1630.044669932096</v>
      </c>
      <c r="U33" s="475">
        <f t="shared" si="1"/>
        <v>4485.6783381735177</v>
      </c>
      <c r="W33" s="475">
        <f t="shared" si="2"/>
        <v>-2855.6336682414217</v>
      </c>
      <c r="Y33" s="554">
        <f t="shared" si="3"/>
        <v>-38.798843334213146</v>
      </c>
      <c r="Z33" s="516"/>
      <c r="AB33" s="544">
        <f>+IF(AB32&gt;$G$13+$G$14,XX,AB32+1)</f>
        <v>2014</v>
      </c>
      <c r="AC33" s="503"/>
      <c r="AD33" s="488">
        <f t="shared" si="4"/>
        <v>73601</v>
      </c>
      <c r="AF33" s="555">
        <f t="shared" si="12"/>
        <v>63.902872161661257</v>
      </c>
      <c r="AH33" s="555">
        <f t="shared" si="13"/>
        <v>9.0092750648452284</v>
      </c>
      <c r="AJ33" s="555">
        <f t="shared" si="14"/>
        <v>2.5325571608387953</v>
      </c>
      <c r="AL33" s="558">
        <f t="shared" si="15"/>
        <v>1465.3666536774501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20"/>
        <v>2.6215060434817055</v>
      </c>
      <c r="AS33" s="555"/>
      <c r="AT33" s="558">
        <f t="shared" si="6"/>
        <v>595.21486455480965</v>
      </c>
      <c r="AV33" s="558">
        <f t="shared" si="7"/>
        <v>3890.4634736187077</v>
      </c>
      <c r="AW33" s="560"/>
      <c r="AX33" s="561">
        <f t="shared" si="8"/>
        <v>4485.6783381735177</v>
      </c>
      <c r="AZ33" s="544">
        <f>+IF(AZ32&gt;$G$13+$G$14,XX,AZ32+1)</f>
        <v>2014</v>
      </c>
      <c r="BA33" s="503"/>
      <c r="BB33" s="555">
        <f t="shared" si="16"/>
        <v>43.059253163031855</v>
      </c>
      <c r="BD33" s="555">
        <f t="shared" si="17"/>
        <v>6.5468664740107458</v>
      </c>
      <c r="BF33" s="558">
        <f t="shared" si="9"/>
        <v>870.15178912264048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64063</v>
      </c>
      <c r="I34" s="553">
        <f t="shared" si="18"/>
        <v>193.2801037129268</v>
      </c>
      <c r="K34" s="553">
        <f t="shared" si="10"/>
        <v>3.3806404461064776</v>
      </c>
      <c r="M34" s="553">
        <f t="shared" si="11"/>
        <v>0</v>
      </c>
      <c r="O34" s="553">
        <f t="shared" si="19"/>
        <v>5.6917176939021017</v>
      </c>
      <c r="Q34" s="553">
        <v>-37.067478927944045</v>
      </c>
      <c r="S34" s="475">
        <f t="shared" si="0"/>
        <v>1975.5105993645632</v>
      </c>
      <c r="U34" s="475">
        <f t="shared" si="1"/>
        <v>4157.9641759192618</v>
      </c>
      <c r="W34" s="475">
        <f t="shared" si="2"/>
        <v>-2182.4535765546989</v>
      </c>
      <c r="Y34" s="554">
        <f t="shared" si="3"/>
        <v>-34.067302133129871</v>
      </c>
      <c r="Z34" s="516"/>
      <c r="AB34" s="544">
        <f>+IF(AB33&gt;$G$13+$G$14,XX,AB33+1)</f>
        <v>2015</v>
      </c>
      <c r="AC34" s="503"/>
      <c r="AD34" s="488">
        <f t="shared" si="4"/>
        <v>64063</v>
      </c>
      <c r="AF34" s="555">
        <f t="shared" si="12"/>
        <v>65.053123860571162</v>
      </c>
      <c r="AH34" s="555">
        <f t="shared" si="13"/>
        <v>9.1714420160124419</v>
      </c>
      <c r="AJ34" s="555">
        <f t="shared" si="14"/>
        <v>2.5781431897338938</v>
      </c>
      <c r="AL34" s="558">
        <f t="shared" si="15"/>
        <v>1467.152923699962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20"/>
        <v>2.6686931522643764</v>
      </c>
      <c r="AS34" s="555"/>
      <c r="AT34" s="558">
        <f t="shared" si="6"/>
        <v>581.33840237311392</v>
      </c>
      <c r="AV34" s="558">
        <f t="shared" si="7"/>
        <v>3576.6257735461477</v>
      </c>
      <c r="AW34" s="560"/>
      <c r="AX34" s="561">
        <f t="shared" si="8"/>
        <v>4157.9641759192618</v>
      </c>
      <c r="AZ34" s="544">
        <f>+IF(AZ33&gt;$G$13+$G$14,XX,AZ33+1)</f>
        <v>2015</v>
      </c>
      <c r="BA34" s="503"/>
      <c r="BB34" s="555">
        <f t="shared" si="16"/>
        <v>43.83431971996643</v>
      </c>
      <c r="BD34" s="555">
        <f t="shared" si="17"/>
        <v>6.664710070542939</v>
      </c>
      <c r="BF34" s="558">
        <f t="shared" si="9"/>
        <v>885.81452132684808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69847</v>
      </c>
      <c r="I35" s="553">
        <f t="shared" si="18"/>
        <v>196.75914557975949</v>
      </c>
      <c r="K35" s="553">
        <f t="shared" si="10"/>
        <v>3.4414919741363943</v>
      </c>
      <c r="M35" s="553">
        <f t="shared" si="11"/>
        <v>0</v>
      </c>
      <c r="O35" s="553">
        <f t="shared" si="19"/>
        <v>5.7941686123923395</v>
      </c>
      <c r="Q35" s="553">
        <v>-37.067478927944045</v>
      </c>
      <c r="S35" s="475">
        <f t="shared" ref="S35:S68" si="21">(I35*$G$11*1000+(K35+M35+O35+Q35)*G35)/1000</f>
        <v>1892.8343231124747</v>
      </c>
      <c r="U35" s="475">
        <f t="shared" ref="U35:U68" si="22">AX35</f>
        <v>4816.8161593163941</v>
      </c>
      <c r="W35" s="475">
        <f t="shared" ref="W35:W68" si="23">S35-U35</f>
        <v>-2923.9818362039196</v>
      </c>
      <c r="Y35" s="554">
        <f t="shared" ref="Y35:Y68" si="24">+W35*1000/G35</f>
        <v>-41.862668922128648</v>
      </c>
      <c r="Z35" s="516"/>
      <c r="AB35" s="544">
        <f>+IF(AB34&gt;$G$13+$G$14,XX,AB34+1)</f>
        <v>2016</v>
      </c>
      <c r="AC35" s="503"/>
      <c r="AD35" s="488">
        <f t="shared" si="4"/>
        <v>69847</v>
      </c>
      <c r="AF35" s="555">
        <f t="shared" si="12"/>
        <v>66.224080090061449</v>
      </c>
      <c r="AH35" s="555">
        <f t="shared" si="13"/>
        <v>9.3365279723006669</v>
      </c>
      <c r="AJ35" s="555">
        <f t="shared" si="14"/>
        <v>2.6245497671491038</v>
      </c>
      <c r="AL35" s="558">
        <f t="shared" si="15"/>
        <v>1508.7420721797523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20"/>
        <v>2.716729629005135</v>
      </c>
      <c r="AS35" s="555"/>
      <c r="AT35" s="558">
        <f t="shared" si="6"/>
        <v>606.98288946902107</v>
      </c>
      <c r="AV35" s="558">
        <f t="shared" si="7"/>
        <v>4209.8332698473732</v>
      </c>
      <c r="AW35" s="560"/>
      <c r="AX35" s="561">
        <f t="shared" si="8"/>
        <v>4816.8161593163941</v>
      </c>
      <c r="AZ35" s="544">
        <f>+IF(AZ34&gt;$G$13+$G$14,XX,AZ34+1)</f>
        <v>2016</v>
      </c>
      <c r="BA35" s="503"/>
      <c r="BB35" s="555">
        <f t="shared" si="16"/>
        <v>44.623337474925826</v>
      </c>
      <c r="BD35" s="555">
        <f t="shared" si="17"/>
        <v>6.7846748518127118</v>
      </c>
      <c r="BF35" s="558">
        <f t="shared" si="9"/>
        <v>901.75918271073124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66294</v>
      </c>
      <c r="I36" s="553">
        <f t="shared" si="18"/>
        <v>200.30081020019517</v>
      </c>
      <c r="K36" s="553">
        <f t="shared" si="10"/>
        <v>3.5034388296708494</v>
      </c>
      <c r="M36" s="553">
        <f t="shared" si="11"/>
        <v>0</v>
      </c>
      <c r="O36" s="553">
        <f t="shared" si="19"/>
        <v>5.8984636474154017</v>
      </c>
      <c r="Q36" s="553">
        <v>-38.679108446550309</v>
      </c>
      <c r="S36" s="475">
        <f t="shared" si="21"/>
        <v>1964.962706364156</v>
      </c>
      <c r="U36" s="475">
        <f t="shared" si="22"/>
        <v>4908.67756051795</v>
      </c>
      <c r="W36" s="475">
        <f t="shared" si="23"/>
        <v>-2943.714854153794</v>
      </c>
      <c r="Y36" s="554">
        <f t="shared" si="24"/>
        <v>-44.403940841611522</v>
      </c>
      <c r="Z36" s="516"/>
      <c r="AB36" s="544">
        <f>+IF(AB35&gt;$G$13+$G$14,XX,AB35+1)</f>
        <v>2017</v>
      </c>
      <c r="AC36" s="503"/>
      <c r="AD36" s="488">
        <f t="shared" si="4"/>
        <v>66294</v>
      </c>
      <c r="AF36" s="555">
        <f t="shared" si="12"/>
        <v>67.416113531682555</v>
      </c>
      <c r="AH36" s="555">
        <f t="shared" si="13"/>
        <v>9.5045854758020791</v>
      </c>
      <c r="AJ36" s="555">
        <f t="shared" si="14"/>
        <v>2.6717916629577876</v>
      </c>
      <c r="AL36" s="558">
        <f t="shared" si="15"/>
        <v>1526.4065537004985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20"/>
        <v>2.7656307623272274</v>
      </c>
      <c r="AS36" s="555"/>
      <c r="AT36" s="558">
        <f t="shared" si="6"/>
        <v>608.41570570097406</v>
      </c>
      <c r="AV36" s="558">
        <f t="shared" si="7"/>
        <v>4300.2618548169758</v>
      </c>
      <c r="AW36" s="560"/>
      <c r="AX36" s="561">
        <f t="shared" si="8"/>
        <v>4908.67756051795</v>
      </c>
      <c r="AZ36" s="544">
        <f>+IF(AZ35&gt;$G$13+$G$14,XX,AZ35+1)</f>
        <v>2017</v>
      </c>
      <c r="BA36" s="503"/>
      <c r="BB36" s="555">
        <f t="shared" si="16"/>
        <v>45.426557549474495</v>
      </c>
      <c r="BD36" s="555">
        <f t="shared" si="17"/>
        <v>6.9067989991453409</v>
      </c>
      <c r="BF36" s="558">
        <f t="shared" si="9"/>
        <v>917.99084799952448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73738</v>
      </c>
      <c r="I37" s="553">
        <f t="shared" si="18"/>
        <v>203.90622478379868</v>
      </c>
      <c r="K37" s="553">
        <f t="shared" si="10"/>
        <v>3.5665007286049248</v>
      </c>
      <c r="M37" s="553">
        <f t="shared" si="11"/>
        <v>0</v>
      </c>
      <c r="O37" s="553">
        <f t="shared" si="19"/>
        <v>6.0046359930688791</v>
      </c>
      <c r="Q37" s="553">
        <v>-31.824751700635172</v>
      </c>
      <c r="S37" s="475">
        <f t="shared" si="21"/>
        <v>2335.2343219654213</v>
      </c>
      <c r="U37" s="475">
        <f t="shared" si="22"/>
        <v>5726.6621965133463</v>
      </c>
      <c r="W37" s="475">
        <f t="shared" si="23"/>
        <v>-3391.4278745479251</v>
      </c>
      <c r="Y37" s="554">
        <f t="shared" si="24"/>
        <v>-45.992946303777224</v>
      </c>
      <c r="Z37" s="516"/>
      <c r="AB37" s="544">
        <f>+IF(AB36&gt;$G$13+$G$14,XX,AB36+1)</f>
        <v>2018</v>
      </c>
      <c r="AC37" s="503"/>
      <c r="AD37" s="488">
        <f t="shared" si="4"/>
        <v>73738</v>
      </c>
      <c r="AF37" s="555">
        <f t="shared" si="12"/>
        <v>68.629603575252844</v>
      </c>
      <c r="AH37" s="555">
        <f t="shared" si="13"/>
        <v>9.6756680143665168</v>
      </c>
      <c r="AJ37" s="555">
        <f t="shared" si="14"/>
        <v>2.7198839128910279</v>
      </c>
      <c r="AL37" s="558">
        <f t="shared" si="15"/>
        <v>1574.1286875146686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20"/>
        <v>2.8154121160491177</v>
      </c>
      <c r="AS37" s="555"/>
      <c r="AT37" s="558">
        <f t="shared" si="6"/>
        <v>639.61400425115255</v>
      </c>
      <c r="AV37" s="558">
        <f t="shared" si="7"/>
        <v>5087.0481922621939</v>
      </c>
      <c r="AW37" s="560"/>
      <c r="AX37" s="561">
        <f t="shared" si="8"/>
        <v>5726.6621965133463</v>
      </c>
      <c r="AZ37" s="544">
        <f>+IF(AZ36&gt;$G$13+$G$14,XX,AZ36+1)</f>
        <v>2018</v>
      </c>
      <c r="BA37" s="503"/>
      <c r="BB37" s="555">
        <f t="shared" si="16"/>
        <v>46.24423558536504</v>
      </c>
      <c r="BD37" s="555">
        <f t="shared" si="17"/>
        <v>7.0311213811299575</v>
      </c>
      <c r="BF37" s="558">
        <f t="shared" si="9"/>
        <v>934.51468326351608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72889</v>
      </c>
      <c r="I38" s="725">
        <v>245.54530910484598</v>
      </c>
      <c r="K38" s="613">
        <v>10.777120355497138</v>
      </c>
      <c r="M38" s="553">
        <f t="shared" ref="M38:M68" si="25">M37*(1+$E38)</f>
        <v>0</v>
      </c>
      <c r="O38" s="613">
        <v>1.1100000000000001</v>
      </c>
      <c r="Q38" s="613">
        <v>-22.222056156447483</v>
      </c>
      <c r="S38" s="475">
        <f t="shared" si="21"/>
        <v>4034.8303919490268</v>
      </c>
      <c r="U38" s="475">
        <f t="shared" si="22"/>
        <v>6596.6212204151598</v>
      </c>
      <c r="W38" s="475">
        <f t="shared" si="23"/>
        <v>-2561.790828466133</v>
      </c>
      <c r="Y38" s="554">
        <f t="shared" si="24"/>
        <v>-35.146466935561378</v>
      </c>
      <c r="Z38" s="516"/>
      <c r="AB38" s="422">
        <f>+IF(AB37&gt;$G$13+$G$14,XX,AB37+1)</f>
        <v>2019</v>
      </c>
      <c r="AC38" s="503"/>
      <c r="AD38" s="488">
        <f t="shared" si="4"/>
        <v>72889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5"/>
        <v>2229.1298246156957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1277.7938770534363</v>
      </c>
      <c r="AV38" s="558">
        <f t="shared" si="7"/>
        <v>5318.8273433617233</v>
      </c>
      <c r="AW38" s="560"/>
      <c r="AX38" s="561">
        <f t="shared" si="8"/>
        <v>6596.6212204151598</v>
      </c>
      <c r="AZ38" s="429">
        <f>+IF(AZ37&gt;$G$13+$G$14,XX,AZ37+1)</f>
        <v>2019</v>
      </c>
      <c r="BA38" s="503"/>
      <c r="BB38" s="445">
        <f t="shared" si="16"/>
        <v>47.076631825901615</v>
      </c>
      <c r="BD38" s="445">
        <f t="shared" si="17"/>
        <v>7.1576815659902966</v>
      </c>
      <c r="BF38" s="558">
        <f t="shared" si="9"/>
        <v>951.33594756225943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76464.215189873416</v>
      </c>
      <c r="I39" s="726">
        <v>288.89584318550078</v>
      </c>
      <c r="K39" s="625">
        <v>16.979618102602799</v>
      </c>
      <c r="M39" s="553">
        <f t="shared" si="25"/>
        <v>0</v>
      </c>
      <c r="O39" s="625">
        <v>0.63</v>
      </c>
      <c r="Q39" s="625">
        <v>-33.150783021494966</v>
      </c>
      <c r="S39" s="475">
        <f t="shared" si="21"/>
        <v>4445.1259634577827</v>
      </c>
      <c r="U39" s="475">
        <f t="shared" si="22"/>
        <v>2989.9792896736035</v>
      </c>
      <c r="W39" s="475">
        <f t="shared" si="23"/>
        <v>1455.1466737841793</v>
      </c>
      <c r="Y39" s="554">
        <f t="shared" si="24"/>
        <v>19.030427111176213</v>
      </c>
      <c r="Z39" s="516"/>
      <c r="AB39" s="423">
        <f>+IF(AB38&gt;$I$13+$I$14,XX,AB38+1)</f>
        <v>2020</v>
      </c>
      <c r="AC39" s="503"/>
      <c r="AD39" s="488">
        <f t="shared" si="4"/>
        <v>76464.215189873416</v>
      </c>
      <c r="AF39" s="555">
        <f t="shared" ref="AF39:AF68" si="26">AF38*(1+$E39)</f>
        <v>101.14988775589339</v>
      </c>
      <c r="AH39" s="555">
        <f t="shared" ref="AH39:AH68" si="27">AH38*(1+$E39)</f>
        <v>20.260761973544962</v>
      </c>
      <c r="AJ39" s="555">
        <f t="shared" ref="AJ39:AJ68" si="28">AJ38*(1+$E39)</f>
        <v>2.0676516575367789</v>
      </c>
      <c r="AL39" s="558">
        <f t="shared" si="15"/>
        <v>2287.7921101952488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1314.5754358390577</v>
      </c>
      <c r="AV39" s="558">
        <f t="shared" si="7"/>
        <v>1675.4038538345455</v>
      </c>
      <c r="AW39" s="560"/>
      <c r="AX39" s="561">
        <f t="shared" si="8"/>
        <v>2989.9792896736035</v>
      </c>
      <c r="AZ39" s="430">
        <f>+IF(AZ38&gt;$I$13+$I$14,XX,AZ38+1)</f>
        <v>2020</v>
      </c>
      <c r="BA39" s="503"/>
      <c r="BB39" s="555">
        <f t="shared" si="16"/>
        <v>48.159394357897348</v>
      </c>
      <c r="BD39" s="555">
        <f t="shared" si="17"/>
        <v>7.3223082420080727</v>
      </c>
      <c r="BF39" s="558">
        <f t="shared" si="9"/>
        <v>973.21667435619122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76461.21518987343</v>
      </c>
      <c r="I40" s="726">
        <v>295.2293071696019</v>
      </c>
      <c r="K40" s="625">
        <v>17.339623120297329</v>
      </c>
      <c r="M40" s="553">
        <f t="shared" si="25"/>
        <v>0</v>
      </c>
      <c r="O40" s="625">
        <v>0.6399999999999999</v>
      </c>
      <c r="Q40" s="625">
        <v>-34.476814342354764</v>
      </c>
      <c r="S40" s="475">
        <f t="shared" si="21"/>
        <v>4495.5762017490115</v>
      </c>
      <c r="U40" s="475">
        <f t="shared" si="22"/>
        <v>3130.0279484289886</v>
      </c>
      <c r="W40" s="475">
        <f t="shared" si="23"/>
        <v>1365.5482533200229</v>
      </c>
      <c r="Y40" s="554">
        <f t="shared" si="24"/>
        <v>17.859358498671586</v>
      </c>
      <c r="Z40" s="516"/>
      <c r="AB40" s="423">
        <f>+IF(AB39&gt;$I$13+$I$14,XX,AB39+1)</f>
        <v>2021</v>
      </c>
      <c r="AC40" s="503"/>
      <c r="AD40" s="488">
        <f t="shared" si="4"/>
        <v>76461.21518987343</v>
      </c>
      <c r="AF40" s="555">
        <f t="shared" si="26"/>
        <v>103.77978483754661</v>
      </c>
      <c r="AH40" s="555">
        <f t="shared" si="27"/>
        <v>20.787541784857133</v>
      </c>
      <c r="AJ40" s="555">
        <f t="shared" si="28"/>
        <v>2.1214106006327351</v>
      </c>
      <c r="AL40" s="558">
        <f t="shared" si="15"/>
        <v>2347.2683408285238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20"/>
        <v>2.3938982129262119</v>
      </c>
      <c r="AS40" s="555"/>
      <c r="AT40" s="558">
        <f t="shared" si="6"/>
        <v>1348.7480329390714</v>
      </c>
      <c r="AV40" s="558">
        <f t="shared" si="7"/>
        <v>1781.2799154899169</v>
      </c>
      <c r="AW40" s="560"/>
      <c r="AX40" s="561">
        <f t="shared" si="8"/>
        <v>3130.0279484289886</v>
      </c>
      <c r="AZ40" s="430">
        <f>+IF(AZ39&gt;$I$13+$I$14,XX,AZ39+1)</f>
        <v>2021</v>
      </c>
      <c r="BA40" s="503"/>
      <c r="BB40" s="555">
        <f t="shared" si="16"/>
        <v>49.41153861120268</v>
      </c>
      <c r="BD40" s="555">
        <f t="shared" si="17"/>
        <v>7.512688256300283</v>
      </c>
      <c r="BF40" s="558">
        <f t="shared" si="9"/>
        <v>998.5203078894524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76461.21518987343</v>
      </c>
      <c r="I41" s="726">
        <v>302.35042802136741</v>
      </c>
      <c r="K41" s="625">
        <v>17.738434452064169</v>
      </c>
      <c r="M41" s="553">
        <f t="shared" si="25"/>
        <v>0</v>
      </c>
      <c r="O41" s="625">
        <v>0.66</v>
      </c>
      <c r="Q41" s="625">
        <v>-34.476814342354764</v>
      </c>
      <c r="S41" s="475">
        <f t="shared" si="21"/>
        <v>4666.4608817206208</v>
      </c>
      <c r="U41" s="475">
        <f t="shared" si="22"/>
        <v>3240.7324502863958</v>
      </c>
      <c r="W41" s="475">
        <f t="shared" si="23"/>
        <v>1425.7284314342251</v>
      </c>
      <c r="Y41" s="554">
        <f t="shared" si="24"/>
        <v>18.646426530022627</v>
      </c>
      <c r="Z41" s="516"/>
      <c r="AB41" s="423">
        <f>+IF(AB40&gt;$I$13+$I$14,XX,AB40+1)</f>
        <v>2022</v>
      </c>
      <c r="AC41" s="503"/>
      <c r="AD41" s="488">
        <f t="shared" si="4"/>
        <v>76461.21518987343</v>
      </c>
      <c r="AF41" s="555">
        <f t="shared" si="26"/>
        <v>106.27049967364773</v>
      </c>
      <c r="AH41" s="555">
        <f t="shared" si="27"/>
        <v>21.286442787693705</v>
      </c>
      <c r="AJ41" s="555">
        <f t="shared" si="28"/>
        <v>2.1723244550479208</v>
      </c>
      <c r="AL41" s="558">
        <f t="shared" si="15"/>
        <v>2403.6027810084083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20"/>
        <v>2.4513517700364411</v>
      </c>
      <c r="AS41" s="555"/>
      <c r="AT41" s="558">
        <f t="shared" si="6"/>
        <v>1381.1179857296092</v>
      </c>
      <c r="AV41" s="558">
        <f t="shared" si="7"/>
        <v>1859.6144645567865</v>
      </c>
      <c r="AW41" s="560"/>
      <c r="AX41" s="561">
        <f t="shared" si="8"/>
        <v>3240.7324502863958</v>
      </c>
      <c r="AZ41" s="430">
        <f>+IF(AZ40&gt;$I$13+$I$14,XX,AZ40+1)</f>
        <v>2022</v>
      </c>
      <c r="BA41" s="503"/>
      <c r="BB41" s="555">
        <f t="shared" si="16"/>
        <v>50.597415537871548</v>
      </c>
      <c r="BD41" s="555">
        <f t="shared" si="17"/>
        <v>7.6929927744514899</v>
      </c>
      <c r="BF41" s="558">
        <f t="shared" si="9"/>
        <v>1022.4847952787992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76461.21518987343</v>
      </c>
      <c r="I42" s="726">
        <v>309.2029932108785</v>
      </c>
      <c r="K42" s="625">
        <v>18.146418444461638</v>
      </c>
      <c r="M42" s="553">
        <f t="shared" si="25"/>
        <v>0</v>
      </c>
      <c r="O42" s="625">
        <v>0.67</v>
      </c>
      <c r="Q42" s="625">
        <v>-35.802845663214569</v>
      </c>
      <c r="S42" s="475">
        <f t="shared" si="21"/>
        <v>4730.6555007319394</v>
      </c>
      <c r="U42" s="475">
        <f t="shared" si="22"/>
        <v>3536.3963471932648</v>
      </c>
      <c r="W42" s="475">
        <f t="shared" si="23"/>
        <v>1194.2591535386746</v>
      </c>
      <c r="Y42" s="554">
        <f t="shared" si="24"/>
        <v>15.619149533171989</v>
      </c>
      <c r="Z42" s="516"/>
      <c r="AB42" s="423">
        <f>+IF(AB41&gt;$I$13+$I$14,XX,AB41+1)</f>
        <v>2023</v>
      </c>
      <c r="AC42" s="503"/>
      <c r="AD42" s="488">
        <f t="shared" si="4"/>
        <v>76461.21518987343</v>
      </c>
      <c r="AF42" s="555">
        <f t="shared" si="26"/>
        <v>108.71472116614163</v>
      </c>
      <c r="AH42" s="555">
        <f t="shared" si="27"/>
        <v>21.776030971810659</v>
      </c>
      <c r="AJ42" s="555">
        <f t="shared" si="28"/>
        <v>2.2222879175140227</v>
      </c>
      <c r="AL42" s="558">
        <f t="shared" si="15"/>
        <v>2458.8856449716018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ref="AR42:AR68" si="29">AR41*(1+$E42)</f>
        <v>2.5077328607472791</v>
      </c>
      <c r="AS42" s="555"/>
      <c r="AT42" s="558">
        <f t="shared" si="6"/>
        <v>1412.8836994013902</v>
      </c>
      <c r="AV42" s="558">
        <f t="shared" si="7"/>
        <v>2123.5126477918748</v>
      </c>
      <c r="AW42" s="560"/>
      <c r="AX42" s="561">
        <f t="shared" si="8"/>
        <v>3536.3963471932648</v>
      </c>
      <c r="AZ42" s="430">
        <f>+IF(AZ41&gt;$I$13+$I$14,XX,AZ41+1)</f>
        <v>2023</v>
      </c>
      <c r="BA42" s="503"/>
      <c r="BB42" s="555">
        <f t="shared" si="16"/>
        <v>51.76115609524259</v>
      </c>
      <c r="BD42" s="555">
        <f t="shared" si="17"/>
        <v>7.8699316082638733</v>
      </c>
      <c r="BF42" s="558">
        <f t="shared" si="9"/>
        <v>1046.0019455702115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76464.215189873416</v>
      </c>
      <c r="I43" s="726">
        <v>315.98544754306567</v>
      </c>
      <c r="K43" s="625">
        <v>18.614645756543663</v>
      </c>
      <c r="M43" s="553">
        <f t="shared" si="25"/>
        <v>0</v>
      </c>
      <c r="O43" s="625">
        <v>0.69</v>
      </c>
      <c r="Q43" s="625">
        <v>-35.802845663214569</v>
      </c>
      <c r="S43" s="475">
        <f t="shared" si="21"/>
        <v>4900.1943191805467</v>
      </c>
      <c r="U43" s="475">
        <f t="shared" si="22"/>
        <v>3838.2338897485934</v>
      </c>
      <c r="W43" s="475">
        <f t="shared" si="23"/>
        <v>1061.9604294319533</v>
      </c>
      <c r="Y43" s="554">
        <f t="shared" si="24"/>
        <v>13.888332297597355</v>
      </c>
      <c r="Z43" s="516"/>
      <c r="AB43" s="423">
        <f>+IF(AB42&gt;$I$13+$I$14,XX,AB42+1)</f>
        <v>2024</v>
      </c>
      <c r="AC43" s="503"/>
      <c r="AD43" s="488">
        <f t="shared" si="4"/>
        <v>76464.215189873416</v>
      </c>
      <c r="AF43" s="555">
        <f t="shared" si="26"/>
        <v>111.21515975296288</v>
      </c>
      <c r="AH43" s="555">
        <f t="shared" si="27"/>
        <v>22.276879684162303</v>
      </c>
      <c r="AJ43" s="555">
        <f t="shared" si="28"/>
        <v>2.2734005396168451</v>
      </c>
      <c r="AL43" s="558">
        <f t="shared" si="15"/>
        <v>2515.4468350075667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29"/>
        <v>2.5654107165444664</v>
      </c>
      <c r="AS43" s="555"/>
      <c r="AT43" s="558">
        <f t="shared" si="6"/>
        <v>1445.3868446892404</v>
      </c>
      <c r="AV43" s="558">
        <f t="shared" si="7"/>
        <v>2392.8470450593531</v>
      </c>
      <c r="AW43" s="560"/>
      <c r="AX43" s="561">
        <f t="shared" si="8"/>
        <v>3838.2338897485934</v>
      </c>
      <c r="AZ43" s="430">
        <f>+IF(AZ42&gt;$I$13+$I$14,XX,AZ42+1)</f>
        <v>2024</v>
      </c>
      <c r="BA43" s="503"/>
      <c r="BB43" s="555">
        <f t="shared" si="16"/>
        <v>52.951662685433163</v>
      </c>
      <c r="BD43" s="555">
        <f t="shared" si="17"/>
        <v>8.0509400352539409</v>
      </c>
      <c r="BF43" s="558">
        <f t="shared" si="9"/>
        <v>1070.0599903183263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76461.21518987343</v>
      </c>
      <c r="I44" s="726">
        <v>322.91764324917159</v>
      </c>
      <c r="K44" s="625">
        <v>18.972189362195309</v>
      </c>
      <c r="M44" s="553">
        <f t="shared" si="25"/>
        <v>0</v>
      </c>
      <c r="O44" s="625">
        <v>0.69999999999999984</v>
      </c>
      <c r="Q44" s="625">
        <v>-37.128876984074353</v>
      </c>
      <c r="S44" s="475">
        <f t="shared" si="21"/>
        <v>4962.1344945999526</v>
      </c>
      <c r="U44" s="475">
        <f t="shared" si="22"/>
        <v>3961.9391464262899</v>
      </c>
      <c r="W44" s="475">
        <f t="shared" si="23"/>
        <v>1000.1953481736628</v>
      </c>
      <c r="Y44" s="554">
        <f t="shared" si="24"/>
        <v>13.081080985829391</v>
      </c>
      <c r="Z44" s="516"/>
      <c r="AB44" s="423">
        <f>+IF(AB43&gt;$I$13+$I$14,XX,AB43+1)</f>
        <v>2025</v>
      </c>
      <c r="AC44" s="503"/>
      <c r="AD44" s="488">
        <f t="shared" si="4"/>
        <v>76461.21518987343</v>
      </c>
      <c r="AF44" s="555">
        <f t="shared" si="26"/>
        <v>113.77310842728102</v>
      </c>
      <c r="AH44" s="555">
        <f t="shared" si="27"/>
        <v>22.789247916898034</v>
      </c>
      <c r="AJ44" s="555">
        <f t="shared" si="28"/>
        <v>2.3256887520280323</v>
      </c>
      <c r="AL44" s="558">
        <f t="shared" si="15"/>
        <v>2573.2951351464849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29"/>
        <v>2.624415163024989</v>
      </c>
      <c r="AS44" s="555"/>
      <c r="AT44" s="558">
        <f t="shared" si="6"/>
        <v>1478.6237650508372</v>
      </c>
      <c r="AV44" s="558">
        <f t="shared" si="7"/>
        <v>2483.3153813754525</v>
      </c>
      <c r="AW44" s="560"/>
      <c r="AX44" s="561">
        <f t="shared" si="8"/>
        <v>3961.9391464262899</v>
      </c>
      <c r="AZ44" s="430">
        <f>+IF(AZ43&gt;$I$13+$I$14,XX,AZ43+1)</f>
        <v>2025</v>
      </c>
      <c r="BA44" s="503"/>
      <c r="BB44" s="555">
        <f t="shared" si="16"/>
        <v>54.169550927198124</v>
      </c>
      <c r="BD44" s="555">
        <f t="shared" si="17"/>
        <v>8.2361116560647805</v>
      </c>
      <c r="BF44" s="558">
        <f t="shared" si="9"/>
        <v>1094.6713700956477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76461.21518987343</v>
      </c>
      <c r="I45" s="726">
        <v>330.00290553435758</v>
      </c>
      <c r="K45" s="625">
        <v>19.389577528163606</v>
      </c>
      <c r="M45" s="553">
        <f t="shared" si="25"/>
        <v>0</v>
      </c>
      <c r="O45" s="625">
        <v>0.72</v>
      </c>
      <c r="Q45" s="625">
        <v>-38.454908304934172</v>
      </c>
      <c r="S45" s="475">
        <f t="shared" si="21"/>
        <v>5032.3503736679104</v>
      </c>
      <c r="U45" s="475">
        <f t="shared" si="22"/>
        <v>4043.8022687189341</v>
      </c>
      <c r="W45" s="475">
        <f t="shared" si="23"/>
        <v>988.54810494897629</v>
      </c>
      <c r="Y45" s="554">
        <f t="shared" si="24"/>
        <v>12.928752211093556</v>
      </c>
      <c r="Z45" s="516"/>
      <c r="AB45" s="423">
        <f>+IF(AB44&gt;$I$13+$I$14,XX,AB44+1)</f>
        <v>2026</v>
      </c>
      <c r="AC45" s="503"/>
      <c r="AD45" s="488">
        <f t="shared" si="4"/>
        <v>76461.21518987343</v>
      </c>
      <c r="AF45" s="555">
        <f t="shared" si="26"/>
        <v>116.38988992110846</v>
      </c>
      <c r="AH45" s="555">
        <f t="shared" si="27"/>
        <v>23.313400618986687</v>
      </c>
      <c r="AJ45" s="555">
        <f t="shared" si="28"/>
        <v>2.3791795933246767</v>
      </c>
      <c r="AL45" s="558">
        <f t="shared" si="15"/>
        <v>2632.4809232548537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29"/>
        <v>2.6847767117745636</v>
      </c>
      <c r="AS45" s="555"/>
      <c r="AT45" s="558">
        <f t="shared" si="6"/>
        <v>1512.6321116470062</v>
      </c>
      <c r="AV45" s="558">
        <f t="shared" si="7"/>
        <v>2531.1701570719279</v>
      </c>
      <c r="AW45" s="560"/>
      <c r="AX45" s="561">
        <f t="shared" si="8"/>
        <v>4043.8022687189341</v>
      </c>
      <c r="AZ45" s="430">
        <f>+IF(AZ44&gt;$I$13+$I$14,XX,AZ44+1)</f>
        <v>2026</v>
      </c>
      <c r="BA45" s="503"/>
      <c r="BB45" s="555">
        <f t="shared" si="16"/>
        <v>55.415450598523677</v>
      </c>
      <c r="BD45" s="555">
        <f t="shared" si="17"/>
        <v>8.4255422241542703</v>
      </c>
      <c r="BF45" s="558">
        <f t="shared" si="9"/>
        <v>1119.8488116078474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76461.21518987343</v>
      </c>
      <c r="I46" s="726">
        <v>337.24463382542149</v>
      </c>
      <c r="K46" s="625">
        <v>19.816148233783206</v>
      </c>
      <c r="M46" s="553">
        <f t="shared" si="25"/>
        <v>0</v>
      </c>
      <c r="O46" s="625">
        <v>0.74</v>
      </c>
      <c r="Q46" s="625">
        <v>-38.454908304934172</v>
      </c>
      <c r="S46" s="475">
        <f t="shared" si="21"/>
        <v>5207.7094141635298</v>
      </c>
      <c r="U46" s="475">
        <f t="shared" si="22"/>
        <v>4232.0513447644244</v>
      </c>
      <c r="W46" s="475">
        <f t="shared" si="23"/>
        <v>975.65806939910544</v>
      </c>
      <c r="Y46" s="554">
        <f t="shared" si="24"/>
        <v>12.760169544471511</v>
      </c>
      <c r="Z46" s="516"/>
      <c r="AB46" s="423">
        <f>+IF(AB45&gt;$I$13+$I$14,XX,AB45+1)</f>
        <v>2027</v>
      </c>
      <c r="AC46" s="503"/>
      <c r="AD46" s="488">
        <f t="shared" si="4"/>
        <v>76461.21518987343</v>
      </c>
      <c r="AF46" s="555">
        <f t="shared" si="26"/>
        <v>118.95046749937285</v>
      </c>
      <c r="AH46" s="555">
        <f t="shared" si="27"/>
        <v>23.826295432604393</v>
      </c>
      <c r="AJ46" s="555">
        <f t="shared" si="28"/>
        <v>2.4315215443778198</v>
      </c>
      <c r="AL46" s="558">
        <f t="shared" si="15"/>
        <v>2690.3955035664608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29"/>
        <v>2.743841799433604</v>
      </c>
      <c r="AS46" s="555"/>
      <c r="AT46" s="558">
        <f t="shared" si="6"/>
        <v>1545.9100181032404</v>
      </c>
      <c r="AV46" s="558">
        <f t="shared" si="7"/>
        <v>2686.1413266611835</v>
      </c>
      <c r="AW46" s="560"/>
      <c r="AX46" s="561">
        <f t="shared" si="8"/>
        <v>4232.0513447644244</v>
      </c>
      <c r="AZ46" s="430">
        <f>+IF(AZ45&gt;$I$13+$I$14,XX,AZ45+1)</f>
        <v>2027</v>
      </c>
      <c r="BA46" s="503"/>
      <c r="BB46" s="555">
        <f t="shared" si="16"/>
        <v>56.634590511691201</v>
      </c>
      <c r="BD46" s="555">
        <f t="shared" si="17"/>
        <v>8.6109041530856647</v>
      </c>
      <c r="BF46" s="558">
        <f t="shared" si="9"/>
        <v>1144.4854854632204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76464.215189873416</v>
      </c>
      <c r="I47" s="726">
        <v>344.39779804326986</v>
      </c>
      <c r="K47" s="625">
        <v>20.307588709981033</v>
      </c>
      <c r="M47" s="553">
        <f t="shared" si="25"/>
        <v>0</v>
      </c>
      <c r="O47" s="625">
        <v>0.75000000000000011</v>
      </c>
      <c r="Q47" s="625">
        <v>-39.78093962579397</v>
      </c>
      <c r="S47" s="475">
        <f t="shared" si="21"/>
        <v>5284.0907283415281</v>
      </c>
      <c r="U47" s="475">
        <f t="shared" si="22"/>
        <v>4357.62412189727</v>
      </c>
      <c r="W47" s="475">
        <f t="shared" si="23"/>
        <v>926.4666064442581</v>
      </c>
      <c r="Y47" s="554">
        <f t="shared" si="24"/>
        <v>12.116342319654846</v>
      </c>
      <c r="Z47" s="516"/>
      <c r="AB47" s="423">
        <f>+IF(AB46&gt;$I$13+$I$14,XX,AB46+1)</f>
        <v>2028</v>
      </c>
      <c r="AC47" s="503"/>
      <c r="AD47" s="488">
        <f t="shared" si="4"/>
        <v>76464.215189873416</v>
      </c>
      <c r="AF47" s="555">
        <f t="shared" si="26"/>
        <v>121.56737778435905</v>
      </c>
      <c r="AH47" s="555">
        <f t="shared" si="27"/>
        <v>24.350473932121691</v>
      </c>
      <c r="AJ47" s="555">
        <f t="shared" si="28"/>
        <v>2.4850150183541317</v>
      </c>
      <c r="AL47" s="558">
        <f t="shared" si="15"/>
        <v>2749.5916596899783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29"/>
        <v>2.8042063190211435</v>
      </c>
      <c r="AS47" s="555"/>
      <c r="AT47" s="558">
        <f t="shared" si="6"/>
        <v>1579.9274935465671</v>
      </c>
      <c r="AV47" s="558">
        <f t="shared" si="7"/>
        <v>2777.6966283507031</v>
      </c>
      <c r="AW47" s="560"/>
      <c r="AX47" s="561">
        <f t="shared" si="8"/>
        <v>4357.62412189727</v>
      </c>
      <c r="AZ47" s="430">
        <f>+IF(AZ46&gt;$I$13+$I$14,XX,AZ46+1)</f>
        <v>2028</v>
      </c>
      <c r="BA47" s="503"/>
      <c r="BB47" s="555">
        <f t="shared" si="16"/>
        <v>57.880551502948407</v>
      </c>
      <c r="BD47" s="555">
        <f t="shared" si="17"/>
        <v>8.8003440444535492</v>
      </c>
      <c r="BF47" s="558">
        <f t="shared" si="9"/>
        <v>1169.6641661434112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76461.21518987343</v>
      </c>
      <c r="I48" s="726">
        <v>351.70327373711098</v>
      </c>
      <c r="K48" s="625">
        <v>20.677397668319887</v>
      </c>
      <c r="M48" s="553">
        <f t="shared" si="25"/>
        <v>0</v>
      </c>
      <c r="O48" s="625">
        <v>0.76999999999999991</v>
      </c>
      <c r="Q48" s="625">
        <v>-39.78093962579397</v>
      </c>
      <c r="S48" s="475">
        <f t="shared" si="21"/>
        <v>5456.4089410706647</v>
      </c>
      <c r="U48" s="475">
        <f t="shared" si="22"/>
        <v>4475.0751562795976</v>
      </c>
      <c r="W48" s="475">
        <f t="shared" si="23"/>
        <v>981.33378479106705</v>
      </c>
      <c r="Y48" s="554">
        <f t="shared" si="24"/>
        <v>12.83439953647291</v>
      </c>
      <c r="Z48" s="516"/>
      <c r="AB48" s="423">
        <f>+IF(AB47&gt;$I$13+$I$14,XX,AB47+1)</f>
        <v>2029</v>
      </c>
      <c r="AC48" s="503"/>
      <c r="AD48" s="488">
        <f t="shared" si="4"/>
        <v>76461.21518987343</v>
      </c>
      <c r="AF48" s="555">
        <f t="shared" si="26"/>
        <v>124.24186009561495</v>
      </c>
      <c r="AH48" s="555">
        <f t="shared" si="27"/>
        <v>24.88618435862837</v>
      </c>
      <c r="AJ48" s="555">
        <f t="shared" si="28"/>
        <v>2.5396853487579225</v>
      </c>
      <c r="AL48" s="558">
        <f t="shared" si="15"/>
        <v>2810.0750571471108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29"/>
        <v>2.8658988580396088</v>
      </c>
      <c r="AS48" s="555"/>
      <c r="AT48" s="558">
        <f t="shared" si="6"/>
        <v>1614.6782793485445</v>
      </c>
      <c r="AV48" s="558">
        <f t="shared" si="7"/>
        <v>2860.3968769310536</v>
      </c>
      <c r="AW48" s="560"/>
      <c r="AX48" s="561">
        <f t="shared" si="8"/>
        <v>4475.0751562795976</v>
      </c>
      <c r="AZ48" s="430">
        <f>+IF(AZ47&gt;$I$13+$I$14,XX,AZ47+1)</f>
        <v>2029</v>
      </c>
      <c r="BA48" s="503"/>
      <c r="BB48" s="555">
        <f t="shared" si="16"/>
        <v>59.153923636013275</v>
      </c>
      <c r="BD48" s="555">
        <f t="shared" si="17"/>
        <v>8.9939516134315269</v>
      </c>
      <c r="BF48" s="558">
        <f t="shared" si="9"/>
        <v>1195.3967777985663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76461.21518987343</v>
      </c>
      <c r="I49" s="726">
        <v>359.16431565481753</v>
      </c>
      <c r="K49" s="625">
        <v>21.132300417022929</v>
      </c>
      <c r="M49" s="553">
        <f t="shared" si="25"/>
        <v>0</v>
      </c>
      <c r="O49" s="625">
        <v>0.78</v>
      </c>
      <c r="Q49" s="625">
        <v>0</v>
      </c>
      <c r="S49" s="475">
        <f t="shared" si="21"/>
        <v>8679.1452727600863</v>
      </c>
      <c r="U49" s="475">
        <f t="shared" si="22"/>
        <v>4681.179843047129</v>
      </c>
      <c r="W49" s="475">
        <f t="shared" si="23"/>
        <v>3997.9654297129573</v>
      </c>
      <c r="Y49" s="554">
        <f t="shared" si="24"/>
        <v>52.287495297909551</v>
      </c>
      <c r="Z49" s="516"/>
      <c r="AB49" s="423">
        <f>+IF(AB48&gt;$I$13+$I$14,XX,AB48+1)</f>
        <v>2030</v>
      </c>
      <c r="AC49" s="503"/>
      <c r="AD49" s="488">
        <f t="shared" si="4"/>
        <v>76461.21518987343</v>
      </c>
      <c r="AF49" s="555">
        <f t="shared" si="26"/>
        <v>126.97518101771848</v>
      </c>
      <c r="AH49" s="555">
        <f t="shared" si="27"/>
        <v>25.433680414518193</v>
      </c>
      <c r="AJ49" s="555">
        <f t="shared" si="28"/>
        <v>2.5955584264305966</v>
      </c>
      <c r="AL49" s="558">
        <f t="shared" si="15"/>
        <v>2871.8967084043475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29"/>
        <v>2.9289486329164802</v>
      </c>
      <c r="AS49" s="555"/>
      <c r="AT49" s="558">
        <f t="shared" si="6"/>
        <v>1650.2012014942127</v>
      </c>
      <c r="AV49" s="558">
        <f t="shared" si="7"/>
        <v>3030.9786415529165</v>
      </c>
      <c r="AW49" s="560"/>
      <c r="AX49" s="561">
        <f t="shared" si="8"/>
        <v>4681.179843047129</v>
      </c>
      <c r="AZ49" s="430">
        <f>+IF(AZ48&gt;$I$13+$I$14,XX,AZ48+1)</f>
        <v>2030</v>
      </c>
      <c r="BA49" s="503"/>
      <c r="BB49" s="555">
        <f t="shared" si="16"/>
        <v>60.455309956005571</v>
      </c>
      <c r="BD49" s="555">
        <f t="shared" si="17"/>
        <v>9.1918185489270208</v>
      </c>
      <c r="BF49" s="558">
        <f t="shared" si="9"/>
        <v>1221.6955069101348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76461.21518987343</v>
      </c>
      <c r="I50" s="726">
        <v>366.78424832272788</v>
      </c>
      <c r="K50" s="625">
        <v>21.597211026197431</v>
      </c>
      <c r="M50" s="553">
        <f t="shared" si="25"/>
        <v>0</v>
      </c>
      <c r="O50" s="625">
        <v>0.8</v>
      </c>
      <c r="Q50" s="625">
        <v>0</v>
      </c>
      <c r="S50" s="475">
        <f t="shared" si="21"/>
        <v>8864.8108142202818</v>
      </c>
      <c r="U50" s="475">
        <f t="shared" si="22"/>
        <v>4798.7185683581283</v>
      </c>
      <c r="W50" s="475">
        <f t="shared" si="23"/>
        <v>4066.0922458621535</v>
      </c>
      <c r="Y50" s="554">
        <f t="shared" si="24"/>
        <v>53.178493642364572</v>
      </c>
      <c r="Z50" s="516"/>
      <c r="AB50" s="423">
        <f>+IF(AB49&gt;$I$13+$I$14,XX,AB49+1)</f>
        <v>2031</v>
      </c>
      <c r="AC50" s="503"/>
      <c r="AD50" s="488">
        <f t="shared" si="4"/>
        <v>76461.21518987343</v>
      </c>
      <c r="AF50" s="555">
        <f t="shared" si="26"/>
        <v>129.7686350001083</v>
      </c>
      <c r="AH50" s="555">
        <f t="shared" si="27"/>
        <v>25.993221383637593</v>
      </c>
      <c r="AJ50" s="555">
        <f t="shared" si="28"/>
        <v>2.6526607118120697</v>
      </c>
      <c r="AL50" s="558">
        <f t="shared" si="15"/>
        <v>2935.0784359892436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29"/>
        <v>2.9933855028406429</v>
      </c>
      <c r="AS50" s="555"/>
      <c r="AT50" s="558">
        <f t="shared" si="6"/>
        <v>1686.5056279270859</v>
      </c>
      <c r="AV50" s="558">
        <f t="shared" si="7"/>
        <v>3112.2129404310426</v>
      </c>
      <c r="AW50" s="560"/>
      <c r="AX50" s="561">
        <f t="shared" si="8"/>
        <v>4798.7185683581283</v>
      </c>
      <c r="AZ50" s="430">
        <f>+IF(AZ49&gt;$I$13+$I$14,XX,AZ49+1)</f>
        <v>2031</v>
      </c>
      <c r="BA50" s="503"/>
      <c r="BB50" s="555">
        <f t="shared" si="16"/>
        <v>61.785326775037696</v>
      </c>
      <c r="BD50" s="555">
        <f t="shared" si="17"/>
        <v>9.3940385570034159</v>
      </c>
      <c r="BF50" s="558">
        <f t="shared" si="9"/>
        <v>1248.5728080621577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76464.215189873416</v>
      </c>
      <c r="I51" s="726">
        <v>374.56646754607885</v>
      </c>
      <c r="K51" s="625">
        <v>22.132821859647127</v>
      </c>
      <c r="M51" s="553">
        <f t="shared" si="25"/>
        <v>0</v>
      </c>
      <c r="O51" s="625">
        <v>0.82</v>
      </c>
      <c r="Q51" s="625">
        <v>0</v>
      </c>
      <c r="S51" s="475">
        <f t="shared" si="21"/>
        <v>9059.1156270394258</v>
      </c>
      <c r="U51" s="475">
        <f t="shared" si="22"/>
        <v>4920.3304161741153</v>
      </c>
      <c r="W51" s="475">
        <f t="shared" si="23"/>
        <v>4138.7852108653105</v>
      </c>
      <c r="Y51" s="554">
        <f t="shared" si="24"/>
        <v>54.127086776317725</v>
      </c>
      <c r="Z51" s="516"/>
      <c r="AB51" s="423">
        <f>+IF(AB50&gt;$I$13+$I$14,XX,AB50+1)</f>
        <v>2032</v>
      </c>
      <c r="AC51" s="503"/>
      <c r="AD51" s="488">
        <f t="shared" si="4"/>
        <v>76464.215189873416</v>
      </c>
      <c r="AF51" s="555">
        <f t="shared" si="26"/>
        <v>132.62354497011069</v>
      </c>
      <c r="AH51" s="555">
        <f t="shared" si="27"/>
        <v>26.56507225407762</v>
      </c>
      <c r="AJ51" s="555">
        <f t="shared" si="28"/>
        <v>2.7110192474719352</v>
      </c>
      <c r="AL51" s="558">
        <f t="shared" si="15"/>
        <v>2999.6582946387493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29"/>
        <v>3.059239983903137</v>
      </c>
      <c r="AS51" s="555"/>
      <c r="AT51" s="558">
        <f t="shared" si="6"/>
        <v>1723.6168847992242</v>
      </c>
      <c r="AV51" s="558">
        <f t="shared" si="7"/>
        <v>3196.7135313748913</v>
      </c>
      <c r="AW51" s="560"/>
      <c r="AX51" s="561">
        <f t="shared" si="8"/>
        <v>4920.3304161741153</v>
      </c>
      <c r="AZ51" s="430">
        <f>+IF(AZ50&gt;$I$13+$I$14,XX,AZ50+1)</f>
        <v>2032</v>
      </c>
      <c r="BA51" s="503"/>
      <c r="BB51" s="555">
        <f t="shared" si="16"/>
        <v>63.144603964088525</v>
      </c>
      <c r="BD51" s="555">
        <f t="shared" si="17"/>
        <v>9.6007074052574914</v>
      </c>
      <c r="BF51" s="558">
        <f t="shared" si="9"/>
        <v>1276.0414098395252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76461.21518987343</v>
      </c>
      <c r="I52" s="726">
        <v>382.51444194178839</v>
      </c>
      <c r="K52" s="625">
        <v>22.557941361486801</v>
      </c>
      <c r="M52" s="553">
        <f t="shared" si="25"/>
        <v>0</v>
      </c>
      <c r="O52" s="625">
        <v>0.84000000000000008</v>
      </c>
      <c r="Q52" s="625">
        <v>0</v>
      </c>
      <c r="S52" s="475">
        <f t="shared" si="21"/>
        <v>9248.0666473055553</v>
      </c>
      <c r="U52" s="475">
        <f t="shared" si="22"/>
        <v>5065.572659391235</v>
      </c>
      <c r="W52" s="475">
        <f t="shared" si="23"/>
        <v>4182.4939879143203</v>
      </c>
      <c r="Y52" s="554">
        <f t="shared" si="24"/>
        <v>54.700856866165161</v>
      </c>
      <c r="Z52" s="516"/>
      <c r="AB52" s="423">
        <f>+IF(AB51&gt;$I$13+$I$14,XX,AB51+1)</f>
        <v>2033</v>
      </c>
      <c r="AC52" s="503"/>
      <c r="AD52" s="488">
        <f t="shared" si="4"/>
        <v>76461.21518987343</v>
      </c>
      <c r="AF52" s="555">
        <f t="shared" si="26"/>
        <v>135.54126295945312</v>
      </c>
      <c r="AH52" s="555">
        <f t="shared" si="27"/>
        <v>27.149503843667329</v>
      </c>
      <c r="AJ52" s="555">
        <f t="shared" si="28"/>
        <v>2.7706616709163177</v>
      </c>
      <c r="AL52" s="558">
        <f t="shared" si="15"/>
        <v>3065.6424651357888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29"/>
        <v>3.126543263549006</v>
      </c>
      <c r="AS52" s="555"/>
      <c r="AT52" s="558">
        <f t="shared" si="6"/>
        <v>1761.5281442797943</v>
      </c>
      <c r="AV52" s="558">
        <f t="shared" si="7"/>
        <v>3304.0445151114404</v>
      </c>
      <c r="AW52" s="560"/>
      <c r="AX52" s="561">
        <f t="shared" si="8"/>
        <v>5065.572659391235</v>
      </c>
      <c r="AZ52" s="430">
        <f>+IF(AZ51&gt;$I$13+$I$14,XX,AZ51+1)</f>
        <v>2033</v>
      </c>
      <c r="BA52" s="503"/>
      <c r="BB52" s="555">
        <f t="shared" si="16"/>
        <v>64.533785251298468</v>
      </c>
      <c r="BD52" s="555">
        <f t="shared" si="17"/>
        <v>9.8119229681731568</v>
      </c>
      <c r="BF52" s="558">
        <f t="shared" si="9"/>
        <v>1304.1143208559945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76461.21518987343</v>
      </c>
      <c r="I53" s="726">
        <v>101.23600608807672</v>
      </c>
      <c r="K53" s="625">
        <v>23.054216071439512</v>
      </c>
      <c r="M53" s="553">
        <f t="shared" si="25"/>
        <v>0</v>
      </c>
      <c r="O53" s="625">
        <v>0.85999999999999988</v>
      </c>
      <c r="Q53" s="625">
        <v>0</v>
      </c>
      <c r="S53" s="475">
        <f t="shared" si="21"/>
        <v>3802.6121398529626</v>
      </c>
      <c r="U53" s="475">
        <f t="shared" si="22"/>
        <v>5204.8401722565068</v>
      </c>
      <c r="W53" s="475">
        <f t="shared" si="23"/>
        <v>-1402.2280324035441</v>
      </c>
      <c r="Y53" s="554">
        <f t="shared" si="24"/>
        <v>-18.339075947477959</v>
      </c>
      <c r="Z53" s="516"/>
      <c r="AB53" s="423">
        <f>+IF(AB52&gt;$I$13+$I$14,XX,AB52+1)</f>
        <v>2034</v>
      </c>
      <c r="AC53" s="503"/>
      <c r="AD53" s="488">
        <f t="shared" si="4"/>
        <v>76461.21518987343</v>
      </c>
      <c r="AF53" s="555">
        <f t="shared" si="26"/>
        <v>138.5231707445611</v>
      </c>
      <c r="AH53" s="555">
        <f t="shared" si="27"/>
        <v>27.746792928228011</v>
      </c>
      <c r="AJ53" s="555">
        <f t="shared" si="28"/>
        <v>2.8316162276764767</v>
      </c>
      <c r="AL53" s="558">
        <f t="shared" si="15"/>
        <v>3133.0865993687767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29"/>
        <v>3.1953272153470844</v>
      </c>
      <c r="AS53" s="555"/>
      <c r="AT53" s="558">
        <f t="shared" si="6"/>
        <v>1800.2817634539499</v>
      </c>
      <c r="AV53" s="558">
        <f t="shared" si="7"/>
        <v>3404.5584088025571</v>
      </c>
      <c r="AW53" s="560"/>
      <c r="AX53" s="561">
        <f t="shared" si="8"/>
        <v>5204.8401722565068</v>
      </c>
      <c r="AZ53" s="430">
        <f>+IF(AZ52&gt;$I$13+$I$14,XX,AZ52+1)</f>
        <v>2034</v>
      </c>
      <c r="BA53" s="503"/>
      <c r="BB53" s="555">
        <f t="shared" si="16"/>
        <v>65.953528526827043</v>
      </c>
      <c r="BD53" s="555">
        <f t="shared" si="17"/>
        <v>10.027785273472967</v>
      </c>
      <c r="BF53" s="558">
        <f t="shared" si="9"/>
        <v>1332.8048359148268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76461.21518987343</v>
      </c>
      <c r="I54" s="726">
        <v>103.15949020375018</v>
      </c>
      <c r="K54" s="625">
        <v>23.561408825011181</v>
      </c>
      <c r="M54" s="553">
        <f t="shared" si="25"/>
        <v>0</v>
      </c>
      <c r="O54" s="625">
        <v>0.86999999999999988</v>
      </c>
      <c r="Q54" s="625">
        <v>0</v>
      </c>
      <c r="S54" s="475">
        <f t="shared" si="21"/>
        <v>3879.6652665340816</v>
      </c>
      <c r="U54" s="475">
        <f t="shared" si="22"/>
        <v>5337.4368981611133</v>
      </c>
      <c r="W54" s="475">
        <f t="shared" si="23"/>
        <v>-1457.7716316270316</v>
      </c>
      <c r="Y54" s="554">
        <f t="shared" si="24"/>
        <v>-19.065504360701027</v>
      </c>
      <c r="Z54" s="516"/>
      <c r="AB54" s="423">
        <f>+IF(AB53&gt;$I$13+$I$14,XX,AB53+1)</f>
        <v>2035</v>
      </c>
      <c r="AC54" s="503"/>
      <c r="AD54" s="488">
        <f t="shared" si="4"/>
        <v>76461.21518987343</v>
      </c>
      <c r="AF54" s="555">
        <f t="shared" si="26"/>
        <v>141.57068050094145</v>
      </c>
      <c r="AH54" s="555">
        <f t="shared" si="27"/>
        <v>28.357222372649026</v>
      </c>
      <c r="AJ54" s="555">
        <f t="shared" si="28"/>
        <v>2.893911784685359</v>
      </c>
      <c r="AL54" s="558">
        <f t="shared" si="15"/>
        <v>3202.0145045548898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29"/>
        <v>3.2656244140847202</v>
      </c>
      <c r="AS54" s="555"/>
      <c r="AT54" s="558">
        <f t="shared" si="6"/>
        <v>1839.8879622499369</v>
      </c>
      <c r="AV54" s="558">
        <f t="shared" si="7"/>
        <v>3497.5489359111766</v>
      </c>
      <c r="AW54" s="560"/>
      <c r="AX54" s="561">
        <f t="shared" si="8"/>
        <v>5337.4368981611133</v>
      </c>
      <c r="AZ54" s="430">
        <f>+IF(AZ53&gt;$I$13+$I$14,XX,AZ53+1)</f>
        <v>2035</v>
      </c>
      <c r="BA54" s="503"/>
      <c r="BB54" s="555">
        <f t="shared" si="16"/>
        <v>67.404506154417234</v>
      </c>
      <c r="BD54" s="555">
        <f t="shared" si="17"/>
        <v>10.248396549489373</v>
      </c>
      <c r="BF54" s="558">
        <f t="shared" si="9"/>
        <v>1362.1265423049529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76464.215189873416</v>
      </c>
      <c r="I55" s="726">
        <v>105.11952051762142</v>
      </c>
      <c r="K55" s="625">
        <v>24.14573176387146</v>
      </c>
      <c r="M55" s="553">
        <f t="shared" si="25"/>
        <v>0</v>
      </c>
      <c r="O55" s="625">
        <v>0.89000000000000024</v>
      </c>
      <c r="Q55" s="625">
        <v>0</v>
      </c>
      <c r="S55" s="475">
        <f t="shared" si="21"/>
        <v>3964.1682311222344</v>
      </c>
      <c r="U55" s="475">
        <f t="shared" si="22"/>
        <v>5508.9809065038726</v>
      </c>
      <c r="W55" s="475">
        <f t="shared" si="23"/>
        <v>-1544.8126753816382</v>
      </c>
      <c r="Y55" s="554">
        <f t="shared" si="24"/>
        <v>-20.203080245388122</v>
      </c>
      <c r="Z55" s="516"/>
      <c r="AB55" s="423">
        <f>+IF(AB54&gt;$I$13+$I$14,XX,AB54+1)</f>
        <v>2036</v>
      </c>
      <c r="AC55" s="503"/>
      <c r="AD55" s="488">
        <f t="shared" si="4"/>
        <v>76464.215189873416</v>
      </c>
      <c r="AF55" s="555">
        <f t="shared" si="26"/>
        <v>144.68523547196216</v>
      </c>
      <c r="AH55" s="555">
        <f t="shared" si="27"/>
        <v>28.981081264847305</v>
      </c>
      <c r="AJ55" s="555">
        <f t="shared" si="28"/>
        <v>2.957577843948437</v>
      </c>
      <c r="AL55" s="558">
        <f t="shared" si="15"/>
        <v>3272.4676963886282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29"/>
        <v>3.3374681511945838</v>
      </c>
      <c r="AS55" s="555"/>
      <c r="AT55" s="558">
        <f t="shared" si="6"/>
        <v>1880.3743701529663</v>
      </c>
      <c r="AV55" s="558">
        <f t="shared" si="7"/>
        <v>3628.6065363509065</v>
      </c>
      <c r="AW55" s="560"/>
      <c r="AX55" s="561">
        <f t="shared" si="8"/>
        <v>5508.9809065038726</v>
      </c>
      <c r="AZ55" s="430">
        <f>+IF(AZ54&gt;$I$13+$I$14,XX,AZ54+1)</f>
        <v>2036</v>
      </c>
      <c r="BA55" s="503"/>
      <c r="BB55" s="555">
        <f t="shared" si="16"/>
        <v>68.88740528981441</v>
      </c>
      <c r="BD55" s="555">
        <f t="shared" si="17"/>
        <v>10.473861273578139</v>
      </c>
      <c r="BF55" s="558">
        <f t="shared" si="9"/>
        <v>1392.0933262356618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76464.215189873416</v>
      </c>
      <c r="I56" s="726">
        <v>107.11679140745625</v>
      </c>
      <c r="K56" s="625">
        <v>24.609514535182974</v>
      </c>
      <c r="M56" s="553">
        <f t="shared" si="25"/>
        <v>0</v>
      </c>
      <c r="O56" s="625">
        <v>0.91000000000000025</v>
      </c>
      <c r="Q56" s="625">
        <v>0</v>
      </c>
      <c r="S56" s="475">
        <f t="shared" si="21"/>
        <v>4040.10708340473</v>
      </c>
      <c r="U56" s="475">
        <f t="shared" si="22"/>
        <v>5649.4693751815557</v>
      </c>
      <c r="W56" s="475">
        <f t="shared" si="23"/>
        <v>-1609.3622917768257</v>
      </c>
      <c r="Y56" s="554">
        <f t="shared" si="24"/>
        <v>-21.047260967506308</v>
      </c>
      <c r="Z56" s="516"/>
      <c r="AB56" s="423">
        <f>+IF(AB55&gt;$I$13+$I$14,XX,AB55+1)</f>
        <v>2037</v>
      </c>
      <c r="AC56" s="503"/>
      <c r="AD56" s="488">
        <f t="shared" si="4"/>
        <v>76464.215189873416</v>
      </c>
      <c r="AF56" s="555">
        <f t="shared" si="26"/>
        <v>147.86831065234534</v>
      </c>
      <c r="AH56" s="555">
        <f t="shared" si="27"/>
        <v>29.618665052673947</v>
      </c>
      <c r="AJ56" s="555">
        <f t="shared" si="28"/>
        <v>3.0226445565153028</v>
      </c>
      <c r="AL56" s="558">
        <f t="shared" si="15"/>
        <v>3344.4619857091793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29"/>
        <v>3.4108924505208646</v>
      </c>
      <c r="AS56" s="555"/>
      <c r="AT56" s="558">
        <f t="shared" si="6"/>
        <v>1921.742606296333</v>
      </c>
      <c r="AV56" s="558">
        <f t="shared" si="7"/>
        <v>3727.726768885223</v>
      </c>
      <c r="AW56" s="560"/>
      <c r="AX56" s="561">
        <f t="shared" si="8"/>
        <v>5649.4693751815557</v>
      </c>
      <c r="AZ56" s="430">
        <f>+IF(AZ55&gt;$I$13+$I$14,XX,AZ55+1)</f>
        <v>2037</v>
      </c>
      <c r="BA56" s="503"/>
      <c r="BB56" s="555">
        <f t="shared" si="16"/>
        <v>70.402928206190325</v>
      </c>
      <c r="BD56" s="555">
        <f t="shared" si="17"/>
        <v>10.704286221596858</v>
      </c>
      <c r="BF56" s="558">
        <f t="shared" si="9"/>
        <v>1422.7193794128464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76464.215189873416</v>
      </c>
      <c r="I57" s="726">
        <v>109.15201044419788</v>
      </c>
      <c r="K57" s="625">
        <v>25.175533369492182</v>
      </c>
      <c r="M57" s="553">
        <f t="shared" si="25"/>
        <v>0</v>
      </c>
      <c r="O57" s="625">
        <v>0.92999999999999994</v>
      </c>
      <c r="Q57" s="625">
        <v>0</v>
      </c>
      <c r="S57" s="475">
        <f t="shared" si="21"/>
        <v>4124.603324873131</v>
      </c>
      <c r="U57" s="475">
        <f t="shared" si="22"/>
        <v>5875.4690139039276</v>
      </c>
      <c r="W57" s="475">
        <f t="shared" si="23"/>
        <v>-1750.8656890307966</v>
      </c>
      <c r="Y57" s="554">
        <f t="shared" si="24"/>
        <v>-22.897844235805007</v>
      </c>
      <c r="Z57" s="516"/>
      <c r="AB57" s="423">
        <f>+IF(AB56&gt;$I$13+$I$14,XX,AB56+1)</f>
        <v>2038</v>
      </c>
      <c r="AC57" s="503"/>
      <c r="AD57" s="488">
        <f t="shared" si="4"/>
        <v>76464.215189873416</v>
      </c>
      <c r="AF57" s="555">
        <f t="shared" si="26"/>
        <v>151.12141348669695</v>
      </c>
      <c r="AH57" s="555">
        <f t="shared" si="27"/>
        <v>30.270275683832775</v>
      </c>
      <c r="AJ57" s="555">
        <f t="shared" si="28"/>
        <v>3.0891427367586397</v>
      </c>
      <c r="AL57" s="558">
        <f t="shared" si="15"/>
        <v>3418.0401493947811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29"/>
        <v>3.4859320844323238</v>
      </c>
      <c r="AS57" s="555"/>
      <c r="AT57" s="558">
        <f t="shared" si="6"/>
        <v>1964.0209436348521</v>
      </c>
      <c r="AV57" s="558">
        <f t="shared" si="7"/>
        <v>3911.4480702690753</v>
      </c>
      <c r="AW57" s="560"/>
      <c r="AX57" s="561">
        <f t="shared" si="8"/>
        <v>5875.4690139039276</v>
      </c>
      <c r="AZ57" s="430">
        <f>+IF(AZ56&gt;$I$13+$I$14,XX,AZ56+1)</f>
        <v>2038</v>
      </c>
      <c r="BA57" s="503"/>
      <c r="BB57" s="555">
        <f t="shared" si="16"/>
        <v>71.951792626726515</v>
      </c>
      <c r="BD57" s="555">
        <f t="shared" si="17"/>
        <v>10.93978051847199</v>
      </c>
      <c r="BF57" s="558">
        <f t="shared" si="9"/>
        <v>1454.019205759929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76464.215189873416</v>
      </c>
      <c r="I58" s="726">
        <v>111.22589864263766</v>
      </c>
      <c r="K58" s="625">
        <v>25.754570636990501</v>
      </c>
      <c r="M58" s="553">
        <f t="shared" si="25"/>
        <v>0</v>
      </c>
      <c r="O58" s="625">
        <v>0.95999999999999985</v>
      </c>
      <c r="Q58" s="625">
        <v>0</v>
      </c>
      <c r="S58" s="475">
        <f t="shared" si="21"/>
        <v>4211.61370142335</v>
      </c>
      <c r="U58" s="475">
        <f t="shared" si="22"/>
        <v>6042.2411115964123</v>
      </c>
      <c r="W58" s="475">
        <f t="shared" si="23"/>
        <v>-1830.6274101730623</v>
      </c>
      <c r="Y58" s="554">
        <f t="shared" si="24"/>
        <v>-23.940969061505552</v>
      </c>
      <c r="Z58" s="516"/>
      <c r="AB58" s="423">
        <f>+IF(AB57&gt;$I$13+$I$14,XX,AB57+1)</f>
        <v>2039</v>
      </c>
      <c r="AC58" s="503"/>
      <c r="AD58" s="488">
        <f t="shared" si="4"/>
        <v>76464.215189873416</v>
      </c>
      <c r="AF58" s="555">
        <f t="shared" si="26"/>
        <v>154.44608458340429</v>
      </c>
      <c r="AH58" s="555">
        <f t="shared" si="27"/>
        <v>30.936221748877095</v>
      </c>
      <c r="AJ58" s="555">
        <f t="shared" si="28"/>
        <v>3.1571038769673296</v>
      </c>
      <c r="AL58" s="558">
        <f t="shared" si="15"/>
        <v>3493.2370326814666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29"/>
        <v>3.562622590289835</v>
      </c>
      <c r="AS58" s="555"/>
      <c r="AT58" s="558">
        <f t="shared" si="6"/>
        <v>2007.2294043948193</v>
      </c>
      <c r="AV58" s="558">
        <f t="shared" si="7"/>
        <v>4035.0117072015928</v>
      </c>
      <c r="AW58" s="560"/>
      <c r="AX58" s="561">
        <f t="shared" si="8"/>
        <v>6042.2411115964123</v>
      </c>
      <c r="AZ58" s="430">
        <f>+IF(AZ57&gt;$I$13+$I$14,XX,AZ57+1)</f>
        <v>2039</v>
      </c>
      <c r="BA58" s="503"/>
      <c r="BB58" s="555">
        <f t="shared" si="16"/>
        <v>73.5347320645145</v>
      </c>
      <c r="BD58" s="555">
        <f t="shared" si="17"/>
        <v>11.180455689878373</v>
      </c>
      <c r="BF58" s="558">
        <f t="shared" si="9"/>
        <v>1486.0076282866473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76464.215189873416</v>
      </c>
      <c r="I59" s="726">
        <v>113.33919071684777</v>
      </c>
      <c r="K59" s="625">
        <v>26.419109119892354</v>
      </c>
      <c r="M59" s="553">
        <f t="shared" si="25"/>
        <v>0</v>
      </c>
      <c r="O59" s="625">
        <v>0.9800000000000002</v>
      </c>
      <c r="Q59" s="625">
        <v>0</v>
      </c>
      <c r="S59" s="475">
        <f t="shared" si="21"/>
        <v>4305.1655947328045</v>
      </c>
      <c r="U59" s="475">
        <f t="shared" si="22"/>
        <v>6261.0312050531857</v>
      </c>
      <c r="W59" s="475">
        <f t="shared" si="23"/>
        <v>-1955.8656103203812</v>
      </c>
      <c r="Y59" s="554">
        <f t="shared" si="24"/>
        <v>-25.578835870657144</v>
      </c>
      <c r="Z59" s="516"/>
      <c r="AB59" s="423">
        <f>+IF(AB58&gt;$I$13+$I$14,XX,AB58+1)</f>
        <v>2040</v>
      </c>
      <c r="AC59" s="503"/>
      <c r="AD59" s="488">
        <f t="shared" si="4"/>
        <v>76464.215189873416</v>
      </c>
      <c r="AF59" s="555">
        <f t="shared" si="26"/>
        <v>157.84389844423919</v>
      </c>
      <c r="AH59" s="555">
        <f t="shared" si="27"/>
        <v>31.616818627352391</v>
      </c>
      <c r="AJ59" s="555">
        <f t="shared" si="28"/>
        <v>3.2265601622606108</v>
      </c>
      <c r="AL59" s="558">
        <f t="shared" si="15"/>
        <v>3570.0882474004588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29"/>
        <v>3.6410002872762113</v>
      </c>
      <c r="AS59" s="555"/>
      <c r="AT59" s="558">
        <f t="shared" si="6"/>
        <v>2051.3884512915047</v>
      </c>
      <c r="AV59" s="558">
        <f t="shared" si="7"/>
        <v>4209.642753761681</v>
      </c>
      <c r="AW59" s="560"/>
      <c r="AX59" s="561">
        <f t="shared" si="8"/>
        <v>6261.0312050531857</v>
      </c>
      <c r="AZ59" s="430">
        <f>+IF(AZ58&gt;$I$13+$I$14,XX,AZ58+1)</f>
        <v>2040</v>
      </c>
      <c r="BA59" s="503"/>
      <c r="BB59" s="555">
        <f t="shared" si="16"/>
        <v>75.152496169933826</v>
      </c>
      <c r="BD59" s="555">
        <f t="shared" si="17"/>
        <v>11.426425715055698</v>
      </c>
      <c r="BF59" s="558">
        <f t="shared" si="9"/>
        <v>1518.6997961089539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76464.215189873416</v>
      </c>
      <c r="I60" s="726">
        <v>115.49263534046788</v>
      </c>
      <c r="K60" s="625">
        <v>26.952905054159025</v>
      </c>
      <c r="M60" s="553">
        <f t="shared" si="25"/>
        <v>0</v>
      </c>
      <c r="O60" s="625">
        <v>1</v>
      </c>
      <c r="Q60" s="625">
        <v>0</v>
      </c>
      <c r="S60" s="475">
        <f t="shared" si="21"/>
        <v>4389.5033363824396</v>
      </c>
      <c r="U60" s="475">
        <f t="shared" si="22"/>
        <v>6402.7090612072325</v>
      </c>
      <c r="W60" s="475">
        <f t="shared" si="23"/>
        <v>-2013.2057248247929</v>
      </c>
      <c r="Y60" s="554">
        <f t="shared" si="24"/>
        <v>-26.328730633351391</v>
      </c>
      <c r="Z60" s="516"/>
      <c r="AB60" s="423">
        <f>+IF(AB59&gt;$I$13+$I$14,XX,AB59+1)</f>
        <v>2041</v>
      </c>
      <c r="AC60" s="503"/>
      <c r="AD60" s="488">
        <f t="shared" si="4"/>
        <v>76464.215189873416</v>
      </c>
      <c r="AF60" s="555">
        <f t="shared" si="26"/>
        <v>161.31646421001244</v>
      </c>
      <c r="AH60" s="555">
        <f t="shared" si="27"/>
        <v>32.312388637154143</v>
      </c>
      <c r="AJ60" s="555">
        <f t="shared" si="28"/>
        <v>3.2975444858303442</v>
      </c>
      <c r="AL60" s="558">
        <f t="shared" si="15"/>
        <v>3648.6301888432686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29"/>
        <v>3.7211022935962879</v>
      </c>
      <c r="AS60" s="555"/>
      <c r="AT60" s="558">
        <f t="shared" si="6"/>
        <v>2096.5189972199178</v>
      </c>
      <c r="AV60" s="558">
        <f t="shared" si="7"/>
        <v>4306.1900639873147</v>
      </c>
      <c r="AW60" s="560"/>
      <c r="AX60" s="561">
        <f t="shared" si="8"/>
        <v>6402.7090612072325</v>
      </c>
      <c r="AZ60" s="430">
        <f>+IF(AZ59&gt;$I$13+$I$14,XX,AZ59+1)</f>
        <v>2041</v>
      </c>
      <c r="BA60" s="503"/>
      <c r="BB60" s="555">
        <f t="shared" si="16"/>
        <v>76.805851085672373</v>
      </c>
      <c r="BD60" s="555">
        <f t="shared" si="17"/>
        <v>11.677807080786923</v>
      </c>
      <c r="BF60" s="558">
        <f t="shared" si="9"/>
        <v>1552.1111916233508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76464.215189873416</v>
      </c>
      <c r="I61" s="726">
        <v>117.68699541193676</v>
      </c>
      <c r="K61" s="625">
        <v>27.572821870404685</v>
      </c>
      <c r="M61" s="553">
        <f t="shared" si="25"/>
        <v>0</v>
      </c>
      <c r="O61" s="625">
        <v>1.0199999999999998</v>
      </c>
      <c r="Q61" s="625">
        <v>0</v>
      </c>
      <c r="S61" s="475">
        <f t="shared" si="21"/>
        <v>4481.2240949171091</v>
      </c>
      <c r="U61" s="475">
        <f t="shared" si="22"/>
        <v>6547.5817980801439</v>
      </c>
      <c r="W61" s="475">
        <f t="shared" si="23"/>
        <v>-2066.3577031630348</v>
      </c>
      <c r="Y61" s="554">
        <f t="shared" si="24"/>
        <v>-27.023852896834466</v>
      </c>
      <c r="Z61" s="516"/>
      <c r="AB61" s="423">
        <f>+IF(AB60&gt;$I$13+$I$14,XX,AB60+1)</f>
        <v>2042</v>
      </c>
      <c r="AC61" s="503"/>
      <c r="AD61" s="488">
        <f t="shared" si="4"/>
        <v>76464.215189873416</v>
      </c>
      <c r="AF61" s="555">
        <f t="shared" si="26"/>
        <v>164.86542642263271</v>
      </c>
      <c r="AH61" s="555">
        <f t="shared" si="27"/>
        <v>33.023261187171535</v>
      </c>
      <c r="AJ61" s="555">
        <f t="shared" si="28"/>
        <v>3.3700904645186118</v>
      </c>
      <c r="AL61" s="558">
        <f t="shared" si="15"/>
        <v>3728.9000529978207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29"/>
        <v>3.8029665440554061</v>
      </c>
      <c r="AS61" s="555"/>
      <c r="AT61" s="558">
        <f t="shared" si="6"/>
        <v>2142.6424151587562</v>
      </c>
      <c r="AV61" s="558">
        <f t="shared" si="7"/>
        <v>4404.9393829213877</v>
      </c>
      <c r="AW61" s="560"/>
      <c r="AX61" s="561">
        <f t="shared" si="8"/>
        <v>6547.5817980801439</v>
      </c>
      <c r="AZ61" s="430">
        <f>+IF(AZ60&gt;$I$13+$I$14,XX,AZ60+1)</f>
        <v>2042</v>
      </c>
      <c r="BA61" s="503"/>
      <c r="BB61" s="555">
        <f t="shared" si="16"/>
        <v>78.495579809557171</v>
      </c>
      <c r="BD61" s="555">
        <f t="shared" si="17"/>
        <v>11.934718836564237</v>
      </c>
      <c r="BF61" s="558">
        <f t="shared" si="9"/>
        <v>1586.2576378390645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76464.215189873416</v>
      </c>
      <c r="I62" s="726">
        <v>119.92304832476354</v>
      </c>
      <c r="K62" s="625">
        <v>28.206996773423988</v>
      </c>
      <c r="M62" s="553">
        <f t="shared" si="25"/>
        <v>0</v>
      </c>
      <c r="O62" s="625">
        <v>1.05</v>
      </c>
      <c r="Q62" s="625">
        <v>0</v>
      </c>
      <c r="S62" s="475">
        <f t="shared" si="21"/>
        <v>4575.6127394254136</v>
      </c>
      <c r="U62" s="475">
        <f t="shared" si="22"/>
        <v>6691.6285976379068</v>
      </c>
      <c r="W62" s="475">
        <f t="shared" si="23"/>
        <v>-2116.0158582124932</v>
      </c>
      <c r="Y62" s="554">
        <f t="shared" si="24"/>
        <v>-27.673282893940293</v>
      </c>
      <c r="Z62" s="516"/>
      <c r="AB62" s="423">
        <f>+IF(AB61&gt;$I$13+$I$14,XX,AB61+1)</f>
        <v>2043</v>
      </c>
      <c r="AC62" s="503"/>
      <c r="AD62" s="488">
        <f t="shared" si="4"/>
        <v>76464.215189873416</v>
      </c>
      <c r="AF62" s="555">
        <f t="shared" si="26"/>
        <v>168.49246580393063</v>
      </c>
      <c r="AH62" s="555">
        <f t="shared" si="27"/>
        <v>33.749772933289307</v>
      </c>
      <c r="AJ62" s="555">
        <f t="shared" si="28"/>
        <v>3.4442324547380214</v>
      </c>
      <c r="AL62" s="558">
        <f t="shared" si="15"/>
        <v>3810.9358541637725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29"/>
        <v>3.8866318080246249</v>
      </c>
      <c r="AS62" s="555"/>
      <c r="AT62" s="558">
        <f t="shared" si="6"/>
        <v>2189.7805482922486</v>
      </c>
      <c r="AV62" s="558">
        <f t="shared" si="7"/>
        <v>4501.8480493456582</v>
      </c>
      <c r="AW62" s="560"/>
      <c r="AX62" s="561">
        <f t="shared" si="8"/>
        <v>6691.6285976379068</v>
      </c>
      <c r="AZ62" s="430">
        <f>+IF(AZ61&gt;$I$13+$I$14,XX,AZ61+1)</f>
        <v>2043</v>
      </c>
      <c r="BA62" s="503"/>
      <c r="BB62" s="555">
        <f t="shared" si="16"/>
        <v>80.222482565367429</v>
      </c>
      <c r="BD62" s="555">
        <f t="shared" si="17"/>
        <v>12.197282650968651</v>
      </c>
      <c r="BF62" s="558">
        <f t="shared" si="9"/>
        <v>1621.155305871524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76464.215189873416</v>
      </c>
      <c r="I63" s="726">
        <v>122.20158624293406</v>
      </c>
      <c r="K63" s="625">
        <v>28.934814569621544</v>
      </c>
      <c r="M63" s="553">
        <f t="shared" si="25"/>
        <v>0</v>
      </c>
      <c r="O63" s="625">
        <v>1.0700000000000003</v>
      </c>
      <c r="Q63" s="625">
        <v>0</v>
      </c>
      <c r="S63" s="475">
        <f t="shared" si="21"/>
        <v>4677.2255297210049</v>
      </c>
      <c r="U63" s="475">
        <f t="shared" si="22"/>
        <v>6841.3313955851645</v>
      </c>
      <c r="W63" s="475">
        <f t="shared" si="23"/>
        <v>-2164.1058658641596</v>
      </c>
      <c r="Y63" s="554">
        <f t="shared" si="24"/>
        <v>-28.302204638997775</v>
      </c>
      <c r="Z63" s="516"/>
      <c r="AB63" s="423">
        <f>+IF(AB62&gt;$I$13+$I$14,XX,AB62+1)</f>
        <v>2044</v>
      </c>
      <c r="AC63" s="503"/>
      <c r="AD63" s="488">
        <f t="shared" si="4"/>
        <v>76464.215189873416</v>
      </c>
      <c r="AF63" s="555">
        <f t="shared" si="26"/>
        <v>172.36779251742101</v>
      </c>
      <c r="AH63" s="555">
        <f t="shared" si="27"/>
        <v>34.526017710754957</v>
      </c>
      <c r="AJ63" s="555">
        <f t="shared" si="28"/>
        <v>3.5234498011969957</v>
      </c>
      <c r="AL63" s="558">
        <f t="shared" si="15"/>
        <v>3898.5873788095391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29"/>
        <v>3.9760243396091908</v>
      </c>
      <c r="AS63" s="555"/>
      <c r="AT63" s="558">
        <f t="shared" si="6"/>
        <v>2240.1455009029701</v>
      </c>
      <c r="AV63" s="558">
        <f t="shared" si="7"/>
        <v>4601.1858946821949</v>
      </c>
      <c r="AW63" s="560"/>
      <c r="AX63" s="561">
        <f t="shared" si="8"/>
        <v>6841.3313955851645</v>
      </c>
      <c r="AZ63" s="430">
        <f>+IF(AZ62&gt;$I$13+$I$14,XX,AZ62+1)</f>
        <v>2044</v>
      </c>
      <c r="BA63" s="503"/>
      <c r="BB63" s="555">
        <f t="shared" si="16"/>
        <v>82.067599664370874</v>
      </c>
      <c r="BD63" s="555">
        <f t="shared" si="17"/>
        <v>12.477820151940929</v>
      </c>
      <c r="BF63" s="558">
        <f t="shared" si="9"/>
        <v>1658.4418779065691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76464.215189873416</v>
      </c>
      <c r="I64" s="726">
        <v>124.52341638154979</v>
      </c>
      <c r="K64" s="625">
        <v>29.519440126294629</v>
      </c>
      <c r="M64" s="553">
        <f t="shared" si="25"/>
        <v>0</v>
      </c>
      <c r="O64" s="625">
        <v>1.1000000000000001</v>
      </c>
      <c r="Q64" s="625">
        <v>0</v>
      </c>
      <c r="S64" s="475">
        <f t="shared" si="21"/>
        <v>4769.4980782506582</v>
      </c>
      <c r="U64" s="475">
        <f t="shared" si="22"/>
        <v>6994.3848553696453</v>
      </c>
      <c r="W64" s="475">
        <f t="shared" si="23"/>
        <v>-2224.8867771189871</v>
      </c>
      <c r="Y64" s="554">
        <f t="shared" si="24"/>
        <v>-29.097098186311356</v>
      </c>
      <c r="Z64" s="516"/>
      <c r="AB64" s="423">
        <f>+IF(AB63&gt;$I$13+$I$14,XX,AB63+1)</f>
        <v>2045</v>
      </c>
      <c r="AC64" s="503"/>
      <c r="AD64" s="488">
        <f t="shared" si="4"/>
        <v>76464.215189873416</v>
      </c>
      <c r="AF64" s="555">
        <f t="shared" si="26"/>
        <v>176.33225174532168</v>
      </c>
      <c r="AH64" s="555">
        <f t="shared" si="27"/>
        <v>35.32011611810232</v>
      </c>
      <c r="AJ64" s="555">
        <f t="shared" si="28"/>
        <v>3.6044891466245264</v>
      </c>
      <c r="AL64" s="558">
        <f t="shared" si="15"/>
        <v>3988.2548885221581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29"/>
        <v>4.0674728994202018</v>
      </c>
      <c r="AS64" s="555"/>
      <c r="AT64" s="558">
        <f t="shared" si="6"/>
        <v>2291.668847423738</v>
      </c>
      <c r="AV64" s="558">
        <f t="shared" si="7"/>
        <v>4702.7160079459072</v>
      </c>
      <c r="AW64" s="560"/>
      <c r="AX64" s="561">
        <f t="shared" si="8"/>
        <v>6994.3848553696453</v>
      </c>
      <c r="AZ64" s="430">
        <f>+IF(AZ63&gt;$I$13+$I$14,XX,AZ63+1)</f>
        <v>2045</v>
      </c>
      <c r="BA64" s="503"/>
      <c r="BB64" s="555">
        <f t="shared" si="16"/>
        <v>83.9551544566514</v>
      </c>
      <c r="BD64" s="555">
        <f t="shared" si="17"/>
        <v>12.764810015435568</v>
      </c>
      <c r="BF64" s="558">
        <f t="shared" si="9"/>
        <v>1696.5860410984201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76464.215189873416</v>
      </c>
      <c r="I65" s="726">
        <v>126.88936129279922</v>
      </c>
      <c r="K65" s="625">
        <v>30.198387249199403</v>
      </c>
      <c r="M65" s="553">
        <f t="shared" si="25"/>
        <v>0</v>
      </c>
      <c r="O65" s="625">
        <v>1.1200000000000001</v>
      </c>
      <c r="Q65" s="625">
        <v>0</v>
      </c>
      <c r="S65" s="475">
        <f t="shared" si="21"/>
        <v>4869.0784472321548</v>
      </c>
      <c r="U65" s="475">
        <f t="shared" si="22"/>
        <v>7150.8640071582613</v>
      </c>
      <c r="W65" s="475">
        <f t="shared" si="23"/>
        <v>-2281.7855599261065</v>
      </c>
      <c r="Y65" s="554">
        <f t="shared" si="24"/>
        <v>-29.841221207332765</v>
      </c>
      <c r="Z65" s="516"/>
      <c r="AB65" s="423">
        <f>+IF(AB64&gt;$I$13+$I$14,XX,AB64+1)</f>
        <v>2046</v>
      </c>
      <c r="AC65" s="503"/>
      <c r="AD65" s="488">
        <f t="shared" si="4"/>
        <v>76464.215189873416</v>
      </c>
      <c r="AF65" s="555">
        <f t="shared" si="26"/>
        <v>180.38789353546406</v>
      </c>
      <c r="AH65" s="555">
        <f t="shared" si="27"/>
        <v>36.132478788818666</v>
      </c>
      <c r="AJ65" s="555">
        <f t="shared" si="28"/>
        <v>3.68739239699689</v>
      </c>
      <c r="AL65" s="558">
        <f t="shared" si="15"/>
        <v>4079.9847509581673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29"/>
        <v>4.1610247761068662</v>
      </c>
      <c r="AS65" s="555"/>
      <c r="AT65" s="558">
        <f t="shared" si="6"/>
        <v>2344.3772309144838</v>
      </c>
      <c r="AV65" s="558">
        <f t="shared" si="7"/>
        <v>4806.486776243778</v>
      </c>
      <c r="AW65" s="560"/>
      <c r="AX65" s="561">
        <f t="shared" si="8"/>
        <v>7150.8640071582613</v>
      </c>
      <c r="AZ65" s="430">
        <f>+IF(AZ64&gt;$I$13+$I$14,XX,AZ64+1)</f>
        <v>2046</v>
      </c>
      <c r="BA65" s="503"/>
      <c r="BB65" s="555">
        <f t="shared" si="16"/>
        <v>85.886123009154375</v>
      </c>
      <c r="BD65" s="555">
        <f t="shared" si="17"/>
        <v>13.058400645790584</v>
      </c>
      <c r="BF65" s="558">
        <f t="shared" si="9"/>
        <v>1735.6075200436835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76464.215189873416</v>
      </c>
      <c r="I66" s="726">
        <v>129.3002591573624</v>
      </c>
      <c r="K66" s="625">
        <v>30.892950155930983</v>
      </c>
      <c r="M66" s="553">
        <f t="shared" si="25"/>
        <v>0</v>
      </c>
      <c r="O66" s="625">
        <v>1.1499999999999997</v>
      </c>
      <c r="Q66" s="625">
        <v>0</v>
      </c>
      <c r="S66" s="475">
        <f t="shared" si="21"/>
        <v>4971.4940896100607</v>
      </c>
      <c r="U66" s="475">
        <f t="shared" si="22"/>
        <v>7310.8455620405484</v>
      </c>
      <c r="W66" s="475">
        <f t="shared" si="23"/>
        <v>-2339.3514724304878</v>
      </c>
      <c r="Y66" s="554">
        <f t="shared" si="24"/>
        <v>-30.594068959205131</v>
      </c>
      <c r="Z66" s="516"/>
      <c r="AB66" s="423">
        <f>+IF(AB65&gt;$I$13+$I$14,XX,AB65+1)</f>
        <v>2047</v>
      </c>
      <c r="AC66" s="503"/>
      <c r="AD66" s="488">
        <f t="shared" si="4"/>
        <v>76464.215189873416</v>
      </c>
      <c r="AF66" s="555">
        <f t="shared" si="26"/>
        <v>184.53681508677971</v>
      </c>
      <c r="AH66" s="555">
        <f t="shared" si="27"/>
        <v>36.963525800961492</v>
      </c>
      <c r="AJ66" s="555">
        <f t="shared" si="28"/>
        <v>3.7722024221278181</v>
      </c>
      <c r="AL66" s="558">
        <f t="shared" si="15"/>
        <v>4173.8244002302044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29"/>
        <v>4.256728345957324</v>
      </c>
      <c r="AS66" s="555"/>
      <c r="AT66" s="558">
        <f t="shared" si="6"/>
        <v>2398.2979072255166</v>
      </c>
      <c r="AV66" s="558">
        <f t="shared" si="7"/>
        <v>4912.5476548150318</v>
      </c>
      <c r="AW66" s="560"/>
      <c r="AX66" s="561">
        <f t="shared" si="8"/>
        <v>7310.8455620405484</v>
      </c>
      <c r="AZ66" s="430">
        <f>+IF(AZ65&gt;$I$13+$I$14,XX,AZ65+1)</f>
        <v>2047</v>
      </c>
      <c r="BA66" s="503"/>
      <c r="BB66" s="555">
        <f t="shared" si="16"/>
        <v>87.861503838364911</v>
      </c>
      <c r="BD66" s="555">
        <f t="shared" si="17"/>
        <v>13.358743860643767</v>
      </c>
      <c r="BF66" s="558">
        <f t="shared" si="9"/>
        <v>1775.5264930046881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76464.215189873416</v>
      </c>
      <c r="I67" s="726">
        <v>131.75696408135232</v>
      </c>
      <c r="K67" s="625">
        <v>31.690072908173615</v>
      </c>
      <c r="M67" s="553">
        <f t="shared" si="25"/>
        <v>0</v>
      </c>
      <c r="O67" s="625">
        <v>1.17</v>
      </c>
      <c r="Q67" s="625">
        <v>0</v>
      </c>
      <c r="S67" s="475">
        <f t="shared" si="21"/>
        <v>5081.8804855918879</v>
      </c>
      <c r="U67" s="475">
        <f t="shared" si="22"/>
        <v>7471.6841644054421</v>
      </c>
      <c r="W67" s="475">
        <f t="shared" si="23"/>
        <v>-2389.8036788135541</v>
      </c>
      <c r="Y67" s="554">
        <f t="shared" si="24"/>
        <v>-31.253883569971556</v>
      </c>
      <c r="Z67" s="516"/>
      <c r="AB67" s="423">
        <f>+IF(AB66&gt;$I$13+$I$14,XX,AB66+1)</f>
        <v>2048</v>
      </c>
      <c r="AC67" s="503"/>
      <c r="AD67" s="488">
        <f t="shared" si="4"/>
        <v>76464.215189873416</v>
      </c>
      <c r="AF67" s="555">
        <f t="shared" si="26"/>
        <v>188.59662501868885</v>
      </c>
      <c r="AH67" s="555">
        <f t="shared" si="27"/>
        <v>37.776723368582644</v>
      </c>
      <c r="AJ67" s="555">
        <f t="shared" si="28"/>
        <v>3.85519087541463</v>
      </c>
      <c r="AL67" s="558">
        <f>((AF67+AH67)*$AF$11*1000+AJ67*AD67)/1000</f>
        <v>4265.6485370352693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29"/>
        <v>4.3503763695683855</v>
      </c>
      <c r="AS67" s="555"/>
      <c r="AT67" s="558">
        <f t="shared" si="6"/>
        <v>2451.0604611844783</v>
      </c>
      <c r="AV67" s="558">
        <f t="shared" si="7"/>
        <v>5020.6237032209638</v>
      </c>
      <c r="AW67" s="560"/>
      <c r="AX67" s="561">
        <f t="shared" si="8"/>
        <v>7471.6841644054421</v>
      </c>
      <c r="AZ67" s="430">
        <f>+IF(AZ66&gt;$I$13+$I$14,XX,AZ66+1)</f>
        <v>2048</v>
      </c>
      <c r="BA67" s="503"/>
      <c r="BB67" s="555">
        <f t="shared" si="16"/>
        <v>89.794456922808934</v>
      </c>
      <c r="BD67" s="555">
        <f t="shared" si="17"/>
        <v>13.652636225577929</v>
      </c>
      <c r="BF67" s="558">
        <f t="shared" si="9"/>
        <v>1814.5880758507913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31773.040237140016</v>
      </c>
      <c r="I68" s="726">
        <v>67.13017319944899</v>
      </c>
      <c r="K68" s="625">
        <v>13.470986764056793</v>
      </c>
      <c r="M68" s="553">
        <f t="shared" si="25"/>
        <v>0</v>
      </c>
      <c r="O68" s="625">
        <v>1.2000000000000002</v>
      </c>
      <c r="Q68" s="625">
        <v>0</v>
      </c>
      <c r="S68" s="475">
        <f t="shared" si="21"/>
        <v>1775.1802301621806</v>
      </c>
      <c r="U68" s="475">
        <f t="shared" si="22"/>
        <v>3156.3911078930259</v>
      </c>
      <c r="W68" s="475">
        <f t="shared" si="23"/>
        <v>-1381.2108777308454</v>
      </c>
      <c r="Y68" s="554">
        <f t="shared" si="24"/>
        <v>-43.471158800734656</v>
      </c>
      <c r="Z68" s="516"/>
      <c r="AB68" s="423">
        <f>+IF(AB67&gt;$I$13+$I$14,XX,AB67+1)</f>
        <v>2049</v>
      </c>
      <c r="AC68" s="503"/>
      <c r="AD68" s="488">
        <f t="shared" si="4"/>
        <v>31773.040237140016</v>
      </c>
      <c r="AF68" s="555">
        <f t="shared" si="26"/>
        <v>192.7457507691</v>
      </c>
      <c r="AH68" s="555">
        <f t="shared" si="27"/>
        <v>38.607811282691465</v>
      </c>
      <c r="AJ68" s="555">
        <f t="shared" si="28"/>
        <v>3.9400050746737518</v>
      </c>
      <c r="AL68" s="558">
        <f>((AF68+AH68)*$AR$11*1000+AJ68*AD68)/1000</f>
        <v>2878.7925849684129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29"/>
        <v>4.4460846496988902</v>
      </c>
      <c r="AS68" s="555"/>
      <c r="AT68" s="558">
        <f t="shared" si="6"/>
        <v>1024.2835714489047</v>
      </c>
      <c r="AV68" s="558">
        <f t="shared" si="7"/>
        <v>2132.1075364441213</v>
      </c>
      <c r="AW68" s="560"/>
      <c r="AX68" s="561">
        <f t="shared" si="8"/>
        <v>3156.3911078930259</v>
      </c>
      <c r="AZ68" s="430">
        <f>+IF(AZ67&gt;$I$13+$I$14,XX,AZ67+1)</f>
        <v>2049</v>
      </c>
      <c r="BA68" s="503"/>
      <c r="BB68" s="555">
        <f t="shared" si="16"/>
        <v>91.769934975110729</v>
      </c>
      <c r="BD68" s="555">
        <f t="shared" si="17"/>
        <v>13.952994222540644</v>
      </c>
      <c r="BF68" s="558">
        <f t="shared" si="9"/>
        <v>1854.5090135195082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73352.062022725251</v>
      </c>
      <c r="I70" s="617">
        <f>+-PMT($I$18,41,NPV($I$18,I28:I68))</f>
        <v>222.43530524558415</v>
      </c>
      <c r="J70" s="553"/>
      <c r="K70" s="617">
        <f>+-PMT($I$18,41,NPV($I$18,K28:K68))</f>
        <v>11.758027941395373</v>
      </c>
      <c r="M70" s="553">
        <f>+-PMT($G$18,$G$14,NPV($G$18,M28:M51))</f>
        <v>0</v>
      </c>
      <c r="O70" s="617">
        <f>+-PMT($I$18,41,NPV($I$18,O28:O68))</f>
        <v>3.1925145834315911</v>
      </c>
      <c r="Q70" s="617">
        <f>+-PMT($I$18,41,NPV($I$18,Q28:Q68))</f>
        <v>-28.157798181959532</v>
      </c>
      <c r="S70" s="617">
        <f>+-PMT($I$18,41,NPV($I$18,S28:S68))</f>
        <v>3400.0133622822136</v>
      </c>
      <c r="U70" s="617">
        <f>+-PMT($I$18,41,NPV($I$18,U28:U68))</f>
        <v>4666.1877005497518</v>
      </c>
      <c r="W70" s="626">
        <f>+-PMT($I$18,41,NPV($I$18,W28:W68))</f>
        <v>-1266.1743382675368</v>
      </c>
      <c r="Y70" s="617">
        <f>+-PMT($I$18,41,NPV($I$18,Y28:Y68))</f>
        <v>-18.131904427486738</v>
      </c>
      <c r="Z70" s="516"/>
      <c r="AB70" s="526"/>
      <c r="AD70" s="617">
        <f>+-PMT($I$18,41,NPV($I$18,AD28:AD68))</f>
        <v>73352.062022725251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2128.9932086348513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1095.4443713473879</v>
      </c>
      <c r="AV70" s="618">
        <f>+-PMT($I$18,41,NPV($I$18,AV28:AV68))</f>
        <v>3570.7433292023643</v>
      </c>
      <c r="AW70" s="560"/>
      <c r="AX70" s="618">
        <f>+-PMT($I$18,41,NPV($I$18,AX28:AX68))</f>
        <v>4666.1877005497518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1033.5488372874638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3CE1-97BB-48F2-B118-EDBFB4077972}">
  <sheetPr codeName="Sheet19">
    <tabColor theme="0" tint="-0.249977111117893"/>
    <pageSetUpPr fitToPage="1"/>
  </sheetPr>
  <dimension ref="A1:BH84"/>
  <sheetViews>
    <sheetView topLeftCell="A20" workbookViewId="0">
      <selection activeCell="O45" sqref="O45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323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'[5]New_Sweetwater Solar'!$X$12</f>
        <v>80</v>
      </c>
      <c r="H11" s="275"/>
      <c r="AB11" s="129" t="s">
        <v>99</v>
      </c>
      <c r="AC11" s="130"/>
      <c r="AD11" s="130"/>
      <c r="AE11" s="130"/>
      <c r="AF11" s="312">
        <f>+G11*(G12/AJ16)</f>
        <v>28.780636583003606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-18.979363416996392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'[5]New_Sweetwater Solar'!$X$13</f>
        <v>0.251</v>
      </c>
      <c r="H12" s="275"/>
      <c r="AB12" s="129" t="s">
        <v>32</v>
      </c>
      <c r="AC12" s="130"/>
      <c r="AD12" s="130"/>
      <c r="AE12" s="130"/>
      <c r="AF12" s="138">
        <f>+AD58/8760/AF11</f>
        <v>0.66735796622644439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2018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'(2.2)_Forward_Price_Curve'!E84</f>
        <v>0.59699999999999998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2018</v>
      </c>
      <c r="D28" s="6"/>
      <c r="E28" s="292">
        <f>'(2.2)_Forward_Price_Curve'!O31</f>
        <v>2.3E-2</v>
      </c>
      <c r="F28" s="6"/>
      <c r="G28" s="20">
        <v>12436</v>
      </c>
      <c r="H28" s="6"/>
      <c r="I28" s="293">
        <f>$G$15*(1+E28)</f>
        <v>0</v>
      </c>
      <c r="J28" s="293"/>
      <c r="K28" s="293">
        <v>41.535285493727883</v>
      </c>
      <c r="L28" s="294"/>
      <c r="M28" s="293">
        <f>$G$17</f>
        <v>0</v>
      </c>
      <c r="N28" s="6"/>
      <c r="O28" s="295">
        <v>0.25</v>
      </c>
      <c r="P28" s="6"/>
      <c r="Q28" s="30"/>
      <c r="R28" s="6"/>
      <c r="S28" s="20">
        <f>(I28*$G$11*1000+(K28+M28+O28+Q28)*G28)/1000</f>
        <v>519.64181039999994</v>
      </c>
      <c r="T28" s="6"/>
      <c r="U28" s="20">
        <f t="shared" ref="U28:U47" si="0">AX28</f>
        <v>4769.3963731094773</v>
      </c>
      <c r="V28" s="6"/>
      <c r="W28" s="20">
        <f t="shared" ref="W28:W47" si="1">S28-U28</f>
        <v>-4249.7545627094769</v>
      </c>
      <c r="X28" s="6"/>
      <c r="Y28" s="296">
        <f>+W28*1000/G28</f>
        <v>-341.73002273315188</v>
      </c>
      <c r="Z28" s="255"/>
      <c r="AB28" s="154">
        <f>$C$28</f>
        <v>2018</v>
      </c>
      <c r="AC28" s="124"/>
      <c r="AD28" s="159">
        <f t="shared" ref="AD28:AD47" si="2">G28</f>
        <v>12436</v>
      </c>
      <c r="AE28" s="3"/>
      <c r="AF28" s="160">
        <f>$AF$15*$AF$16*(1+E28)</f>
        <v>93.826295957689695</v>
      </c>
      <c r="AG28" s="297"/>
      <c r="AH28" s="160">
        <f>$AJ$11*(1+E28)</f>
        <v>19.657222206381721</v>
      </c>
      <c r="AI28" s="297"/>
      <c r="AJ28" s="160">
        <f>$AJ$13*(1+E28)</f>
        <v>2.2611245454283573</v>
      </c>
      <c r="AK28" s="298"/>
      <c r="AL28" s="161">
        <f>((AF28+AH28)*$AF$11*1000+AJ28*AD28)/1000</f>
        <v>3294.2472392877748</v>
      </c>
      <c r="AM28" s="3"/>
      <c r="AN28" s="162">
        <f>INDEX('(2.2)_Forward_Price_Curve'!$H:$H,MATCH($AB28,'(2.2)_Forward_Price_Curve'!$C:$C,0),1)</f>
        <v>2.2091508096518182</v>
      </c>
      <c r="AO28" s="310"/>
      <c r="AP28" s="162">
        <f>AN28*$AF$14/1000+$AJ$14/(1+E29)</f>
        <v>14.361465891910921</v>
      </c>
      <c r="AQ28" s="297"/>
      <c r="AR28" s="160">
        <f>$AJ$15*(1+E28)</f>
        <v>2.3340592015911139</v>
      </c>
      <c r="AS28" s="160"/>
      <c r="AT28" s="161">
        <f t="shared" ref="AT28:AT47" si="3">AL28-BF28</f>
        <v>4561.770823046686</v>
      </c>
      <c r="AU28" s="298"/>
      <c r="AV28" s="161">
        <f t="shared" ref="AV28:AV47" si="4">(AP28+AR28)*AD28/1000</f>
        <v>207.62555006279129</v>
      </c>
      <c r="AW28" s="299"/>
      <c r="AX28" s="163">
        <f>AT28+AV28</f>
        <v>4769.3963731094773</v>
      </c>
      <c r="AZ28" s="154">
        <f>$C$28</f>
        <v>2018</v>
      </c>
      <c r="BA28" s="124"/>
      <c r="BB28" s="160">
        <f>$BD$14*$BD$15*(1+E28)</f>
        <v>60.022274399999986</v>
      </c>
      <c r="BC28" s="3"/>
      <c r="BD28" s="160">
        <f>$BB$16*(1+E28)</f>
        <v>6.7620299999999993</v>
      </c>
      <c r="BE28" s="297"/>
      <c r="BF28" s="161">
        <f>(BB28+BD28)*$BD$11</f>
        <v>-1267.5235837589109</v>
      </c>
      <c r="BG28" s="297"/>
      <c r="BH28" s="164"/>
    </row>
    <row r="29" spans="1:60" ht="12">
      <c r="B29" s="2"/>
      <c r="C29" s="6">
        <f>+IF(C28&gt;$G$13+$G$14,XX,C28+1)</f>
        <v>2019</v>
      </c>
      <c r="D29" s="6"/>
      <c r="E29" s="292">
        <f>'(2.2)_Forward_Price_Curve'!O32</f>
        <v>2.5999999999999999E-2</v>
      </c>
      <c r="F29" s="6"/>
      <c r="G29" s="20">
        <v>185672.59438948965</v>
      </c>
      <c r="H29" s="6"/>
      <c r="I29" s="30">
        <f>I28*(1+$E29)</f>
        <v>0</v>
      </c>
      <c r="J29" s="6"/>
      <c r="K29" s="30">
        <v>43.134195684202112</v>
      </c>
      <c r="L29" s="6"/>
      <c r="M29" s="30">
        <f>M28*(1+$E29)</f>
        <v>0</v>
      </c>
      <c r="N29" s="6"/>
      <c r="O29" s="295">
        <f>'(2.2)_Forward_Price_Curve'!Z31</f>
        <v>0.85</v>
      </c>
      <c r="P29" s="6"/>
      <c r="Q29" s="30"/>
      <c r="R29" s="6"/>
      <c r="S29" s="20">
        <f t="shared" ref="S29:S47" si="5">(I29*$G$11*1000+(K29+M29+O29+Q29)*G29)/1000</f>
        <v>8166.6597248208</v>
      </c>
      <c r="T29" s="6"/>
      <c r="U29" s="20">
        <f t="shared" si="0"/>
        <v>7909.9156069625187</v>
      </c>
      <c r="V29" s="6"/>
      <c r="W29" s="20">
        <f t="shared" si="1"/>
        <v>256.74411785828124</v>
      </c>
      <c r="X29" s="6"/>
      <c r="Y29" s="296">
        <f t="shared" ref="Y29:Y47" si="6">+W29*1000/G29</f>
        <v>1.3827787493489925</v>
      </c>
      <c r="Z29" s="255"/>
      <c r="AB29" s="154">
        <f>+IF(AB28&gt;$G$13+$G$14,XX,AB28+1)</f>
        <v>2019</v>
      </c>
      <c r="AC29" s="124"/>
      <c r="AD29" s="159">
        <f t="shared" si="2"/>
        <v>185672.59438948965</v>
      </c>
      <c r="AE29" s="3"/>
      <c r="AF29" s="162">
        <f>AF28*(1+$E29)</f>
        <v>96.265779652589629</v>
      </c>
      <c r="AG29" s="3"/>
      <c r="AH29" s="162">
        <f>AH28*(1+$E29)</f>
        <v>20.168309983747648</v>
      </c>
      <c r="AI29" s="3"/>
      <c r="AJ29" s="162">
        <f>AJ28*(1+$E29)</f>
        <v>2.3199137836094947</v>
      </c>
      <c r="AK29" s="3"/>
      <c r="AL29" s="161">
        <f>((AF29+AH29)*$AF$11*1000+AJ29*AD29)/1000</f>
        <v>3781.7916306590018</v>
      </c>
      <c r="AM29" s="3"/>
      <c r="AN29" s="162">
        <f>INDEX('(2.2)_Forward_Price_Curve'!$H:$H,MATCH($AB29,'(2.2)_Forward_Price_Curve'!$C:$C,0),1)</f>
        <v>1.9742583333333332</v>
      </c>
      <c r="AO29" s="3"/>
      <c r="AP29" s="162">
        <f>AN29*$AF$14/1000+$AJ$14</f>
        <v>12.834453669759327</v>
      </c>
      <c r="AQ29" s="3"/>
      <c r="AR29" s="162">
        <f>AR28*(1+$E29)</f>
        <v>2.3947447408324831</v>
      </c>
      <c r="AS29" s="162"/>
      <c r="AT29" s="161">
        <f t="shared" si="3"/>
        <v>5082.2708275956447</v>
      </c>
      <c r="AU29" s="3"/>
      <c r="AV29" s="161">
        <f t="shared" si="4"/>
        <v>2827.6447793668735</v>
      </c>
      <c r="AW29" s="299"/>
      <c r="AX29" s="163">
        <f t="shared" ref="AX29:AX47" si="7">AT29+AV29</f>
        <v>7909.9156069625187</v>
      </c>
      <c r="AZ29" s="154">
        <f>+IF(AZ28&gt;$G$13+$G$14,XX,AZ28+1)</f>
        <v>2019</v>
      </c>
      <c r="BA29" s="124"/>
      <c r="BB29" s="162">
        <f>BB28*(1+$E29)</f>
        <v>61.582853534399987</v>
      </c>
      <c r="BC29" s="3"/>
      <c r="BD29" s="162">
        <f>BD28*(1+$E29)</f>
        <v>6.9378427799999995</v>
      </c>
      <c r="BE29" s="3"/>
      <c r="BF29" s="161">
        <f t="shared" ref="BF29:BF47" si="8">(BB29+BD29)*$BD$11</f>
        <v>-1300.4791969366427</v>
      </c>
      <c r="BG29" s="3"/>
      <c r="BH29" s="165"/>
    </row>
    <row r="30" spans="1:60" ht="12">
      <c r="B30" s="2"/>
      <c r="C30" s="6">
        <f>+IF(C29&gt;$G$13+$G$14,XX,C29+1)</f>
        <v>2020</v>
      </c>
      <c r="D30" s="6"/>
      <c r="E30" s="292">
        <f>'(2.2)_Forward_Price_Curve'!O33</f>
        <v>2.4E-2</v>
      </c>
      <c r="F30" s="6"/>
      <c r="G30" s="20">
        <v>184739.70842059041</v>
      </c>
      <c r="H30" s="6"/>
      <c r="I30" s="30">
        <f t="shared" ref="I30:I48" si="9">I29*(1+$E30)</f>
        <v>0</v>
      </c>
      <c r="J30" s="6"/>
      <c r="K30" s="30">
        <v>43.134195973233247</v>
      </c>
      <c r="L30" s="6"/>
      <c r="M30" s="30">
        <f t="shared" ref="M30:M46" si="10">M29*(1+$E30)</f>
        <v>0</v>
      </c>
      <c r="N30" s="6"/>
      <c r="O30" s="295">
        <f>'(2.2)_Forward_Price_Curve'!Z32</f>
        <v>0.87222518878125355</v>
      </c>
      <c r="P30" s="6"/>
      <c r="Q30" s="30"/>
      <c r="R30" s="6"/>
      <c r="S30" s="20">
        <f t="shared" si="5"/>
        <v>8129.7334141042575</v>
      </c>
      <c r="T30" s="6"/>
      <c r="U30" s="20">
        <f t="shared" si="0"/>
        <v>7918.8775924692909</v>
      </c>
      <c r="V30" s="6"/>
      <c r="W30" s="20">
        <f t="shared" si="1"/>
        <v>210.85582163496656</v>
      </c>
      <c r="X30" s="6"/>
      <c r="Y30" s="296">
        <f t="shared" si="6"/>
        <v>1.1413670804054672</v>
      </c>
      <c r="Z30" s="255"/>
      <c r="AB30" s="154">
        <f>+IF(AB29&gt;$G$13+$G$14,XX,AB29+1)</f>
        <v>2020</v>
      </c>
      <c r="AC30" s="124"/>
      <c r="AD30" s="159">
        <f t="shared" si="2"/>
        <v>184739.70842059041</v>
      </c>
      <c r="AE30" s="3"/>
      <c r="AF30" s="162">
        <f t="shared" ref="AF30:AF48" si="11">AF29*(1+$E30)</f>
        <v>98.576158364251782</v>
      </c>
      <c r="AG30" s="3"/>
      <c r="AH30" s="162">
        <f t="shared" ref="AH30:AH48" si="12">AH29*(1+$E30)</f>
        <v>20.652349423357592</v>
      </c>
      <c r="AI30" s="3"/>
      <c r="AJ30" s="162">
        <f t="shared" ref="AJ30:AJ48" si="13">AJ29*(1+$E30)</f>
        <v>2.3755917144161227</v>
      </c>
      <c r="AK30" s="3"/>
      <c r="AL30" s="161">
        <f t="shared" ref="AL30:AL47" si="14">((AF30+AH30)*$AF$11*1000+AJ30*AD30)/1000</f>
        <v>3870.3384736166058</v>
      </c>
      <c r="AM30" s="3"/>
      <c r="AN30" s="162">
        <f>INDEX('(2.2)_Forward_Price_Curve'!$H:$H,MATCH($AB30,'(2.2)_Forward_Price_Curve'!$C:$C,0),1)</f>
        <v>1.8849916666666668</v>
      </c>
      <c r="AO30" s="3"/>
      <c r="AP30" s="162">
        <f>AN30*$AF$14/1000+$AJ$14*(1+E30)</f>
        <v>12.254140101750828</v>
      </c>
      <c r="AQ30" s="3"/>
      <c r="AR30" s="162">
        <f t="shared" ref="AR30:AR48" si="15">AR29*(1+$E30)</f>
        <v>2.4522186146124629</v>
      </c>
      <c r="AS30" s="162"/>
      <c r="AT30" s="161">
        <f t="shared" si="3"/>
        <v>5202.029171279728</v>
      </c>
      <c r="AU30" s="3"/>
      <c r="AV30" s="161">
        <f t="shared" si="4"/>
        <v>2716.8484211895625</v>
      </c>
      <c r="AW30" s="299"/>
      <c r="AX30" s="163">
        <f t="shared" si="7"/>
        <v>7918.8775924692909</v>
      </c>
      <c r="AZ30" s="154">
        <f>+IF(AZ29&gt;$G$13+$G$14,XX,AZ29+1)</f>
        <v>2020</v>
      </c>
      <c r="BA30" s="124"/>
      <c r="BB30" s="162">
        <f t="shared" ref="BB30:BB48" si="16">BB29*(1+$E30)</f>
        <v>63.060842019225589</v>
      </c>
      <c r="BC30" s="3"/>
      <c r="BD30" s="162">
        <f t="shared" ref="BD30:BD48" si="17">BD29*(1+$E30)</f>
        <v>7.10435100672</v>
      </c>
      <c r="BE30" s="3"/>
      <c r="BF30" s="161">
        <f t="shared" si="8"/>
        <v>-1331.6906976631219</v>
      </c>
      <c r="BG30" s="3"/>
      <c r="BH30" s="165"/>
    </row>
    <row r="31" spans="1:60" ht="12">
      <c r="B31" s="2"/>
      <c r="C31" s="6">
        <f>+IF(C30&gt;$G$13+$G$14,XX,C30+1)</f>
        <v>2021</v>
      </c>
      <c r="D31" s="6"/>
      <c r="E31" s="292">
        <f>'(2.2)_Forward_Price_Curve'!O34</f>
        <v>2.3E-2</v>
      </c>
      <c r="F31" s="6"/>
      <c r="G31" s="20">
        <v>183806.82245169117</v>
      </c>
      <c r="H31" s="6"/>
      <c r="I31" s="30">
        <f t="shared" si="9"/>
        <v>0</v>
      </c>
      <c r="J31" s="6"/>
      <c r="K31" s="30">
        <v>43.134196265198256</v>
      </c>
      <c r="L31" s="6"/>
      <c r="M31" s="30">
        <f t="shared" si="10"/>
        <v>0</v>
      </c>
      <c r="N31" s="6"/>
      <c r="O31" s="295">
        <f>'(2.2)_Forward_Price_Curve'!Z33</f>
        <v>0.89441110644161892</v>
      </c>
      <c r="P31" s="6"/>
      <c r="Q31" s="30"/>
      <c r="R31" s="6"/>
      <c r="S31" s="20">
        <f t="shared" si="5"/>
        <v>8092.7584179542309</v>
      </c>
      <c r="T31" s="6"/>
      <c r="U31" s="20">
        <f t="shared" si="0"/>
        <v>8111.390316320696</v>
      </c>
      <c r="V31" s="6"/>
      <c r="W31" s="20">
        <f t="shared" si="1"/>
        <v>-18.631898366465066</v>
      </c>
      <c r="X31" s="6"/>
      <c r="Y31" s="296">
        <f t="shared" si="6"/>
        <v>-0.10136673991718656</v>
      </c>
      <c r="Z31" s="255"/>
      <c r="AB31" s="154">
        <f>+IF(AB30&gt;$G$13+$G$14,XX,AB30+1)</f>
        <v>2021</v>
      </c>
      <c r="AC31" s="124"/>
      <c r="AD31" s="159">
        <f t="shared" si="2"/>
        <v>183806.82245169117</v>
      </c>
      <c r="AE31" s="3"/>
      <c r="AF31" s="162">
        <f t="shared" si="11"/>
        <v>100.84341000662957</v>
      </c>
      <c r="AG31" s="3"/>
      <c r="AH31" s="162">
        <f t="shared" si="12"/>
        <v>21.127353460094813</v>
      </c>
      <c r="AI31" s="3"/>
      <c r="AJ31" s="162">
        <f t="shared" si="13"/>
        <v>2.4302303238476934</v>
      </c>
      <c r="AK31" s="3"/>
      <c r="AL31" s="161">
        <f t="shared" si="14"/>
        <v>3957.0891307394763</v>
      </c>
      <c r="AM31" s="3"/>
      <c r="AN31" s="162">
        <f>INDEX('(2.2)_Forward_Price_Curve'!$H:$H,MATCH($AB31,'(2.2)_Forward_Price_Curve'!$C:$C,0),1)</f>
        <v>1.9506749999999997</v>
      </c>
      <c r="AO31" s="3"/>
      <c r="AP31" s="162">
        <f>AN31*$AF$14/1000+$AJ$14*(1+E31)</f>
        <v>12.681140805918394</v>
      </c>
      <c r="AQ31" s="3"/>
      <c r="AR31" s="162">
        <f t="shared" si="15"/>
        <v>2.5086196427485494</v>
      </c>
      <c r="AS31" s="162"/>
      <c r="AT31" s="161">
        <f t="shared" si="3"/>
        <v>5319.4087144488503</v>
      </c>
      <c r="AU31" s="3"/>
      <c r="AV31" s="161">
        <f t="shared" si="4"/>
        <v>2791.9816018718457</v>
      </c>
      <c r="AW31" s="299"/>
      <c r="AX31" s="163">
        <f t="shared" si="7"/>
        <v>8111.390316320696</v>
      </c>
      <c r="AZ31" s="154">
        <f>+IF(AZ30&gt;$G$13+$G$14,XX,AZ30+1)</f>
        <v>2021</v>
      </c>
      <c r="BA31" s="124"/>
      <c r="BB31" s="162">
        <f t="shared" si="16"/>
        <v>64.511241385667773</v>
      </c>
      <c r="BC31" s="3"/>
      <c r="BD31" s="162">
        <f t="shared" si="17"/>
        <v>7.267751079874559</v>
      </c>
      <c r="BE31" s="3"/>
      <c r="BF31" s="161">
        <f t="shared" si="8"/>
        <v>-1362.3195837093738</v>
      </c>
      <c r="BG31" s="3"/>
      <c r="BH31" s="165"/>
    </row>
    <row r="32" spans="1:60" ht="12">
      <c r="B32" s="2"/>
      <c r="C32" s="6">
        <f>+IF(C31&gt;$G$13+$G$14,XX,C31+1)</f>
        <v>2022</v>
      </c>
      <c r="D32" s="6"/>
      <c r="E32" s="292">
        <f>'(2.2)_Forward_Price_Curve'!O35</f>
        <v>2.3E-2</v>
      </c>
      <c r="F32" s="6"/>
      <c r="G32" s="20">
        <v>182873.93648279196</v>
      </c>
      <c r="H32" s="6"/>
      <c r="I32" s="30">
        <f t="shared" si="9"/>
        <v>0</v>
      </c>
      <c r="J32" s="6"/>
      <c r="K32" s="30">
        <v>43.134196560142044</v>
      </c>
      <c r="L32" s="6"/>
      <c r="M32" s="30">
        <f t="shared" si="10"/>
        <v>0</v>
      </c>
      <c r="N32" s="6"/>
      <c r="O32" s="295">
        <f>'(2.2)_Forward_Price_Curve'!Z34</f>
        <v>0.91699200095245803</v>
      </c>
      <c r="P32" s="6"/>
      <c r="Q32" s="30"/>
      <c r="R32" s="6"/>
      <c r="S32" s="20">
        <f t="shared" si="5"/>
        <v>8055.8142589130875</v>
      </c>
      <c r="T32" s="6"/>
      <c r="U32" s="20">
        <f t="shared" si="0"/>
        <v>8799.1822914570403</v>
      </c>
      <c r="V32" s="6"/>
      <c r="W32" s="20">
        <f t="shared" si="1"/>
        <v>-743.36803254395272</v>
      </c>
      <c r="X32" s="6"/>
      <c r="Y32" s="296">
        <f t="shared" si="6"/>
        <v>-4.064920605096189</v>
      </c>
      <c r="Z32" s="255"/>
      <c r="AB32" s="154">
        <f>+IF(AB31&gt;$G$13+$G$14,XX,AB31+1)</f>
        <v>2022</v>
      </c>
      <c r="AC32" s="124"/>
      <c r="AD32" s="159">
        <f t="shared" si="2"/>
        <v>182873.93648279196</v>
      </c>
      <c r="AE32" s="3"/>
      <c r="AF32" s="162">
        <f t="shared" si="11"/>
        <v>103.16280843678204</v>
      </c>
      <c r="AG32" s="3"/>
      <c r="AH32" s="162">
        <f t="shared" si="12"/>
        <v>21.613282589676992</v>
      </c>
      <c r="AI32" s="3"/>
      <c r="AJ32" s="162">
        <f t="shared" si="13"/>
        <v>2.48612562129619</v>
      </c>
      <c r="AK32" s="3"/>
      <c r="AL32" s="161">
        <f t="shared" si="14"/>
        <v>4045.7829090374557</v>
      </c>
      <c r="AM32" s="3"/>
      <c r="AN32" s="162">
        <f>INDEX('(2.2)_Forward_Price_Curve'!$H:$H,MATCH($AB32,'(2.2)_Forward_Price_Curve'!$C:$C,0),1)</f>
        <v>2.431295833333333</v>
      </c>
      <c r="AO32" s="3"/>
      <c r="AP32" s="162">
        <f t="shared" ref="AP32:AP47" si="18">AN32*$AF$14/1000+$AJ$14*(1+E32)</f>
        <v>15.805608214255424</v>
      </c>
      <c r="AQ32" s="3"/>
      <c r="AR32" s="162">
        <f t="shared" si="15"/>
        <v>2.5663178945317657</v>
      </c>
      <c r="AS32" s="162"/>
      <c r="AT32" s="161">
        <f t="shared" si="3"/>
        <v>5439.4358431721448</v>
      </c>
      <c r="AU32" s="3"/>
      <c r="AV32" s="161">
        <f t="shared" si="4"/>
        <v>3359.7464482848955</v>
      </c>
      <c r="AW32" s="299"/>
      <c r="AX32" s="163">
        <f t="shared" si="7"/>
        <v>8799.1822914570403</v>
      </c>
      <c r="AZ32" s="154">
        <f>+IF(AZ31&gt;$G$13+$G$14,XX,AZ31+1)</f>
        <v>2022</v>
      </c>
      <c r="BA32" s="124"/>
      <c r="BB32" s="162">
        <f t="shared" si="16"/>
        <v>65.994999937538125</v>
      </c>
      <c r="BC32" s="3"/>
      <c r="BD32" s="162">
        <f t="shared" si="17"/>
        <v>7.4349093547116736</v>
      </c>
      <c r="BE32" s="3"/>
      <c r="BF32" s="161">
        <f t="shared" si="8"/>
        <v>-1393.6529341346893</v>
      </c>
      <c r="BG32" s="3"/>
      <c r="BH32" s="165"/>
    </row>
    <row r="33" spans="2:60" ht="12">
      <c r="B33" s="2"/>
      <c r="C33" s="6">
        <f>+IF(C32&gt;$G$13+$G$14,XX,C32+1)</f>
        <v>2023</v>
      </c>
      <c r="D33" s="6"/>
      <c r="E33" s="292">
        <f>'(2.2)_Forward_Price_Curve'!O36</f>
        <v>2.3E-2</v>
      </c>
      <c r="F33" s="6"/>
      <c r="G33" s="20">
        <v>181941.0505138927</v>
      </c>
      <c r="H33" s="6"/>
      <c r="I33" s="30">
        <f t="shared" si="9"/>
        <v>0</v>
      </c>
      <c r="J33" s="6"/>
      <c r="K33" s="30">
        <v>43.134196858110421</v>
      </c>
      <c r="L33" s="6"/>
      <c r="M33" s="30">
        <f t="shared" si="10"/>
        <v>0</v>
      </c>
      <c r="N33" s="6"/>
      <c r="O33" s="295">
        <f>'(2.2)_Forward_Price_Curve'!Z35</f>
        <v>0.93952909305922927</v>
      </c>
      <c r="P33" s="6"/>
      <c r="Q33" s="30"/>
      <c r="R33" s="6"/>
      <c r="S33" s="20">
        <f t="shared" si="5"/>
        <v>8018.8199996172207</v>
      </c>
      <c r="T33" s="6"/>
      <c r="U33" s="20">
        <f t="shared" si="0"/>
        <v>9513.8904286846646</v>
      </c>
      <c r="V33" s="6"/>
      <c r="W33" s="20">
        <f t="shared" si="1"/>
        <v>-1495.0704290674439</v>
      </c>
      <c r="X33" s="6"/>
      <c r="Y33" s="296">
        <f t="shared" si="6"/>
        <v>-8.2173342675807124</v>
      </c>
      <c r="Z33" s="255"/>
      <c r="AB33" s="154">
        <f>+IF(AB32&gt;$G$13+$G$14,XX,AB32+1)</f>
        <v>2023</v>
      </c>
      <c r="AC33" s="124"/>
      <c r="AD33" s="159">
        <f t="shared" si="2"/>
        <v>181941.0505138927</v>
      </c>
      <c r="AE33" s="3"/>
      <c r="AF33" s="162">
        <f t="shared" si="11"/>
        <v>105.53555303082803</v>
      </c>
      <c r="AG33" s="3"/>
      <c r="AH33" s="162">
        <f t="shared" si="12"/>
        <v>22.11038808923956</v>
      </c>
      <c r="AI33" s="3"/>
      <c r="AJ33" s="162">
        <f t="shared" si="13"/>
        <v>2.5433065105860022</v>
      </c>
      <c r="AK33" s="3"/>
      <c r="AL33" s="161">
        <f t="shared" si="14"/>
        <v>4136.4633009869813</v>
      </c>
      <c r="AM33" s="3"/>
      <c r="AN33" s="162">
        <f>INDEX('(2.2)_Forward_Price_Curve'!$H:$H,MATCH($AB33,'(2.2)_Forward_Price_Curve'!$C:$C,0),1)</f>
        <v>2.9371999999999994</v>
      </c>
      <c r="AO33" s="3"/>
      <c r="AP33" s="162">
        <f t="shared" si="18"/>
        <v>19.094440014427573</v>
      </c>
      <c r="AQ33" s="3"/>
      <c r="AR33" s="162">
        <f t="shared" si="15"/>
        <v>2.6253432061059963</v>
      </c>
      <c r="AS33" s="162"/>
      <c r="AT33" s="161">
        <f t="shared" si="3"/>
        <v>5562.1702526067684</v>
      </c>
      <c r="AU33" s="3"/>
      <c r="AV33" s="161">
        <f t="shared" si="4"/>
        <v>3951.7201760778967</v>
      </c>
      <c r="AW33" s="299"/>
      <c r="AX33" s="163">
        <f t="shared" si="7"/>
        <v>9513.8904286846646</v>
      </c>
      <c r="AZ33" s="154">
        <f>+IF(AZ32&gt;$G$13+$G$14,XX,AZ32+1)</f>
        <v>2023</v>
      </c>
      <c r="BA33" s="124"/>
      <c r="BB33" s="162">
        <f t="shared" si="16"/>
        <v>67.5128849361015</v>
      </c>
      <c r="BC33" s="3"/>
      <c r="BD33" s="162">
        <f t="shared" si="17"/>
        <v>7.605912269870041</v>
      </c>
      <c r="BE33" s="3"/>
      <c r="BF33" s="161">
        <f t="shared" si="8"/>
        <v>-1425.7069516197871</v>
      </c>
      <c r="BG33" s="3"/>
      <c r="BH33" s="165"/>
    </row>
    <row r="34" spans="2:60" ht="12">
      <c r="B34" s="2"/>
      <c r="C34" s="6">
        <f>+IF(C33&gt;$G$13+$G$14,XX,C33+1)</f>
        <v>2024</v>
      </c>
      <c r="D34" s="6"/>
      <c r="E34" s="292">
        <f>'(2.2)_Forward_Price_Curve'!O37</f>
        <v>2.3E-2</v>
      </c>
      <c r="F34" s="6"/>
      <c r="G34" s="20">
        <v>181008.16454499343</v>
      </c>
      <c r="H34" s="6"/>
      <c r="I34" s="30">
        <f t="shared" si="9"/>
        <v>0</v>
      </c>
      <c r="J34" s="6"/>
      <c r="K34" s="30">
        <v>43.134197159150162</v>
      </c>
      <c r="L34" s="6"/>
      <c r="M34" s="30">
        <f t="shared" si="10"/>
        <v>0</v>
      </c>
      <c r="N34" s="6"/>
      <c r="O34" s="295">
        <f>'(2.2)_Forward_Price_Curve'!Z36</f>
        <v>0.961379129353919</v>
      </c>
      <c r="P34" s="6"/>
      <c r="Q34" s="30"/>
      <c r="R34" s="6"/>
      <c r="S34" s="20">
        <f t="shared" si="5"/>
        <v>7981.6593285358576</v>
      </c>
      <c r="T34" s="6"/>
      <c r="U34" s="20">
        <f t="shared" si="0"/>
        <v>10254.146789168402</v>
      </c>
      <c r="V34" s="6"/>
      <c r="W34" s="20">
        <f t="shared" si="1"/>
        <v>-2272.4874606325448</v>
      </c>
      <c r="X34" s="6"/>
      <c r="Y34" s="296">
        <f t="shared" si="6"/>
        <v>-12.554613027235408</v>
      </c>
      <c r="Z34" s="255"/>
      <c r="AB34" s="154">
        <f>+IF(AB33&gt;$G$13+$G$14,XX,AB33+1)</f>
        <v>2024</v>
      </c>
      <c r="AC34" s="124"/>
      <c r="AD34" s="159">
        <f t="shared" si="2"/>
        <v>181008.16454499343</v>
      </c>
      <c r="AE34" s="3"/>
      <c r="AF34" s="162">
        <f t="shared" si="11"/>
        <v>107.96287075053706</v>
      </c>
      <c r="AG34" s="3"/>
      <c r="AH34" s="162">
        <f t="shared" si="12"/>
        <v>22.618927015292069</v>
      </c>
      <c r="AI34" s="3"/>
      <c r="AJ34" s="162">
        <f t="shared" si="13"/>
        <v>2.6018025603294799</v>
      </c>
      <c r="AK34" s="3"/>
      <c r="AL34" s="161">
        <f t="shared" si="14"/>
        <v>4229.1747718073038</v>
      </c>
      <c r="AM34" s="3"/>
      <c r="AN34" s="162">
        <f>INDEX('(2.2)_Forward_Price_Curve'!$H:$H,MATCH($AB34,'(2.2)_Forward_Price_Curve'!$C:$C,0),1)</f>
        <v>3.4675625000000001</v>
      </c>
      <c r="AO34" s="3"/>
      <c r="AP34" s="162">
        <f t="shared" si="18"/>
        <v>22.542272964908253</v>
      </c>
      <c r="AQ34" s="3"/>
      <c r="AR34" s="162">
        <f t="shared" si="15"/>
        <v>2.6857260998464341</v>
      </c>
      <c r="AS34" s="162"/>
      <c r="AT34" s="161">
        <f t="shared" si="3"/>
        <v>5687.6729833143454</v>
      </c>
      <c r="AU34" s="3"/>
      <c r="AV34" s="161">
        <f t="shared" si="4"/>
        <v>4566.473805854057</v>
      </c>
      <c r="AW34" s="299"/>
      <c r="AX34" s="163">
        <f t="shared" si="7"/>
        <v>10254.146789168402</v>
      </c>
      <c r="AZ34" s="154">
        <f>+IF(AZ33&gt;$G$13+$G$14,XX,AZ33+1)</f>
        <v>2024</v>
      </c>
      <c r="BA34" s="124"/>
      <c r="BB34" s="162">
        <f t="shared" si="16"/>
        <v>69.065681289631826</v>
      </c>
      <c r="BC34" s="3"/>
      <c r="BD34" s="162">
        <f t="shared" si="17"/>
        <v>7.7808482520770514</v>
      </c>
      <c r="BE34" s="3"/>
      <c r="BF34" s="161">
        <f t="shared" si="8"/>
        <v>-1458.498211507042</v>
      </c>
      <c r="BG34" s="3"/>
      <c r="BH34" s="165"/>
    </row>
    <row r="35" spans="2:60" ht="12">
      <c r="B35" s="2"/>
      <c r="C35" s="6">
        <f>+IF(C34&gt;$G$13+$G$14,XX,C34+1)</f>
        <v>2025</v>
      </c>
      <c r="D35" s="6"/>
      <c r="E35" s="292">
        <f>'(2.2)_Forward_Price_Curve'!O38</f>
        <v>2.1999999999999999E-2</v>
      </c>
      <c r="F35" s="6"/>
      <c r="G35" s="20">
        <v>180075.27857609422</v>
      </c>
      <c r="H35" s="6"/>
      <c r="I35" s="30">
        <f t="shared" si="9"/>
        <v>0</v>
      </c>
      <c r="J35" s="6"/>
      <c r="K35" s="30">
        <v>43.134197463308993</v>
      </c>
      <c r="L35" s="6"/>
      <c r="M35" s="30">
        <f t="shared" si="10"/>
        <v>0</v>
      </c>
      <c r="N35" s="6"/>
      <c r="O35" s="295">
        <f>'(2.2)_Forward_Price_Curve'!Z37</f>
        <v>0.98282248298325492</v>
      </c>
      <c r="P35" s="6"/>
      <c r="Q35" s="30"/>
      <c r="R35" s="6"/>
      <c r="S35" s="20">
        <f t="shared" si="5"/>
        <v>7944.3846567756809</v>
      </c>
      <c r="T35" s="6"/>
      <c r="U35" s="20">
        <f t="shared" si="0"/>
        <v>10782.524945510191</v>
      </c>
      <c r="V35" s="6"/>
      <c r="W35" s="20">
        <f t="shared" si="1"/>
        <v>-2838.1402887345102</v>
      </c>
      <c r="X35" s="6"/>
      <c r="Y35" s="296">
        <f t="shared" si="6"/>
        <v>-15.760854633553713</v>
      </c>
      <c r="Z35" s="255"/>
      <c r="AB35" s="154">
        <f>+IF(AB34&gt;$G$13+$G$14,XX,AB34+1)</f>
        <v>2025</v>
      </c>
      <c r="AC35" s="124"/>
      <c r="AD35" s="159">
        <f t="shared" si="2"/>
        <v>180075.27857609422</v>
      </c>
      <c r="AE35" s="3"/>
      <c r="AF35" s="162">
        <f t="shared" si="11"/>
        <v>110.33805390704889</v>
      </c>
      <c r="AG35" s="3"/>
      <c r="AH35" s="162">
        <f t="shared" si="12"/>
        <v>23.116543409628495</v>
      </c>
      <c r="AI35" s="3"/>
      <c r="AJ35" s="162">
        <f t="shared" si="13"/>
        <v>2.6590422166567285</v>
      </c>
      <c r="AK35" s="3"/>
      <c r="AL35" s="161">
        <f t="shared" si="14"/>
        <v>4319.7360336124357</v>
      </c>
      <c r="AM35" s="3"/>
      <c r="AN35" s="162">
        <f>INDEX('(2.2)_Forward_Price_Curve'!$H:$H,MATCH($AB35,'(2.2)_Forward_Price_Curve'!$C:$C,0),1)</f>
        <v>3.8251624999999998</v>
      </c>
      <c r="AO35" s="3"/>
      <c r="AP35" s="162">
        <f t="shared" si="18"/>
        <v>24.866994382979648</v>
      </c>
      <c r="AQ35" s="3"/>
      <c r="AR35" s="162">
        <f t="shared" si="15"/>
        <v>2.7448120740430557</v>
      </c>
      <c r="AS35" s="162"/>
      <c r="AT35" s="161">
        <f t="shared" si="3"/>
        <v>5810.3212057726323</v>
      </c>
      <c r="AU35" s="3"/>
      <c r="AV35" s="161">
        <f t="shared" si="4"/>
        <v>4972.2037397375598</v>
      </c>
      <c r="AW35" s="299"/>
      <c r="AX35" s="163">
        <f t="shared" si="7"/>
        <v>10782.524945510191</v>
      </c>
      <c r="AZ35" s="154">
        <f>+IF(AZ34&gt;$G$13+$G$14,XX,AZ34+1)</f>
        <v>2025</v>
      </c>
      <c r="BA35" s="124"/>
      <c r="BB35" s="162">
        <f t="shared" si="16"/>
        <v>70.585126278003727</v>
      </c>
      <c r="BC35" s="3"/>
      <c r="BD35" s="162">
        <f t="shared" si="17"/>
        <v>7.9520269136227464</v>
      </c>
      <c r="BE35" s="3"/>
      <c r="BF35" s="161">
        <f t="shared" si="8"/>
        <v>-1490.5851721601969</v>
      </c>
      <c r="BG35" s="3"/>
      <c r="BH35" s="165"/>
    </row>
    <row r="36" spans="2:60" ht="12">
      <c r="B36" s="2"/>
      <c r="C36" s="6">
        <f>+IF(C35&gt;$G$13+$G$14,XX,C35+1)</f>
        <v>2026</v>
      </c>
      <c r="D36" s="6"/>
      <c r="E36" s="292">
        <f>'(2.2)_Forward_Price_Curve'!O39</f>
        <v>2.1999999999999999E-2</v>
      </c>
      <c r="F36" s="6"/>
      <c r="G36" s="20">
        <v>179142.39260719492</v>
      </c>
      <c r="H36" s="6"/>
      <c r="I36" s="30">
        <f t="shared" si="9"/>
        <v>0</v>
      </c>
      <c r="J36" s="6"/>
      <c r="K36" s="30">
        <v>43.134197770635652</v>
      </c>
      <c r="L36" s="6"/>
      <c r="M36" s="30">
        <f t="shared" si="10"/>
        <v>0</v>
      </c>
      <c r="N36" s="6"/>
      <c r="O36" s="295">
        <f>'(2.2)_Forward_Price_Curve'!Z38</f>
        <v>1.0045007081240578</v>
      </c>
      <c r="P36" s="6"/>
      <c r="Q36" s="30"/>
      <c r="R36" s="6"/>
      <c r="S36" s="20">
        <f t="shared" si="5"/>
        <v>7907.1120520525683</v>
      </c>
      <c r="T36" s="6"/>
      <c r="U36" s="20">
        <f t="shared" si="0"/>
        <v>11136.575302056634</v>
      </c>
      <c r="V36" s="6"/>
      <c r="W36" s="20">
        <f t="shared" si="1"/>
        <v>-3229.4632500040652</v>
      </c>
      <c r="X36" s="6"/>
      <c r="Y36" s="296">
        <f t="shared" si="6"/>
        <v>-18.027353564967179</v>
      </c>
      <c r="Z36" s="255"/>
      <c r="AB36" s="154">
        <f>+IF(AB35&gt;$G$13+$G$14,XX,AB35+1)</f>
        <v>2026</v>
      </c>
      <c r="AC36" s="124"/>
      <c r="AD36" s="159">
        <f t="shared" si="2"/>
        <v>179142.39260719492</v>
      </c>
      <c r="AE36" s="3"/>
      <c r="AF36" s="162">
        <f t="shared" si="11"/>
        <v>112.76549109300396</v>
      </c>
      <c r="AG36" s="3"/>
      <c r="AH36" s="162">
        <f t="shared" si="12"/>
        <v>23.625107364640321</v>
      </c>
      <c r="AI36" s="3"/>
      <c r="AJ36" s="162">
        <f t="shared" si="13"/>
        <v>2.7175411454231764</v>
      </c>
      <c r="AK36" s="3"/>
      <c r="AL36" s="161">
        <f t="shared" si="14"/>
        <v>4412.2350703474376</v>
      </c>
      <c r="AM36" s="3"/>
      <c r="AN36" s="162">
        <f>INDEX('(2.2)_Forward_Price_Curve'!$H:$H,MATCH($AB36,'(2.2)_Forward_Price_Curve'!$C:$C,0),1)</f>
        <v>4.0344208333333329</v>
      </c>
      <c r="AO36" s="3"/>
      <c r="AP36" s="162">
        <f t="shared" si="18"/>
        <v>26.227361635244531</v>
      </c>
      <c r="AQ36" s="3"/>
      <c r="AR36" s="162">
        <f t="shared" si="15"/>
        <v>2.805197939672003</v>
      </c>
      <c r="AS36" s="162"/>
      <c r="AT36" s="161">
        <f t="shared" si="3"/>
        <v>5935.6131162951588</v>
      </c>
      <c r="AU36" s="3"/>
      <c r="AV36" s="161">
        <f t="shared" si="4"/>
        <v>5200.9621857614738</v>
      </c>
      <c r="AW36" s="299"/>
      <c r="AX36" s="163">
        <f t="shared" si="7"/>
        <v>11136.575302056634</v>
      </c>
      <c r="AZ36" s="154">
        <f>+IF(AZ35&gt;$G$13+$G$14,XX,AZ35+1)</f>
        <v>2026</v>
      </c>
      <c r="BA36" s="124"/>
      <c r="BB36" s="162">
        <f t="shared" si="16"/>
        <v>72.13799905611981</v>
      </c>
      <c r="BC36" s="3"/>
      <c r="BD36" s="162">
        <f t="shared" si="17"/>
        <v>8.1269715057224463</v>
      </c>
      <c r="BE36" s="3"/>
      <c r="BF36" s="161">
        <f t="shared" si="8"/>
        <v>-1523.3780459477214</v>
      </c>
      <c r="BG36" s="3"/>
      <c r="BH36" s="165"/>
    </row>
    <row r="37" spans="2:60" ht="12">
      <c r="B37" s="2"/>
      <c r="C37" s="6">
        <f>+IF(C36&gt;$G$13+$G$14,XX,C36+1)</f>
        <v>2027</v>
      </c>
      <c r="D37" s="6"/>
      <c r="E37" s="292">
        <f>'(2.2)_Forward_Price_Curve'!O40</f>
        <v>2.1999999999999999E-2</v>
      </c>
      <c r="F37" s="6"/>
      <c r="G37" s="20">
        <v>178209.50663829566</v>
      </c>
      <c r="H37" s="6"/>
      <c r="I37" s="30">
        <f t="shared" si="9"/>
        <v>0</v>
      </c>
      <c r="J37" s="6"/>
      <c r="K37" s="30">
        <v>43.134198081179875</v>
      </c>
      <c r="L37" s="6"/>
      <c r="M37" s="30">
        <f t="shared" si="10"/>
        <v>0</v>
      </c>
      <c r="N37" s="6"/>
      <c r="O37" s="295">
        <f>'(2.2)_Forward_Price_Curve'!Z39</f>
        <v>1.026779705893067</v>
      </c>
      <c r="P37" s="6"/>
      <c r="Q37" s="30"/>
      <c r="R37" s="6"/>
      <c r="S37" s="20">
        <f t="shared" si="5"/>
        <v>7869.9060640990028</v>
      </c>
      <c r="T37" s="6"/>
      <c r="U37" s="20">
        <f t="shared" si="0"/>
        <v>11199.944634980278</v>
      </c>
      <c r="V37" s="6"/>
      <c r="W37" s="20">
        <f t="shared" si="1"/>
        <v>-3330.0385708812755</v>
      </c>
      <c r="X37" s="6"/>
      <c r="Y37" s="296">
        <f t="shared" si="6"/>
        <v>-18.686088265987486</v>
      </c>
      <c r="Z37" s="255"/>
      <c r="AB37" s="154">
        <f>+IF(AB36&gt;$G$13+$G$14,XX,AB36+1)</f>
        <v>2027</v>
      </c>
      <c r="AC37" s="124"/>
      <c r="AD37" s="159">
        <f t="shared" si="2"/>
        <v>178209.50663829566</v>
      </c>
      <c r="AE37" s="3"/>
      <c r="AF37" s="162">
        <f t="shared" si="11"/>
        <v>115.24633189705006</v>
      </c>
      <c r="AG37" s="3"/>
      <c r="AH37" s="162">
        <f t="shared" si="12"/>
        <v>24.144859726662411</v>
      </c>
      <c r="AI37" s="3"/>
      <c r="AJ37" s="162">
        <f t="shared" si="13"/>
        <v>2.7773270506224863</v>
      </c>
      <c r="AK37" s="3"/>
      <c r="AL37" s="161">
        <f t="shared" si="14"/>
        <v>4506.7133124585116</v>
      </c>
      <c r="AM37" s="3"/>
      <c r="AN37" s="162">
        <f>INDEX('(2.2)_Forward_Price_Curve'!$H:$H,MATCH($AB37,'(2.2)_Forward_Price_Curve'!$C:$C,0),1)</f>
        <v>3.9925249999999992</v>
      </c>
      <c r="AO37" s="3"/>
      <c r="AP37" s="162">
        <f t="shared" si="18"/>
        <v>25.955001061760328</v>
      </c>
      <c r="AQ37" s="3"/>
      <c r="AR37" s="162">
        <f t="shared" si="15"/>
        <v>2.8669122943447873</v>
      </c>
      <c r="AS37" s="162"/>
      <c r="AT37" s="161">
        <f t="shared" si="3"/>
        <v>6063.6056754170822</v>
      </c>
      <c r="AU37" s="3"/>
      <c r="AV37" s="161">
        <f t="shared" si="4"/>
        <v>5136.338959563197</v>
      </c>
      <c r="AW37" s="299"/>
      <c r="AX37" s="163">
        <f t="shared" si="7"/>
        <v>11199.944634980278</v>
      </c>
      <c r="AZ37" s="154">
        <f>+IF(AZ36&gt;$G$13+$G$14,XX,AZ36+1)</f>
        <v>2027</v>
      </c>
      <c r="BA37" s="124"/>
      <c r="BB37" s="162">
        <f t="shared" si="16"/>
        <v>73.725035035354452</v>
      </c>
      <c r="BC37" s="3"/>
      <c r="BD37" s="162">
        <f t="shared" si="17"/>
        <v>8.3057648788483398</v>
      </c>
      <c r="BE37" s="3"/>
      <c r="BF37" s="161">
        <f t="shared" si="8"/>
        <v>-1556.8923629585711</v>
      </c>
      <c r="BG37" s="3"/>
      <c r="BH37" s="165"/>
    </row>
    <row r="38" spans="2:60" ht="12">
      <c r="B38" s="2"/>
      <c r="C38" s="6">
        <f>+IF(C37&gt;$G$13+$G$14,XX,C37+1)</f>
        <v>2028</v>
      </c>
      <c r="D38" s="6"/>
      <c r="E38" s="292">
        <f>'(2.2)_Forward_Price_Curve'!O41</f>
        <v>2.1999999999999999E-2</v>
      </c>
      <c r="F38" s="6"/>
      <c r="G38" s="20">
        <v>177276.62066939645</v>
      </c>
      <c r="H38" s="6"/>
      <c r="I38" s="30">
        <f t="shared" si="9"/>
        <v>0</v>
      </c>
      <c r="J38" s="6"/>
      <c r="K38" s="30">
        <v>43.134198394992453</v>
      </c>
      <c r="L38" s="6"/>
      <c r="M38" s="30">
        <f t="shared" si="10"/>
        <v>0</v>
      </c>
      <c r="N38" s="6"/>
      <c r="O38" s="295">
        <f>'(2.2)_Forward_Price_Curve'!Z40</f>
        <v>1.0498288329991143</v>
      </c>
      <c r="P38" s="6"/>
      <c r="Q38" s="30"/>
      <c r="R38" s="6"/>
      <c r="S38" s="20">
        <f t="shared" si="5"/>
        <v>7832.7950345429444</v>
      </c>
      <c r="T38" s="6"/>
      <c r="U38" s="20">
        <f t="shared" si="0"/>
        <v>11245.842232452509</v>
      </c>
      <c r="V38" s="6"/>
      <c r="W38" s="20">
        <f t="shared" si="1"/>
        <v>-3413.0471979095646</v>
      </c>
      <c r="X38" s="6"/>
      <c r="Y38" s="296">
        <f t="shared" si="6"/>
        <v>-19.25266391598565</v>
      </c>
      <c r="Z38" s="255"/>
      <c r="AB38" s="154">
        <f>+IF(AB37&gt;$G$13+$G$14,XX,AB37+1)</f>
        <v>2028</v>
      </c>
      <c r="AC38" s="124"/>
      <c r="AD38" s="159">
        <f t="shared" si="2"/>
        <v>177276.62066939645</v>
      </c>
      <c r="AE38" s="3"/>
      <c r="AF38" s="162">
        <f t="shared" si="11"/>
        <v>117.78175119878516</v>
      </c>
      <c r="AG38" s="3"/>
      <c r="AH38" s="162">
        <f t="shared" si="12"/>
        <v>24.676046640648984</v>
      </c>
      <c r="AI38" s="3"/>
      <c r="AJ38" s="162">
        <f t="shared" si="13"/>
        <v>2.8384282457361811</v>
      </c>
      <c r="AK38" s="3"/>
      <c r="AL38" s="161">
        <f t="shared" si="14"/>
        <v>4603.2130754484233</v>
      </c>
      <c r="AM38" s="3"/>
      <c r="AN38" s="162">
        <f>INDEX('(2.2)_Forward_Price_Curve'!$H:$H,MATCH($AB38,'(2.2)_Forward_Price_Curve'!$C:$C,0),1)</f>
        <v>3.9325250000000005</v>
      </c>
      <c r="AO38" s="3"/>
      <c r="AP38" s="162">
        <f t="shared" si="18"/>
        <v>25.564947132553726</v>
      </c>
      <c r="AQ38" s="3"/>
      <c r="AR38" s="162">
        <f t="shared" si="15"/>
        <v>2.9299843648203727</v>
      </c>
      <c r="AS38" s="162"/>
      <c r="AT38" s="161">
        <f t="shared" si="3"/>
        <v>6194.3570703920832</v>
      </c>
      <c r="AU38" s="3"/>
      <c r="AV38" s="161">
        <f t="shared" si="4"/>
        <v>5051.4851620604259</v>
      </c>
      <c r="AW38" s="299"/>
      <c r="AX38" s="163">
        <f t="shared" si="7"/>
        <v>11245.842232452509</v>
      </c>
      <c r="AZ38" s="154">
        <f>+IF(AZ37&gt;$G$13+$G$14,XX,AZ37+1)</f>
        <v>2028</v>
      </c>
      <c r="BA38" s="124"/>
      <c r="BB38" s="162">
        <f t="shared" si="16"/>
        <v>75.346985806132253</v>
      </c>
      <c r="BC38" s="3"/>
      <c r="BD38" s="162">
        <f t="shared" si="17"/>
        <v>8.4884917061830034</v>
      </c>
      <c r="BE38" s="3"/>
      <c r="BF38" s="161">
        <f t="shared" si="8"/>
        <v>-1591.1439949436599</v>
      </c>
      <c r="BG38" s="3"/>
      <c r="BH38" s="165"/>
    </row>
    <row r="39" spans="2:60" ht="12">
      <c r="B39" s="2"/>
      <c r="C39" s="6">
        <f>+IF(C38&gt;$G$13+$G$14,XX,C38+1)</f>
        <v>2029</v>
      </c>
      <c r="D39" s="6"/>
      <c r="E39" s="292">
        <f>'(2.2)_Forward_Price_Curve'!O42</f>
        <v>2.1999999999999999E-2</v>
      </c>
      <c r="F39" s="6"/>
      <c r="G39" s="20">
        <v>176343.73470049718</v>
      </c>
      <c r="H39" s="6"/>
      <c r="I39" s="30">
        <f t="shared" si="9"/>
        <v>0</v>
      </c>
      <c r="J39" s="6"/>
      <c r="K39" s="30">
        <v>43.134198712125276</v>
      </c>
      <c r="L39" s="6"/>
      <c r="M39" s="30">
        <f t="shared" si="10"/>
        <v>0</v>
      </c>
      <c r="N39" s="6"/>
      <c r="O39" s="295">
        <f>'(2.2)_Forward_Price_Curve'!Z41</f>
        <v>1.0737281421117022</v>
      </c>
      <c r="P39" s="6"/>
      <c r="Q39" s="30"/>
      <c r="R39" s="6"/>
      <c r="S39" s="20">
        <f t="shared" si="5"/>
        <v>7795.7909248425512</v>
      </c>
      <c r="T39" s="6"/>
      <c r="U39" s="20">
        <f t="shared" si="0"/>
        <v>11729.910064086318</v>
      </c>
      <c r="V39" s="6"/>
      <c r="W39" s="20">
        <f t="shared" si="1"/>
        <v>-3934.1191392437668</v>
      </c>
      <c r="X39" s="6"/>
      <c r="Y39" s="296">
        <f t="shared" si="6"/>
        <v>-22.309378589069176</v>
      </c>
      <c r="Z39" s="255"/>
      <c r="AB39" s="154">
        <f>+IF(AB38&gt;$G$13+$G$14,XX,AB38+1)</f>
        <v>2029</v>
      </c>
      <c r="AC39" s="124"/>
      <c r="AD39" s="159">
        <f t="shared" si="2"/>
        <v>176343.73470049718</v>
      </c>
      <c r="AE39" s="3"/>
      <c r="AF39" s="162">
        <f t="shared" si="11"/>
        <v>120.37294972515843</v>
      </c>
      <c r="AG39" s="3"/>
      <c r="AH39" s="162">
        <f t="shared" si="12"/>
        <v>25.218919666743261</v>
      </c>
      <c r="AI39" s="3"/>
      <c r="AJ39" s="162">
        <f t="shared" si="13"/>
        <v>2.9008736671423772</v>
      </c>
      <c r="AK39" s="3"/>
      <c r="AL39" s="161">
        <f t="shared" si="14"/>
        <v>4701.7775787666624</v>
      </c>
      <c r="AM39" s="3"/>
      <c r="AN39" s="162">
        <f>INDEX('(2.2)_Forward_Price_Curve'!$H:$H,MATCH($AB39,'(2.2)_Forward_Price_Curve'!$C:$C,0),1)</f>
        <v>4.2515375000000004</v>
      </c>
      <c r="AO39" s="3"/>
      <c r="AP39" s="162">
        <f t="shared" si="18"/>
        <v>27.638815117404125</v>
      </c>
      <c r="AQ39" s="3"/>
      <c r="AR39" s="162">
        <f t="shared" si="15"/>
        <v>2.9944440208464211</v>
      </c>
      <c r="AS39" s="162"/>
      <c r="AT39" s="161">
        <f t="shared" si="3"/>
        <v>6327.9267415990835</v>
      </c>
      <c r="AU39" s="3"/>
      <c r="AV39" s="161">
        <f t="shared" si="4"/>
        <v>5401.9833224872355</v>
      </c>
      <c r="AW39" s="299"/>
      <c r="AX39" s="163">
        <f t="shared" si="7"/>
        <v>11729.910064086318</v>
      </c>
      <c r="AZ39" s="154">
        <f>+IF(AZ38&gt;$G$13+$G$14,XX,AZ38+1)</f>
        <v>2029</v>
      </c>
      <c r="BA39" s="124"/>
      <c r="BB39" s="162">
        <f t="shared" si="16"/>
        <v>77.004619493867168</v>
      </c>
      <c r="BC39" s="3"/>
      <c r="BD39" s="162">
        <f t="shared" si="17"/>
        <v>8.6752385237190293</v>
      </c>
      <c r="BE39" s="3"/>
      <c r="BF39" s="161">
        <f t="shared" si="8"/>
        <v>-1626.1491628324206</v>
      </c>
      <c r="BG39" s="3"/>
      <c r="BH39" s="165"/>
    </row>
    <row r="40" spans="2:60" ht="12">
      <c r="B40" s="2"/>
      <c r="C40" s="6">
        <f>+IF(C39&gt;$G$13+$G$14,XX,C39+1)</f>
        <v>2030</v>
      </c>
      <c r="D40" s="6"/>
      <c r="E40" s="292">
        <f>'(2.2)_Forward_Price_Curve'!O43</f>
        <v>2.1999999999999999E-2</v>
      </c>
      <c r="F40" s="6"/>
      <c r="G40" s="20">
        <v>175410.84873159794</v>
      </c>
      <c r="H40" s="6"/>
      <c r="I40" s="30">
        <f t="shared" si="9"/>
        <v>0</v>
      </c>
      <c r="J40" s="6"/>
      <c r="K40" s="30">
        <v>43.134199032631315</v>
      </c>
      <c r="L40" s="6"/>
      <c r="M40" s="30">
        <f t="shared" si="10"/>
        <v>0</v>
      </c>
      <c r="N40" s="6"/>
      <c r="O40" s="295">
        <f>'(2.2)_Forward_Price_Curve'!Z42</f>
        <v>1.0977895859175892</v>
      </c>
      <c r="P40" s="6"/>
      <c r="Q40" s="30"/>
      <c r="R40" s="6"/>
      <c r="S40" s="20">
        <f t="shared" si="5"/>
        <v>7758.7706646660436</v>
      </c>
      <c r="T40" s="6"/>
      <c r="U40" s="20">
        <f t="shared" si="0"/>
        <v>12486.177098359374</v>
      </c>
      <c r="V40" s="6"/>
      <c r="W40" s="20">
        <f t="shared" si="1"/>
        <v>-4727.4064336933307</v>
      </c>
      <c r="X40" s="6"/>
      <c r="Y40" s="296">
        <f t="shared" si="6"/>
        <v>-26.950479219942061</v>
      </c>
      <c r="Z40" s="255"/>
      <c r="AB40" s="154">
        <f>+IF(AB39&gt;$G$13+$G$14,XX,AB39+1)</f>
        <v>2030</v>
      </c>
      <c r="AC40" s="124"/>
      <c r="AD40" s="159">
        <f t="shared" si="2"/>
        <v>175410.84873159794</v>
      </c>
      <c r="AE40" s="3"/>
      <c r="AF40" s="162">
        <f t="shared" si="11"/>
        <v>123.02115461911193</v>
      </c>
      <c r="AG40" s="3"/>
      <c r="AH40" s="162">
        <f t="shared" si="12"/>
        <v>25.773735899411612</v>
      </c>
      <c r="AI40" s="3"/>
      <c r="AJ40" s="162">
        <f t="shared" si="13"/>
        <v>2.9646928878195093</v>
      </c>
      <c r="AK40" s="3"/>
      <c r="AL40" s="161">
        <f t="shared" si="14"/>
        <v>4802.4509651023873</v>
      </c>
      <c r="AM40" s="3"/>
      <c r="AN40" s="162">
        <f>INDEX('(2.2)_Forward_Price_Curve'!$H:$H,MATCH($AB40,'(2.2)_Forward_Price_Curve'!$C:$C,0),1)</f>
        <v>4.8100083333333341</v>
      </c>
      <c r="AO40" s="3"/>
      <c r="AP40" s="162">
        <f t="shared" si="18"/>
        <v>31.26937749888673</v>
      </c>
      <c r="AQ40" s="3"/>
      <c r="AR40" s="162">
        <f t="shared" si="15"/>
        <v>3.0603217893050423</v>
      </c>
      <c r="AS40" s="162"/>
      <c r="AT40" s="161">
        <f t="shared" si="3"/>
        <v>6464.3754095171216</v>
      </c>
      <c r="AU40" s="3"/>
      <c r="AV40" s="161">
        <f t="shared" si="4"/>
        <v>6021.8016888422517</v>
      </c>
      <c r="AW40" s="299"/>
      <c r="AX40" s="163">
        <f t="shared" si="7"/>
        <v>12486.177098359374</v>
      </c>
      <c r="AZ40" s="154">
        <f>+IF(AZ39&gt;$G$13+$G$14,XX,AZ39+1)</f>
        <v>2030</v>
      </c>
      <c r="BA40" s="124"/>
      <c r="BB40" s="162">
        <f t="shared" si="16"/>
        <v>78.698721122732252</v>
      </c>
      <c r="BC40" s="3"/>
      <c r="BD40" s="162">
        <f t="shared" si="17"/>
        <v>8.8660937712408483</v>
      </c>
      <c r="BE40" s="3"/>
      <c r="BF40" s="161">
        <f t="shared" si="8"/>
        <v>-1661.9244444147341</v>
      </c>
      <c r="BG40" s="3"/>
      <c r="BH40" s="165"/>
    </row>
    <row r="41" spans="2:60" ht="12">
      <c r="B41" s="2"/>
      <c r="C41" s="6">
        <f>+IF(C40&gt;$G$13+$G$14,XX,C40+1)</f>
        <v>2031</v>
      </c>
      <c r="D41" s="6"/>
      <c r="E41" s="292">
        <f>'(2.2)_Forward_Price_Curve'!O44</f>
        <v>2.1999999999999999E-2</v>
      </c>
      <c r="F41" s="6"/>
      <c r="G41" s="20">
        <v>174477.96276269871</v>
      </c>
      <c r="H41" s="6"/>
      <c r="I41" s="30">
        <f t="shared" si="9"/>
        <v>0</v>
      </c>
      <c r="J41" s="6"/>
      <c r="K41" s="30">
        <v>43.13419935656465</v>
      </c>
      <c r="L41" s="6"/>
      <c r="M41" s="30">
        <f t="shared" si="10"/>
        <v>0</v>
      </c>
      <c r="N41" s="6"/>
      <c r="O41" s="295">
        <f>'(2.2)_Forward_Price_Curve'!Z43</f>
        <v>1.1218057776996744</v>
      </c>
      <c r="P41" s="6"/>
      <c r="Q41" s="30"/>
      <c r="R41" s="6"/>
      <c r="S41" s="20">
        <f t="shared" si="5"/>
        <v>7721.6976158419748</v>
      </c>
      <c r="T41" s="6"/>
      <c r="U41" s="20">
        <f t="shared" si="0"/>
        <v>12958.086696953666</v>
      </c>
      <c r="V41" s="6"/>
      <c r="W41" s="20">
        <f t="shared" si="1"/>
        <v>-5236.3890811116908</v>
      </c>
      <c r="X41" s="6"/>
      <c r="Y41" s="296">
        <f t="shared" si="6"/>
        <v>-30.011750470937802</v>
      </c>
      <c r="Z41" s="255"/>
      <c r="AB41" s="154">
        <f>+IF(AB40&gt;$G$13+$G$14,XX,AB40+1)</f>
        <v>2031</v>
      </c>
      <c r="AC41" s="124"/>
      <c r="AD41" s="159">
        <f t="shared" si="2"/>
        <v>174477.96276269871</v>
      </c>
      <c r="AE41" s="3"/>
      <c r="AF41" s="162">
        <f t="shared" si="11"/>
        <v>125.72762002073239</v>
      </c>
      <c r="AG41" s="3"/>
      <c r="AH41" s="162">
        <f t="shared" si="12"/>
        <v>26.340758089198669</v>
      </c>
      <c r="AI41" s="3"/>
      <c r="AJ41" s="162">
        <f t="shared" si="13"/>
        <v>3.0299161313515386</v>
      </c>
      <c r="AK41" s="3"/>
      <c r="AL41" s="161">
        <f t="shared" si="14"/>
        <v>4905.2783200887598</v>
      </c>
      <c r="AM41" s="3"/>
      <c r="AN41" s="162">
        <f>INDEX('(2.2)_Forward_Price_Curve'!$H:$H,MATCH($AB41,'(2.2)_Forward_Price_Curve'!$C:$C,0),1)</f>
        <v>5.1210458333333335</v>
      </c>
      <c r="AO41" s="3"/>
      <c r="AP41" s="162">
        <f t="shared" si="18"/>
        <v>33.291400815646746</v>
      </c>
      <c r="AQ41" s="3"/>
      <c r="AR41" s="162">
        <f t="shared" si="15"/>
        <v>3.1276488686697532</v>
      </c>
      <c r="AS41" s="162"/>
      <c r="AT41" s="161">
        <f t="shared" si="3"/>
        <v>6603.7651022806176</v>
      </c>
      <c r="AU41" s="3"/>
      <c r="AV41" s="161">
        <f t="shared" si="4"/>
        <v>6354.3215946730479</v>
      </c>
      <c r="AW41" s="299"/>
      <c r="AX41" s="163">
        <f t="shared" si="7"/>
        <v>12958.086696953666</v>
      </c>
      <c r="AZ41" s="154">
        <f>+IF(AZ40&gt;$G$13+$G$14,XX,AZ40+1)</f>
        <v>2031</v>
      </c>
      <c r="BA41" s="124"/>
      <c r="BB41" s="162">
        <f t="shared" si="16"/>
        <v>80.43009298743236</v>
      </c>
      <c r="BC41" s="3"/>
      <c r="BD41" s="162">
        <f t="shared" si="17"/>
        <v>9.061147834208148</v>
      </c>
      <c r="BE41" s="3"/>
      <c r="BF41" s="161">
        <f t="shared" si="8"/>
        <v>-1698.4867821918579</v>
      </c>
      <c r="BG41" s="3"/>
      <c r="BH41" s="165"/>
    </row>
    <row r="42" spans="2:60" ht="12">
      <c r="B42" s="2"/>
      <c r="C42" s="6">
        <f>+IF(C41&gt;$G$13+$G$14,XX,C41+1)</f>
        <v>2032</v>
      </c>
      <c r="D42" s="6"/>
      <c r="E42" s="292">
        <f>'(2.2)_Forward_Price_Curve'!O45</f>
        <v>2.1999999999999999E-2</v>
      </c>
      <c r="F42" s="6"/>
      <c r="G42" s="20">
        <v>173545.07679379947</v>
      </c>
      <c r="H42" s="6"/>
      <c r="I42" s="30">
        <f t="shared" si="9"/>
        <v>0</v>
      </c>
      <c r="J42" s="6"/>
      <c r="K42" s="30">
        <v>43.13419968398059</v>
      </c>
      <c r="L42" s="6"/>
      <c r="M42" s="30">
        <f t="shared" si="10"/>
        <v>0</v>
      </c>
      <c r="N42" s="6"/>
      <c r="O42" s="295">
        <f>'(2.2)_Forward_Price_Curve'!Z44</f>
        <v>1.1460041088775619</v>
      </c>
      <c r="P42" s="6"/>
      <c r="Q42" s="30"/>
      <c r="R42" s="6"/>
      <c r="S42" s="20">
        <f t="shared" si="5"/>
        <v>7684.6113676766581</v>
      </c>
      <c r="T42" s="6"/>
      <c r="U42" s="20">
        <f t="shared" si="0"/>
        <v>13419.285610453604</v>
      </c>
      <c r="V42" s="6"/>
      <c r="W42" s="20">
        <f t="shared" si="1"/>
        <v>-5734.6742427769459</v>
      </c>
      <c r="X42" s="6"/>
      <c r="Y42" s="296">
        <f t="shared" si="6"/>
        <v>-33.044292288341296</v>
      </c>
      <c r="Z42" s="255"/>
      <c r="AB42" s="154">
        <f>+IF(AB41&gt;$G$13+$G$14,XX,AB41+1)</f>
        <v>2032</v>
      </c>
      <c r="AC42" s="124"/>
      <c r="AD42" s="159">
        <f t="shared" si="2"/>
        <v>173545.07679379947</v>
      </c>
      <c r="AE42" s="3"/>
      <c r="AF42" s="162">
        <f t="shared" si="11"/>
        <v>128.4936276611885</v>
      </c>
      <c r="AG42" s="3"/>
      <c r="AH42" s="162">
        <f t="shared" si="12"/>
        <v>26.92025476716104</v>
      </c>
      <c r="AI42" s="3"/>
      <c r="AJ42" s="162">
        <f t="shared" si="13"/>
        <v>3.0965742862412724</v>
      </c>
      <c r="AK42" s="3"/>
      <c r="AL42" s="161">
        <f t="shared" si="14"/>
        <v>5010.3056924274251</v>
      </c>
      <c r="AM42" s="3"/>
      <c r="AN42" s="162">
        <f>INDEX('(2.2)_Forward_Price_Curve'!$H:$H,MATCH($AB42,'(2.2)_Forward_Price_Curve'!$C:$C,0),1)</f>
        <v>5.4231541666666665</v>
      </c>
      <c r="AO42" s="3"/>
      <c r="AP42" s="162">
        <f t="shared" si="18"/>
        <v>35.255376523358855</v>
      </c>
      <c r="AQ42" s="3"/>
      <c r="AR42" s="162">
        <f t="shared" si="15"/>
        <v>3.1964571437804881</v>
      </c>
      <c r="AS42" s="162"/>
      <c r="AT42" s="161">
        <f t="shared" si="3"/>
        <v>6746.1591838275044</v>
      </c>
      <c r="AU42" s="3"/>
      <c r="AV42" s="161">
        <f t="shared" si="4"/>
        <v>6673.1264266261005</v>
      </c>
      <c r="AW42" s="299"/>
      <c r="AX42" s="163">
        <f t="shared" si="7"/>
        <v>13419.285610453604</v>
      </c>
      <c r="AZ42" s="154">
        <f>+IF(AZ41&gt;$G$13+$G$14,XX,AZ41+1)</f>
        <v>2032</v>
      </c>
      <c r="BA42" s="124"/>
      <c r="BB42" s="162">
        <f t="shared" si="16"/>
        <v>82.199555033155875</v>
      </c>
      <c r="BC42" s="3"/>
      <c r="BD42" s="162">
        <f t="shared" si="17"/>
        <v>9.2604930865607269</v>
      </c>
      <c r="BE42" s="3"/>
      <c r="BF42" s="161">
        <f t="shared" si="8"/>
        <v>-1735.8534914000791</v>
      </c>
      <c r="BG42" s="3"/>
      <c r="BH42" s="165"/>
    </row>
    <row r="43" spans="2:60" ht="12">
      <c r="B43" s="2"/>
      <c r="C43" s="6">
        <f>+IF(C42&gt;$G$13+$G$14,XX,C42+1)</f>
        <v>2033</v>
      </c>
      <c r="D43" s="6"/>
      <c r="E43" s="292">
        <f>'(2.2)_Forward_Price_Curve'!O46</f>
        <v>2.1999999999999999E-2</v>
      </c>
      <c r="F43" s="6"/>
      <c r="G43" s="20">
        <v>172612.1908249002</v>
      </c>
      <c r="H43" s="6"/>
      <c r="I43" s="30">
        <f t="shared" si="9"/>
        <v>0</v>
      </c>
      <c r="J43" s="6"/>
      <c r="K43" s="30">
        <v>43.134200014935573</v>
      </c>
      <c r="L43" s="6"/>
      <c r="M43" s="30">
        <f t="shared" si="10"/>
        <v>0</v>
      </c>
      <c r="N43" s="6"/>
      <c r="O43" s="295">
        <f>'(2.2)_Forward_Price_Curve'!Z45</f>
        <v>1.1705802944541936</v>
      </c>
      <c r="P43" s="6"/>
      <c r="Q43" s="30"/>
      <c r="R43" s="6"/>
      <c r="S43" s="20">
        <f t="shared" si="5"/>
        <v>7647.5451932196684</v>
      </c>
      <c r="T43" s="6"/>
      <c r="U43" s="20">
        <f t="shared" si="0"/>
        <v>13896.877620772644</v>
      </c>
      <c r="V43" s="6"/>
      <c r="W43" s="20">
        <f t="shared" si="1"/>
        <v>-6249.3324275529758</v>
      </c>
      <c r="X43" s="6"/>
      <c r="Y43" s="296">
        <f t="shared" si="6"/>
        <v>-36.204467353597117</v>
      </c>
      <c r="Z43" s="255"/>
      <c r="AB43" s="154">
        <f>+IF(AB42&gt;$G$13+$G$14,XX,AB42+1)</f>
        <v>2033</v>
      </c>
      <c r="AC43" s="124"/>
      <c r="AD43" s="159">
        <f t="shared" si="2"/>
        <v>172612.1908249002</v>
      </c>
      <c r="AE43" s="3"/>
      <c r="AF43" s="162">
        <f t="shared" si="11"/>
        <v>131.32048746973464</v>
      </c>
      <c r="AG43" s="3"/>
      <c r="AH43" s="162">
        <f t="shared" si="12"/>
        <v>27.512500372038584</v>
      </c>
      <c r="AI43" s="3"/>
      <c r="AJ43" s="162">
        <f t="shared" si="13"/>
        <v>3.1646989205385805</v>
      </c>
      <c r="AK43" s="3"/>
      <c r="AL43" s="161">
        <f t="shared" si="14"/>
        <v>5117.5801144420666</v>
      </c>
      <c r="AM43" s="3"/>
      <c r="AN43" s="162">
        <f>INDEX('(2.2)_Forward_Price_Curve'!$H:$H,MATCH($AB43,'(2.2)_Forward_Price_Curve'!$C:$C,0),1)</f>
        <v>5.7402833333333332</v>
      </c>
      <c r="AO43" s="3"/>
      <c r="AP43" s="162">
        <f t="shared" si="18"/>
        <v>37.317001148764703</v>
      </c>
      <c r="AQ43" s="3"/>
      <c r="AR43" s="162">
        <f t="shared" si="15"/>
        <v>3.2667792009436587</v>
      </c>
      <c r="AS43" s="162"/>
      <c r="AT43" s="161">
        <f t="shared" si="3"/>
        <v>6891.6223826529476</v>
      </c>
      <c r="AU43" s="3"/>
      <c r="AV43" s="161">
        <f t="shared" si="4"/>
        <v>7005.2552381196956</v>
      </c>
      <c r="AW43" s="299"/>
      <c r="AX43" s="163">
        <f t="shared" si="7"/>
        <v>13896.877620772644</v>
      </c>
      <c r="AZ43" s="154">
        <f>+IF(AZ42&gt;$G$13+$G$14,XX,AZ42+1)</f>
        <v>2033</v>
      </c>
      <c r="BA43" s="124"/>
      <c r="BB43" s="162">
        <f t="shared" si="16"/>
        <v>84.007945243885302</v>
      </c>
      <c r="BC43" s="3"/>
      <c r="BD43" s="162">
        <f t="shared" si="17"/>
        <v>9.4642239344650623</v>
      </c>
      <c r="BE43" s="3"/>
      <c r="BF43" s="161">
        <f t="shared" si="8"/>
        <v>-1774.0422682108808</v>
      </c>
      <c r="BG43" s="3"/>
      <c r="BH43" s="165"/>
    </row>
    <row r="44" spans="2:60" ht="12">
      <c r="B44" s="2"/>
      <c r="C44" s="6">
        <f>+IF(C43&gt;$G$13+$G$14,XX,C43+1)</f>
        <v>2034</v>
      </c>
      <c r="D44" s="6"/>
      <c r="E44" s="292">
        <f>'(2.2)_Forward_Price_Curve'!O47</f>
        <v>2.1999999999999999E-2</v>
      </c>
      <c r="F44" s="6"/>
      <c r="G44" s="20">
        <v>171679.30485600099</v>
      </c>
      <c r="H44" s="6"/>
      <c r="I44" s="30">
        <f t="shared" si="9"/>
        <v>0</v>
      </c>
      <c r="J44" s="6"/>
      <c r="K44" s="30">
        <v>43.134200349487301</v>
      </c>
      <c r="L44" s="6"/>
      <c r="M44" s="30">
        <f t="shared" si="10"/>
        <v>0</v>
      </c>
      <c r="N44" s="6"/>
      <c r="O44" s="295">
        <f>'(2.2)_Forward_Price_Curve'!Z46</f>
        <v>1.1951742037401478</v>
      </c>
      <c r="P44" s="6"/>
      <c r="Q44" s="30"/>
      <c r="R44" s="6"/>
      <c r="S44" s="20">
        <f t="shared" si="5"/>
        <v>7610.436207999388</v>
      </c>
      <c r="T44" s="6"/>
      <c r="U44" s="20">
        <f t="shared" si="0"/>
        <v>14364.313147989331</v>
      </c>
      <c r="V44" s="6"/>
      <c r="W44" s="20">
        <f t="shared" si="1"/>
        <v>-6753.8769399899429</v>
      </c>
      <c r="X44" s="6"/>
      <c r="Y44" s="296">
        <f t="shared" si="6"/>
        <v>-39.340076229076502</v>
      </c>
      <c r="Z44" s="255"/>
      <c r="AB44" s="154">
        <f>+IF(AB43&gt;$G$13+$G$14,XX,AB43+1)</f>
        <v>2034</v>
      </c>
      <c r="AC44" s="124"/>
      <c r="AD44" s="159">
        <f t="shared" si="2"/>
        <v>171679.30485600099</v>
      </c>
      <c r="AE44" s="3"/>
      <c r="AF44" s="162">
        <f t="shared" si="11"/>
        <v>134.20953819406881</v>
      </c>
      <c r="AG44" s="3"/>
      <c r="AH44" s="162">
        <f t="shared" si="12"/>
        <v>28.117775380223435</v>
      </c>
      <c r="AI44" s="3"/>
      <c r="AJ44" s="162">
        <f t="shared" si="13"/>
        <v>3.2343222967904293</v>
      </c>
      <c r="AK44" s="3"/>
      <c r="AL44" s="161">
        <f t="shared" si="14"/>
        <v>5227.1496230702187</v>
      </c>
      <c r="AM44" s="3"/>
      <c r="AN44" s="162">
        <f>INDEX('(2.2)_Forward_Price_Curve'!$H:$H,MATCH($AB44,'(2.2)_Forward_Price_Curve'!$C:$C,0),1)</f>
        <v>6.0488291666666667</v>
      </c>
      <c r="AO44" s="3"/>
      <c r="AP44" s="162">
        <f t="shared" si="18"/>
        <v>39.322826392631285</v>
      </c>
      <c r="AQ44" s="3"/>
      <c r="AR44" s="162">
        <f t="shared" si="15"/>
        <v>3.3386483433644192</v>
      </c>
      <c r="AS44" s="162"/>
      <c r="AT44" s="161">
        <f t="shared" si="3"/>
        <v>7040.2208211817388</v>
      </c>
      <c r="AU44" s="3"/>
      <c r="AV44" s="161">
        <f t="shared" si="4"/>
        <v>7324.0923268075912</v>
      </c>
      <c r="AW44" s="299"/>
      <c r="AX44" s="163">
        <f t="shared" si="7"/>
        <v>14364.313147989331</v>
      </c>
      <c r="AZ44" s="154">
        <f>+IF(AZ43&gt;$G$13+$G$14,XX,AZ43+1)</f>
        <v>2034</v>
      </c>
      <c r="BA44" s="124"/>
      <c r="BB44" s="162">
        <f t="shared" si="16"/>
        <v>85.856120039250783</v>
      </c>
      <c r="BC44" s="3"/>
      <c r="BD44" s="162">
        <f t="shared" si="17"/>
        <v>9.6724368610232947</v>
      </c>
      <c r="BE44" s="3"/>
      <c r="BF44" s="161">
        <f t="shared" si="8"/>
        <v>-1813.0711981115203</v>
      </c>
      <c r="BG44" s="3"/>
      <c r="BH44" s="165"/>
    </row>
    <row r="45" spans="2:60" ht="12">
      <c r="B45" s="2"/>
      <c r="C45" s="6">
        <f>+IF(C44&gt;$G$13+$G$14,XX,C44+1)</f>
        <v>2035</v>
      </c>
      <c r="D45" s="6"/>
      <c r="E45" s="292">
        <f>'(2.2)_Forward_Price_Curve'!O48</f>
        <v>2.1999999999999999E-2</v>
      </c>
      <c r="F45" s="6"/>
      <c r="G45" s="20">
        <v>170746.41888710175</v>
      </c>
      <c r="H45" s="6"/>
      <c r="I45" s="30">
        <f t="shared" si="9"/>
        <v>0</v>
      </c>
      <c r="J45" s="6"/>
      <c r="K45" s="30">
        <v>43.134200687694729</v>
      </c>
      <c r="L45" s="6"/>
      <c r="M45" s="30">
        <f t="shared" si="10"/>
        <v>0</v>
      </c>
      <c r="N45" s="6"/>
      <c r="O45" s="295">
        <f>'(2.2)_Forward_Price_Curve'!Z47</f>
        <v>1.2202670165885168</v>
      </c>
      <c r="P45" s="6"/>
      <c r="Q45" s="30"/>
      <c r="R45" s="6"/>
      <c r="S45" s="20">
        <f t="shared" si="5"/>
        <v>7573.3665221499732</v>
      </c>
      <c r="T45" s="6"/>
      <c r="U45" s="20">
        <f t="shared" si="0"/>
        <v>14134.886044824267</v>
      </c>
      <c r="V45" s="6"/>
      <c r="W45" s="20">
        <f t="shared" si="1"/>
        <v>-6561.5195226742935</v>
      </c>
      <c r="X45" s="6"/>
      <c r="Y45" s="296">
        <f t="shared" si="6"/>
        <v>-38.428445910849803</v>
      </c>
      <c r="Z45" s="255"/>
      <c r="AB45" s="154">
        <f>+IF(AB44&gt;$G$13+$G$14,XX,AB44+1)</f>
        <v>2035</v>
      </c>
      <c r="AC45" s="124"/>
      <c r="AD45" s="159">
        <f t="shared" si="2"/>
        <v>170746.41888710175</v>
      </c>
      <c r="AE45" s="3"/>
      <c r="AF45" s="162">
        <f t="shared" si="11"/>
        <v>137.16214803433832</v>
      </c>
      <c r="AG45" s="3"/>
      <c r="AH45" s="162">
        <f t="shared" si="12"/>
        <v>28.736366438588352</v>
      </c>
      <c r="AI45" s="3"/>
      <c r="AJ45" s="162">
        <f t="shared" si="13"/>
        <v>3.3054773873198187</v>
      </c>
      <c r="AK45" s="3"/>
      <c r="AL45" s="161">
        <f t="shared" si="14"/>
        <v>5339.0632813026195</v>
      </c>
      <c r="AM45" s="3"/>
      <c r="AN45" s="162">
        <f>INDEX('(2.2)_Forward_Price_Curve'!$H:$H,MATCH($AB45,'(2.2)_Forward_Price_Curve'!$C:$C,0),1)</f>
        <v>5.7299374999999992</v>
      </c>
      <c r="AO45" s="3"/>
      <c r="AP45" s="162">
        <f t="shared" si="18"/>
        <v>37.24974393305498</v>
      </c>
      <c r="AQ45" s="3"/>
      <c r="AR45" s="162">
        <f t="shared" si="15"/>
        <v>3.4120986069184362</v>
      </c>
      <c r="AS45" s="162"/>
      <c r="AT45" s="161">
        <f t="shared" si="3"/>
        <v>7192.0220457725936</v>
      </c>
      <c r="AU45" s="3"/>
      <c r="AV45" s="161">
        <f t="shared" si="4"/>
        <v>6942.863999051674</v>
      </c>
      <c r="AW45" s="299"/>
      <c r="AX45" s="163">
        <f t="shared" si="7"/>
        <v>14134.886044824267</v>
      </c>
      <c r="AZ45" s="154">
        <f>+IF(AZ44&gt;$G$13+$G$14,XX,AZ44+1)</f>
        <v>2035</v>
      </c>
      <c r="BA45" s="124"/>
      <c r="BB45" s="162">
        <f t="shared" si="16"/>
        <v>87.744954680114304</v>
      </c>
      <c r="BC45" s="3"/>
      <c r="BD45" s="162">
        <f t="shared" si="17"/>
        <v>9.8852304719658068</v>
      </c>
      <c r="BE45" s="3"/>
      <c r="BF45" s="161">
        <f t="shared" si="8"/>
        <v>-1852.9587644699736</v>
      </c>
      <c r="BG45" s="3"/>
      <c r="BH45" s="165"/>
    </row>
    <row r="46" spans="2:60" ht="12">
      <c r="B46" s="2"/>
      <c r="C46" s="6">
        <f>+IF(C45&gt;$G$13+$G$14,XX,C45+1)</f>
        <v>2036</v>
      </c>
      <c r="D46" s="6"/>
      <c r="E46" s="292">
        <f>'(2.2)_Forward_Price_Curve'!O49</f>
        <v>2.1999999999999999E-2</v>
      </c>
      <c r="F46" s="6"/>
      <c r="G46" s="20">
        <v>169813.53291820252</v>
      </c>
      <c r="H46" s="6"/>
      <c r="I46" s="30">
        <f t="shared" si="9"/>
        <v>0</v>
      </c>
      <c r="J46" s="6"/>
      <c r="K46" s="30">
        <v>43.13420102961809</v>
      </c>
      <c r="L46" s="6"/>
      <c r="M46" s="30">
        <f t="shared" si="10"/>
        <v>0</v>
      </c>
      <c r="N46" s="6"/>
      <c r="O46" s="295">
        <f>'(2.2)_Forward_Price_Curve'!Z48</f>
        <v>1.2456969570142082</v>
      </c>
      <c r="P46" s="6"/>
      <c r="Q46" s="30"/>
      <c r="R46" s="6"/>
      <c r="S46" s="20">
        <f t="shared" si="5"/>
        <v>7536.3072676594538</v>
      </c>
      <c r="T46" s="6"/>
      <c r="U46" s="20">
        <f t="shared" si="0"/>
        <v>14317.68439827043</v>
      </c>
      <c r="V46" s="6"/>
      <c r="W46" s="20">
        <f t="shared" si="1"/>
        <v>-6781.3771306109766</v>
      </c>
      <c r="X46" s="6"/>
      <c r="Y46" s="296">
        <f t="shared" si="6"/>
        <v>-39.934256204877961</v>
      </c>
      <c r="Z46" s="255"/>
      <c r="AB46" s="154">
        <f>+IF(AB45&gt;$G$13+$G$14,XX,AB45+1)</f>
        <v>2036</v>
      </c>
      <c r="AC46" s="124"/>
      <c r="AD46" s="159">
        <f t="shared" si="2"/>
        <v>169813.53291820252</v>
      </c>
      <c r="AE46" s="3"/>
      <c r="AF46" s="162">
        <f t="shared" si="11"/>
        <v>140.17971529109377</v>
      </c>
      <c r="AG46" s="3"/>
      <c r="AH46" s="162">
        <f t="shared" si="12"/>
        <v>29.368566500237296</v>
      </c>
      <c r="AI46" s="3"/>
      <c r="AJ46" s="162">
        <f t="shared" si="13"/>
        <v>3.3781978898408549</v>
      </c>
      <c r="AK46" s="3"/>
      <c r="AL46" s="161">
        <f t="shared" si="14"/>
        <v>5453.3712000796795</v>
      </c>
      <c r="AM46" s="3"/>
      <c r="AN46" s="162">
        <f>INDEX('(2.2)_Forward_Price_Curve'!$H:$H,MATCH($AB46,'(2.2)_Forward_Price_Curve'!$C:$C,0),1)</f>
        <v>5.7778666666666672</v>
      </c>
      <c r="AO46" s="3"/>
      <c r="AP46" s="162">
        <f t="shared" si="18"/>
        <v>37.561326596087184</v>
      </c>
      <c r="AQ46" s="3"/>
      <c r="AR46" s="162">
        <f t="shared" si="15"/>
        <v>3.4871647762706419</v>
      </c>
      <c r="AS46" s="162"/>
      <c r="AT46" s="161">
        <f t="shared" si="3"/>
        <v>7347.0950573679929</v>
      </c>
      <c r="AU46" s="3"/>
      <c r="AV46" s="161">
        <f t="shared" si="4"/>
        <v>6970.5893409024375</v>
      </c>
      <c r="AW46" s="299"/>
      <c r="AX46" s="163">
        <f t="shared" si="7"/>
        <v>14317.68439827043</v>
      </c>
      <c r="AZ46" s="154">
        <f>+IF(AZ45&gt;$G$13+$G$14,XX,AZ45+1)</f>
        <v>2036</v>
      </c>
      <c r="BA46" s="124"/>
      <c r="BB46" s="162">
        <f t="shared" si="16"/>
        <v>89.675343683076818</v>
      </c>
      <c r="BC46" s="3"/>
      <c r="BD46" s="162">
        <f t="shared" si="17"/>
        <v>10.102705542349055</v>
      </c>
      <c r="BE46" s="3"/>
      <c r="BF46" s="161">
        <f t="shared" si="8"/>
        <v>-1893.723857288313</v>
      </c>
      <c r="BG46" s="3"/>
      <c r="BH46" s="165"/>
    </row>
    <row r="47" spans="2:60" ht="12">
      <c r="B47" s="2"/>
      <c r="C47" s="6">
        <f>+IF(C46&gt;$G$13+$G$14,XX,C46+1)</f>
        <v>2037</v>
      </c>
      <c r="D47" s="6"/>
      <c r="E47" s="292">
        <f>'(2.2)_Forward_Price_Curve'!O50</f>
        <v>2.1999999999999999E-2</v>
      </c>
      <c r="F47" s="6"/>
      <c r="G47" s="20">
        <v>168880.64694930325</v>
      </c>
      <c r="H47" s="6"/>
      <c r="I47" s="30">
        <f t="shared" si="9"/>
        <v>0</v>
      </c>
      <c r="J47" s="6"/>
      <c r="K47" s="30">
        <v>43.134201375318987</v>
      </c>
      <c r="L47" s="6"/>
      <c r="M47" s="30"/>
      <c r="N47" s="6"/>
      <c r="O47" s="295">
        <f>'(2.2)_Forward_Price_Curve'!Z49</f>
        <v>1.2716748240280993</v>
      </c>
      <c r="P47" s="6"/>
      <c r="Q47" s="30"/>
      <c r="R47" s="6"/>
      <c r="S47" s="20">
        <f t="shared" si="5"/>
        <v>7499.2931008964033</v>
      </c>
      <c r="T47" s="6"/>
      <c r="U47" s="20">
        <f t="shared" si="0"/>
        <v>14824.488383069085</v>
      </c>
      <c r="V47" s="6"/>
      <c r="W47" s="20">
        <f t="shared" si="1"/>
        <v>-7325.1952821726818</v>
      </c>
      <c r="X47" s="6"/>
      <c r="Y47" s="296">
        <f t="shared" si="6"/>
        <v>-43.374983543091545</v>
      </c>
      <c r="Z47" s="255"/>
      <c r="AB47" s="154">
        <f>+IF(AB46&gt;$G$13+$G$14,XX,AB46+1)</f>
        <v>2037</v>
      </c>
      <c r="AC47" s="124"/>
      <c r="AD47" s="159">
        <f t="shared" si="2"/>
        <v>168880.64694930325</v>
      </c>
      <c r="AE47" s="3"/>
      <c r="AF47" s="162">
        <f t="shared" si="11"/>
        <v>143.26366902749783</v>
      </c>
      <c r="AG47" s="3"/>
      <c r="AH47" s="162">
        <f t="shared" si="12"/>
        <v>30.014674963242516</v>
      </c>
      <c r="AI47" s="3"/>
      <c r="AJ47" s="162">
        <f t="shared" si="13"/>
        <v>3.4525182434173538</v>
      </c>
      <c r="AK47" s="3"/>
      <c r="AL47" s="161">
        <f t="shared" si="14"/>
        <v>5570.12456065478</v>
      </c>
      <c r="AM47" s="3"/>
      <c r="AN47" s="162">
        <f>INDEX('(2.2)_Forward_Price_Curve'!$H:$H,MATCH($AB47,'(2.2)_Forward_Price_Curve'!$C:$C,0),1)</f>
        <v>6.1182749999999997</v>
      </c>
      <c r="AO47" s="3"/>
      <c r="AP47" s="162">
        <f t="shared" si="18"/>
        <v>39.774286728609511</v>
      </c>
      <c r="AQ47" s="3"/>
      <c r="AR47" s="162">
        <f t="shared" si="15"/>
        <v>3.5638824013485961</v>
      </c>
      <c r="AS47" s="162"/>
      <c r="AT47" s="161">
        <f t="shared" si="3"/>
        <v>7505.5103428034363</v>
      </c>
      <c r="AU47" s="3"/>
      <c r="AV47" s="161">
        <f t="shared" si="4"/>
        <v>7318.9780402656479</v>
      </c>
      <c r="AW47" s="299"/>
      <c r="AX47" s="163">
        <f t="shared" si="7"/>
        <v>14824.488383069085</v>
      </c>
      <c r="AZ47" s="154">
        <f>+IF(AZ46&gt;$G$13+$G$14,XX,AZ46+1)</f>
        <v>2037</v>
      </c>
      <c r="BA47" s="124"/>
      <c r="BB47" s="162">
        <f t="shared" si="16"/>
        <v>91.648201244104513</v>
      </c>
      <c r="BC47" s="3"/>
      <c r="BD47" s="162">
        <f t="shared" si="17"/>
        <v>10.324965064280734</v>
      </c>
      <c r="BE47" s="3"/>
      <c r="BF47" s="161">
        <f t="shared" si="8"/>
        <v>-1935.3857821486561</v>
      </c>
      <c r="BG47" s="3"/>
      <c r="BH47" s="165"/>
    </row>
    <row r="48" spans="2:60" ht="12">
      <c r="B48" s="2"/>
      <c r="C48" s="6">
        <f>+IF(C47&gt;$G$13+$G$14,XX,C47+1)</f>
        <v>2038</v>
      </c>
      <c r="D48" s="6"/>
      <c r="E48" s="292">
        <f>'(2.2)_Forward_Price_Curve'!O51</f>
        <v>2.1999999999999999E-2</v>
      </c>
      <c r="F48" s="6"/>
      <c r="G48" s="20">
        <v>163499.06679246551</v>
      </c>
      <c r="H48" s="6"/>
      <c r="I48" s="30">
        <f t="shared" si="9"/>
        <v>0</v>
      </c>
      <c r="J48" s="6"/>
      <c r="K48" s="30">
        <v>43.165535994839473</v>
      </c>
      <c r="L48" s="6"/>
      <c r="M48" s="30"/>
      <c r="N48" s="6"/>
      <c r="O48" s="295">
        <f>'(2.2)_Forward_Price_Curve'!Z50</f>
        <v>1.2982351222983386</v>
      </c>
      <c r="P48" s="6"/>
      <c r="Q48" s="30"/>
      <c r="R48" s="6"/>
      <c r="S48" s="20">
        <f t="shared" ref="S48" si="19">(I48*$G$11*1000+(K48+M48+O48+Q48)*G48)/1000</f>
        <v>7269.7850837258138</v>
      </c>
      <c r="T48" s="6"/>
      <c r="U48" s="20">
        <f t="shared" ref="U48" si="20">AX48</f>
        <v>15274.84188503123</v>
      </c>
      <c r="V48" s="6"/>
      <c r="W48" s="20">
        <f t="shared" ref="W48" si="21">S48-U48</f>
        <v>-8005.0568013054162</v>
      </c>
      <c r="X48" s="6"/>
      <c r="Y48" s="296">
        <f t="shared" ref="Y48" si="22">+W48*1000/G48</f>
        <v>-48.9608715104563</v>
      </c>
      <c r="Z48" s="255"/>
      <c r="AB48" s="154">
        <f>+IF(AB47&gt;$G$13+$G$14,XX,AB47+1)</f>
        <v>2038</v>
      </c>
      <c r="AC48" s="124"/>
      <c r="AD48" s="159">
        <f t="shared" ref="AD48" si="23">G48</f>
        <v>163499.06679246551</v>
      </c>
      <c r="AE48" s="3"/>
      <c r="AF48" s="162">
        <f t="shared" si="11"/>
        <v>146.41546974610279</v>
      </c>
      <c r="AG48" s="3"/>
      <c r="AH48" s="162">
        <f t="shared" si="12"/>
        <v>30.674997812433851</v>
      </c>
      <c r="AI48" s="3"/>
      <c r="AJ48" s="162">
        <f t="shared" si="13"/>
        <v>3.5284736447725358</v>
      </c>
      <c r="AK48" s="3"/>
      <c r="AL48" s="161">
        <f t="shared" ref="AL48" si="24">((AF48+AH48)*$AF$11*1000+AJ48*AD48)/1000</f>
        <v>5673.6785372385511</v>
      </c>
      <c r="AM48" s="3"/>
      <c r="AN48" s="162">
        <f>INDEX('(2.2)_Forward_Price_Curve'!$H:$H,MATCH($AB48,'(2.2)_Forward_Price_Curve'!$C:$C,0),1)</f>
        <v>6.6118625</v>
      </c>
      <c r="AO48" s="3"/>
      <c r="AP48" s="162">
        <f t="shared" ref="AP48" si="25">AN48*$AF$14/1000+$AJ$14*(1+E48)</f>
        <v>42.983049124980646</v>
      </c>
      <c r="AQ48" s="3"/>
      <c r="AR48" s="162">
        <f t="shared" si="15"/>
        <v>3.6422878141782653</v>
      </c>
      <c r="AS48" s="162"/>
      <c r="AT48" s="161">
        <f t="shared" ref="AT48" si="26">AL48-BF48</f>
        <v>7651.6428065944774</v>
      </c>
      <c r="AU48" s="3"/>
      <c r="AV48" s="161">
        <f t="shared" ref="AV48" si="27">(AP48+AR48)*AD48/1000</f>
        <v>7623.1990784367526</v>
      </c>
      <c r="AW48" s="299"/>
      <c r="AX48" s="163">
        <f t="shared" ref="AX48" si="28">AT48+AV48</f>
        <v>15274.84188503123</v>
      </c>
      <c r="AZ48" s="154">
        <f>+IF(AZ47&gt;$G$13+$G$14,XX,AZ47+1)</f>
        <v>2038</v>
      </c>
      <c r="BA48" s="124"/>
      <c r="BB48" s="162">
        <f t="shared" si="16"/>
        <v>93.664461671474811</v>
      </c>
      <c r="BC48" s="3"/>
      <c r="BD48" s="162">
        <f t="shared" si="17"/>
        <v>10.55211429569491</v>
      </c>
      <c r="BE48" s="3"/>
      <c r="BF48" s="161">
        <f t="shared" ref="BF48" si="29">(BB48+BD48)*$BD$11</f>
        <v>-1977.9642693559263</v>
      </c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6.91%</v>
      </c>
      <c r="E58" s="178"/>
      <c r="F58" s="3"/>
      <c r="G58" s="20">
        <f>+-PMT($G$18,$G$14,NPV($G$18,G28:G56))</f>
        <v>168253.20696740467</v>
      </c>
      <c r="H58" s="6"/>
      <c r="I58" s="30">
        <f>+-PMT($G$18,$G$14,NPV($G$18,I28:I56))</f>
        <v>0</v>
      </c>
      <c r="J58" s="30"/>
      <c r="K58" s="30">
        <f>+-PMT($G$18,$G$14,NPV($G$18,K28:K56))</f>
        <v>43.98861122903331</v>
      </c>
      <c r="L58" s="6"/>
      <c r="M58" s="30">
        <f>+-PMT($G$18,$G$14,NPV($G$18,M28:M56))</f>
        <v>0</v>
      </c>
      <c r="N58" s="6"/>
      <c r="O58" s="30">
        <f>+-PMT($G$18,$G$14,NPV($G$18,O28:O56))</f>
        <v>0.97283560530767121</v>
      </c>
      <c r="P58" s="6"/>
      <c r="Q58" s="30">
        <f>+-PMT($G$18,$G$14,NPV($G$18,Q28:Q56))</f>
        <v>0</v>
      </c>
      <c r="R58" s="6"/>
      <c r="S58" s="20">
        <f>+-PMT($G$18,$G$14,NPV($G$18,S28:S56))</f>
        <v>7425.4102837180862</v>
      </c>
      <c r="T58" s="6"/>
      <c r="U58" s="20">
        <f>+-PMT($G$18,$G$14,NPV($G$18,U28:U56))</f>
        <v>10548.341187205147</v>
      </c>
      <c r="V58" s="3"/>
      <c r="W58" s="20">
        <f>+-PMT($G$18,$G$14,NPV($G$18,W28:W56))</f>
        <v>-3122.9309034870635</v>
      </c>
      <c r="X58" s="3"/>
      <c r="Y58" s="296">
        <f>+-PMT($G$18,$G$14,NPV($G$18,Y28:Y56))</f>
        <v>-45.766488860629515</v>
      </c>
      <c r="Z58" s="255"/>
      <c r="AB58" s="2"/>
      <c r="AC58" s="3"/>
      <c r="AD58" s="159">
        <f>+-PMT($G$18,$G$14,NPV($G$18,AD28:AD56))</f>
        <v>168253.20696740467</v>
      </c>
      <c r="AE58" s="3"/>
      <c r="AF58" s="162">
        <f>+-PMT($G$18,$G$14,NPV($G$18,AF28:AF56))</f>
        <v>115.15649507069267</v>
      </c>
      <c r="AG58" s="3"/>
      <c r="AH58" s="162">
        <f>+-PMT($G$18,$G$14,NPV($G$18,AH28:AH56))</f>
        <v>24.126038324410541</v>
      </c>
      <c r="AI58" s="3"/>
      <c r="AJ58" s="162">
        <f>+-PMT($G$18,$G$14,NPV($G$18,AJ28:AJ56))</f>
        <v>2.7751620685022118</v>
      </c>
      <c r="AK58" s="3"/>
      <c r="AL58" s="161">
        <f>+-PMT($G$18,$G$14,NPV($G$18,AL28:AL56))</f>
        <v>4469.9042726354091</v>
      </c>
      <c r="AM58" s="3"/>
      <c r="AN58" s="162">
        <f>+-PMT($G$18,$G$14,NPV($G$18,AN28:AN56))</f>
        <v>3.7034548139941164</v>
      </c>
      <c r="AO58" s="3"/>
      <c r="AP58" s="162">
        <f>+-PMT($G$18,$G$14,NPV($G$18,AP28:AP56))</f>
        <v>24.075785030625656</v>
      </c>
      <c r="AQ58" s="3"/>
      <c r="AR58" s="162">
        <f>+-PMT($G$18,$G$14,NPV($G$18,AR28:AR56))</f>
        <v>2.8646774787308824</v>
      </c>
      <c r="AS58" s="162"/>
      <c r="AT58" s="161">
        <f>+-PMT($G$18,$G$14,NPV($G$18,AT28:AT56))</f>
        <v>6025.5830067819734</v>
      </c>
      <c r="AU58" s="3"/>
      <c r="AV58" s="161">
        <f>+-PMT($G$18,$G$14,NPV($G$18,AV28:AV56))</f>
        <v>4522.7581804231722</v>
      </c>
      <c r="AW58" s="299"/>
      <c r="AX58" s="163">
        <f>+-PMT($G$18,$G$14,NPV($G$18,AX28:AX56))</f>
        <v>10548.341187205147</v>
      </c>
      <c r="AZ58" s="2"/>
      <c r="BA58" s="3"/>
      <c r="BB58" s="162">
        <f>+-PMT($G$18,$G$14,NPV($G$18,BB28:BB56))</f>
        <v>73.667564892386423</v>
      </c>
      <c r="BC58" s="3"/>
      <c r="BD58" s="162">
        <f>+-PMT($G$18,$G$14,NPV($G$18,BD28:BD56))</f>
        <v>8.2992903685979584</v>
      </c>
      <c r="BE58" s="3"/>
      <c r="BF58" s="161">
        <f>+-PMT($G$18,$G$14,NPV($G$18,BF28:BF56))</f>
        <v>-1555.6787341465656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E13F1-F3C9-4464-8086-878E6BDCEABD}">
  <sheetPr codeName="Sheet8">
    <tabColor theme="0" tint="-0.249977111117893"/>
    <pageSetUpPr fitToPage="1"/>
  </sheetPr>
  <dimension ref="A1:BH84"/>
  <sheetViews>
    <sheetView topLeftCell="A39" workbookViewId="0">
      <selection activeCell="G30" sqref="G30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184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314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'[5]Top of the World'!$X$12</f>
        <v>200.2</v>
      </c>
      <c r="H11" s="275"/>
      <c r="AB11" s="129" t="s">
        <v>99</v>
      </c>
      <c r="AC11" s="130"/>
      <c r="AD11" s="130"/>
      <c r="AE11" s="130"/>
      <c r="AF11" s="312">
        <f>+G11*(G12/AJ16)</f>
        <v>146.73512300865136</v>
      </c>
      <c r="AG11" s="134"/>
      <c r="AH11" s="130" t="s">
        <v>100</v>
      </c>
      <c r="AI11" s="131"/>
      <c r="AJ11" s="174">
        <f>'(2.1)_Proxy Resources'!N70</f>
        <v>7.5808934397681389</v>
      </c>
      <c r="AK11" s="255"/>
      <c r="AZ11" s="129" t="s">
        <v>99</v>
      </c>
      <c r="BA11" s="130"/>
      <c r="BB11" s="130"/>
      <c r="BC11" s="130"/>
      <c r="BD11" s="141">
        <f>(AF11*AF13-G11*G19)</f>
        <v>137.38578300865134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'[5]Top of the World'!$X$13</f>
        <v>0.35687733575640224</v>
      </c>
      <c r="H12" s="275"/>
      <c r="AB12" s="129" t="s">
        <v>32</v>
      </c>
      <c r="AC12" s="130"/>
      <c r="AD12" s="130"/>
      <c r="AE12" s="130"/>
      <c r="AF12" s="138">
        <f>+AD58/8760/AF11</f>
        <v>0.46535596003058832</v>
      </c>
      <c r="AG12" s="134"/>
      <c r="AH12" s="124" t="s">
        <v>101</v>
      </c>
      <c r="AI12" s="125"/>
      <c r="AJ12" s="124">
        <v>2008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2010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Resources'!$O$70</f>
        <v>2.8538881199911357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Resources'!H70*(1+E28)</f>
        <v>7277.4747099407059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138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192</v>
      </c>
      <c r="AC15" s="130"/>
      <c r="AD15" s="130"/>
      <c r="AE15" s="130"/>
      <c r="AF15" s="175">
        <f>'(2.1)_Proxy Resources'!J70</f>
        <v>1174.8198494434653</v>
      </c>
      <c r="AG15" s="134"/>
      <c r="AH15" s="124" t="s">
        <v>145</v>
      </c>
      <c r="AI15" s="125"/>
      <c r="AJ15" s="174">
        <f>'(2.1)_Proxy Resources'!$P$57</f>
        <v>2.302423580786026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138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Resources'!K68</f>
        <v>8.5860000000000006E-2</v>
      </c>
      <c r="AG16" s="134"/>
      <c r="AH16" s="124" t="s">
        <v>110</v>
      </c>
      <c r="AI16" s="131"/>
      <c r="AJ16" s="145">
        <f>'(2.1)_Proxy Resources'!$D$57</f>
        <v>0.48691029900332239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138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'(2.2)_Forward_Price_Curve'!W5</f>
        <v>7.3164524549999999E-2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'(2.2)_Forward_Price_Curve'!G80</f>
        <v>4.6699999999999998E-2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2010</v>
      </c>
      <c r="D28" s="6"/>
      <c r="E28" s="292">
        <f>+INDEX('(2.2)_Forward_Price_Curve'!$R:$R,MATCH($C28,'(2.2)_Forward_Price_Curve'!C:C,0))</f>
        <v>1.7999999999999999E-2</v>
      </c>
      <c r="F28" s="6"/>
      <c r="G28" s="20">
        <v>188825.12099999998</v>
      </c>
      <c r="H28" s="6"/>
      <c r="I28" s="293">
        <f>$G$15*(1+E28)</f>
        <v>0</v>
      </c>
      <c r="J28" s="293"/>
      <c r="K28" s="293">
        <v>63.8</v>
      </c>
      <c r="L28" s="294"/>
      <c r="M28" s="293">
        <f>$G$17</f>
        <v>0</v>
      </c>
      <c r="N28" s="6"/>
      <c r="O28" s="295">
        <f>'(2.2)_Forward_Price_Curve'!U21</f>
        <v>5.2748738999999985</v>
      </c>
      <c r="P28" s="6"/>
      <c r="Q28" s="30"/>
      <c r="R28" s="6"/>
      <c r="S28" s="20">
        <f>(I28*$G$11*1000+(K28+M28+O28+Q28)*G28)/1000</f>
        <v>13043.071422227242</v>
      </c>
      <c r="T28" s="6"/>
      <c r="U28" s="20">
        <f t="shared" ref="U28:U47" si="0">AX28</f>
        <v>22484.179463585893</v>
      </c>
      <c r="V28" s="6"/>
      <c r="W28" s="20">
        <f t="shared" ref="W28:W47" si="1">S28-U28</f>
        <v>-9441.1080413586515</v>
      </c>
      <c r="X28" s="6"/>
      <c r="Y28" s="296">
        <f>+W28*1000/G28</f>
        <v>-49.999216160219767</v>
      </c>
      <c r="Z28" s="255"/>
      <c r="AB28" s="154">
        <f>$C$28</f>
        <v>2010</v>
      </c>
      <c r="AC28" s="124"/>
      <c r="AD28" s="159">
        <f t="shared" ref="AD28:AD47" si="2">G28</f>
        <v>188825.12099999998</v>
      </c>
      <c r="AE28" s="3"/>
      <c r="AF28" s="160">
        <f>$AF$15*$AF$16*(1+E28)</f>
        <v>102.68569285413383</v>
      </c>
      <c r="AG28" s="297"/>
      <c r="AH28" s="160">
        <f>$AJ$11*(1+E28)</f>
        <v>7.7173495216839658</v>
      </c>
      <c r="AI28" s="297"/>
      <c r="AJ28" s="160">
        <f>$AJ$13*(1+E28)</f>
        <v>2.9052581061509763</v>
      </c>
      <c r="AK28" s="298"/>
      <c r="AL28" s="161">
        <f>((AF28+AH28)*$AF$11*1000+AJ28*AD28)/1000</f>
        <v>16748.589716975162</v>
      </c>
      <c r="AM28" s="3"/>
      <c r="AN28" s="162">
        <f>INDEX('(2.2)_Forward_Price_Curve'!$L:$L,MATCH($AB28,'(2.2)_Forward_Price_Curve'!$C:$C,0),1)</f>
        <v>10.836874999999999</v>
      </c>
      <c r="AO28" s="310"/>
      <c r="AP28" s="162">
        <f>AN28*$AF$14/1000+$AJ$14/(1+E29)</f>
        <v>78.865083747288679</v>
      </c>
      <c r="AQ28" s="297"/>
      <c r="AR28" s="160">
        <f>$AJ$15*(1+E28)</f>
        <v>2.3438672052401746</v>
      </c>
      <c r="AS28" s="160"/>
      <c r="AT28" s="161">
        <f>AL28-BF28</f>
        <v>7149.8894736915681</v>
      </c>
      <c r="AU28" s="298"/>
      <c r="AV28" s="161">
        <f t="shared" ref="AV28:AV47" si="3">(AP28+AR28)*AD28/1000</f>
        <v>15334.289989894325</v>
      </c>
      <c r="AW28" s="299"/>
      <c r="AX28" s="163">
        <f>AT28+AV28</f>
        <v>22484.179463585893</v>
      </c>
      <c r="AZ28" s="154">
        <f>$C$28</f>
        <v>2010</v>
      </c>
      <c r="BA28" s="124"/>
      <c r="BB28" s="160">
        <f>$BD$14*$BD$15*(1+E28)</f>
        <v>65.550445199999999</v>
      </c>
      <c r="BC28" s="3"/>
      <c r="BD28" s="160">
        <f>$BB$16*(1+E28)</f>
        <v>4.3163200000000002</v>
      </c>
      <c r="BE28" s="297"/>
      <c r="BF28" s="161">
        <f>(BB28+BD28)*$BD$11</f>
        <v>9598.7002432835943</v>
      </c>
      <c r="BG28" s="297"/>
      <c r="BH28" s="164"/>
    </row>
    <row r="29" spans="1:60" ht="12">
      <c r="B29" s="2"/>
      <c r="C29" s="6">
        <f>+IF(C28&gt;$G$13+$G$14,XX,C28+1)</f>
        <v>2011</v>
      </c>
      <c r="D29" s="6"/>
      <c r="E29" s="292">
        <f>+INDEX('(2.2)_Forward_Price_Curve'!$R:$R,MATCH($C29,'(2.2)_Forward_Price_Curve'!C:C,0))</f>
        <v>1.9E-2</v>
      </c>
      <c r="F29" s="6"/>
      <c r="G29" s="20">
        <v>638183</v>
      </c>
      <c r="H29" s="6"/>
      <c r="I29" s="30">
        <f>I28*(1+$E29)</f>
        <v>0</v>
      </c>
      <c r="J29" s="6"/>
      <c r="K29" s="30">
        <v>63.8</v>
      </c>
      <c r="L29" s="6"/>
      <c r="M29" s="30">
        <f>M28*(1+$E29)</f>
        <v>0</v>
      </c>
      <c r="N29" s="6"/>
      <c r="O29" s="295">
        <f>'(2.2)_Forward_Price_Curve'!U22</f>
        <v>5.3750965040999983</v>
      </c>
      <c r="P29" s="6"/>
      <c r="Q29" s="30"/>
      <c r="R29" s="6"/>
      <c r="S29" s="20">
        <f t="shared" ref="S29:S47" si="4">(I29*$G$11*1000+(K29+M29+O29+Q29)*G29)/1000</f>
        <v>44146.370612276049</v>
      </c>
      <c r="T29" s="6"/>
      <c r="U29" s="20">
        <f t="shared" si="0"/>
        <v>58532.098178827284</v>
      </c>
      <c r="V29" s="6"/>
      <c r="W29" s="20">
        <f t="shared" si="1"/>
        <v>-14385.727566551235</v>
      </c>
      <c r="X29" s="6"/>
      <c r="Y29" s="296">
        <f t="shared" ref="Y29:Y47" si="5">+W29*1000/G29</f>
        <v>-22.541696608263202</v>
      </c>
      <c r="Z29" s="255"/>
      <c r="AB29" s="154">
        <f>+IF(AB28&gt;$G$13+$G$14,XX,AB28+1)</f>
        <v>2011</v>
      </c>
      <c r="AC29" s="124"/>
      <c r="AD29" s="159">
        <f t="shared" si="2"/>
        <v>638183</v>
      </c>
      <c r="AE29" s="3"/>
      <c r="AF29" s="162">
        <f>AF28*(1+$E29)</f>
        <v>104.63672101836237</v>
      </c>
      <c r="AG29" s="3"/>
      <c r="AH29" s="162">
        <f>AH28*(1+$E29)</f>
        <v>7.8639791625959603</v>
      </c>
      <c r="AI29" s="3"/>
      <c r="AJ29" s="162">
        <f>AJ28*(1+$E29)</f>
        <v>2.9604580101678448</v>
      </c>
      <c r="AK29" s="3"/>
      <c r="AL29" s="161">
        <f t="shared" ref="AL29:AL47" si="6">((AF29+AH29)*$AF$11*1000+AJ29*AD29)/1000</f>
        <v>18397.11805391527</v>
      </c>
      <c r="AM29" s="3"/>
      <c r="AN29" s="162">
        <f>INDEX('(2.2)_Forward_Price_Curve'!$L:$L,MATCH($AB29,'(2.2)_Forward_Price_Curve'!$C:$C,0),1)</f>
        <v>10.419479166666667</v>
      </c>
      <c r="AO29" s="3"/>
      <c r="AP29" s="162">
        <f>AN29*$AF$14/1000+$AJ$14</f>
        <v>75.827496126170729</v>
      </c>
      <c r="AQ29" s="3"/>
      <c r="AR29" s="162">
        <f>AR28*(1+$E29)</f>
        <v>2.3884006821397374</v>
      </c>
      <c r="AS29" s="162"/>
      <c r="AT29" s="161">
        <f t="shared" ref="AT29:AT47" si="7">AL29-BF29</f>
        <v>8616.0425060092912</v>
      </c>
      <c r="AU29" s="3"/>
      <c r="AV29" s="161">
        <f t="shared" si="3"/>
        <v>49916.055672817994</v>
      </c>
      <c r="AW29" s="299"/>
      <c r="AX29" s="163">
        <f t="shared" ref="AX29:AX47" si="8">AT29+AV29</f>
        <v>58532.098178827284</v>
      </c>
      <c r="AZ29" s="154">
        <f>+IF(AZ28&gt;$G$13+$G$14,XX,AZ28+1)</f>
        <v>2011</v>
      </c>
      <c r="BA29" s="124"/>
      <c r="BB29" s="162">
        <f>BB28*(1+$E29)</f>
        <v>66.795903658799986</v>
      </c>
      <c r="BC29" s="3"/>
      <c r="BD29" s="162">
        <f>BD28*(1+$E29)</f>
        <v>4.39833008</v>
      </c>
      <c r="BE29" s="3"/>
      <c r="BF29" s="161">
        <f t="shared" ref="BF29:BF47" si="9">(BB29+BD29)*$BD$11</f>
        <v>9781.075547905979</v>
      </c>
      <c r="BG29" s="3"/>
      <c r="BH29" s="165"/>
    </row>
    <row r="30" spans="1:60" ht="12">
      <c r="B30" s="2"/>
      <c r="C30" s="6">
        <f>+IF(C29&gt;$G$13+$G$14,XX,C29+1)</f>
        <v>2012</v>
      </c>
      <c r="D30" s="6"/>
      <c r="E30" s="292">
        <f>+INDEX('(2.2)_Forward_Price_Curve'!$R:$R,MATCH($C30,'(2.2)_Forward_Price_Curve'!C:C,0))</f>
        <v>0.02</v>
      </c>
      <c r="F30" s="6"/>
      <c r="G30" s="20">
        <v>640208</v>
      </c>
      <c r="H30" s="6"/>
      <c r="I30" s="30">
        <f t="shared" ref="I30:I47" si="10">I29*(1+$E30)</f>
        <v>0</v>
      </c>
      <c r="J30" s="6"/>
      <c r="K30" s="30">
        <v>63.8</v>
      </c>
      <c r="L30" s="6"/>
      <c r="M30" s="30">
        <f t="shared" ref="M30:M46" si="11">M29*(1+$E30)</f>
        <v>0</v>
      </c>
      <c r="N30" s="6"/>
      <c r="O30" s="295">
        <f>'(2.2)_Forward_Price_Curve'!U23</f>
        <v>5.4772233376778976</v>
      </c>
      <c r="P30" s="6"/>
      <c r="Q30" s="30"/>
      <c r="R30" s="6"/>
      <c r="S30" s="20">
        <f t="shared" si="4"/>
        <v>44351.832598568086</v>
      </c>
      <c r="T30" s="6"/>
      <c r="U30" s="20">
        <f t="shared" si="0"/>
        <v>58942.378344699311</v>
      </c>
      <c r="V30" s="6"/>
      <c r="W30" s="20">
        <f t="shared" si="1"/>
        <v>-14590.545746131225</v>
      </c>
      <c r="X30" s="6"/>
      <c r="Y30" s="296">
        <f t="shared" si="5"/>
        <v>-22.790320874045975</v>
      </c>
      <c r="Z30" s="255"/>
      <c r="AB30" s="154">
        <f>+IF(AB29&gt;$G$13+$G$14,XX,AB29+1)</f>
        <v>2012</v>
      </c>
      <c r="AC30" s="124"/>
      <c r="AD30" s="159">
        <f t="shared" si="2"/>
        <v>640208</v>
      </c>
      <c r="AE30" s="3"/>
      <c r="AF30" s="162">
        <f t="shared" ref="AF30:AF47" si="12">AF29*(1+$E30)</f>
        <v>106.72945543872962</v>
      </c>
      <c r="AG30" s="3"/>
      <c r="AH30" s="162">
        <f t="shared" ref="AH30:AH47" si="13">AH29*(1+$E30)</f>
        <v>8.021258745847879</v>
      </c>
      <c r="AI30" s="3"/>
      <c r="AJ30" s="162">
        <f t="shared" ref="AJ30:AJ47" si="14">AJ29*(1+$E30)</f>
        <v>3.0196671703712017</v>
      </c>
      <c r="AK30" s="3"/>
      <c r="AL30" s="161">
        <f t="shared" si="6"/>
        <v>18771.175241013578</v>
      </c>
      <c r="AM30" s="3"/>
      <c r="AN30" s="162">
        <f>INDEX('(2.2)_Forward_Price_Curve'!$L:$L,MATCH($AB30,'(2.2)_Forward_Price_Curve'!$C:$C,0),1)</f>
        <v>10.428681771666666</v>
      </c>
      <c r="AO30" s="3"/>
      <c r="AP30" s="162">
        <f>AN30*$AF$14/1000+$AJ$14*(1+E30)</f>
        <v>75.894467851323782</v>
      </c>
      <c r="AQ30" s="3"/>
      <c r="AR30" s="162">
        <f t="shared" ref="AR30:AR47" si="15">AR29*(1+$E30)</f>
        <v>2.4361686957825324</v>
      </c>
      <c r="AS30" s="162"/>
      <c r="AT30" s="161">
        <f t="shared" si="7"/>
        <v>8794.478182149478</v>
      </c>
      <c r="AU30" s="3"/>
      <c r="AV30" s="161">
        <f t="shared" si="3"/>
        <v>50147.900162549835</v>
      </c>
      <c r="AW30" s="299"/>
      <c r="AX30" s="163">
        <f t="shared" si="8"/>
        <v>58942.378344699311</v>
      </c>
      <c r="AZ30" s="154">
        <f>+IF(AZ29&gt;$G$13+$G$14,XX,AZ29+1)</f>
        <v>2012</v>
      </c>
      <c r="BA30" s="124"/>
      <c r="BB30" s="162">
        <f t="shared" ref="BB30:BB47" si="16">BB29*(1+$E30)</f>
        <v>68.13182173197599</v>
      </c>
      <c r="BC30" s="3"/>
      <c r="BD30" s="162">
        <f t="shared" ref="BD30:BD47" si="17">BD29*(1+$E30)</f>
        <v>4.4862966815999998</v>
      </c>
      <c r="BE30" s="3"/>
      <c r="BF30" s="161">
        <f t="shared" si="9"/>
        <v>9976.6970588640997</v>
      </c>
      <c r="BG30" s="3"/>
      <c r="BH30" s="165"/>
    </row>
    <row r="31" spans="1:60" ht="12">
      <c r="B31" s="2"/>
      <c r="C31" s="6">
        <f>+IF(C30&gt;$G$13+$G$14,XX,C30+1)</f>
        <v>2013</v>
      </c>
      <c r="D31" s="6"/>
      <c r="E31" s="292">
        <f>+INDEX('(2.2)_Forward_Price_Curve'!$R:$R,MATCH($C31,'(2.2)_Forward_Price_Curve'!C:C,0))</f>
        <v>0.02</v>
      </c>
      <c r="F31" s="6"/>
      <c r="G31" s="20">
        <v>638183</v>
      </c>
      <c r="H31" s="6"/>
      <c r="I31" s="30">
        <f t="shared" si="10"/>
        <v>0</v>
      </c>
      <c r="J31" s="6"/>
      <c r="K31" s="30">
        <v>63.8</v>
      </c>
      <c r="L31" s="6"/>
      <c r="M31" s="30">
        <f t="shared" si="11"/>
        <v>0</v>
      </c>
      <c r="N31" s="6"/>
      <c r="O31" s="295">
        <f>'(2.2)_Forward_Price_Curve'!U24</f>
        <v>5.5867678044314557</v>
      </c>
      <c r="P31" s="6"/>
      <c r="Q31" s="30"/>
      <c r="R31" s="6"/>
      <c r="S31" s="20">
        <f t="shared" si="4"/>
        <v>44281.455637735482</v>
      </c>
      <c r="T31" s="6"/>
      <c r="U31" s="20">
        <f t="shared" si="0"/>
        <v>59932.729306970847</v>
      </c>
      <c r="V31" s="6"/>
      <c r="W31" s="20">
        <f t="shared" si="1"/>
        <v>-15651.273669235365</v>
      </c>
      <c r="X31" s="6"/>
      <c r="Y31" s="296">
        <f t="shared" si="5"/>
        <v>-24.524742384606554</v>
      </c>
      <c r="Z31" s="255"/>
      <c r="AB31" s="154">
        <f>+IF(AB30&gt;$G$13+$G$14,XX,AB30+1)</f>
        <v>2013</v>
      </c>
      <c r="AC31" s="124"/>
      <c r="AD31" s="159">
        <f t="shared" si="2"/>
        <v>638183</v>
      </c>
      <c r="AE31" s="3"/>
      <c r="AF31" s="162">
        <f t="shared" si="12"/>
        <v>108.86404454750421</v>
      </c>
      <c r="AG31" s="3"/>
      <c r="AH31" s="162">
        <f t="shared" si="13"/>
        <v>8.1816839207648364</v>
      </c>
      <c r="AI31" s="3"/>
      <c r="AJ31" s="162">
        <f t="shared" si="14"/>
        <v>3.0800605137786259</v>
      </c>
      <c r="AK31" s="3"/>
      <c r="AL31" s="161">
        <f t="shared" si="6"/>
        <v>19140.361623293447</v>
      </c>
      <c r="AM31" s="3"/>
      <c r="AN31" s="162">
        <f>INDEX('(2.2)_Forward_Price_Curve'!$L:$L,MATCH($AB31,'(2.2)_Forward_Price_Curve'!$C:$C,0),1)</f>
        <v>10.632848438333333</v>
      </c>
      <c r="AO31" s="3"/>
      <c r="AP31" s="162">
        <f>AN31*$AF$14/1000+$AJ$14*(1+E31)</f>
        <v>77.380285604603358</v>
      </c>
      <c r="AQ31" s="3"/>
      <c r="AR31" s="162">
        <f t="shared" si="15"/>
        <v>2.4848920696981831</v>
      </c>
      <c r="AS31" s="162"/>
      <c r="AT31" s="161">
        <f t="shared" si="7"/>
        <v>8964.1306232520637</v>
      </c>
      <c r="AU31" s="3"/>
      <c r="AV31" s="161">
        <f t="shared" si="3"/>
        <v>50968.598683718781</v>
      </c>
      <c r="AW31" s="299"/>
      <c r="AX31" s="163">
        <f t="shared" si="8"/>
        <v>59932.729306970847</v>
      </c>
      <c r="AZ31" s="154">
        <f>+IF(AZ30&gt;$G$13+$G$14,XX,AZ30+1)</f>
        <v>2013</v>
      </c>
      <c r="BA31" s="124"/>
      <c r="BB31" s="162">
        <f t="shared" si="16"/>
        <v>69.494458166615516</v>
      </c>
      <c r="BC31" s="3"/>
      <c r="BD31" s="162">
        <f t="shared" si="17"/>
        <v>4.5760226152319996</v>
      </c>
      <c r="BE31" s="3"/>
      <c r="BF31" s="161">
        <f t="shared" si="9"/>
        <v>10176.231000041384</v>
      </c>
      <c r="BG31" s="3"/>
      <c r="BH31" s="165"/>
    </row>
    <row r="32" spans="1:60" ht="12">
      <c r="B32" s="2"/>
      <c r="C32" s="6">
        <f>+IF(C31&gt;$G$13+$G$14,XX,C31+1)</f>
        <v>2014</v>
      </c>
      <c r="D32" s="6"/>
      <c r="E32" s="292">
        <f>+INDEX('(2.2)_Forward_Price_Curve'!$R:$R,MATCH($C32,'(2.2)_Forward_Price_Curve'!C:C,0))</f>
        <v>0.02</v>
      </c>
      <c r="F32" s="6"/>
      <c r="G32" s="20">
        <v>638183</v>
      </c>
      <c r="H32" s="6"/>
      <c r="I32" s="30">
        <f t="shared" si="10"/>
        <v>0</v>
      </c>
      <c r="J32" s="6"/>
      <c r="K32" s="30">
        <v>63.8</v>
      </c>
      <c r="L32" s="6"/>
      <c r="M32" s="30">
        <f t="shared" si="11"/>
        <v>0</v>
      </c>
      <c r="N32" s="6"/>
      <c r="O32" s="295">
        <f>'(2.2)_Forward_Price_Curve'!U25</f>
        <v>5.6929163927156532</v>
      </c>
      <c r="P32" s="6"/>
      <c r="Q32" s="30"/>
      <c r="R32" s="6"/>
      <c r="S32" s="20">
        <f t="shared" si="4"/>
        <v>44349.197862252462</v>
      </c>
      <c r="T32" s="6"/>
      <c r="U32" s="20">
        <f t="shared" si="0"/>
        <v>58815.935723319286</v>
      </c>
      <c r="V32" s="6"/>
      <c r="W32" s="20">
        <f t="shared" si="1"/>
        <v>-14466.737861066824</v>
      </c>
      <c r="X32" s="6"/>
      <c r="Y32" s="296">
        <f t="shared" si="5"/>
        <v>-22.668635581121439</v>
      </c>
      <c r="Z32" s="255"/>
      <c r="AB32" s="154">
        <f>+IF(AB31&gt;$G$13+$G$14,XX,AB31+1)</f>
        <v>2014</v>
      </c>
      <c r="AC32" s="124"/>
      <c r="AD32" s="159">
        <f t="shared" si="2"/>
        <v>638183</v>
      </c>
      <c r="AE32" s="3"/>
      <c r="AF32" s="162">
        <f t="shared" si="12"/>
        <v>111.04132543845429</v>
      </c>
      <c r="AG32" s="3"/>
      <c r="AH32" s="162">
        <f t="shared" si="13"/>
        <v>8.3453175991801327</v>
      </c>
      <c r="AI32" s="3"/>
      <c r="AJ32" s="162">
        <f t="shared" si="14"/>
        <v>3.1416617240541984</v>
      </c>
      <c r="AK32" s="3"/>
      <c r="AL32" s="161">
        <f t="shared" si="6"/>
        <v>19523.168855759319</v>
      </c>
      <c r="AM32" s="3"/>
      <c r="AN32" s="162">
        <f>INDEX('(2.2)_Forward_Price_Curve'!$L:$L,MATCH($AB32,'(2.2)_Forward_Price_Curve'!$C:$C,0),1)</f>
        <v>10.346954939583332</v>
      </c>
      <c r="AO32" s="3"/>
      <c r="AP32" s="162">
        <f t="shared" ref="AP32:AP47" si="18">AN32*$AF$14/1000+$AJ$14*(1+E32)</f>
        <v>75.299702897713772</v>
      </c>
      <c r="AQ32" s="3"/>
      <c r="AR32" s="162">
        <f t="shared" si="15"/>
        <v>2.5345899110921466</v>
      </c>
      <c r="AS32" s="162"/>
      <c r="AT32" s="161">
        <f t="shared" si="7"/>
        <v>9143.4132357171075</v>
      </c>
      <c r="AU32" s="3"/>
      <c r="AV32" s="161">
        <f t="shared" si="3"/>
        <v>49672.522487602182</v>
      </c>
      <c r="AW32" s="299"/>
      <c r="AX32" s="163">
        <f t="shared" si="8"/>
        <v>58815.935723319286</v>
      </c>
      <c r="AZ32" s="154">
        <f>+IF(AZ31&gt;$G$13+$G$14,XX,AZ31+1)</f>
        <v>2014</v>
      </c>
      <c r="BA32" s="124"/>
      <c r="BB32" s="162">
        <f t="shared" si="16"/>
        <v>70.884347329947829</v>
      </c>
      <c r="BC32" s="3"/>
      <c r="BD32" s="162">
        <f t="shared" si="17"/>
        <v>4.6675430675366396</v>
      </c>
      <c r="BE32" s="3"/>
      <c r="BF32" s="161">
        <f t="shared" si="9"/>
        <v>10379.755620042211</v>
      </c>
      <c r="BG32" s="3"/>
      <c r="BH32" s="165"/>
    </row>
    <row r="33" spans="2:60" ht="12">
      <c r="B33" s="2"/>
      <c r="C33" s="6">
        <f>+IF(C32&gt;$G$13+$G$14,XX,C32+1)</f>
        <v>2015</v>
      </c>
      <c r="D33" s="6"/>
      <c r="E33" s="292">
        <f>+INDEX('(2.2)_Forward_Price_Curve'!$R:$R,MATCH($C33,'(2.2)_Forward_Price_Curve'!C:C,0))</f>
        <v>0.02</v>
      </c>
      <c r="F33" s="6"/>
      <c r="G33" s="20">
        <v>638183</v>
      </c>
      <c r="H33" s="6"/>
      <c r="I33" s="30">
        <f t="shared" si="10"/>
        <v>0</v>
      </c>
      <c r="J33" s="6"/>
      <c r="K33" s="30">
        <v>63.8</v>
      </c>
      <c r="L33" s="6"/>
      <c r="M33" s="30">
        <f t="shared" si="11"/>
        <v>0</v>
      </c>
      <c r="N33" s="6"/>
      <c r="O33" s="295">
        <f>'(2.2)_Forward_Price_Curve'!U26</f>
        <v>5.7953888877845348</v>
      </c>
      <c r="P33" s="6"/>
      <c r="Q33" s="30"/>
      <c r="R33" s="6"/>
      <c r="S33" s="20">
        <f t="shared" si="4"/>
        <v>44414.594066573001</v>
      </c>
      <c r="T33" s="6"/>
      <c r="U33" s="20">
        <f t="shared" si="0"/>
        <v>54322.065987630427</v>
      </c>
      <c r="V33" s="6"/>
      <c r="W33" s="20">
        <f t="shared" si="1"/>
        <v>-9907.4719210574258</v>
      </c>
      <c r="X33" s="6"/>
      <c r="Y33" s="296">
        <f t="shared" si="5"/>
        <v>-15.524499902155691</v>
      </c>
      <c r="Z33" s="255"/>
      <c r="AB33" s="154">
        <f>+IF(AB32&gt;$G$13+$G$14,XX,AB32+1)</f>
        <v>2015</v>
      </c>
      <c r="AC33" s="124"/>
      <c r="AD33" s="159">
        <f t="shared" si="2"/>
        <v>638183</v>
      </c>
      <c r="AE33" s="3"/>
      <c r="AF33" s="162">
        <f t="shared" si="12"/>
        <v>113.26215194722339</v>
      </c>
      <c r="AG33" s="3"/>
      <c r="AH33" s="162">
        <f t="shared" si="13"/>
        <v>8.512223951163735</v>
      </c>
      <c r="AI33" s="3"/>
      <c r="AJ33" s="162">
        <f t="shared" si="14"/>
        <v>3.2044949585352827</v>
      </c>
      <c r="AK33" s="3"/>
      <c r="AL33" s="161">
        <f t="shared" si="6"/>
        <v>19913.632232874508</v>
      </c>
      <c r="AM33" s="3"/>
      <c r="AN33" s="162">
        <f>INDEX('(2.2)_Forward_Price_Curve'!$L:$L,MATCH($AB33,'(2.2)_Forward_Price_Curve'!$C:$C,0),1)</f>
        <v>9.3330180370833329</v>
      </c>
      <c r="AO33" s="3"/>
      <c r="AP33" s="162">
        <f>AN33*$AF$14/1000+$AJ$14*(1+E33)</f>
        <v>67.920802732294405</v>
      </c>
      <c r="AQ33" s="3"/>
      <c r="AR33" s="162">
        <f t="shared" si="15"/>
        <v>2.5852817093139895</v>
      </c>
      <c r="AS33" s="162"/>
      <c r="AT33" s="161">
        <f t="shared" si="7"/>
        <v>9326.2815004314525</v>
      </c>
      <c r="AU33" s="3"/>
      <c r="AV33" s="161">
        <f t="shared" si="3"/>
        <v>44995.784487198973</v>
      </c>
      <c r="AW33" s="299"/>
      <c r="AX33" s="163">
        <f t="shared" si="8"/>
        <v>54322.065987630427</v>
      </c>
      <c r="AZ33" s="154">
        <f>+IF(AZ32&gt;$G$13+$G$14,XX,AZ32+1)</f>
        <v>2015</v>
      </c>
      <c r="BA33" s="124"/>
      <c r="BB33" s="162">
        <f t="shared" si="16"/>
        <v>72.302034276546792</v>
      </c>
      <c r="BC33" s="3"/>
      <c r="BD33" s="162">
        <f t="shared" si="17"/>
        <v>4.7608939288873726</v>
      </c>
      <c r="BE33" s="3"/>
      <c r="BF33" s="161">
        <f t="shared" si="9"/>
        <v>10587.350732443056</v>
      </c>
      <c r="BG33" s="3"/>
      <c r="BH33" s="165"/>
    </row>
    <row r="34" spans="2:60" ht="12">
      <c r="B34" s="2"/>
      <c r="C34" s="6">
        <f>+IF(C33&gt;$G$13+$G$14,XX,C33+1)</f>
        <v>2016</v>
      </c>
      <c r="D34" s="6"/>
      <c r="E34" s="292">
        <f>+INDEX('(2.2)_Forward_Price_Curve'!$R:$R,MATCH($C34,'(2.2)_Forward_Price_Curve'!C:C,0))</f>
        <v>0.02</v>
      </c>
      <c r="F34" s="6"/>
      <c r="G34" s="20">
        <v>640208</v>
      </c>
      <c r="H34" s="6"/>
      <c r="I34" s="30">
        <f t="shared" si="10"/>
        <v>0</v>
      </c>
      <c r="J34" s="6"/>
      <c r="K34" s="30">
        <v>63.8</v>
      </c>
      <c r="L34" s="6"/>
      <c r="M34" s="30">
        <f t="shared" si="11"/>
        <v>0</v>
      </c>
      <c r="N34" s="6"/>
      <c r="O34" s="295">
        <f>'(2.2)_Forward_Price_Curve'!U27</f>
        <v>5.8997058877646564</v>
      </c>
      <c r="P34" s="6"/>
      <c r="Q34" s="30"/>
      <c r="R34" s="6"/>
      <c r="S34" s="20">
        <f t="shared" si="4"/>
        <v>44622.30930699403</v>
      </c>
      <c r="T34" s="6"/>
      <c r="U34" s="20">
        <f t="shared" si="0"/>
        <v>52925.982199816208</v>
      </c>
      <c r="V34" s="6"/>
      <c r="W34" s="20">
        <f t="shared" si="1"/>
        <v>-8303.6728928221783</v>
      </c>
      <c r="X34" s="6"/>
      <c r="Y34" s="296">
        <f t="shared" si="5"/>
        <v>-12.970273556128911</v>
      </c>
      <c r="Z34" s="255"/>
      <c r="AB34" s="154">
        <f>+IF(AB33&gt;$G$13+$G$14,XX,AB33+1)</f>
        <v>2016</v>
      </c>
      <c r="AC34" s="124"/>
      <c r="AD34" s="159">
        <f t="shared" si="2"/>
        <v>640208</v>
      </c>
      <c r="AE34" s="3"/>
      <c r="AF34" s="162">
        <f t="shared" si="12"/>
        <v>115.52739498616786</v>
      </c>
      <c r="AG34" s="3"/>
      <c r="AH34" s="162">
        <f t="shared" si="13"/>
        <v>8.6824684301870096</v>
      </c>
      <c r="AI34" s="3"/>
      <c r="AJ34" s="162">
        <f t="shared" si="14"/>
        <v>3.2685848577059882</v>
      </c>
      <c r="AK34" s="3"/>
      <c r="AL34" s="161">
        <f t="shared" si="6"/>
        <v>20318.523761868852</v>
      </c>
      <c r="AM34" s="3"/>
      <c r="AN34" s="162">
        <f>INDEX('(2.2)_Forward_Price_Curve'!$L:$L,MATCH($AB34,'(2.2)_Forward_Price_Curve'!$C:$C,0),1)</f>
        <v>8.9541666666666657</v>
      </c>
      <c r="AO34" s="3"/>
      <c r="AP34" s="162">
        <f t="shared" si="18"/>
        <v>65.163721465260735</v>
      </c>
      <c r="AQ34" s="3"/>
      <c r="AR34" s="162">
        <f t="shared" si="15"/>
        <v>2.6369873435002695</v>
      </c>
      <c r="AS34" s="162"/>
      <c r="AT34" s="161">
        <f t="shared" si="7"/>
        <v>9519.4260147769346</v>
      </c>
      <c r="AU34" s="3"/>
      <c r="AV34" s="161">
        <f t="shared" si="3"/>
        <v>43406.55618503927</v>
      </c>
      <c r="AW34" s="299"/>
      <c r="AX34" s="163">
        <f t="shared" si="8"/>
        <v>52925.982199816208</v>
      </c>
      <c r="AZ34" s="154">
        <f>+IF(AZ33&gt;$G$13+$G$14,XX,AZ33+1)</f>
        <v>2016</v>
      </c>
      <c r="BA34" s="124"/>
      <c r="BB34" s="162">
        <f t="shared" si="16"/>
        <v>73.748074962077723</v>
      </c>
      <c r="BC34" s="3"/>
      <c r="BD34" s="162">
        <f t="shared" si="17"/>
        <v>4.8561118074651199</v>
      </c>
      <c r="BE34" s="3"/>
      <c r="BF34" s="161">
        <f t="shared" si="9"/>
        <v>10799.097747091917</v>
      </c>
      <c r="BG34" s="3"/>
      <c r="BH34" s="165"/>
    </row>
    <row r="35" spans="2:60" ht="12">
      <c r="B35" s="2"/>
      <c r="C35" s="6">
        <f>+IF(C34&gt;$G$13+$G$14,XX,C34+1)</f>
        <v>2017</v>
      </c>
      <c r="D35" s="6"/>
      <c r="E35" s="292">
        <f>+INDEX('(2.2)_Forward_Price_Curve'!$R:$R,MATCH($C35,'(2.2)_Forward_Price_Curve'!C:C,0))</f>
        <v>1.9E-2</v>
      </c>
      <c r="F35" s="6"/>
      <c r="G35" s="20">
        <v>638183</v>
      </c>
      <c r="H35" s="6"/>
      <c r="I35" s="30">
        <f t="shared" si="10"/>
        <v>0</v>
      </c>
      <c r="J35" s="6"/>
      <c r="K35" s="30">
        <v>63.8</v>
      </c>
      <c r="L35" s="6"/>
      <c r="M35" s="30">
        <f t="shared" si="11"/>
        <v>0</v>
      </c>
      <c r="N35" s="6"/>
      <c r="O35" s="295">
        <f>'(2.2)_Forward_Price_Curve'!U28</f>
        <v>6.0059005937444203</v>
      </c>
      <c r="P35" s="6"/>
      <c r="Q35" s="30"/>
      <c r="R35" s="6"/>
      <c r="S35" s="20">
        <f t="shared" si="4"/>
        <v>44548.939058617594</v>
      </c>
      <c r="T35" s="6"/>
      <c r="U35" s="20">
        <f t="shared" si="0"/>
        <v>56189.718037205392</v>
      </c>
      <c r="V35" s="6"/>
      <c r="W35" s="20">
        <f t="shared" si="1"/>
        <v>-11640.778978587798</v>
      </c>
      <c r="X35" s="6"/>
      <c r="Y35" s="296">
        <f t="shared" si="5"/>
        <v>-18.240503082325599</v>
      </c>
      <c r="Z35" s="255"/>
      <c r="AB35" s="154">
        <f>+IF(AB34&gt;$G$13+$G$14,XX,AB34+1)</f>
        <v>2017</v>
      </c>
      <c r="AC35" s="124"/>
      <c r="AD35" s="159">
        <f t="shared" si="2"/>
        <v>638183</v>
      </c>
      <c r="AE35" s="3"/>
      <c r="AF35" s="162">
        <f t="shared" si="12"/>
        <v>117.72241549090504</v>
      </c>
      <c r="AG35" s="3"/>
      <c r="AH35" s="162">
        <f t="shared" si="13"/>
        <v>8.8474353303605628</v>
      </c>
      <c r="AI35" s="3"/>
      <c r="AJ35" s="162">
        <f t="shared" si="14"/>
        <v>3.3306879700024017</v>
      </c>
      <c r="AK35" s="3"/>
      <c r="AL35" s="161">
        <f t="shared" si="6"/>
        <v>20697.831070205102</v>
      </c>
      <c r="AM35" s="3"/>
      <c r="AN35" s="162">
        <f>INDEX('(2.2)_Forward_Price_Curve'!$L:$L,MATCH($AB35,'(2.2)_Forward_Price_Curve'!$C:$C,0),1)</f>
        <v>9.6420833333333338</v>
      </c>
      <c r="AO35" s="3"/>
      <c r="AP35" s="162">
        <f t="shared" si="18"/>
        <v>70.170017609474115</v>
      </c>
      <c r="AQ35" s="3"/>
      <c r="AR35" s="162">
        <f t="shared" si="15"/>
        <v>2.6870901030267742</v>
      </c>
      <c r="AS35" s="162"/>
      <c r="AT35" s="161">
        <f t="shared" si="7"/>
        <v>9693.5504659184389</v>
      </c>
      <c r="AU35" s="3"/>
      <c r="AV35" s="161">
        <f t="shared" si="3"/>
        <v>46496.167571286955</v>
      </c>
      <c r="AW35" s="299"/>
      <c r="AX35" s="163">
        <f t="shared" si="8"/>
        <v>56189.718037205392</v>
      </c>
      <c r="AZ35" s="154">
        <f>+IF(AZ34&gt;$G$13+$G$14,XX,AZ34+1)</f>
        <v>2017</v>
      </c>
      <c r="BA35" s="124"/>
      <c r="BB35" s="162">
        <f t="shared" si="16"/>
        <v>75.149288386357199</v>
      </c>
      <c r="BC35" s="3"/>
      <c r="BD35" s="162">
        <f t="shared" si="17"/>
        <v>4.9483779318069567</v>
      </c>
      <c r="BE35" s="3"/>
      <c r="BF35" s="161">
        <f t="shared" si="9"/>
        <v>11004.280604286663</v>
      </c>
      <c r="BG35" s="3"/>
      <c r="BH35" s="165"/>
    </row>
    <row r="36" spans="2:60" ht="12">
      <c r="B36" s="2"/>
      <c r="C36" s="6">
        <f>+IF(C35&gt;$G$13+$G$14,XX,C35+1)</f>
        <v>2018</v>
      </c>
      <c r="D36" s="6"/>
      <c r="E36" s="292">
        <f>+INDEX('(2.2)_Forward_Price_Curve'!$R:$R,MATCH($C36,'(2.2)_Forward_Price_Curve'!C:C,0))</f>
        <v>1.9E-2</v>
      </c>
      <c r="F36" s="6"/>
      <c r="G36" s="20">
        <v>638183</v>
      </c>
      <c r="H36" s="6"/>
      <c r="I36" s="30">
        <f t="shared" si="10"/>
        <v>0</v>
      </c>
      <c r="J36" s="6"/>
      <c r="K36" s="30">
        <v>63.8</v>
      </c>
      <c r="L36" s="6"/>
      <c r="M36" s="30">
        <f t="shared" si="11"/>
        <v>0</v>
      </c>
      <c r="N36" s="6"/>
      <c r="O36" s="295">
        <f>'(2.2)_Forward_Price_Curve'!U29</f>
        <v>6.1140068044318197</v>
      </c>
      <c r="P36" s="6"/>
      <c r="Q36" s="30"/>
      <c r="R36" s="6"/>
      <c r="S36" s="20">
        <f t="shared" si="4"/>
        <v>44617.930604472713</v>
      </c>
      <c r="T36" s="6"/>
      <c r="U36" s="20">
        <f t="shared" si="0"/>
        <v>64135.467915048808</v>
      </c>
      <c r="V36" s="6"/>
      <c r="W36" s="20">
        <f t="shared" si="1"/>
        <v>-19517.537310576095</v>
      </c>
      <c r="X36" s="6"/>
      <c r="Y36" s="296">
        <f t="shared" si="5"/>
        <v>-30.582979036696521</v>
      </c>
      <c r="Z36" s="255"/>
      <c r="AB36" s="154">
        <f>+IF(AB35&gt;$G$13+$G$14,XX,AB35+1)</f>
        <v>2018</v>
      </c>
      <c r="AC36" s="124"/>
      <c r="AD36" s="159">
        <f t="shared" si="2"/>
        <v>638183</v>
      </c>
      <c r="AE36" s="3"/>
      <c r="AF36" s="162">
        <f t="shared" si="12"/>
        <v>119.95914138523221</v>
      </c>
      <c r="AG36" s="3"/>
      <c r="AH36" s="162">
        <f t="shared" si="13"/>
        <v>9.0155366016374128</v>
      </c>
      <c r="AI36" s="3"/>
      <c r="AJ36" s="162">
        <f t="shared" si="14"/>
        <v>3.3939710414324469</v>
      </c>
      <c r="AK36" s="3"/>
      <c r="AL36" s="161">
        <f t="shared" si="6"/>
        <v>21091.089860538996</v>
      </c>
      <c r="AM36" s="3"/>
      <c r="AN36" s="162">
        <f>INDEX('(2.2)_Forward_Price_Curve'!$L:$L,MATCH($AB36,'(2.2)_Forward_Price_Curve'!$C:$C,0),1)</f>
        <v>11.30625</v>
      </c>
      <c r="AO36" s="3"/>
      <c r="AP36" s="162">
        <f t="shared" si="18"/>
        <v>82.280948439267121</v>
      </c>
      <c r="AQ36" s="3"/>
      <c r="AR36" s="162">
        <f t="shared" si="15"/>
        <v>2.7381448149842829</v>
      </c>
      <c r="AS36" s="162"/>
      <c r="AT36" s="161">
        <f t="shared" si="7"/>
        <v>9877.7279247708884</v>
      </c>
      <c r="AU36" s="3"/>
      <c r="AV36" s="161">
        <f t="shared" si="3"/>
        <v>54257.739990277922</v>
      </c>
      <c r="AW36" s="299"/>
      <c r="AX36" s="163">
        <f t="shared" si="8"/>
        <v>64135.467915048808</v>
      </c>
      <c r="AZ36" s="154">
        <f>+IF(AZ35&gt;$G$13+$G$14,XX,AZ35+1)</f>
        <v>2018</v>
      </c>
      <c r="BA36" s="124"/>
      <c r="BB36" s="162">
        <f t="shared" si="16"/>
        <v>76.577124865697982</v>
      </c>
      <c r="BC36" s="3"/>
      <c r="BD36" s="162">
        <f t="shared" si="17"/>
        <v>5.0423971125112885</v>
      </c>
      <c r="BE36" s="3"/>
      <c r="BF36" s="161">
        <f t="shared" si="9"/>
        <v>11213.361935768107</v>
      </c>
      <c r="BG36" s="3"/>
      <c r="BH36" s="165"/>
    </row>
    <row r="37" spans="2:60" ht="12">
      <c r="B37" s="2"/>
      <c r="C37" s="6">
        <f>+IF(C36&gt;$G$13+$G$14,XX,C36+1)</f>
        <v>2019</v>
      </c>
      <c r="D37" s="6"/>
      <c r="E37" s="292">
        <f>+INDEX('(2.2)_Forward_Price_Curve'!$R:$R,MATCH($C37,'(2.2)_Forward_Price_Curve'!C:C,0))</f>
        <v>1.9E-2</v>
      </c>
      <c r="F37" s="6"/>
      <c r="G37" s="20">
        <v>638183</v>
      </c>
      <c r="H37" s="6"/>
      <c r="I37" s="30">
        <f t="shared" si="10"/>
        <v>0</v>
      </c>
      <c r="J37" s="6"/>
      <c r="K37" s="30">
        <v>63.8</v>
      </c>
      <c r="L37" s="6"/>
      <c r="M37" s="30">
        <f t="shared" si="11"/>
        <v>0</v>
      </c>
      <c r="N37" s="6"/>
      <c r="O37" s="295">
        <f>'(2.2)_Forward_Price_Curve'!U30</f>
        <v>6.2240589269115922</v>
      </c>
      <c r="P37" s="6"/>
      <c r="Q37" s="30"/>
      <c r="R37" s="6"/>
      <c r="S37" s="20">
        <f t="shared" si="4"/>
        <v>44688.163998153228</v>
      </c>
      <c r="T37" s="6"/>
      <c r="U37" s="20">
        <f t="shared" si="0"/>
        <v>66426.956844184155</v>
      </c>
      <c r="V37" s="6"/>
      <c r="W37" s="20">
        <f t="shared" si="1"/>
        <v>-21738.792846030927</v>
      </c>
      <c r="X37" s="6"/>
      <c r="Y37" s="296">
        <f t="shared" si="5"/>
        <v>-34.063572433033983</v>
      </c>
      <c r="Z37" s="255"/>
      <c r="AB37" s="154">
        <f>+IF(AB36&gt;$G$13+$G$14,XX,AB36+1)</f>
        <v>2019</v>
      </c>
      <c r="AC37" s="124"/>
      <c r="AD37" s="159">
        <f t="shared" si="2"/>
        <v>638183</v>
      </c>
      <c r="AE37" s="3"/>
      <c r="AF37" s="162">
        <f t="shared" si="12"/>
        <v>122.23836507155161</v>
      </c>
      <c r="AG37" s="3"/>
      <c r="AH37" s="162">
        <f t="shared" si="13"/>
        <v>9.1868317970685229</v>
      </c>
      <c r="AI37" s="3"/>
      <c r="AJ37" s="162">
        <f t="shared" si="14"/>
        <v>3.4584564912196631</v>
      </c>
      <c r="AK37" s="3"/>
      <c r="AL37" s="161">
        <f t="shared" si="6"/>
        <v>21491.820567889237</v>
      </c>
      <c r="AM37" s="3"/>
      <c r="AN37" s="162">
        <f>INDEX('(2.2)_Forward_Price_Curve'!$L:$L,MATCH($AB37,'(2.2)_Forward_Price_Curve'!$C:$C,0),1)</f>
        <v>11.752083333333331</v>
      </c>
      <c r="AO37" s="3"/>
      <c r="AP37" s="162">
        <f t="shared" si="18"/>
        <v>85.525489247448988</v>
      </c>
      <c r="AQ37" s="3"/>
      <c r="AR37" s="162">
        <f t="shared" si="15"/>
        <v>2.7901695664689838</v>
      </c>
      <c r="AS37" s="162"/>
      <c r="AT37" s="161">
        <f t="shared" si="7"/>
        <v>10065.404755341535</v>
      </c>
      <c r="AU37" s="3"/>
      <c r="AV37" s="161">
        <f t="shared" si="3"/>
        <v>56361.552088842618</v>
      </c>
      <c r="AW37" s="299"/>
      <c r="AX37" s="163">
        <f t="shared" si="8"/>
        <v>66426.956844184155</v>
      </c>
      <c r="AZ37" s="154">
        <f>+IF(AZ36&gt;$G$13+$G$14,XX,AZ36+1)</f>
        <v>2019</v>
      </c>
      <c r="BA37" s="124"/>
      <c r="BB37" s="162">
        <f t="shared" si="16"/>
        <v>78.032090238146239</v>
      </c>
      <c r="BC37" s="3"/>
      <c r="BD37" s="162">
        <f t="shared" si="17"/>
        <v>5.1382026576490025</v>
      </c>
      <c r="BE37" s="3"/>
      <c r="BF37" s="161">
        <f t="shared" si="9"/>
        <v>11426.415812547702</v>
      </c>
      <c r="BG37" s="3"/>
      <c r="BH37" s="165"/>
    </row>
    <row r="38" spans="2:60" ht="12">
      <c r="B38" s="2"/>
      <c r="C38" s="6">
        <f>+IF(C37&gt;$G$13+$G$14,XX,C37+1)</f>
        <v>2020</v>
      </c>
      <c r="D38" s="6"/>
      <c r="E38" s="292">
        <f>+INDEX('(2.2)_Forward_Price_Curve'!$R:$R,MATCH($C38,'(2.2)_Forward_Price_Curve'!C:C,0))</f>
        <v>1.9E-2</v>
      </c>
      <c r="F38" s="6"/>
      <c r="G38" s="20">
        <v>640208</v>
      </c>
      <c r="H38" s="6"/>
      <c r="I38" s="30">
        <f t="shared" si="10"/>
        <v>0</v>
      </c>
      <c r="J38" s="6"/>
      <c r="K38" s="30">
        <v>63.8</v>
      </c>
      <c r="L38" s="6"/>
      <c r="M38" s="30">
        <f t="shared" si="11"/>
        <v>0</v>
      </c>
      <c r="N38" s="6"/>
      <c r="O38" s="295">
        <f>'(2.2)_Forward_Price_Curve'!U31</f>
        <v>6.3360919875960011</v>
      </c>
      <c r="P38" s="6"/>
      <c r="Q38" s="30"/>
      <c r="R38" s="6"/>
      <c r="S38" s="20">
        <f t="shared" si="4"/>
        <v>44901.687179194858</v>
      </c>
      <c r="T38" s="6"/>
      <c r="U38" s="20">
        <f t="shared" si="0"/>
        <v>65541.332525220481</v>
      </c>
      <c r="V38" s="6"/>
      <c r="W38" s="20">
        <f t="shared" si="1"/>
        <v>-20639.645346025623</v>
      </c>
      <c r="X38" s="6"/>
      <c r="Y38" s="296">
        <f t="shared" si="5"/>
        <v>-32.238968188503776</v>
      </c>
      <c r="Z38" s="255"/>
      <c r="AB38" s="154">
        <f>+IF(AB37&gt;$G$13+$G$14,XX,AB37+1)</f>
        <v>2020</v>
      </c>
      <c r="AC38" s="124"/>
      <c r="AD38" s="159">
        <f t="shared" si="2"/>
        <v>640208</v>
      </c>
      <c r="AE38" s="3"/>
      <c r="AF38" s="162">
        <f t="shared" si="12"/>
        <v>124.56089400791109</v>
      </c>
      <c r="AG38" s="3"/>
      <c r="AH38" s="162">
        <f t="shared" si="13"/>
        <v>9.3613816012128233</v>
      </c>
      <c r="AI38" s="3"/>
      <c r="AJ38" s="162">
        <f t="shared" si="14"/>
        <v>3.5241671645528365</v>
      </c>
      <c r="AK38" s="3"/>
      <c r="AL38" s="161">
        <f t="shared" si="6"/>
        <v>21907.301597187346</v>
      </c>
      <c r="AM38" s="3"/>
      <c r="AN38" s="162">
        <f>INDEX('(2.2)_Forward_Price_Curve'!$L:$L,MATCH($AB38,'(2.2)_Forward_Price_Curve'!$C:$C,0),1)</f>
        <v>11.473750000000003</v>
      </c>
      <c r="AO38" s="3"/>
      <c r="AP38" s="162">
        <f t="shared" si="18"/>
        <v>83.4999254531822</v>
      </c>
      <c r="AQ38" s="3"/>
      <c r="AR38" s="162">
        <f t="shared" si="15"/>
        <v>2.8431827882318941</v>
      </c>
      <c r="AS38" s="162"/>
      <c r="AT38" s="161">
        <f t="shared" si="7"/>
        <v>10263.783884201239</v>
      </c>
      <c r="AU38" s="3"/>
      <c r="AV38" s="161">
        <f t="shared" si="3"/>
        <v>55277.548641019239</v>
      </c>
      <c r="AW38" s="299"/>
      <c r="AX38" s="163">
        <f t="shared" si="8"/>
        <v>65541.332525220481</v>
      </c>
      <c r="AZ38" s="154">
        <f>+IF(AZ37&gt;$G$13+$G$14,XX,AZ37+1)</f>
        <v>2020</v>
      </c>
      <c r="BA38" s="124"/>
      <c r="BB38" s="162">
        <f t="shared" si="16"/>
        <v>79.514699952671009</v>
      </c>
      <c r="BC38" s="3"/>
      <c r="BD38" s="162">
        <f t="shared" si="17"/>
        <v>5.2358285081443334</v>
      </c>
      <c r="BE38" s="3"/>
      <c r="BF38" s="161">
        <f t="shared" si="9"/>
        <v>11643.517712986108</v>
      </c>
      <c r="BG38" s="3"/>
      <c r="BH38" s="165"/>
    </row>
    <row r="39" spans="2:60" ht="12">
      <c r="B39" s="2"/>
      <c r="C39" s="6">
        <f>+IF(C38&gt;$G$13+$G$14,XX,C38+1)</f>
        <v>2021</v>
      </c>
      <c r="D39" s="6"/>
      <c r="E39" s="292">
        <f>+INDEX('(2.2)_Forward_Price_Curve'!$R:$R,MATCH($C39,'(2.2)_Forward_Price_Curve'!C:C,0))</f>
        <v>1.7999999999999999E-2</v>
      </c>
      <c r="F39" s="6"/>
      <c r="G39" s="20">
        <v>638183</v>
      </c>
      <c r="H39" s="6"/>
      <c r="I39" s="30">
        <f t="shared" si="10"/>
        <v>0</v>
      </c>
      <c r="J39" s="6"/>
      <c r="K39" s="30">
        <v>63.8</v>
      </c>
      <c r="L39" s="6"/>
      <c r="M39" s="30">
        <f t="shared" si="11"/>
        <v>0</v>
      </c>
      <c r="N39" s="6"/>
      <c r="O39" s="295">
        <f>'(2.2)_Forward_Price_Curve'!U32</f>
        <v>6.4501416433727297</v>
      </c>
      <c r="P39" s="6"/>
      <c r="Q39" s="30"/>
      <c r="R39" s="6"/>
      <c r="S39" s="20">
        <f t="shared" si="4"/>
        <v>44832.446144392532</v>
      </c>
      <c r="T39" s="6"/>
      <c r="U39" s="20">
        <f t="shared" si="0"/>
        <v>66590.650163477752</v>
      </c>
      <c r="V39" s="6"/>
      <c r="W39" s="20">
        <f t="shared" si="1"/>
        <v>-21758.20401908522</v>
      </c>
      <c r="X39" s="6"/>
      <c r="Y39" s="296">
        <f t="shared" si="5"/>
        <v>-34.093988744741274</v>
      </c>
      <c r="Z39" s="255"/>
      <c r="AB39" s="154">
        <f>+IF(AB38&gt;$G$13+$G$14,XX,AB38+1)</f>
        <v>2021</v>
      </c>
      <c r="AC39" s="124"/>
      <c r="AD39" s="159">
        <f t="shared" si="2"/>
        <v>638183</v>
      </c>
      <c r="AE39" s="3"/>
      <c r="AF39" s="162">
        <f t="shared" si="12"/>
        <v>126.80299010005349</v>
      </c>
      <c r="AG39" s="3"/>
      <c r="AH39" s="162">
        <f t="shared" si="13"/>
        <v>9.5298864700346542</v>
      </c>
      <c r="AI39" s="3"/>
      <c r="AJ39" s="162">
        <f t="shared" si="14"/>
        <v>3.5876021735147878</v>
      </c>
      <c r="AK39" s="3"/>
      <c r="AL39" s="161">
        <f t="shared" si="6"/>
        <v>22294.368131535353</v>
      </c>
      <c r="AM39" s="3"/>
      <c r="AN39" s="162">
        <f>INDEX('(2.2)_Forward_Price_Curve'!$L:$L,MATCH($AB39,'(2.2)_Forward_Price_Curve'!$C:$C,0),1)</f>
        <v>11.692083333333334</v>
      </c>
      <c r="AO39" s="3"/>
      <c r="AP39" s="162">
        <f t="shared" si="18"/>
        <v>85.088840764852577</v>
      </c>
      <c r="AQ39" s="3"/>
      <c r="AR39" s="162">
        <f t="shared" si="15"/>
        <v>2.894360078420068</v>
      </c>
      <c r="AS39" s="162"/>
      <c r="AT39" s="161">
        <f t="shared" si="7"/>
        <v>10441.267099715496</v>
      </c>
      <c r="AU39" s="3"/>
      <c r="AV39" s="161">
        <f t="shared" si="3"/>
        <v>56149.38306376226</v>
      </c>
      <c r="AW39" s="299"/>
      <c r="AX39" s="163">
        <f t="shared" si="8"/>
        <v>66590.650163477752</v>
      </c>
      <c r="AZ39" s="154">
        <f>+IF(AZ38&gt;$G$13+$G$14,XX,AZ38+1)</f>
        <v>2021</v>
      </c>
      <c r="BA39" s="124"/>
      <c r="BB39" s="162">
        <f t="shared" si="16"/>
        <v>80.945964551819088</v>
      </c>
      <c r="BC39" s="3"/>
      <c r="BD39" s="162">
        <f t="shared" si="17"/>
        <v>5.3300734212909315</v>
      </c>
      <c r="BE39" s="3"/>
      <c r="BF39" s="161">
        <f t="shared" si="9"/>
        <v>11853.101031819857</v>
      </c>
      <c r="BG39" s="3"/>
      <c r="BH39" s="165"/>
    </row>
    <row r="40" spans="2:60" ht="12">
      <c r="B40" s="2"/>
      <c r="C40" s="6">
        <f>+IF(C39&gt;$G$13+$G$14,XX,C39+1)</f>
        <v>2022</v>
      </c>
      <c r="D40" s="6"/>
      <c r="E40" s="292">
        <f>+INDEX('(2.2)_Forward_Price_Curve'!$R:$R,MATCH($C40,'(2.2)_Forward_Price_Curve'!C:C,0))</f>
        <v>1.7999999999999999E-2</v>
      </c>
      <c r="F40" s="6"/>
      <c r="G40" s="20">
        <v>638183</v>
      </c>
      <c r="H40" s="6"/>
      <c r="I40" s="30">
        <f t="shared" si="10"/>
        <v>0</v>
      </c>
      <c r="J40" s="6"/>
      <c r="K40" s="30">
        <v>63.8</v>
      </c>
      <c r="L40" s="6"/>
      <c r="M40" s="30">
        <f t="shared" si="11"/>
        <v>0</v>
      </c>
      <c r="N40" s="6"/>
      <c r="O40" s="295">
        <f>'(2.2)_Forward_Price_Curve'!U33</f>
        <v>6.5662441929534392</v>
      </c>
      <c r="P40" s="6"/>
      <c r="Q40" s="30"/>
      <c r="R40" s="6"/>
      <c r="S40" s="20">
        <f t="shared" si="4"/>
        <v>44906.540817791596</v>
      </c>
      <c r="T40" s="6"/>
      <c r="U40" s="20">
        <f t="shared" si="0"/>
        <v>67837.470978390091</v>
      </c>
      <c r="V40" s="6"/>
      <c r="W40" s="20">
        <f t="shared" si="1"/>
        <v>-22930.930160598495</v>
      </c>
      <c r="X40" s="6"/>
      <c r="Y40" s="296">
        <f t="shared" si="5"/>
        <v>-35.931590406824519</v>
      </c>
      <c r="Z40" s="255"/>
      <c r="AB40" s="154">
        <f>+IF(AB39&gt;$G$13+$G$14,XX,AB39+1)</f>
        <v>2022</v>
      </c>
      <c r="AC40" s="124"/>
      <c r="AD40" s="159">
        <f t="shared" si="2"/>
        <v>638183</v>
      </c>
      <c r="AE40" s="3"/>
      <c r="AF40" s="162">
        <f t="shared" si="12"/>
        <v>129.08544392185445</v>
      </c>
      <c r="AG40" s="3"/>
      <c r="AH40" s="162">
        <f t="shared" si="13"/>
        <v>9.7014244264952776</v>
      </c>
      <c r="AI40" s="3"/>
      <c r="AJ40" s="162">
        <f t="shared" si="14"/>
        <v>3.652179012638054</v>
      </c>
      <c r="AK40" s="3"/>
      <c r="AL40" s="161">
        <f t="shared" si="6"/>
        <v>22695.666757902989</v>
      </c>
      <c r="AM40" s="3"/>
      <c r="AN40" s="162">
        <f>INDEX('(2.2)_Forward_Price_Curve'!$L:$L,MATCH($AB40,'(2.2)_Forward_Price_Curve'!$C:$C,0),1)</f>
        <v>11.912916666666668</v>
      </c>
      <c r="AO40" s="3"/>
      <c r="AP40" s="162">
        <f t="shared" si="18"/>
        <v>86.695949763297804</v>
      </c>
      <c r="AQ40" s="3"/>
      <c r="AR40" s="162">
        <f t="shared" si="15"/>
        <v>2.9464585598316293</v>
      </c>
      <c r="AS40" s="162"/>
      <c r="AT40" s="161">
        <f t="shared" si="7"/>
        <v>10629.209907510374</v>
      </c>
      <c r="AU40" s="3"/>
      <c r="AV40" s="161">
        <f t="shared" si="3"/>
        <v>57208.261070879715</v>
      </c>
      <c r="AW40" s="299"/>
      <c r="AX40" s="163">
        <f t="shared" si="8"/>
        <v>67837.470978390091</v>
      </c>
      <c r="AZ40" s="154">
        <f>+IF(AZ39&gt;$G$13+$G$14,XX,AZ39+1)</f>
        <v>2022</v>
      </c>
      <c r="BA40" s="124"/>
      <c r="BB40" s="162">
        <f t="shared" si="16"/>
        <v>82.402991913751833</v>
      </c>
      <c r="BC40" s="3"/>
      <c r="BD40" s="162">
        <f t="shared" si="17"/>
        <v>5.4260147428741687</v>
      </c>
      <c r="BE40" s="3"/>
      <c r="BF40" s="161">
        <f t="shared" si="9"/>
        <v>12066.456850392615</v>
      </c>
      <c r="BG40" s="3"/>
      <c r="BH40" s="165"/>
    </row>
    <row r="41" spans="2:60" ht="12">
      <c r="B41" s="2"/>
      <c r="C41" s="6">
        <f>+IF(C40&gt;$G$13+$G$14,XX,C40+1)</f>
        <v>2023</v>
      </c>
      <c r="D41" s="6"/>
      <c r="E41" s="292">
        <f>+INDEX('(2.2)_Forward_Price_Curve'!$R:$R,MATCH($C41,'(2.2)_Forward_Price_Curve'!C:C,0))</f>
        <v>1.9E-2</v>
      </c>
      <c r="F41" s="6"/>
      <c r="G41" s="20">
        <v>638183</v>
      </c>
      <c r="H41" s="6"/>
      <c r="I41" s="30">
        <f t="shared" si="10"/>
        <v>0</v>
      </c>
      <c r="J41" s="6"/>
      <c r="K41" s="30">
        <v>63.8</v>
      </c>
      <c r="L41" s="6"/>
      <c r="M41" s="30">
        <f t="shared" si="11"/>
        <v>0</v>
      </c>
      <c r="N41" s="6"/>
      <c r="O41" s="295">
        <f>'(2.2)_Forward_Price_Curve'!U34</f>
        <v>6.6910028326195539</v>
      </c>
      <c r="P41" s="6"/>
      <c r="Q41" s="30"/>
      <c r="R41" s="6"/>
      <c r="S41" s="20">
        <f t="shared" si="4"/>
        <v>44986.159660729645</v>
      </c>
      <c r="T41" s="6"/>
      <c r="U41" s="20">
        <f t="shared" si="0"/>
        <v>69125.939777568172</v>
      </c>
      <c r="V41" s="6"/>
      <c r="W41" s="20">
        <f t="shared" si="1"/>
        <v>-24139.780116838527</v>
      </c>
      <c r="X41" s="6"/>
      <c r="Y41" s="296">
        <f t="shared" si="5"/>
        <v>-37.825796232175605</v>
      </c>
      <c r="Z41" s="255"/>
      <c r="AB41" s="154">
        <f>+IF(AB40&gt;$G$13+$G$14,XX,AB40+1)</f>
        <v>2023</v>
      </c>
      <c r="AC41" s="124"/>
      <c r="AD41" s="159">
        <f t="shared" si="2"/>
        <v>638183</v>
      </c>
      <c r="AE41" s="3"/>
      <c r="AF41" s="162">
        <f t="shared" si="12"/>
        <v>131.53806735636968</v>
      </c>
      <c r="AG41" s="3"/>
      <c r="AH41" s="162">
        <f t="shared" si="13"/>
        <v>9.8857514905986861</v>
      </c>
      <c r="AI41" s="3"/>
      <c r="AJ41" s="162">
        <f t="shared" si="14"/>
        <v>3.7215704138781769</v>
      </c>
      <c r="AK41" s="3"/>
      <c r="AL41" s="161">
        <f t="shared" si="6"/>
        <v>23126.88442630315</v>
      </c>
      <c r="AM41" s="3"/>
      <c r="AN41" s="162">
        <f>INDEX('(2.2)_Forward_Price_Curve'!$L:$L,MATCH($AB41,'(2.2)_Forward_Price_Curve'!$C:$C,0),1)</f>
        <v>12.139166666666668</v>
      </c>
      <c r="AO41" s="3"/>
      <c r="AP41" s="162">
        <f t="shared" si="18"/>
        <v>88.342478416421898</v>
      </c>
      <c r="AQ41" s="3"/>
      <c r="AR41" s="162">
        <f t="shared" si="15"/>
        <v>3.0024412724684302</v>
      </c>
      <c r="AS41" s="162"/>
      <c r="AT41" s="161">
        <f t="shared" si="7"/>
        <v>10831.164895753076</v>
      </c>
      <c r="AU41" s="3"/>
      <c r="AV41" s="161">
        <f t="shared" si="3"/>
        <v>58294.774881815101</v>
      </c>
      <c r="AW41" s="299"/>
      <c r="AX41" s="163">
        <f t="shared" si="8"/>
        <v>69125.939777568172</v>
      </c>
      <c r="AZ41" s="154">
        <f>+IF(AZ40&gt;$G$13+$G$14,XX,AZ40+1)</f>
        <v>2023</v>
      </c>
      <c r="BA41" s="124"/>
      <c r="BB41" s="162">
        <f t="shared" si="16"/>
        <v>83.968648760113112</v>
      </c>
      <c r="BC41" s="3"/>
      <c r="BD41" s="162">
        <f t="shared" si="17"/>
        <v>5.5291090229887772</v>
      </c>
      <c r="BE41" s="3"/>
      <c r="BF41" s="161">
        <f t="shared" si="9"/>
        <v>12295.719530550074</v>
      </c>
      <c r="BG41" s="3"/>
      <c r="BH41" s="165"/>
    </row>
    <row r="42" spans="2:60" ht="12">
      <c r="B42" s="2"/>
      <c r="C42" s="6">
        <f>+IF(C41&gt;$G$13+$G$14,XX,C41+1)</f>
        <v>2024</v>
      </c>
      <c r="D42" s="6"/>
      <c r="E42" s="292">
        <f>+INDEX('(2.2)_Forward_Price_Curve'!$R:$R,MATCH($C42,'(2.2)_Forward_Price_Curve'!C:C,0))</f>
        <v>1.9E-2</v>
      </c>
      <c r="F42" s="6"/>
      <c r="G42" s="20">
        <v>640208</v>
      </c>
      <c r="H42" s="6"/>
      <c r="I42" s="30">
        <f t="shared" si="10"/>
        <v>0</v>
      </c>
      <c r="J42" s="6"/>
      <c r="K42" s="30">
        <v>63.8</v>
      </c>
      <c r="L42" s="6"/>
      <c r="M42" s="30">
        <f t="shared" si="11"/>
        <v>0</v>
      </c>
      <c r="N42" s="6"/>
      <c r="O42" s="295">
        <f>'(2.2)_Forward_Price_Curve'!U35</f>
        <v>6.8181318864393248</v>
      </c>
      <c r="P42" s="6"/>
      <c r="Q42" s="30"/>
      <c r="R42" s="6"/>
      <c r="S42" s="20">
        <f t="shared" si="4"/>
        <v>45210.292978753554</v>
      </c>
      <c r="T42" s="6"/>
      <c r="U42" s="20">
        <f t="shared" si="0"/>
        <v>70642.205176867399</v>
      </c>
      <c r="V42" s="6"/>
      <c r="W42" s="20">
        <f t="shared" si="1"/>
        <v>-25431.912198113845</v>
      </c>
      <c r="X42" s="6"/>
      <c r="Y42" s="296">
        <f t="shared" si="5"/>
        <v>-39.724452362535054</v>
      </c>
      <c r="Z42" s="255"/>
      <c r="AB42" s="154">
        <f>+IF(AB41&gt;$G$13+$G$14,XX,AB41+1)</f>
        <v>2024</v>
      </c>
      <c r="AC42" s="124"/>
      <c r="AD42" s="159">
        <f t="shared" si="2"/>
        <v>640208</v>
      </c>
      <c r="AE42" s="3"/>
      <c r="AF42" s="162">
        <f t="shared" si="12"/>
        <v>134.03729063614068</v>
      </c>
      <c r="AG42" s="3"/>
      <c r="AH42" s="162">
        <f t="shared" si="13"/>
        <v>10.07358076892006</v>
      </c>
      <c r="AI42" s="3"/>
      <c r="AJ42" s="162">
        <f t="shared" si="14"/>
        <v>3.7922802517418619</v>
      </c>
      <c r="AK42" s="3"/>
      <c r="AL42" s="161">
        <f t="shared" si="6"/>
        <v>23573.974597912682</v>
      </c>
      <c r="AM42" s="3"/>
      <c r="AN42" s="162">
        <f>INDEX('(2.2)_Forward_Price_Curve'!$L:$L,MATCH($AB42,'(2.2)_Forward_Price_Curve'!$C:$C,0),1)</f>
        <v>12.371250000000002</v>
      </c>
      <c r="AO42" s="3"/>
      <c r="AP42" s="162">
        <f t="shared" si="18"/>
        <v>90.031459005353966</v>
      </c>
      <c r="AQ42" s="3"/>
      <c r="AR42" s="162">
        <f t="shared" si="15"/>
        <v>3.05948765664533</v>
      </c>
      <c r="AS42" s="162"/>
      <c r="AT42" s="161">
        <f t="shared" si="7"/>
        <v>11044.63639628216</v>
      </c>
      <c r="AU42" s="3"/>
      <c r="AV42" s="161">
        <f t="shared" si="3"/>
        <v>59597.568780585243</v>
      </c>
      <c r="AW42" s="299"/>
      <c r="AX42" s="163">
        <f t="shared" si="8"/>
        <v>70642.205176867399</v>
      </c>
      <c r="AZ42" s="154">
        <f>+IF(AZ41&gt;$G$13+$G$14,XX,AZ41+1)</f>
        <v>2024</v>
      </c>
      <c r="BA42" s="124"/>
      <c r="BB42" s="162">
        <f t="shared" si="16"/>
        <v>85.564053086555248</v>
      </c>
      <c r="BC42" s="3"/>
      <c r="BD42" s="162">
        <f t="shared" si="17"/>
        <v>5.6341620944255633</v>
      </c>
      <c r="BE42" s="3"/>
      <c r="BF42" s="161">
        <f t="shared" si="9"/>
        <v>12529.338201630522</v>
      </c>
      <c r="BG42" s="3"/>
      <c r="BH42" s="165"/>
    </row>
    <row r="43" spans="2:60" ht="12">
      <c r="B43" s="2"/>
      <c r="C43" s="6">
        <f>+IF(C42&gt;$G$13+$G$14,XX,C42+1)</f>
        <v>2025</v>
      </c>
      <c r="D43" s="6"/>
      <c r="E43" s="292">
        <f>+INDEX('(2.2)_Forward_Price_Curve'!$R:$R,MATCH($C43,'(2.2)_Forward_Price_Curve'!C:C,0))</f>
        <v>1.9E-2</v>
      </c>
      <c r="F43" s="6"/>
      <c r="G43" s="20">
        <v>638183</v>
      </c>
      <c r="H43" s="6"/>
      <c r="I43" s="30">
        <f t="shared" si="10"/>
        <v>0</v>
      </c>
      <c r="J43" s="6"/>
      <c r="K43" s="30">
        <v>63.8</v>
      </c>
      <c r="L43" s="6"/>
      <c r="M43" s="30">
        <f t="shared" si="11"/>
        <v>0</v>
      </c>
      <c r="N43" s="6"/>
      <c r="O43" s="295">
        <f>'(2.2)_Forward_Price_Curve'!U36</f>
        <v>6.9476763922816716</v>
      </c>
      <c r="P43" s="6"/>
      <c r="Q43" s="30"/>
      <c r="R43" s="6"/>
      <c r="S43" s="20">
        <f t="shared" si="4"/>
        <v>45149.9643630555</v>
      </c>
      <c r="T43" s="6"/>
      <c r="U43" s="20">
        <f t="shared" si="0"/>
        <v>71722.316515616636</v>
      </c>
      <c r="V43" s="6"/>
      <c r="W43" s="20">
        <f t="shared" si="1"/>
        <v>-26572.352152561136</v>
      </c>
      <c r="X43" s="6"/>
      <c r="Y43" s="296">
        <f t="shared" si="5"/>
        <v>-41.637511736541299</v>
      </c>
      <c r="Z43" s="255"/>
      <c r="AB43" s="154">
        <f>+IF(AB42&gt;$G$13+$G$14,XX,AB42+1)</f>
        <v>2025</v>
      </c>
      <c r="AC43" s="124"/>
      <c r="AD43" s="159">
        <f t="shared" si="2"/>
        <v>638183</v>
      </c>
      <c r="AE43" s="3"/>
      <c r="AF43" s="162">
        <f t="shared" si="12"/>
        <v>136.58399915822733</v>
      </c>
      <c r="AG43" s="3"/>
      <c r="AH43" s="162">
        <f t="shared" si="13"/>
        <v>10.264978803529541</v>
      </c>
      <c r="AI43" s="3"/>
      <c r="AJ43" s="162">
        <f t="shared" si="14"/>
        <v>3.8643335765249569</v>
      </c>
      <c r="AK43" s="3"/>
      <c r="AL43" s="161">
        <f t="shared" si="6"/>
        <v>24014.054839780551</v>
      </c>
      <c r="AM43" s="3"/>
      <c r="AN43" s="162">
        <f>INDEX('(2.2)_Forward_Price_Curve'!$L:$L,MATCH($AB43,'(2.2)_Forward_Price_Curve'!$C:$C,0),1)</f>
        <v>12.592916666666667</v>
      </c>
      <c r="AO43" s="3"/>
      <c r="AP43" s="162">
        <f t="shared" si="18"/>
        <v>91.644632566057481</v>
      </c>
      <c r="AQ43" s="3"/>
      <c r="AR43" s="162">
        <f t="shared" si="15"/>
        <v>3.1176179221215907</v>
      </c>
      <c r="AS43" s="162"/>
      <c r="AT43" s="161">
        <f t="shared" si="7"/>
        <v>11246.659212319049</v>
      </c>
      <c r="AU43" s="3"/>
      <c r="AV43" s="161">
        <f t="shared" si="3"/>
        <v>60475.657303297587</v>
      </c>
      <c r="AW43" s="299"/>
      <c r="AX43" s="163">
        <f t="shared" si="8"/>
        <v>71722.316515616636</v>
      </c>
      <c r="AZ43" s="154">
        <f>+IF(AZ42&gt;$G$13+$G$14,XX,AZ42+1)</f>
        <v>2025</v>
      </c>
      <c r="BA43" s="124"/>
      <c r="BB43" s="162">
        <f t="shared" si="16"/>
        <v>87.18977009519979</v>
      </c>
      <c r="BC43" s="3"/>
      <c r="BD43" s="162">
        <f t="shared" si="17"/>
        <v>5.7412111742196483</v>
      </c>
      <c r="BE43" s="3"/>
      <c r="BF43" s="161">
        <f t="shared" si="9"/>
        <v>12767.395627461501</v>
      </c>
      <c r="BG43" s="3"/>
      <c r="BH43" s="165"/>
    </row>
    <row r="44" spans="2:60" ht="12">
      <c r="B44" s="2"/>
      <c r="C44" s="6">
        <f>+IF(C43&gt;$G$13+$G$14,XX,C43+1)</f>
        <v>2026</v>
      </c>
      <c r="D44" s="6"/>
      <c r="E44" s="292">
        <f>+INDEX('(2.2)_Forward_Price_Curve'!$R:$R,MATCH($C44,'(2.2)_Forward_Price_Curve'!C:C,0))</f>
        <v>1.9E-2</v>
      </c>
      <c r="F44" s="6"/>
      <c r="G44" s="20">
        <v>638183</v>
      </c>
      <c r="H44" s="6"/>
      <c r="I44" s="30">
        <f t="shared" si="10"/>
        <v>0</v>
      </c>
      <c r="J44" s="6"/>
      <c r="K44" s="30">
        <v>63.8</v>
      </c>
      <c r="L44" s="6"/>
      <c r="M44" s="30">
        <f t="shared" si="11"/>
        <v>0</v>
      </c>
      <c r="N44" s="6"/>
      <c r="O44" s="295">
        <f>'(2.2)_Forward_Price_Curve'!U37</f>
        <v>7.0796822437350224</v>
      </c>
      <c r="P44" s="6"/>
      <c r="Q44" s="30"/>
      <c r="R44" s="6"/>
      <c r="S44" s="20">
        <f t="shared" si="4"/>
        <v>45234.208253353543</v>
      </c>
      <c r="T44" s="6"/>
      <c r="U44" s="20">
        <f t="shared" si="0"/>
        <v>73024.592240496873</v>
      </c>
      <c r="V44" s="6"/>
      <c r="W44" s="20">
        <f t="shared" si="1"/>
        <v>-27790.38398714333</v>
      </c>
      <c r="X44" s="6"/>
      <c r="Y44" s="296">
        <f t="shared" si="5"/>
        <v>-43.546105093904615</v>
      </c>
      <c r="Z44" s="255"/>
      <c r="AB44" s="154">
        <f>+IF(AB43&gt;$G$13+$G$14,XX,AB43+1)</f>
        <v>2026</v>
      </c>
      <c r="AC44" s="124"/>
      <c r="AD44" s="159">
        <f t="shared" si="2"/>
        <v>638183</v>
      </c>
      <c r="AE44" s="3"/>
      <c r="AF44" s="162">
        <f t="shared" si="12"/>
        <v>139.17909514223365</v>
      </c>
      <c r="AG44" s="3"/>
      <c r="AH44" s="162">
        <f t="shared" si="13"/>
        <v>10.460013400796601</v>
      </c>
      <c r="AI44" s="3"/>
      <c r="AJ44" s="162">
        <f t="shared" si="14"/>
        <v>3.9377559144789309</v>
      </c>
      <c r="AK44" s="3"/>
      <c r="AL44" s="161">
        <f t="shared" si="6"/>
        <v>24470.321881736385</v>
      </c>
      <c r="AM44" s="3"/>
      <c r="AN44" s="162">
        <f>INDEX('(2.2)_Forward_Price_Curve'!$L:$L,MATCH($AB44,'(2.2)_Forward_Price_Curve'!$C:$C,0),1)</f>
        <v>12.819166666666668</v>
      </c>
      <c r="AO44" s="3"/>
      <c r="AP44" s="162">
        <f t="shared" si="18"/>
        <v>93.291161219181575</v>
      </c>
      <c r="AQ44" s="3"/>
      <c r="AR44" s="162">
        <f t="shared" si="15"/>
        <v>3.1768526626419007</v>
      </c>
      <c r="AS44" s="162"/>
      <c r="AT44" s="161">
        <f t="shared" si="7"/>
        <v>11460.345737353116</v>
      </c>
      <c r="AU44" s="3"/>
      <c r="AV44" s="161">
        <f t="shared" si="3"/>
        <v>61564.24650314376</v>
      </c>
      <c r="AW44" s="299"/>
      <c r="AX44" s="163">
        <f t="shared" si="8"/>
        <v>73024.592240496873</v>
      </c>
      <c r="AZ44" s="154">
        <f>+IF(AZ43&gt;$G$13+$G$14,XX,AZ43+1)</f>
        <v>2026</v>
      </c>
      <c r="BA44" s="124"/>
      <c r="BB44" s="162">
        <f t="shared" si="16"/>
        <v>88.846375727008578</v>
      </c>
      <c r="BC44" s="3"/>
      <c r="BD44" s="162">
        <f t="shared" si="17"/>
        <v>5.8502941865298208</v>
      </c>
      <c r="BE44" s="3"/>
      <c r="BF44" s="161">
        <f t="shared" si="9"/>
        <v>13009.976144383269</v>
      </c>
      <c r="BG44" s="3"/>
      <c r="BH44" s="165"/>
    </row>
    <row r="45" spans="2:60" ht="12">
      <c r="B45" s="2"/>
      <c r="C45" s="6">
        <f>+IF(C44&gt;$G$13+$G$14,XX,C44+1)</f>
        <v>2027</v>
      </c>
      <c r="D45" s="6"/>
      <c r="E45" s="292">
        <f>+INDEX('(2.2)_Forward_Price_Curve'!$R:$R,MATCH($C45,'(2.2)_Forward_Price_Curve'!C:C,0))</f>
        <v>1.9E-2</v>
      </c>
      <c r="F45" s="6"/>
      <c r="G45" s="20">
        <v>638183</v>
      </c>
      <c r="H45" s="6"/>
      <c r="I45" s="30">
        <f t="shared" si="10"/>
        <v>0</v>
      </c>
      <c r="J45" s="6"/>
      <c r="K45" s="30">
        <v>63.8</v>
      </c>
      <c r="L45" s="6"/>
      <c r="M45" s="30">
        <f t="shared" si="11"/>
        <v>0</v>
      </c>
      <c r="N45" s="6"/>
      <c r="O45" s="295">
        <f>'(2.2)_Forward_Price_Curve'!U38</f>
        <v>7.2141962063659868</v>
      </c>
      <c r="P45" s="6"/>
      <c r="Q45" s="30"/>
      <c r="R45" s="6"/>
      <c r="S45" s="20">
        <f t="shared" si="4"/>
        <v>45320.05277756726</v>
      </c>
      <c r="T45" s="6"/>
      <c r="U45" s="20">
        <f t="shared" si="0"/>
        <v>74416.79287062143</v>
      </c>
      <c r="V45" s="6"/>
      <c r="W45" s="20">
        <f t="shared" si="1"/>
        <v>-29096.74009305417</v>
      </c>
      <c r="X45" s="6"/>
      <c r="Y45" s="296">
        <f t="shared" si="5"/>
        <v>-45.59309805033066</v>
      </c>
      <c r="Z45" s="255"/>
      <c r="AB45" s="154">
        <f>+IF(AB44&gt;$G$13+$G$14,XX,AB44+1)</f>
        <v>2027</v>
      </c>
      <c r="AC45" s="124"/>
      <c r="AD45" s="159">
        <f t="shared" si="2"/>
        <v>638183</v>
      </c>
      <c r="AE45" s="3"/>
      <c r="AF45" s="162">
        <f t="shared" si="12"/>
        <v>141.82349794993607</v>
      </c>
      <c r="AG45" s="3"/>
      <c r="AH45" s="162">
        <f t="shared" si="13"/>
        <v>10.658753655411736</v>
      </c>
      <c r="AI45" s="3"/>
      <c r="AJ45" s="162">
        <f t="shared" si="14"/>
        <v>4.0125732768540301</v>
      </c>
      <c r="AK45" s="3"/>
      <c r="AL45" s="161">
        <f t="shared" si="6"/>
        <v>24935.257997489374</v>
      </c>
      <c r="AM45" s="3"/>
      <c r="AN45" s="162">
        <f>INDEX('(2.2)_Forward_Price_Curve'!$L:$L,MATCH($AB45,'(2.2)_Forward_Price_Curve'!$C:$C,0),1)</f>
        <v>13.063749999999999</v>
      </c>
      <c r="AO45" s="3"/>
      <c r="AP45" s="162">
        <f t="shared" si="18"/>
        <v>95.071110241987881</v>
      </c>
      <c r="AQ45" s="3"/>
      <c r="AR45" s="162">
        <f t="shared" si="15"/>
        <v>3.2372128632320964</v>
      </c>
      <c r="AS45" s="162"/>
      <c r="AT45" s="161">
        <f t="shared" si="7"/>
        <v>11678.092306362823</v>
      </c>
      <c r="AU45" s="3"/>
      <c r="AV45" s="161">
        <f t="shared" si="3"/>
        <v>62738.700564258608</v>
      </c>
      <c r="AW45" s="299"/>
      <c r="AX45" s="163">
        <f t="shared" si="8"/>
        <v>74416.79287062143</v>
      </c>
      <c r="AZ45" s="154">
        <f>+IF(AZ44&gt;$G$13+$G$14,XX,AZ44+1)</f>
        <v>2027</v>
      </c>
      <c r="BA45" s="124"/>
      <c r="BB45" s="162">
        <f t="shared" si="16"/>
        <v>90.534456865821738</v>
      </c>
      <c r="BC45" s="3"/>
      <c r="BD45" s="162">
        <f t="shared" si="17"/>
        <v>5.9614497760738869</v>
      </c>
      <c r="BE45" s="3"/>
      <c r="BF45" s="161">
        <f t="shared" si="9"/>
        <v>13257.165691126551</v>
      </c>
      <c r="BG45" s="3"/>
      <c r="BH45" s="165"/>
    </row>
    <row r="46" spans="2:60" ht="12">
      <c r="B46" s="2"/>
      <c r="C46" s="6">
        <f>+IF(C45&gt;$G$13+$G$14,XX,C45+1)</f>
        <v>2028</v>
      </c>
      <c r="D46" s="6"/>
      <c r="E46" s="292">
        <f>+INDEX('(2.2)_Forward_Price_Curve'!$R:$R,MATCH($C46,'(2.2)_Forward_Price_Curve'!C:C,0))</f>
        <v>1.9E-2</v>
      </c>
      <c r="F46" s="6"/>
      <c r="G46" s="20">
        <v>640208</v>
      </c>
      <c r="H46" s="6"/>
      <c r="I46" s="30">
        <f t="shared" si="10"/>
        <v>0</v>
      </c>
      <c r="J46" s="6"/>
      <c r="K46" s="30">
        <v>63.8</v>
      </c>
      <c r="L46" s="6"/>
      <c r="M46" s="30">
        <f t="shared" si="11"/>
        <v>0</v>
      </c>
      <c r="N46" s="6"/>
      <c r="O46" s="295">
        <f>'(2.2)_Forward_Price_Curve'!U39</f>
        <v>7.35126593428694</v>
      </c>
      <c r="P46" s="6"/>
      <c r="Q46" s="30"/>
      <c r="R46" s="6"/>
      <c r="S46" s="20">
        <f t="shared" si="4"/>
        <v>45551.609661257971</v>
      </c>
      <c r="T46" s="6"/>
      <c r="U46" s="20">
        <f t="shared" si="0"/>
        <v>76040.476054344792</v>
      </c>
      <c r="V46" s="6"/>
      <c r="W46" s="20">
        <f t="shared" si="1"/>
        <v>-30488.866393086821</v>
      </c>
      <c r="X46" s="6"/>
      <c r="Y46" s="296">
        <f t="shared" si="5"/>
        <v>-47.623376141952022</v>
      </c>
      <c r="Z46" s="255"/>
      <c r="AB46" s="154">
        <f>+IF(AB45&gt;$G$13+$G$14,XX,AB45+1)</f>
        <v>2028</v>
      </c>
      <c r="AC46" s="124"/>
      <c r="AD46" s="159">
        <f t="shared" si="2"/>
        <v>640208</v>
      </c>
      <c r="AE46" s="3"/>
      <c r="AF46" s="162">
        <f t="shared" si="12"/>
        <v>144.51814441098483</v>
      </c>
      <c r="AG46" s="3"/>
      <c r="AH46" s="162">
        <f t="shared" si="13"/>
        <v>10.861269974864559</v>
      </c>
      <c r="AI46" s="3"/>
      <c r="AJ46" s="162">
        <f t="shared" si="14"/>
        <v>4.0888121691142567</v>
      </c>
      <c r="AK46" s="3"/>
      <c r="AL46" s="161">
        <f t="shared" si="6"/>
        <v>25417.307744084123</v>
      </c>
      <c r="AM46" s="3"/>
      <c r="AN46" s="162">
        <f>INDEX('(2.2)_Forward_Price_Curve'!$L:$L,MATCH($AB46,'(2.2)_Forward_Price_Curve'!$C:$C,0),1)</f>
        <v>13.311666666666667</v>
      </c>
      <c r="AO46" s="3"/>
      <c r="AP46" s="162">
        <f t="shared" si="18"/>
        <v>96.875317513827369</v>
      </c>
      <c r="AQ46" s="3"/>
      <c r="AR46" s="162">
        <f t="shared" si="15"/>
        <v>3.2987199076335059</v>
      </c>
      <c r="AS46" s="162"/>
      <c r="AT46" s="161">
        <f t="shared" si="7"/>
        <v>11908.255904826168</v>
      </c>
      <c r="AU46" s="3"/>
      <c r="AV46" s="161">
        <f t="shared" si="3"/>
        <v>64132.220149518624</v>
      </c>
      <c r="AW46" s="299"/>
      <c r="AX46" s="163">
        <f t="shared" si="8"/>
        <v>76040.476054344792</v>
      </c>
      <c r="AZ46" s="154">
        <f>+IF(AZ45&gt;$G$13+$G$14,XX,AZ45+1)</f>
        <v>2028</v>
      </c>
      <c r="BA46" s="124"/>
      <c r="BB46" s="162">
        <f t="shared" si="16"/>
        <v>92.254611546272344</v>
      </c>
      <c r="BC46" s="3"/>
      <c r="BD46" s="162">
        <f t="shared" si="17"/>
        <v>6.07471732181929</v>
      </c>
      <c r="BE46" s="3"/>
      <c r="BF46" s="161">
        <f t="shared" si="9"/>
        <v>13509.051839257954</v>
      </c>
      <c r="BG46" s="3"/>
      <c r="BH46" s="165"/>
    </row>
    <row r="47" spans="2:60" ht="12">
      <c r="B47" s="2"/>
      <c r="C47" s="6">
        <f>+IF(C46&gt;$G$13+$G$14,XX,C46+1)</f>
        <v>2029</v>
      </c>
      <c r="D47" s="6"/>
      <c r="E47" s="292">
        <f>+INDEX('(2.2)_Forward_Price_Curve'!$R:$R,MATCH($C47,'(2.2)_Forward_Price_Curve'!C:C,0))</f>
        <v>1.7999999999999999E-2</v>
      </c>
      <c r="F47" s="6"/>
      <c r="G47" s="20">
        <v>638183</v>
      </c>
      <c r="H47" s="6"/>
      <c r="I47" s="30">
        <f t="shared" si="10"/>
        <v>0</v>
      </c>
      <c r="J47" s="6"/>
      <c r="K47" s="30">
        <v>64.8</v>
      </c>
      <c r="L47" s="6"/>
      <c r="M47" s="30"/>
      <c r="N47" s="6"/>
      <c r="O47" s="295">
        <f>'(2.2)_Forward_Price_Curve'!U40</f>
        <v>7.4909399870383915</v>
      </c>
      <c r="P47" s="6"/>
      <c r="Q47" s="30"/>
      <c r="R47" s="6"/>
      <c r="S47" s="20">
        <f t="shared" si="4"/>
        <v>46134.848953748115</v>
      </c>
      <c r="T47" s="6"/>
      <c r="U47" s="20">
        <f t="shared" si="0"/>
        <v>77261.878381791743</v>
      </c>
      <c r="V47" s="6"/>
      <c r="W47" s="20">
        <f t="shared" si="1"/>
        <v>-31127.029428043628</v>
      </c>
      <c r="X47" s="6"/>
      <c r="Y47" s="296">
        <f t="shared" si="5"/>
        <v>-48.774457213751589</v>
      </c>
      <c r="Z47" s="255"/>
      <c r="AB47" s="154">
        <f>+IF(AB46&gt;$G$13+$G$14,XX,AB46+1)</f>
        <v>2029</v>
      </c>
      <c r="AC47" s="124"/>
      <c r="AD47" s="159">
        <f t="shared" si="2"/>
        <v>638183</v>
      </c>
      <c r="AE47" s="3"/>
      <c r="AF47" s="162">
        <f t="shared" si="12"/>
        <v>147.11947101038257</v>
      </c>
      <c r="AG47" s="3"/>
      <c r="AH47" s="162">
        <f t="shared" si="13"/>
        <v>11.05677283441212</v>
      </c>
      <c r="AI47" s="3"/>
      <c r="AJ47" s="162">
        <f t="shared" si="14"/>
        <v>4.1624107881583132</v>
      </c>
      <c r="AK47" s="3"/>
      <c r="AL47" s="161">
        <f t="shared" si="6"/>
        <v>25866.390401631616</v>
      </c>
      <c r="AM47" s="3"/>
      <c r="AN47" s="162">
        <f>INDEX('(2.2)_Forward_Price_Curve'!$L:$L,MATCH($AB47,'(2.2)_Forward_Price_Curve'!$C:$C,0),1)</f>
        <v>13.565833333333336</v>
      </c>
      <c r="AO47" s="3"/>
      <c r="AP47" s="162">
        <f t="shared" si="18"/>
        <v>98.725009002603983</v>
      </c>
      <c r="AQ47" s="3"/>
      <c r="AR47" s="162">
        <f t="shared" si="15"/>
        <v>3.358096865970909</v>
      </c>
      <c r="AS47" s="162"/>
      <c r="AT47" s="161">
        <f t="shared" si="7"/>
        <v>12114.17562926702</v>
      </c>
      <c r="AU47" s="3"/>
      <c r="AV47" s="161">
        <f t="shared" si="3"/>
        <v>65147.702752524725</v>
      </c>
      <c r="AW47" s="299"/>
      <c r="AX47" s="163">
        <f t="shared" si="8"/>
        <v>77261.878381791743</v>
      </c>
      <c r="AZ47" s="154">
        <f>+IF(AZ46&gt;$G$13+$G$14,XX,AZ46+1)</f>
        <v>2029</v>
      </c>
      <c r="BA47" s="124"/>
      <c r="BB47" s="162">
        <f t="shared" si="16"/>
        <v>93.915194554105241</v>
      </c>
      <c r="BC47" s="3"/>
      <c r="BD47" s="162">
        <f t="shared" si="17"/>
        <v>6.1840622336120372</v>
      </c>
      <c r="BE47" s="3"/>
      <c r="BF47" s="161">
        <f t="shared" si="9"/>
        <v>13752.214772364596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7.32%</v>
      </c>
      <c r="E58" s="178"/>
      <c r="F58" s="3"/>
      <c r="G58" s="20">
        <f>+-PMT($G$18,$G$14,NPV($G$18,G28:G56))</f>
        <v>598168.40097198146</v>
      </c>
      <c r="H58" s="6"/>
      <c r="I58" s="30">
        <f>+-PMT($G$18,$G$14,NPV($G$18,I28:I56))</f>
        <v>0</v>
      </c>
      <c r="J58" s="30"/>
      <c r="K58" s="30">
        <f>+-PMT($G$18,$G$14,NPV($G$18,K28:K56))</f>
        <v>63.823562521838063</v>
      </c>
      <c r="L58" s="6"/>
      <c r="M58" s="30">
        <f>+-PMT($G$18,$G$14,NPV($G$18,M28:M56))</f>
        <v>0</v>
      </c>
      <c r="N58" s="6"/>
      <c r="O58" s="30">
        <f>+-PMT($G$18,$G$14,NPV($G$18,O28:O56))</f>
        <v>6.0593316732660467</v>
      </c>
      <c r="P58" s="6"/>
      <c r="Q58" s="30">
        <f>+-PMT($G$18,$G$14,NPV($G$18,Q28:Q56))</f>
        <v>0</v>
      </c>
      <c r="R58" s="6"/>
      <c r="S58" s="20">
        <f>+-PMT($G$18,$G$14,NPV($G$18,S28:S56))</f>
        <v>41834.485142780723</v>
      </c>
      <c r="T58" s="6"/>
      <c r="U58" s="20">
        <f>+-PMT($G$18,$G$14,NPV($G$18,U28:U56))</f>
        <v>59316.512743396423</v>
      </c>
      <c r="V58" s="3"/>
      <c r="W58" s="20">
        <f>+-PMT($G$18,$G$14,NPV($G$18,W28:W56))</f>
        <v>-17482.0276006157</v>
      </c>
      <c r="X58" s="3"/>
      <c r="Y58" s="296">
        <f>+-PMT($G$18,$G$14,NPV($G$18,Y28:Y56))</f>
        <v>-30.545912363617266</v>
      </c>
      <c r="Z58" s="255"/>
      <c r="AB58" s="2"/>
      <c r="AC58" s="3"/>
      <c r="AD58" s="159">
        <f>+-PMT($G$18,$G$14,NPV($G$18,AD28:AD56))</f>
        <v>598168.40097198146</v>
      </c>
      <c r="AE58" s="3"/>
      <c r="AF58" s="162">
        <f>+-PMT($G$18,$G$14,NPV($G$18,AF28:AF56))</f>
        <v>118.62857322953803</v>
      </c>
      <c r="AG58" s="3"/>
      <c r="AH58" s="162">
        <f>+-PMT($G$18,$G$14,NPV($G$18,AH28:AH56))</f>
        <v>8.9155376705837845</v>
      </c>
      <c r="AI58" s="3"/>
      <c r="AJ58" s="162">
        <f>+-PMT($G$18,$G$14,NPV($G$18,AJ28:AJ56))</f>
        <v>3.3563256420328629</v>
      </c>
      <c r="AK58" s="3"/>
      <c r="AL58" s="161">
        <f>+-PMT($G$18,$G$14,NPV($G$18,AL28:AL56))</f>
        <v>20741.136175273707</v>
      </c>
      <c r="AM58" s="3"/>
      <c r="AN58" s="162">
        <f>+-PMT($G$18,$G$14,NPV($G$18,AN28:AN56))</f>
        <v>11.021036400301023</v>
      </c>
      <c r="AO58" s="3"/>
      <c r="AP58" s="162">
        <f>+-PMT($G$18,$G$14,NPV($G$18,AP28:AP56))</f>
        <v>80.205313680526643</v>
      </c>
      <c r="AQ58" s="3"/>
      <c r="AR58" s="162">
        <f>+-PMT($G$18,$G$14,NPV($G$18,AR28:AR56))</f>
        <v>2.7077737381790774</v>
      </c>
      <c r="AS58" s="162"/>
      <c r="AT58" s="161">
        <f>+-PMT($G$18,$G$14,NPV($G$18,AT28:AT56))</f>
        <v>9652.1511076434981</v>
      </c>
      <c r="AU58" s="3"/>
      <c r="AV58" s="161">
        <f>+-PMT($G$18,$G$14,NPV($G$18,AV28:AV56))</f>
        <v>49664.361635752924</v>
      </c>
      <c r="AW58" s="299"/>
      <c r="AX58" s="163">
        <f>+-PMT($G$18,$G$14,NPV($G$18,AX28:AX56))</f>
        <v>59316.512743396423</v>
      </c>
      <c r="AZ58" s="2"/>
      <c r="BA58" s="3"/>
      <c r="BB58" s="162">
        <f>+-PMT($G$18,$G$14,NPV($G$18,BB28:BB56))</f>
        <v>75.727743296070798</v>
      </c>
      <c r="BC58" s="3"/>
      <c r="BD58" s="162">
        <f>+-PMT($G$18,$G$14,NPV($G$18,BD28:BD56))</f>
        <v>4.9864676272815975</v>
      </c>
      <c r="BE58" s="3"/>
      <c r="BF58" s="161">
        <f>+-PMT($G$18,$G$14,NPV($G$18,BF28:BF56))</f>
        <v>11088.985067630209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F99"/>
  <sheetViews>
    <sheetView topLeftCell="A61" zoomScale="90" zoomScaleNormal="90" workbookViewId="0">
      <selection activeCell="G24" sqref="G24"/>
    </sheetView>
  </sheetViews>
  <sheetFormatPr defaultRowHeight="11.25"/>
  <cols>
    <col min="1" max="1" width="14.5" style="37" customWidth="1"/>
    <col min="2" max="2" width="2.5" style="37" customWidth="1"/>
    <col min="3" max="3" width="27.83203125" style="37" customWidth="1"/>
    <col min="4" max="4" width="15.33203125" style="37" customWidth="1"/>
    <col min="5" max="7" width="13.1640625" style="37" customWidth="1"/>
    <col min="8" max="8" width="17.33203125" style="37" customWidth="1"/>
    <col min="9" max="15" width="13.1640625" style="37" customWidth="1"/>
    <col min="16" max="16" width="22.33203125" style="37" customWidth="1"/>
    <col min="17" max="17" width="11.6640625" style="37" customWidth="1"/>
    <col min="18" max="18" width="13" style="37" customWidth="1"/>
    <col min="19" max="19" width="10.33203125" style="37" customWidth="1"/>
    <col min="20" max="20" width="12.5" style="37" customWidth="1"/>
    <col min="21" max="21" width="9.33203125" style="37"/>
    <col min="22" max="22" width="11.1640625" style="37" customWidth="1"/>
    <col min="23" max="23" width="9.33203125" style="37"/>
    <col min="24" max="24" width="11.1640625" style="37" customWidth="1"/>
    <col min="25" max="25" width="9.33203125" style="37"/>
    <col min="26" max="26" width="12.83203125" style="37" bestFit="1" customWidth="1"/>
    <col min="27" max="27" width="11.1640625" style="37" customWidth="1"/>
    <col min="28" max="16384" width="9.33203125" style="37"/>
  </cols>
  <sheetData>
    <row r="1" spans="1:32" s="5" customFormat="1">
      <c r="A1" s="5" t="s">
        <v>0</v>
      </c>
    </row>
    <row r="2" spans="1:32" s="5" customFormat="1">
      <c r="A2" s="5" t="s">
        <v>143</v>
      </c>
    </row>
    <row r="3" spans="1:32" s="5" customFormat="1">
      <c r="A3" s="5" t="s">
        <v>1</v>
      </c>
    </row>
    <row r="4" spans="1:32" s="5" customFormat="1"/>
    <row r="5" spans="1:32" s="5" customFormat="1">
      <c r="A5" s="5" t="s">
        <v>351</v>
      </c>
    </row>
    <row r="6" spans="1:32" s="5" customFormat="1">
      <c r="H6" s="38"/>
    </row>
    <row r="7" spans="1:32" s="6" customFormat="1" ht="16.5" customHeight="1"/>
    <row r="8" spans="1:32" s="39" customFormat="1" ht="12.75">
      <c r="B8" s="446"/>
      <c r="C8" s="40" t="s">
        <v>236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</row>
    <row r="9" spans="1:32" s="39" customFormat="1" ht="12.75">
      <c r="B9" s="42"/>
      <c r="C9" s="43" t="s">
        <v>36</v>
      </c>
      <c r="D9" s="44"/>
      <c r="E9" s="44"/>
      <c r="F9" s="44"/>
      <c r="G9" s="45"/>
      <c r="H9" s="45"/>
      <c r="I9" s="45"/>
      <c r="J9" s="46" t="s">
        <v>37</v>
      </c>
      <c r="K9" s="47"/>
      <c r="L9" s="48" t="s">
        <v>38</v>
      </c>
      <c r="M9" s="49"/>
      <c r="N9" s="50"/>
      <c r="O9" s="51" t="s">
        <v>39</v>
      </c>
      <c r="P9" s="52"/>
      <c r="Q9" s="53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</row>
    <row r="10" spans="1:32" s="39" customFormat="1" ht="12.75">
      <c r="B10" s="54"/>
      <c r="C10" s="55"/>
      <c r="D10" s="55"/>
      <c r="E10" s="55"/>
      <c r="F10" s="55"/>
      <c r="G10" s="55"/>
      <c r="H10" s="56"/>
      <c r="I10" s="55"/>
      <c r="J10" s="57"/>
      <c r="K10" s="58"/>
      <c r="L10" s="59" t="s">
        <v>40</v>
      </c>
      <c r="M10" s="60"/>
      <c r="N10" s="61"/>
      <c r="O10" s="62"/>
      <c r="P10" s="63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</row>
    <row r="11" spans="1:32" s="39" customFormat="1" ht="48" customHeight="1">
      <c r="B11" s="64" t="s">
        <v>41</v>
      </c>
      <c r="C11" s="65"/>
      <c r="D11" s="65" t="s">
        <v>42</v>
      </c>
      <c r="E11" s="65" t="s">
        <v>43</v>
      </c>
      <c r="F11" s="65" t="s">
        <v>44</v>
      </c>
      <c r="G11" s="65" t="s">
        <v>45</v>
      </c>
      <c r="H11" s="65" t="s">
        <v>46</v>
      </c>
      <c r="I11" s="65" t="s">
        <v>47</v>
      </c>
      <c r="J11" s="66" t="s">
        <v>48</v>
      </c>
      <c r="K11" s="67" t="s">
        <v>49</v>
      </c>
      <c r="L11" s="68" t="s">
        <v>50</v>
      </c>
      <c r="M11" s="68" t="s">
        <v>51</v>
      </c>
      <c r="N11" s="69" t="s">
        <v>52</v>
      </c>
      <c r="O11" s="70" t="s">
        <v>53</v>
      </c>
      <c r="P11" s="67" t="s">
        <v>142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</row>
    <row r="12" spans="1:32" s="71" customFormat="1" ht="12.75">
      <c r="B12" s="72"/>
      <c r="C12" s="73"/>
      <c r="D12" s="74"/>
      <c r="E12" s="74"/>
      <c r="F12" s="75"/>
      <c r="G12" s="76"/>
      <c r="H12" s="77"/>
      <c r="I12" s="78"/>
      <c r="J12" s="79"/>
      <c r="K12" s="80"/>
      <c r="L12" s="79"/>
      <c r="M12" s="79"/>
      <c r="N12" s="81"/>
      <c r="O12" s="79"/>
      <c r="P12" s="82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</row>
    <row r="13" spans="1:32" s="84" customFormat="1" ht="12.75">
      <c r="B13" s="85" t="s">
        <v>223</v>
      </c>
      <c r="C13" s="86"/>
      <c r="D13" s="87"/>
      <c r="E13" s="87"/>
      <c r="F13" s="88"/>
      <c r="G13" s="88"/>
      <c r="H13" s="89"/>
      <c r="I13" s="90"/>
      <c r="J13" s="204" t="s">
        <v>241</v>
      </c>
      <c r="K13" s="78"/>
      <c r="L13" s="204" t="s">
        <v>241</v>
      </c>
      <c r="M13" s="204" t="s">
        <v>241</v>
      </c>
      <c r="N13" s="81"/>
      <c r="O13" s="204" t="s">
        <v>241</v>
      </c>
      <c r="P13" s="92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</row>
    <row r="14" spans="1:32" s="84" customFormat="1" ht="12.75">
      <c r="A14" s="84" t="s">
        <v>211</v>
      </c>
      <c r="B14" s="468" t="s">
        <v>245</v>
      </c>
      <c r="C14" s="94"/>
      <c r="D14" s="207">
        <v>0.78</v>
      </c>
      <c r="E14" s="207">
        <v>0.93794999999999995</v>
      </c>
      <c r="F14" s="462"/>
      <c r="G14" s="209">
        <v>442.17121874999998</v>
      </c>
      <c r="H14" s="210">
        <v>6463.5860879785032</v>
      </c>
      <c r="I14" s="211">
        <v>3021267.5034749997</v>
      </c>
      <c r="J14" s="212">
        <v>1485.1943106566662</v>
      </c>
      <c r="K14" s="463">
        <v>6.7898535686010855E-2</v>
      </c>
      <c r="L14" s="209">
        <v>21.260763433965998</v>
      </c>
      <c r="M14" s="209">
        <v>0</v>
      </c>
      <c r="N14" s="102">
        <v>21.260763433965998</v>
      </c>
      <c r="O14" s="214">
        <v>2.2553065750725811</v>
      </c>
      <c r="P14" s="103">
        <v>2.27</v>
      </c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</row>
    <row r="15" spans="1:32" s="84" customFormat="1" ht="12.75">
      <c r="B15" s="468" t="s">
        <v>246</v>
      </c>
      <c r="C15" s="94"/>
      <c r="D15" s="114">
        <v>0.12</v>
      </c>
      <c r="E15" s="207">
        <v>0.95430399999999993</v>
      </c>
      <c r="F15" s="462"/>
      <c r="G15" s="209">
        <v>62.999968750000001</v>
      </c>
      <c r="H15" s="210">
        <v>8203.1378481266383</v>
      </c>
      <c r="I15" s="220">
        <v>66225.567150000003</v>
      </c>
      <c r="J15" s="212">
        <v>407.47795766862254</v>
      </c>
      <c r="K15" s="463">
        <v>6.7898535686010855E-2</v>
      </c>
      <c r="L15" s="218">
        <v>4.8587893451560964</v>
      </c>
      <c r="M15" s="218">
        <v>0</v>
      </c>
      <c r="N15" s="111">
        <v>4.8587893451560964</v>
      </c>
      <c r="O15" s="214">
        <v>0.15649818878161617</v>
      </c>
      <c r="P15" s="112">
        <v>2.81</v>
      </c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</row>
    <row r="16" spans="1:32" s="84" customFormat="1" ht="13.5" thickBot="1">
      <c r="B16" s="371" t="s">
        <v>57</v>
      </c>
      <c r="C16" s="94"/>
      <c r="D16" s="447">
        <f>SUMPRODUCT(D14:D15,$G14:$G15)/SUM($G14:$G15)</f>
        <v>0.6976913086021953</v>
      </c>
      <c r="E16" s="448"/>
      <c r="F16" s="217"/>
      <c r="G16" s="448"/>
      <c r="H16" s="449">
        <f>SUMPRODUCT(H14:H15,$I14:$I15)/SUM($I14:$I15)</f>
        <v>6500.8988201101647</v>
      </c>
      <c r="I16" s="448"/>
      <c r="J16" s="449">
        <f>SUMPRODUCT(J14:J15,$G14:$G15)/SUM($G14:$G15)</f>
        <v>1350.7921550317262</v>
      </c>
      <c r="K16" s="118"/>
      <c r="L16" s="450">
        <f>SUMPRODUCT(L14:L15,$G14:$G15)/SUM($G14:$G15)</f>
        <v>19.215270973980179</v>
      </c>
      <c r="M16" s="450">
        <f t="shared" ref="M16" si="0">SUMPRODUCT(M14:M15,$G14:$G15)/SUM($G14:$G15)</f>
        <v>0</v>
      </c>
      <c r="N16" s="450">
        <f>SUMPRODUCT(N14:N15,$G14:$G15)/SUM($G14:$G15)</f>
        <v>19.215270973980179</v>
      </c>
      <c r="O16" s="450">
        <f>SUMPRODUCT(O14:O15,$I14:$I15)/SUM($I14:$I15)</f>
        <v>2.2102879231948753</v>
      </c>
      <c r="P16" s="111">
        <f>SUMPRODUCT(P14:P15,$I14:$I15)/SUM($I14:$I15)</f>
        <v>2.2815827972542659</v>
      </c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</row>
    <row r="17" spans="1:32" s="84" customFormat="1" ht="13.5" thickBot="1">
      <c r="B17" s="86" t="s">
        <v>226</v>
      </c>
      <c r="C17" s="380"/>
      <c r="D17" s="95">
        <v>0.33</v>
      </c>
      <c r="E17" s="95"/>
      <c r="F17" s="96"/>
      <c r="G17" s="97">
        <v>194.47378125</v>
      </c>
      <c r="H17" s="98"/>
      <c r="I17" s="99"/>
      <c r="J17" s="97">
        <v>843</v>
      </c>
      <c r="K17" s="453">
        <v>6.9599999999999995E-2</v>
      </c>
      <c r="L17" s="110">
        <v>16.100000000000001</v>
      </c>
      <c r="M17" s="101">
        <v>0.05</v>
      </c>
      <c r="N17" s="457">
        <f>L17+M17</f>
        <v>16.150000000000002</v>
      </c>
      <c r="O17" s="103">
        <v>6.61</v>
      </c>
      <c r="P17" s="103">
        <v>3.79</v>
      </c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</row>
    <row r="18" spans="1:32" ht="12.75">
      <c r="A18" s="234"/>
      <c r="B18" s="83" t="s">
        <v>239</v>
      </c>
      <c r="G18" s="120"/>
    </row>
    <row r="21" spans="1:32" s="39" customFormat="1" ht="12.75">
      <c r="B21" s="446"/>
      <c r="C21" s="40" t="s">
        <v>237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</row>
    <row r="22" spans="1:32" s="39" customFormat="1" ht="12.75">
      <c r="B22" s="42"/>
      <c r="C22" s="43" t="s">
        <v>36</v>
      </c>
      <c r="D22" s="44"/>
      <c r="E22" s="44"/>
      <c r="F22" s="44"/>
      <c r="G22" s="45"/>
      <c r="H22" s="45"/>
      <c r="I22" s="45"/>
      <c r="J22" s="46" t="s">
        <v>37</v>
      </c>
      <c r="K22" s="47"/>
      <c r="L22" s="48" t="s">
        <v>38</v>
      </c>
      <c r="M22" s="49"/>
      <c r="N22" s="50"/>
      <c r="O22" s="51" t="s">
        <v>39</v>
      </c>
      <c r="P22" s="52"/>
      <c r="Q22" s="53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</row>
    <row r="23" spans="1:32" s="39" customFormat="1" ht="12.75">
      <c r="B23" s="54"/>
      <c r="C23" s="55"/>
      <c r="D23" s="55"/>
      <c r="E23" s="55"/>
      <c r="F23" s="55"/>
      <c r="G23" s="55"/>
      <c r="H23" s="56"/>
      <c r="I23" s="55"/>
      <c r="J23" s="57"/>
      <c r="K23" s="58"/>
      <c r="L23" s="59" t="s">
        <v>40</v>
      </c>
      <c r="M23" s="60"/>
      <c r="N23" s="61"/>
      <c r="O23" s="62"/>
      <c r="P23" s="63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</row>
    <row r="24" spans="1:32" s="39" customFormat="1" ht="48" customHeight="1">
      <c r="B24" s="64" t="s">
        <v>41</v>
      </c>
      <c r="C24" s="65"/>
      <c r="D24" s="65" t="s">
        <v>42</v>
      </c>
      <c r="E24" s="65" t="s">
        <v>43</v>
      </c>
      <c r="F24" s="65" t="s">
        <v>44</v>
      </c>
      <c r="G24" s="65" t="s">
        <v>45</v>
      </c>
      <c r="H24" s="65" t="s">
        <v>46</v>
      </c>
      <c r="I24" s="65" t="s">
        <v>47</v>
      </c>
      <c r="J24" s="66" t="s">
        <v>48</v>
      </c>
      <c r="K24" s="67" t="s">
        <v>49</v>
      </c>
      <c r="L24" s="68" t="s">
        <v>50</v>
      </c>
      <c r="M24" s="68" t="s">
        <v>51</v>
      </c>
      <c r="N24" s="69" t="s">
        <v>52</v>
      </c>
      <c r="O24" s="70" t="s">
        <v>53</v>
      </c>
      <c r="P24" s="67" t="s">
        <v>142</v>
      </c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</row>
    <row r="25" spans="1:32" s="71" customFormat="1" ht="12.75">
      <c r="B25" s="72"/>
      <c r="C25" s="73"/>
      <c r="D25" s="74"/>
      <c r="E25" s="74"/>
      <c r="F25" s="75"/>
      <c r="G25" s="76"/>
      <c r="H25" s="77"/>
      <c r="I25" s="78"/>
      <c r="J25" s="79"/>
      <c r="K25" s="80"/>
      <c r="L25" s="79"/>
      <c r="M25" s="79"/>
      <c r="N25" s="81"/>
      <c r="O25" s="79"/>
      <c r="P25" s="82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</row>
    <row r="26" spans="1:32" s="84" customFormat="1" ht="12.75">
      <c r="B26" s="85" t="s">
        <v>238</v>
      </c>
      <c r="C26" s="86"/>
      <c r="D26" s="87"/>
      <c r="E26" s="87"/>
      <c r="F26" s="88"/>
      <c r="G26" s="88"/>
      <c r="H26" s="89"/>
      <c r="I26" s="90"/>
      <c r="J26" s="204">
        <v>2016</v>
      </c>
      <c r="K26" s="78"/>
      <c r="L26" s="204">
        <v>2016</v>
      </c>
      <c r="M26" s="204">
        <v>2016</v>
      </c>
      <c r="N26" s="81"/>
      <c r="O26" s="204">
        <v>2016</v>
      </c>
      <c r="P26" s="92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</row>
    <row r="27" spans="1:32" s="84" customFormat="1" ht="12.75">
      <c r="A27" s="84" t="s">
        <v>54</v>
      </c>
      <c r="B27" s="94" t="s">
        <v>224</v>
      </c>
      <c r="C27" s="94"/>
      <c r="D27" s="95">
        <v>0.78</v>
      </c>
      <c r="E27" s="95">
        <v>0.93699999999999994</v>
      </c>
      <c r="F27" s="96"/>
      <c r="G27" s="97">
        <v>385.35346874999999</v>
      </c>
      <c r="H27" s="451">
        <v>6362</v>
      </c>
      <c r="I27" s="452">
        <f>G27*D27*8760</f>
        <v>2633043.1812750003</v>
      </c>
      <c r="J27" s="97">
        <v>1484.3381350587799</v>
      </c>
      <c r="K27" s="453">
        <v>7.2562879502455491E-2</v>
      </c>
      <c r="L27" s="101">
        <v>21.68</v>
      </c>
      <c r="M27" s="101">
        <v>3.3180439885901754E-2</v>
      </c>
      <c r="N27" s="454">
        <f>L27+M27</f>
        <v>21.713180439885903</v>
      </c>
      <c r="O27" s="103">
        <v>2.0592662948867351</v>
      </c>
      <c r="P27" s="103">
        <v>2.27</v>
      </c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</row>
    <row r="28" spans="1:32" s="84" customFormat="1" ht="12.75">
      <c r="A28" s="84" t="s">
        <v>54</v>
      </c>
      <c r="B28" s="94" t="s">
        <v>225</v>
      </c>
      <c r="C28" s="94"/>
      <c r="D28" s="104">
        <v>0.12</v>
      </c>
      <c r="E28" s="95">
        <v>0.95399999999999996</v>
      </c>
      <c r="F28" s="105"/>
      <c r="G28" s="97">
        <v>51.003718749999997</v>
      </c>
      <c r="H28" s="451">
        <v>9012</v>
      </c>
      <c r="I28" s="455">
        <f>G28*D28*8760</f>
        <v>53615.109149999997</v>
      </c>
      <c r="J28" s="97">
        <v>443.00439708045104</v>
      </c>
      <c r="K28" s="453">
        <v>7.2562879502455491E-2</v>
      </c>
      <c r="L28" s="110">
        <v>5.39</v>
      </c>
      <c r="M28" s="110">
        <v>0</v>
      </c>
      <c r="N28" s="456">
        <f>L28+M28</f>
        <v>5.39</v>
      </c>
      <c r="O28" s="103">
        <v>0.15</v>
      </c>
      <c r="P28" s="112">
        <v>2.81</v>
      </c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</row>
    <row r="29" spans="1:32" s="84" customFormat="1" ht="13.5" thickBot="1">
      <c r="B29" s="371" t="s">
        <v>57</v>
      </c>
      <c r="C29" s="94"/>
      <c r="D29" s="447">
        <f>SUMPRODUCT(D27:D28,$G27:$G28)/SUM($G27:$G28)</f>
        <v>0.70285573530285894</v>
      </c>
      <c r="E29" s="448"/>
      <c r="F29" s="105"/>
      <c r="G29" s="448"/>
      <c r="H29" s="449">
        <f>SUMPRODUCT(H27:H28,$I27:$I28)/SUM($I27:$I28)</f>
        <v>6414.883554173548</v>
      </c>
      <c r="I29" s="448"/>
      <c r="J29" s="449">
        <v>1362.6215812395926</v>
      </c>
      <c r="K29" s="118"/>
      <c r="L29" s="450">
        <f>SUMPRODUCT(L27:L28,$G27:$G28)/SUM($G27:$G28)</f>
        <v>19.775939284975109</v>
      </c>
      <c r="M29" s="450">
        <f t="shared" ref="M29" si="1">SUMPRODUCT(M27:M28,$G27:$G28)/SUM($G27:$G28)</f>
        <v>2.9302135889953902E-2</v>
      </c>
      <c r="N29" s="450">
        <f>SUMPRODUCT(N27:N28,$G27:$G28)/SUM($G27:$G28)</f>
        <v>19.805241420865066</v>
      </c>
      <c r="O29" s="450">
        <f>SUMPRODUCT(O27:O28,$I27:$I28)/SUM($I27:$I28)</f>
        <v>2.02116486562735</v>
      </c>
      <c r="P29" s="111">
        <f>SUMPRODUCT(P27:P28,$I27:$I28)/SUM($I27:$I28)</f>
        <v>2.2807762714164963</v>
      </c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</row>
    <row r="30" spans="1:32" s="84" customFormat="1" ht="13.5" thickBot="1">
      <c r="B30" s="86" t="s">
        <v>226</v>
      </c>
      <c r="C30" s="380"/>
      <c r="D30" s="95">
        <v>0.33</v>
      </c>
      <c r="E30" s="95"/>
      <c r="F30" s="96"/>
      <c r="G30" s="97">
        <v>199.924125</v>
      </c>
      <c r="H30" s="98"/>
      <c r="I30" s="99"/>
      <c r="J30" s="97">
        <v>702</v>
      </c>
      <c r="K30" s="453">
        <v>7.3700000000000002E-2</v>
      </c>
      <c r="L30" s="110">
        <v>15.97</v>
      </c>
      <c r="M30" s="101">
        <v>0.05</v>
      </c>
      <c r="N30" s="457">
        <v>16.02</v>
      </c>
      <c r="O30" s="103">
        <v>6.61</v>
      </c>
      <c r="P30" s="103">
        <v>3.79</v>
      </c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</row>
    <row r="31" spans="1:32" ht="12.75">
      <c r="A31" s="234"/>
      <c r="B31" s="83" t="s">
        <v>235</v>
      </c>
      <c r="G31" s="120"/>
    </row>
    <row r="32" spans="1:32" s="6" customFormat="1"/>
    <row r="33" spans="2:32" s="84" customFormat="1" ht="12.75">
      <c r="C33" s="644" t="s">
        <v>308</v>
      </c>
    </row>
    <row r="34" spans="2:32" s="84" customFormat="1" ht="12.75">
      <c r="C34" s="644" t="s">
        <v>316</v>
      </c>
      <c r="V34" s="39"/>
      <c r="W34" s="39"/>
      <c r="X34" s="39"/>
      <c r="Y34" s="39"/>
    </row>
    <row r="35" spans="2:32" s="39" customFormat="1" ht="13.5" thickBot="1">
      <c r="B35" s="40"/>
      <c r="C35" s="40" t="s">
        <v>317</v>
      </c>
    </row>
    <row r="36" spans="2:32" s="39" customFormat="1" ht="12.75">
      <c r="B36" s="645"/>
      <c r="C36" s="646" t="s">
        <v>36</v>
      </c>
      <c r="D36" s="647"/>
      <c r="E36" s="647"/>
      <c r="F36" s="647"/>
      <c r="G36" s="648"/>
      <c r="H36" s="648"/>
      <c r="I36" s="648"/>
      <c r="J36" s="649" t="s">
        <v>37</v>
      </c>
      <c r="K36" s="650"/>
      <c r="L36" s="651" t="s">
        <v>38</v>
      </c>
      <c r="M36" s="652"/>
      <c r="N36" s="653"/>
      <c r="O36" s="654" t="s">
        <v>39</v>
      </c>
      <c r="P36" s="655"/>
      <c r="Q36" s="656"/>
      <c r="R36" s="657"/>
      <c r="S36" s="657"/>
      <c r="T36" s="658"/>
    </row>
    <row r="37" spans="2:32" s="39" customFormat="1" ht="12.75">
      <c r="B37" s="659"/>
      <c r="C37" s="660"/>
      <c r="D37" s="660"/>
      <c r="E37" s="660"/>
      <c r="F37" s="660"/>
      <c r="G37" s="373"/>
      <c r="H37" s="661"/>
      <c r="I37" s="660"/>
      <c r="J37" s="663"/>
      <c r="K37" s="662"/>
      <c r="L37" s="664" t="s">
        <v>40</v>
      </c>
      <c r="M37" s="665"/>
      <c r="N37" s="666"/>
      <c r="O37" s="667"/>
      <c r="P37" s="668"/>
      <c r="Q37" s="669" t="s">
        <v>147</v>
      </c>
      <c r="R37" s="670"/>
      <c r="S37" s="670"/>
      <c r="T37" s="671"/>
    </row>
    <row r="38" spans="2:32" s="39" customFormat="1" ht="63.75">
      <c r="B38" s="672" t="s">
        <v>41</v>
      </c>
      <c r="C38" s="673"/>
      <c r="D38" s="674" t="s">
        <v>42</v>
      </c>
      <c r="E38" s="674" t="s">
        <v>43</v>
      </c>
      <c r="F38" s="674" t="s">
        <v>44</v>
      </c>
      <c r="G38" s="674" t="s">
        <v>45</v>
      </c>
      <c r="H38" s="674" t="s">
        <v>46</v>
      </c>
      <c r="I38" s="674" t="s">
        <v>47</v>
      </c>
      <c r="J38" s="675" t="s">
        <v>48</v>
      </c>
      <c r="K38" s="674" t="s">
        <v>49</v>
      </c>
      <c r="L38" s="676" t="s">
        <v>50</v>
      </c>
      <c r="M38" s="676" t="s">
        <v>51</v>
      </c>
      <c r="N38" s="677" t="s">
        <v>52</v>
      </c>
      <c r="O38" s="678" t="s">
        <v>53</v>
      </c>
      <c r="P38" s="678" t="s">
        <v>148</v>
      </c>
      <c r="Q38" s="678" t="s">
        <v>155</v>
      </c>
      <c r="R38" s="674" t="s">
        <v>149</v>
      </c>
      <c r="S38" s="674" t="s">
        <v>150</v>
      </c>
      <c r="T38" s="674" t="s">
        <v>151</v>
      </c>
      <c r="U38" s="679" t="s">
        <v>152</v>
      </c>
      <c r="W38" s="84"/>
      <c r="X38" s="84"/>
      <c r="Y38" s="84"/>
      <c r="Z38" s="84"/>
    </row>
    <row r="39" spans="2:32" s="84" customFormat="1" ht="12.75">
      <c r="B39" s="680"/>
      <c r="C39" s="681"/>
      <c r="D39" s="681"/>
      <c r="E39" s="681"/>
      <c r="F39" s="682"/>
      <c r="G39" s="76"/>
      <c r="H39" s="683"/>
      <c r="I39" s="88"/>
      <c r="J39" s="684"/>
      <c r="K39" s="685"/>
      <c r="L39" s="684"/>
      <c r="M39" s="684"/>
      <c r="N39" s="686"/>
      <c r="O39" s="684"/>
      <c r="P39" s="684"/>
      <c r="Q39" s="684"/>
      <c r="R39" s="687"/>
      <c r="S39" s="687"/>
      <c r="T39" s="687"/>
      <c r="U39" s="688"/>
    </row>
    <row r="40" spans="2:32" s="84" customFormat="1" ht="12.75">
      <c r="B40" s="689"/>
      <c r="C40" s="88"/>
      <c r="D40" s="87"/>
      <c r="E40" s="87"/>
      <c r="F40" s="88"/>
      <c r="G40" s="88"/>
      <c r="H40" s="202"/>
      <c r="I40" s="90"/>
      <c r="J40" s="690">
        <v>2014</v>
      </c>
      <c r="K40" s="88"/>
      <c r="L40" s="690">
        <v>2014</v>
      </c>
      <c r="M40" s="690">
        <v>2014</v>
      </c>
      <c r="N40" s="686"/>
      <c r="O40" s="690">
        <v>2014</v>
      </c>
      <c r="P40" s="690">
        <v>2014</v>
      </c>
      <c r="Q40" s="684"/>
      <c r="R40" s="691"/>
      <c r="S40" s="89"/>
      <c r="T40" s="89"/>
      <c r="U40" s="692"/>
    </row>
    <row r="41" spans="2:32" s="84" customFormat="1" ht="12.75">
      <c r="B41" s="468" t="s">
        <v>318</v>
      </c>
      <c r="D41" s="693">
        <v>0.78</v>
      </c>
      <c r="E41" s="693">
        <v>0.93699999999999994</v>
      </c>
      <c r="F41" s="694"/>
      <c r="G41" s="695">
        <v>380</v>
      </c>
      <c r="H41" s="696">
        <v>6494.6100000000006</v>
      </c>
      <c r="I41" s="697">
        <f>G41*D41*8760</f>
        <v>2596464.0000000005</v>
      </c>
      <c r="J41" s="698">
        <v>967.31727337852089</v>
      </c>
      <c r="K41" s="699">
        <v>7.682307239305719E-2</v>
      </c>
      <c r="L41" s="695">
        <v>8.5801819266493524</v>
      </c>
      <c r="M41" s="695">
        <v>0.33244283751823289</v>
      </c>
      <c r="N41" s="700">
        <f>L41+M41</f>
        <v>8.9126247641675853</v>
      </c>
      <c r="O41" s="701">
        <v>2.654223023176383</v>
      </c>
      <c r="P41" s="701">
        <v>12.507312384</v>
      </c>
      <c r="Q41" s="701">
        <v>3.1097027406600004</v>
      </c>
      <c r="R41" s="702">
        <v>5.9999999999999995E-4</v>
      </c>
      <c r="S41" s="703">
        <v>8.0000000000000002E-3</v>
      </c>
      <c r="T41" s="701">
        <v>0.255</v>
      </c>
      <c r="U41" s="704">
        <v>118</v>
      </c>
    </row>
    <row r="42" spans="2:32" s="84" customFormat="1" ht="12.75">
      <c r="B42" s="468" t="s">
        <v>319</v>
      </c>
      <c r="D42" s="705">
        <v>0.12</v>
      </c>
      <c r="E42" s="693">
        <v>0.95399999999999996</v>
      </c>
      <c r="F42" s="694"/>
      <c r="G42" s="695">
        <v>43</v>
      </c>
      <c r="H42" s="696">
        <v>8611.0186046511626</v>
      </c>
      <c r="I42" s="706">
        <f>G42*D42*8760</f>
        <v>45201.599999999999</v>
      </c>
      <c r="J42" s="698">
        <v>449.14729583808145</v>
      </c>
      <c r="K42" s="699">
        <v>7.682307239305719E-2</v>
      </c>
      <c r="L42" s="707">
        <v>0</v>
      </c>
      <c r="M42" s="707">
        <v>0</v>
      </c>
      <c r="N42" s="708">
        <f>L42+M42</f>
        <v>0</v>
      </c>
      <c r="O42" s="701">
        <v>9.7589769164759851E-2</v>
      </c>
      <c r="P42" s="701">
        <v>16.582058035199999</v>
      </c>
      <c r="Q42" s="701">
        <v>4.0526363537099996</v>
      </c>
      <c r="R42" s="702">
        <v>5.9999999999999995E-4</v>
      </c>
      <c r="S42" s="709">
        <v>8.0000000000000002E-3</v>
      </c>
      <c r="T42" s="701">
        <v>0.255</v>
      </c>
      <c r="U42" s="704">
        <v>118</v>
      </c>
    </row>
    <row r="43" spans="2:32" s="84" customFormat="1" ht="19.5" customHeight="1" thickBot="1">
      <c r="B43" s="710" t="s">
        <v>57</v>
      </c>
      <c r="C43" s="711"/>
      <c r="D43" s="712">
        <f>SUMPRODUCT(D41:D42,$G41:$G42)/SUM($G41:$G42)</f>
        <v>0.7129078014184399</v>
      </c>
      <c r="E43" s="713"/>
      <c r="F43" s="713"/>
      <c r="G43" s="713"/>
      <c r="H43" s="714">
        <f>SUMPRODUCT(H41:H42,$I41:$I42)/SUM($I41:$I42)</f>
        <v>6530.8239156386799</v>
      </c>
      <c r="I43" s="713"/>
      <c r="J43" s="449">
        <f>SUMPRODUCT(J41:J42,$G41:$G42)/SUM($G41:$G42)</f>
        <v>914.64278393587574</v>
      </c>
      <c r="K43" s="715"/>
      <c r="L43" s="450">
        <f>SUMPRODUCT(L41:L42,$G41:$G42)/SUM($G41:$G42)</f>
        <v>7.7079648513634842</v>
      </c>
      <c r="M43" s="450">
        <v>0</v>
      </c>
      <c r="N43" s="450">
        <f>SUMPRODUCT(N41:N42,$G41:$G42)/SUM($G41:$G42)</f>
        <v>8.006613263318398</v>
      </c>
      <c r="O43" s="450">
        <f>SUMPRODUCT(O41:O42,$I41:$I42)/SUM($I41:$I42)</f>
        <v>2.6104764135772984</v>
      </c>
      <c r="P43" s="450">
        <v>12.577035449261281</v>
      </c>
      <c r="Q43" s="111">
        <f>SUMPRODUCT(Q41:Q42,$I41:$I42)/SUM($I41:$I42)</f>
        <v>3.1258372991005694</v>
      </c>
      <c r="R43" s="226">
        <v>5.9999999999999984E-4</v>
      </c>
      <c r="S43" s="450">
        <v>7.9999999999999984E-3</v>
      </c>
      <c r="T43" s="450">
        <v>0.25500000000000006</v>
      </c>
      <c r="U43" s="716">
        <v>118</v>
      </c>
    </row>
    <row r="44" spans="2:32" s="84" customFormat="1" ht="13.5" thickBot="1">
      <c r="B44" s="718" t="s">
        <v>226</v>
      </c>
      <c r="C44" s="719"/>
      <c r="D44" s="95">
        <v>0.33</v>
      </c>
      <c r="E44" s="95"/>
      <c r="F44" s="96"/>
      <c r="G44" s="97">
        <v>199.924125</v>
      </c>
      <c r="H44" s="98"/>
      <c r="I44" s="99"/>
      <c r="J44" s="97">
        <f>[5]SCCT!$J$67</f>
        <v>820.02180312689813</v>
      </c>
      <c r="K44" s="453">
        <f>[5]SCCT!$J$68</f>
        <v>7.7667383499954168E-2</v>
      </c>
      <c r="L44" s="110"/>
      <c r="M44" s="101"/>
      <c r="N44" s="457">
        <f>[5]SCCT!$J$69</f>
        <v>10.728501482152289</v>
      </c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</row>
    <row r="45" spans="2:32" s="84" customFormat="1" ht="12.75">
      <c r="B45" s="644" t="s">
        <v>320</v>
      </c>
    </row>
    <row r="46" spans="2:32" s="84" customFormat="1" ht="12.75">
      <c r="B46" s="717" t="s">
        <v>321</v>
      </c>
    </row>
    <row r="49" spans="1:32" s="39" customFormat="1" ht="12.75">
      <c r="B49" s="40" t="s">
        <v>154</v>
      </c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</row>
    <row r="50" spans="1:32" s="39" customFormat="1" ht="12.75">
      <c r="B50" s="42"/>
      <c r="C50" s="43" t="s">
        <v>36</v>
      </c>
      <c r="D50" s="44"/>
      <c r="E50" s="44"/>
      <c r="F50" s="44"/>
      <c r="G50" s="45"/>
      <c r="H50" s="45"/>
      <c r="I50" s="45"/>
      <c r="J50" s="46" t="s">
        <v>37</v>
      </c>
      <c r="K50" s="47"/>
      <c r="L50" s="48" t="s">
        <v>38</v>
      </c>
      <c r="M50" s="49"/>
      <c r="N50" s="50"/>
      <c r="O50" s="51" t="s">
        <v>39</v>
      </c>
      <c r="P50" s="52"/>
      <c r="Q50" s="53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</row>
    <row r="51" spans="1:32" s="39" customFormat="1" ht="12.75">
      <c r="B51" s="54"/>
      <c r="C51" s="55"/>
      <c r="D51" s="55"/>
      <c r="E51" s="55"/>
      <c r="F51" s="55"/>
      <c r="G51" s="55"/>
      <c r="H51" s="56"/>
      <c r="I51" s="55"/>
      <c r="J51" s="57"/>
      <c r="K51" s="58"/>
      <c r="L51" s="59" t="s">
        <v>40</v>
      </c>
      <c r="M51" s="60"/>
      <c r="N51" s="61"/>
      <c r="O51" s="62"/>
      <c r="P51" s="63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</row>
    <row r="52" spans="1:32" s="39" customFormat="1" ht="48" customHeight="1">
      <c r="B52" s="64" t="s">
        <v>41</v>
      </c>
      <c r="C52" s="65"/>
      <c r="D52" s="65" t="s">
        <v>42</v>
      </c>
      <c r="E52" s="65" t="s">
        <v>43</v>
      </c>
      <c r="F52" s="65" t="s">
        <v>44</v>
      </c>
      <c r="G52" s="65" t="s">
        <v>45</v>
      </c>
      <c r="H52" s="65" t="s">
        <v>46</v>
      </c>
      <c r="I52" s="65" t="s">
        <v>47</v>
      </c>
      <c r="J52" s="66" t="s">
        <v>48</v>
      </c>
      <c r="K52" s="67" t="s">
        <v>49</v>
      </c>
      <c r="L52" s="68" t="s">
        <v>50</v>
      </c>
      <c r="M52" s="68" t="s">
        <v>51</v>
      </c>
      <c r="N52" s="69" t="s">
        <v>52</v>
      </c>
      <c r="O52" s="70" t="s">
        <v>53</v>
      </c>
      <c r="P52" s="67" t="s">
        <v>142</v>
      </c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</row>
    <row r="53" spans="1:32" s="71" customFormat="1" ht="12.75">
      <c r="B53" s="72"/>
      <c r="C53" s="73"/>
      <c r="D53" s="74"/>
      <c r="E53" s="74"/>
      <c r="F53" s="75"/>
      <c r="G53" s="76"/>
      <c r="H53" s="77"/>
      <c r="I53" s="78"/>
      <c r="J53" s="79"/>
      <c r="K53" s="80"/>
      <c r="L53" s="79"/>
      <c r="M53" s="79"/>
      <c r="N53" s="81"/>
      <c r="O53" s="79"/>
      <c r="P53" s="82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</row>
    <row r="54" spans="1:32" s="84" customFormat="1" ht="12.75">
      <c r="B54" s="85" t="str">
        <f>B49</f>
        <v>2007 IRP Proxy Resource</v>
      </c>
      <c r="C54" s="86"/>
      <c r="D54" s="87"/>
      <c r="E54" s="87"/>
      <c r="F54" s="88"/>
      <c r="G54" s="88"/>
      <c r="H54" s="89"/>
      <c r="I54" s="90"/>
      <c r="J54" s="91">
        <v>2006</v>
      </c>
      <c r="K54" s="88"/>
      <c r="L54" s="91">
        <v>2006</v>
      </c>
      <c r="M54" s="91">
        <v>2006</v>
      </c>
      <c r="N54" s="81"/>
      <c r="O54" s="91">
        <v>2006</v>
      </c>
      <c r="P54" s="92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</row>
    <row r="55" spans="1:32" s="84" customFormat="1" ht="12.75">
      <c r="A55" s="84" t="s">
        <v>54</v>
      </c>
      <c r="B55" s="94" t="s">
        <v>55</v>
      </c>
      <c r="C55" s="94"/>
      <c r="D55" s="95">
        <v>0.56000000000000005</v>
      </c>
      <c r="E55" s="95">
        <v>0.92</v>
      </c>
      <c r="F55" s="96"/>
      <c r="G55" s="97">
        <v>492</v>
      </c>
      <c r="H55" s="98">
        <v>7163.6978653530377</v>
      </c>
      <c r="I55" s="99">
        <f>G55*D55*8760</f>
        <v>2413555.2000000002</v>
      </c>
      <c r="J55" s="97">
        <v>741</v>
      </c>
      <c r="K55" s="100">
        <v>8.6199999999999999E-2</v>
      </c>
      <c r="L55" s="101">
        <v>9.07</v>
      </c>
      <c r="M55" s="101">
        <v>0.5</v>
      </c>
      <c r="N55" s="102">
        <f>L55+M55</f>
        <v>9.57</v>
      </c>
      <c r="O55" s="103">
        <v>2.36</v>
      </c>
      <c r="P55" s="103">
        <v>2.27</v>
      </c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</row>
    <row r="56" spans="1:32" s="84" customFormat="1" ht="12.75">
      <c r="A56" s="84" t="s">
        <v>54</v>
      </c>
      <c r="B56" s="94" t="s">
        <v>56</v>
      </c>
      <c r="C56" s="94"/>
      <c r="D56" s="104">
        <v>0.16</v>
      </c>
      <c r="E56" s="104">
        <v>0.92</v>
      </c>
      <c r="F56" s="105"/>
      <c r="G56" s="106">
        <v>110</v>
      </c>
      <c r="H56" s="107">
        <v>8867.8486690962327</v>
      </c>
      <c r="I56" s="108">
        <f>G56*D56*8760</f>
        <v>154176</v>
      </c>
      <c r="J56" s="106">
        <v>249</v>
      </c>
      <c r="K56" s="109">
        <v>8.6199999999999999E-2</v>
      </c>
      <c r="L56" s="110">
        <v>0</v>
      </c>
      <c r="M56" s="110">
        <v>0.5</v>
      </c>
      <c r="N56" s="111">
        <f>L56+M56</f>
        <v>0.5</v>
      </c>
      <c r="O56" s="112">
        <v>0.1</v>
      </c>
      <c r="P56" s="112">
        <v>2.81</v>
      </c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</row>
    <row r="57" spans="1:32" s="84" customFormat="1" ht="12.75">
      <c r="B57" s="371" t="s">
        <v>57</v>
      </c>
      <c r="C57" s="94"/>
      <c r="D57" s="114">
        <f>SUMPRODUCT(D55:D56,$G55:$G56)/SUM($G55:$G56)</f>
        <v>0.48691029900332239</v>
      </c>
      <c r="E57" s="105"/>
      <c r="F57" s="105"/>
      <c r="G57" s="115"/>
      <c r="H57" s="116">
        <f>SUMPRODUCT(H55:H56,$I55:$I56)/SUM($I55:$I56)</f>
        <v>7266.0213306432961</v>
      </c>
      <c r="I57" s="105"/>
      <c r="J57" s="117">
        <f>SUMPRODUCT(J55:J56,$G55:$G56)/SUM($G55:$G56)</f>
        <v>651.09966777408636</v>
      </c>
      <c r="K57" s="118"/>
      <c r="L57" s="111">
        <f>SUMPRODUCT(L55:L56,$G55:$G56)/SUM($G55:$G56)</f>
        <v>7.4126910299003335</v>
      </c>
      <c r="M57" s="111">
        <f>SUMPRODUCT(M55:M56,$G55:$G56)/SUM($G55:$G56)</f>
        <v>0.5</v>
      </c>
      <c r="N57" s="111">
        <f>SUMPRODUCT(N55:N56,$G55:$G56)/SUM($G55:$G56)</f>
        <v>7.9126910299003335</v>
      </c>
      <c r="O57" s="111">
        <f>SUMPRODUCT(O55:O56,$I55:$I56)/SUM($I55:$I56)</f>
        <v>2.2243013100436677</v>
      </c>
      <c r="P57" s="111">
        <f>SUMPRODUCT(P55:P56,$I55:$I56)/SUM($I55:$I56)</f>
        <v>2.302423580786026</v>
      </c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</row>
    <row r="58" spans="1:32" s="84" customFormat="1" ht="12.75">
      <c r="B58" s="86" t="s">
        <v>58</v>
      </c>
      <c r="C58" s="380"/>
      <c r="D58" s="95">
        <v>0.21</v>
      </c>
      <c r="E58" s="95"/>
      <c r="F58" s="96"/>
      <c r="G58" s="97">
        <v>332</v>
      </c>
      <c r="H58" s="98"/>
      <c r="I58" s="99"/>
      <c r="J58" s="97">
        <f>(423+485)/2</f>
        <v>454</v>
      </c>
      <c r="K58" s="100">
        <v>8.3299999999999999E-2</v>
      </c>
      <c r="L58" s="101">
        <v>5.25</v>
      </c>
      <c r="M58" s="101">
        <v>0.5</v>
      </c>
      <c r="N58" s="102">
        <f>L58+M58</f>
        <v>5.75</v>
      </c>
      <c r="O58" s="103">
        <v>9.8699999999999992</v>
      </c>
      <c r="P58" s="103">
        <v>3.79</v>
      </c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</row>
    <row r="59" spans="1:32" ht="12.75">
      <c r="A59" s="234"/>
      <c r="B59" s="83" t="s">
        <v>59</v>
      </c>
      <c r="G59" s="120"/>
    </row>
    <row r="60" spans="1:32" ht="21" customHeight="1">
      <c r="G60" s="120"/>
    </row>
    <row r="62" spans="1:32" ht="12.75">
      <c r="B62" s="179" t="str">
        <f>"2008 IRP Proxy Resource, 2008 IRP Table 6.4"</f>
        <v>2008 IRP Proxy Resource, 2008 IRP Table 6.4</v>
      </c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260"/>
      <c r="R62" s="260"/>
      <c r="S62" s="260"/>
      <c r="T62" s="260"/>
      <c r="U62" s="180"/>
      <c r="V62" s="180"/>
    </row>
    <row r="63" spans="1:32" ht="12.75">
      <c r="B63" s="356"/>
      <c r="C63" s="357" t="s">
        <v>36</v>
      </c>
      <c r="D63" s="358"/>
      <c r="E63" s="358"/>
      <c r="F63" s="358"/>
      <c r="G63" s="359"/>
      <c r="H63" s="359"/>
      <c r="I63" s="359"/>
      <c r="J63" s="46" t="s">
        <v>37</v>
      </c>
      <c r="K63" s="47"/>
      <c r="L63" s="48" t="s">
        <v>38</v>
      </c>
      <c r="M63" s="360"/>
      <c r="N63" s="361"/>
      <c r="O63" s="51" t="s">
        <v>39</v>
      </c>
      <c r="P63" s="52"/>
      <c r="Q63" s="235"/>
      <c r="R63" s="235"/>
      <c r="S63" s="235"/>
      <c r="T63" s="235"/>
      <c r="U63" s="234"/>
    </row>
    <row r="64" spans="1:32" ht="12.75">
      <c r="B64" s="368"/>
      <c r="C64" s="367"/>
      <c r="D64" s="181"/>
      <c r="E64" s="181"/>
      <c r="F64" s="181"/>
      <c r="G64" s="182"/>
      <c r="H64" s="183"/>
      <c r="I64" s="181"/>
      <c r="J64" s="185"/>
      <c r="K64" s="184"/>
      <c r="L64" s="186" t="s">
        <v>40</v>
      </c>
      <c r="M64" s="49"/>
      <c r="N64" s="50"/>
      <c r="O64" s="187"/>
      <c r="P64" s="188"/>
      <c r="R64" s="260"/>
      <c r="S64" s="260"/>
      <c r="T64" s="260"/>
      <c r="U64" s="180"/>
      <c r="V64" s="180"/>
      <c r="X64" s="189" t="s">
        <v>147</v>
      </c>
      <c r="Y64" s="190"/>
      <c r="Z64" s="190"/>
      <c r="AA64" s="191"/>
    </row>
    <row r="65" spans="1:32" ht="66" customHeight="1">
      <c r="B65" s="366" t="s">
        <v>41</v>
      </c>
      <c r="C65" s="192"/>
      <c r="D65" s="65" t="s">
        <v>42</v>
      </c>
      <c r="E65" s="65" t="s">
        <v>43</v>
      </c>
      <c r="F65" s="65" t="s">
        <v>44</v>
      </c>
      <c r="G65" s="65" t="s">
        <v>45</v>
      </c>
      <c r="H65" s="65" t="s">
        <v>46</v>
      </c>
      <c r="I65" s="65" t="s">
        <v>47</v>
      </c>
      <c r="J65" s="193" t="s">
        <v>48</v>
      </c>
      <c r="K65" s="65" t="s">
        <v>49</v>
      </c>
      <c r="L65" s="194" t="s">
        <v>50</v>
      </c>
      <c r="M65" s="194" t="s">
        <v>51</v>
      </c>
      <c r="N65" s="195" t="s">
        <v>52</v>
      </c>
      <c r="O65" s="196" t="s">
        <v>53</v>
      </c>
      <c r="P65" s="196" t="s">
        <v>148</v>
      </c>
      <c r="Q65" s="351" t="s">
        <v>155</v>
      </c>
      <c r="R65" s="235"/>
      <c r="S65" s="235"/>
      <c r="T65" s="235"/>
      <c r="U65" s="234"/>
      <c r="X65" s="65" t="s">
        <v>149</v>
      </c>
      <c r="Y65" s="65" t="s">
        <v>150</v>
      </c>
      <c r="Z65" s="65" t="s">
        <v>151</v>
      </c>
      <c r="AA65" s="197" t="s">
        <v>152</v>
      </c>
    </row>
    <row r="66" spans="1:32" ht="12.75">
      <c r="B66" s="362"/>
      <c r="C66" s="74"/>
      <c r="D66" s="74"/>
      <c r="E66" s="74"/>
      <c r="F66" s="198"/>
      <c r="G66" s="76"/>
      <c r="H66" s="77"/>
      <c r="I66" s="78"/>
      <c r="J66" s="79"/>
      <c r="K66" s="80"/>
      <c r="L66" s="79"/>
      <c r="M66" s="79"/>
      <c r="N66" s="81"/>
      <c r="O66" s="79"/>
      <c r="P66" s="352"/>
      <c r="Q66" s="82"/>
      <c r="R66" s="260"/>
      <c r="S66" s="260"/>
      <c r="T66" s="260"/>
      <c r="U66" s="180"/>
      <c r="V66" s="180"/>
      <c r="X66" s="199"/>
      <c r="Y66" s="199"/>
      <c r="Z66" s="199"/>
      <c r="AA66" s="200"/>
    </row>
    <row r="67" spans="1:32" ht="12.75">
      <c r="B67" s="85" t="str">
        <f>B62</f>
        <v>2008 IRP Proxy Resource, 2008 IRP Table 6.4</v>
      </c>
      <c r="C67" s="78"/>
      <c r="D67" s="201"/>
      <c r="E67" s="201"/>
      <c r="F67" s="78"/>
      <c r="G67" s="78"/>
      <c r="H67" s="202"/>
      <c r="I67" s="203"/>
      <c r="J67" s="204">
        <v>2008</v>
      </c>
      <c r="K67" s="78"/>
      <c r="L67" s="204">
        <v>2008</v>
      </c>
      <c r="M67" s="204">
        <v>2008</v>
      </c>
      <c r="N67" s="81"/>
      <c r="O67" s="204">
        <v>2008</v>
      </c>
      <c r="P67" s="204">
        <v>2010</v>
      </c>
      <c r="Q67" s="352">
        <v>2008</v>
      </c>
      <c r="R67" s="235"/>
      <c r="S67" s="235"/>
      <c r="T67" s="235"/>
      <c r="U67" s="234"/>
      <c r="X67" s="205"/>
      <c r="Y67" s="202"/>
      <c r="Z67" s="202"/>
      <c r="AA67" s="206"/>
    </row>
    <row r="68" spans="1:32" ht="12.75">
      <c r="B68" s="363" t="s">
        <v>153</v>
      </c>
      <c r="C68" s="83"/>
      <c r="D68" s="207">
        <v>0.56000000000000005</v>
      </c>
      <c r="E68" s="207">
        <v>0.92</v>
      </c>
      <c r="F68" s="208"/>
      <c r="G68" s="209">
        <v>505.93497958333285</v>
      </c>
      <c r="H68" s="210">
        <v>7098.0908239498294</v>
      </c>
      <c r="I68" s="211">
        <f>G68*D68*8760</f>
        <v>2481914.6358439978</v>
      </c>
      <c r="J68" s="212">
        <v>1243.767380590491</v>
      </c>
      <c r="K68" s="213">
        <v>8.5860000000000006E-2</v>
      </c>
      <c r="L68" s="209">
        <v>7.7719621817459537</v>
      </c>
      <c r="M68" s="209">
        <v>0.5</v>
      </c>
      <c r="N68" s="102">
        <f>L68+M68</f>
        <v>8.2719621817459537</v>
      </c>
      <c r="O68" s="214">
        <v>2.9424640533057906</v>
      </c>
      <c r="P68" s="214">
        <v>5.96</v>
      </c>
      <c r="Q68" s="353">
        <v>2.25</v>
      </c>
      <c r="R68" s="260"/>
      <c r="S68" s="260"/>
      <c r="T68" s="260"/>
      <c r="U68" s="180"/>
      <c r="V68" s="180"/>
      <c r="X68" s="215">
        <v>5.9999999999999995E-4</v>
      </c>
      <c r="Y68" s="214">
        <v>1.0999999999999999E-2</v>
      </c>
      <c r="Z68" s="214">
        <v>0.255</v>
      </c>
      <c r="AA68" s="216">
        <v>118</v>
      </c>
    </row>
    <row r="69" spans="1:32" ht="12.75">
      <c r="B69" s="363" t="s">
        <v>56</v>
      </c>
      <c r="C69" s="83"/>
      <c r="D69" s="114">
        <v>0.16</v>
      </c>
      <c r="E69" s="114">
        <v>0.92</v>
      </c>
      <c r="F69" s="217"/>
      <c r="G69" s="218">
        <v>63.739957916667045</v>
      </c>
      <c r="H69" s="219">
        <v>8557.4573633663476</v>
      </c>
      <c r="I69" s="220">
        <f>G69*D69*8760</f>
        <v>89337.925016000532</v>
      </c>
      <c r="J69" s="221">
        <v>627.54983384669913</v>
      </c>
      <c r="K69" s="222">
        <v>8.5860000000000006E-2</v>
      </c>
      <c r="L69" s="218">
        <v>1.5955454525552297</v>
      </c>
      <c r="M69" s="218">
        <v>0.5</v>
      </c>
      <c r="N69" s="111">
        <f>L69+M69</f>
        <v>2.0955454525552297</v>
      </c>
      <c r="O69" s="223">
        <v>0.39314252692066332</v>
      </c>
      <c r="P69" s="223">
        <v>7.18</v>
      </c>
      <c r="Q69" s="354">
        <v>2.71</v>
      </c>
      <c r="R69" s="235"/>
      <c r="S69" s="235"/>
      <c r="T69" s="235"/>
      <c r="U69" s="234"/>
      <c r="X69" s="224">
        <v>5.9999999999999995E-4</v>
      </c>
      <c r="Y69" s="223">
        <v>1.0999999999999999E-2</v>
      </c>
      <c r="Z69" s="223">
        <v>0.255</v>
      </c>
      <c r="AA69" s="225">
        <v>118</v>
      </c>
    </row>
    <row r="70" spans="1:32" ht="13.5" thickBot="1">
      <c r="B70" s="364" t="s">
        <v>57</v>
      </c>
      <c r="C70" s="365"/>
      <c r="D70" s="114">
        <f>SUMPRODUCT(D68:D69,$G68:$G69)/SUM($G68:$G69)</f>
        <v>0.51524468168012605</v>
      </c>
      <c r="E70" s="217"/>
      <c r="F70" s="217"/>
      <c r="G70" s="217"/>
      <c r="H70" s="116">
        <f>SUMPRODUCT(H68:H69,$I68:$I69)/SUM($I68:$I69)</f>
        <v>7148.796375187334</v>
      </c>
      <c r="I70" s="217"/>
      <c r="J70" s="117">
        <f>SUMPRODUCT(J68:J69,$G68:$G69)/SUM($G68:$G69)</f>
        <v>1174.8198494434653</v>
      </c>
      <c r="K70" s="118"/>
      <c r="L70" s="111">
        <f>SUMPRODUCT(L68:L69,$G68:$G69)/SUM($G68:$G69)</f>
        <v>7.0808934397681389</v>
      </c>
      <c r="M70" s="111">
        <f>SUMPRODUCT(M68:M69,$G68:$G69)/SUM($G68:$G69)</f>
        <v>0.5</v>
      </c>
      <c r="N70" s="111">
        <f>SUMPRODUCT(N68:N69,$G68:$G69)/SUM($G68:$G69)</f>
        <v>7.5808934397681389</v>
      </c>
      <c r="O70" s="111">
        <f>SUMPRODUCT(O68:O69,$I68:$I69)/SUM($I68:$I69)</f>
        <v>2.8538881199911357</v>
      </c>
      <c r="P70" s="111">
        <f>SUMPRODUCT(P68:P69,$I68:$I69)/SUM($I68:$I69)</f>
        <v>6.0023887836530019</v>
      </c>
      <c r="Q70" s="355">
        <f>SUMPRODUCT(Q68:Q69,$I68:$I69)/SUM($I68:$I69)</f>
        <v>2.26598265613146</v>
      </c>
      <c r="R70" s="260"/>
      <c r="S70" s="260"/>
      <c r="T70" s="260"/>
      <c r="U70" s="180"/>
      <c r="V70" s="180"/>
      <c r="X70" s="226">
        <f>SUMPRODUCT(X68:X69,$I68:$I69)/SUM($I68:$I69)</f>
        <v>5.9999999999999995E-4</v>
      </c>
      <c r="Y70" s="227">
        <f>SUMPRODUCT(Y68:Y69,$I68:$I69)/SUM($I68:$I69)</f>
        <v>1.0999999999999999E-2</v>
      </c>
      <c r="Z70" s="227">
        <f>SUMPRODUCT(Z68:Z69,$I68:$I69)/SUM($I68:$I69)</f>
        <v>0.255</v>
      </c>
      <c r="AA70" s="228">
        <f>SUMPRODUCT(AA68:AA69,$I68:$I69)/SUM($I68:$I69)</f>
        <v>118.00000000000001</v>
      </c>
    </row>
    <row r="71" spans="1:32" s="71" customFormat="1" ht="12.75">
      <c r="B71" s="245" t="s">
        <v>58</v>
      </c>
      <c r="C71" s="246"/>
      <c r="D71" s="207">
        <v>0.21</v>
      </c>
      <c r="E71" s="207"/>
      <c r="F71" s="208"/>
      <c r="G71" s="212"/>
      <c r="H71" s="210"/>
      <c r="I71" s="211"/>
      <c r="J71" s="212">
        <v>747</v>
      </c>
      <c r="K71" s="213">
        <v>8.6199999999999999E-2</v>
      </c>
      <c r="L71" s="209">
        <v>3.74</v>
      </c>
      <c r="M71" s="209">
        <v>0.5</v>
      </c>
      <c r="N71" s="102">
        <f>L71+M71</f>
        <v>4.24</v>
      </c>
      <c r="O71" s="214">
        <v>4.47</v>
      </c>
      <c r="P71" s="214">
        <v>9.7799999999999994</v>
      </c>
      <c r="Q71" s="217">
        <v>3.7</v>
      </c>
      <c r="R71" s="235"/>
      <c r="S71" s="235"/>
      <c r="T71" s="235"/>
      <c r="U71" s="234"/>
      <c r="V71" s="37"/>
      <c r="W71" s="37"/>
      <c r="X71" s="83"/>
      <c r="Y71" s="83"/>
      <c r="Z71" s="83"/>
      <c r="AA71" s="83"/>
      <c r="AB71" s="83"/>
      <c r="AC71" s="83"/>
      <c r="AD71" s="83"/>
      <c r="AE71" s="83"/>
      <c r="AF71" s="83"/>
    </row>
    <row r="72" spans="1:32" ht="12.75">
      <c r="Q72" s="241"/>
      <c r="R72" s="260"/>
      <c r="S72" s="260"/>
      <c r="T72" s="260"/>
      <c r="U72" s="180"/>
      <c r="V72" s="180"/>
      <c r="X72" s="37" t="s">
        <v>160</v>
      </c>
      <c r="Y72" s="37" t="s">
        <v>160</v>
      </c>
      <c r="Z72" s="37" t="s">
        <v>160</v>
      </c>
      <c r="AA72" s="37" t="s">
        <v>160</v>
      </c>
    </row>
    <row r="73" spans="1:32" ht="12.75">
      <c r="R73" s="235"/>
      <c r="S73" s="235"/>
      <c r="T73" s="235"/>
      <c r="U73" s="234"/>
      <c r="X73" s="37">
        <v>294</v>
      </c>
      <c r="Y73" s="37">
        <v>200</v>
      </c>
      <c r="Z73" s="231">
        <f>100000*2000</f>
        <v>200000000</v>
      </c>
      <c r="AA73" s="37">
        <v>7</v>
      </c>
    </row>
    <row r="74" spans="1:32" s="39" customFormat="1" ht="12.75">
      <c r="B74" s="40" t="s">
        <v>156</v>
      </c>
      <c r="R74" s="260"/>
      <c r="S74" s="260"/>
      <c r="T74" s="260"/>
      <c r="U74" s="180"/>
      <c r="V74" s="180"/>
      <c r="W74" s="37"/>
      <c r="AB74" s="41"/>
      <c r="AC74" s="41"/>
      <c r="AD74" s="41"/>
      <c r="AE74" s="41"/>
      <c r="AF74" s="41"/>
    </row>
    <row r="75" spans="1:32" s="39" customFormat="1" ht="12.75">
      <c r="B75" s="42"/>
      <c r="C75" s="43" t="s">
        <v>36</v>
      </c>
      <c r="D75" s="44"/>
      <c r="E75" s="44"/>
      <c r="F75" s="44"/>
      <c r="G75" s="45"/>
      <c r="H75" s="45"/>
      <c r="I75" s="45"/>
      <c r="J75" s="46" t="s">
        <v>37</v>
      </c>
      <c r="K75" s="47"/>
      <c r="L75" s="48" t="s">
        <v>38</v>
      </c>
      <c r="M75" s="49"/>
      <c r="N75" s="50"/>
      <c r="O75" s="51" t="s">
        <v>39</v>
      </c>
      <c r="P75" s="52"/>
      <c r="Q75" s="53"/>
      <c r="R75" s="41"/>
      <c r="S75" s="41"/>
      <c r="T75" s="41"/>
      <c r="U75" s="41"/>
      <c r="V75" s="41"/>
      <c r="W75" s="41"/>
      <c r="AB75" s="41"/>
      <c r="AC75" s="41"/>
      <c r="AD75" s="41"/>
      <c r="AE75" s="41"/>
      <c r="AF75" s="41"/>
    </row>
    <row r="76" spans="1:32" s="39" customFormat="1" ht="12.75">
      <c r="B76" s="54"/>
      <c r="C76" s="55"/>
      <c r="D76" s="55"/>
      <c r="E76" s="55"/>
      <c r="F76" s="55"/>
      <c r="G76" s="55"/>
      <c r="H76" s="56"/>
      <c r="I76" s="55"/>
      <c r="J76" s="57"/>
      <c r="K76" s="58"/>
      <c r="L76" s="59" t="s">
        <v>40</v>
      </c>
      <c r="M76" s="60"/>
      <c r="N76" s="61"/>
      <c r="O76" s="62"/>
      <c r="P76" s="63"/>
      <c r="R76" s="37"/>
      <c r="W76" s="41"/>
      <c r="X76" s="189" t="s">
        <v>147</v>
      </c>
      <c r="Y76" s="190"/>
      <c r="Z76" s="190"/>
      <c r="AA76" s="191"/>
      <c r="AB76" s="41"/>
      <c r="AC76" s="41"/>
      <c r="AD76" s="41"/>
      <c r="AE76" s="41"/>
      <c r="AF76" s="41"/>
    </row>
    <row r="77" spans="1:32" s="39" customFormat="1" ht="48" customHeight="1">
      <c r="B77" s="64" t="s">
        <v>41</v>
      </c>
      <c r="C77" s="65"/>
      <c r="D77" s="65" t="s">
        <v>42</v>
      </c>
      <c r="E77" s="65" t="s">
        <v>43</v>
      </c>
      <c r="F77" s="65" t="s">
        <v>44</v>
      </c>
      <c r="G77" s="65" t="s">
        <v>45</v>
      </c>
      <c r="H77" s="65" t="s">
        <v>46</v>
      </c>
      <c r="I77" s="65" t="s">
        <v>47</v>
      </c>
      <c r="J77" s="66" t="s">
        <v>48</v>
      </c>
      <c r="K77" s="67" t="s">
        <v>49</v>
      </c>
      <c r="L77" s="68" t="s">
        <v>50</v>
      </c>
      <c r="M77" s="68" t="s">
        <v>51</v>
      </c>
      <c r="N77" s="69" t="s">
        <v>52</v>
      </c>
      <c r="O77" s="70" t="s">
        <v>53</v>
      </c>
      <c r="P77" s="67" t="s">
        <v>155</v>
      </c>
      <c r="R77" s="37"/>
      <c r="W77" s="41"/>
      <c r="X77" s="65" t="s">
        <v>149</v>
      </c>
      <c r="Y77" s="65" t="s">
        <v>150</v>
      </c>
      <c r="Z77" s="65" t="s">
        <v>151</v>
      </c>
      <c r="AA77" s="197" t="s">
        <v>152</v>
      </c>
      <c r="AB77" s="41"/>
      <c r="AC77" s="41"/>
      <c r="AD77" s="41"/>
      <c r="AE77" s="41"/>
      <c r="AF77" s="41"/>
    </row>
    <row r="78" spans="1:32" s="71" customFormat="1" ht="12.75">
      <c r="B78" s="72"/>
      <c r="C78" s="73"/>
      <c r="D78" s="74"/>
      <c r="E78" s="74"/>
      <c r="F78" s="75"/>
      <c r="G78" s="76"/>
      <c r="H78" s="77"/>
      <c r="I78" s="78"/>
      <c r="J78" s="79"/>
      <c r="K78" s="80"/>
      <c r="L78" s="79"/>
      <c r="M78" s="79"/>
      <c r="N78" s="81"/>
      <c r="O78" s="79"/>
      <c r="P78" s="82"/>
      <c r="R78" s="37"/>
      <c r="S78" s="37"/>
      <c r="T78" s="37"/>
      <c r="U78" s="37"/>
      <c r="V78" s="37"/>
      <c r="W78" s="83"/>
      <c r="X78" s="205"/>
      <c r="Y78" s="202"/>
      <c r="Z78" s="202"/>
      <c r="AA78" s="206"/>
      <c r="AB78" s="83"/>
      <c r="AC78" s="83"/>
      <c r="AD78" s="83"/>
      <c r="AE78" s="83"/>
      <c r="AF78" s="83"/>
    </row>
    <row r="79" spans="1:32" s="84" customFormat="1" ht="12.75">
      <c r="B79" s="85" t="s">
        <v>156</v>
      </c>
      <c r="C79" s="86"/>
      <c r="D79" s="87"/>
      <c r="E79" s="87"/>
      <c r="F79" s="88"/>
      <c r="G79" s="88"/>
      <c r="H79" s="89"/>
      <c r="I79" s="90"/>
      <c r="J79" s="91">
        <v>2002</v>
      </c>
      <c r="K79" s="88"/>
      <c r="L79" s="91">
        <v>2002</v>
      </c>
      <c r="M79" s="91">
        <v>2002</v>
      </c>
      <c r="N79" s="81"/>
      <c r="O79" s="91">
        <v>2002</v>
      </c>
      <c r="P79" s="91">
        <v>2002</v>
      </c>
      <c r="R79" s="234" t="s">
        <v>162</v>
      </c>
      <c r="S79" s="234" t="s">
        <v>161</v>
      </c>
      <c r="T79" s="234" t="s">
        <v>161</v>
      </c>
      <c r="U79" s="37" t="s">
        <v>161</v>
      </c>
      <c r="V79" s="37" t="s">
        <v>161</v>
      </c>
      <c r="W79" s="93"/>
      <c r="X79" s="215">
        <v>1.47E-3</v>
      </c>
      <c r="Y79" s="214">
        <v>8.8000000000000005E-3</v>
      </c>
      <c r="Z79" s="214">
        <v>0.255</v>
      </c>
      <c r="AA79" s="216">
        <v>118</v>
      </c>
      <c r="AB79" s="93"/>
      <c r="AC79" s="93"/>
      <c r="AD79" s="93"/>
      <c r="AE79" s="93"/>
      <c r="AF79" s="93"/>
    </row>
    <row r="80" spans="1:32" s="84" customFormat="1" ht="12.75">
      <c r="A80" s="84" t="s">
        <v>54</v>
      </c>
      <c r="B80" s="94" t="s">
        <v>207</v>
      </c>
      <c r="C80" s="94"/>
      <c r="D80" s="95">
        <v>0.86</v>
      </c>
      <c r="E80" s="95"/>
      <c r="F80" s="96"/>
      <c r="G80" s="97">
        <v>490</v>
      </c>
      <c r="H80" s="98">
        <v>7074</v>
      </c>
      <c r="I80" s="99">
        <f>G80*D80*8760</f>
        <v>3691464</v>
      </c>
      <c r="J80" s="97">
        <f>631+66</f>
        <v>697</v>
      </c>
      <c r="K80" s="100">
        <v>8.6099999999999996E-2</v>
      </c>
      <c r="L80" s="101">
        <v>7</v>
      </c>
      <c r="M80" s="101">
        <v>0.2</v>
      </c>
      <c r="N80" s="102">
        <f>L80+M80</f>
        <v>7.2</v>
      </c>
      <c r="O80" s="103">
        <v>1.61</v>
      </c>
      <c r="P80" s="103">
        <f>SUM(S80:V80)</f>
        <v>3.1097027406600004</v>
      </c>
      <c r="R80" s="93" t="s">
        <v>157</v>
      </c>
      <c r="S80" s="350">
        <f>X79*($H80/1000)*(1/2000)*X$83</f>
        <v>1.52862066E-3</v>
      </c>
      <c r="T80" s="350">
        <f>Y79*($H80/1000)*(1/2000)*Y$83</f>
        <v>6.2251199999999998E-3</v>
      </c>
      <c r="U80" s="232">
        <f>Z79*($H80/1000000000)*(1/2000)*Z$83</f>
        <v>0.18038700000000002</v>
      </c>
      <c r="V80" s="233">
        <f>AA79*($H80/1000)*(1/2000)*AA$83</f>
        <v>2.9215620000000002</v>
      </c>
      <c r="W80" s="93"/>
      <c r="X80" s="224">
        <v>1.47E-3</v>
      </c>
      <c r="Y80" s="214">
        <v>8.8000000000000005E-3</v>
      </c>
      <c r="Z80" s="223">
        <v>0.255</v>
      </c>
      <c r="AA80" s="225">
        <v>118</v>
      </c>
      <c r="AB80" s="93"/>
      <c r="AC80" s="93"/>
      <c r="AD80" s="93"/>
      <c r="AE80" s="93"/>
      <c r="AF80" s="93"/>
    </row>
    <row r="81" spans="1:32" s="84" customFormat="1" ht="12.75">
      <c r="A81" s="84" t="s">
        <v>54</v>
      </c>
      <c r="B81" s="94" t="s">
        <v>209</v>
      </c>
      <c r="C81" s="94"/>
      <c r="D81" s="104">
        <v>0.23</v>
      </c>
      <c r="E81" s="104"/>
      <c r="F81" s="105"/>
      <c r="G81" s="106">
        <v>80</v>
      </c>
      <c r="H81" s="107">
        <v>9219</v>
      </c>
      <c r="I81" s="108">
        <f>G81*D81*8760</f>
        <v>161184.00000000003</v>
      </c>
      <c r="J81" s="106">
        <v>184</v>
      </c>
      <c r="K81" s="109">
        <v>8.6099999999999996E-2</v>
      </c>
      <c r="L81" s="110">
        <v>2.75</v>
      </c>
      <c r="M81" s="110">
        <v>0.2</v>
      </c>
      <c r="N81" s="111">
        <f>L81+M81</f>
        <v>2.95</v>
      </c>
      <c r="O81" s="112">
        <v>0</v>
      </c>
      <c r="P81" s="112">
        <f>SUM(S81:V81)</f>
        <v>4.0526363537099996</v>
      </c>
      <c r="R81" s="93" t="s">
        <v>158</v>
      </c>
      <c r="S81" s="350">
        <f>X80*($H81/1000)*(1/2000)*X$83</f>
        <v>1.9921337099999999E-3</v>
      </c>
      <c r="T81" s="350">
        <f>Y80*($H81/1000)*(1/2000)*Y$83</f>
        <v>8.1127200000000003E-3</v>
      </c>
      <c r="U81" s="232">
        <f>Z80*($H81/1000000000)*(1/2000)*Z$83</f>
        <v>0.23508449999999997</v>
      </c>
      <c r="V81" s="233">
        <f>AA80*($H81/1000)*(1/2000)*AA$83</f>
        <v>3.8074469999999998</v>
      </c>
      <c r="W81" s="93"/>
      <c r="AB81" s="93"/>
      <c r="AC81" s="93"/>
      <c r="AD81" s="93"/>
      <c r="AE81" s="93"/>
      <c r="AF81" s="93"/>
    </row>
    <row r="82" spans="1:32" s="84" customFormat="1" ht="12.75">
      <c r="B82" s="371" t="s">
        <v>57</v>
      </c>
      <c r="C82" s="94"/>
      <c r="D82" s="372">
        <f>SUMPRODUCT(D80:D81,$G80:$G81)/SUM($G80:$G81)</f>
        <v>0.77157894736842092</v>
      </c>
      <c r="E82" s="373"/>
      <c r="F82" s="373"/>
      <c r="G82" s="374"/>
      <c r="H82" s="375">
        <f>SUMPRODUCT(H80:H81,$I80:$I81)/SUM($I80:$I81)</f>
        <v>7163.7407912687586</v>
      </c>
      <c r="I82" s="373"/>
      <c r="J82" s="376">
        <f>SUMPRODUCT(J80:J81,$G80:$G81)/SUM($G80:$G81)</f>
        <v>625</v>
      </c>
      <c r="K82" s="377"/>
      <c r="L82" s="244">
        <f>SUMPRODUCT(L80:L81,$G80:$G81)/SUM($G80:$G81)</f>
        <v>6.4035087719298245</v>
      </c>
      <c r="M82" s="244">
        <f>SUMPRODUCT(M80:M81,$G80:$G81)/SUM($G80:$G81)</f>
        <v>0.2</v>
      </c>
      <c r="N82" s="244">
        <f>SUMPRODUCT(N80:N81,$G80:$G81)/SUM($G80:$G81)</f>
        <v>6.6035087719298247</v>
      </c>
      <c r="O82" s="244">
        <f>SUMPRODUCT(O80:O81,$I80:$I81)/SUM($I80:$I81)</f>
        <v>1.5426421100500227</v>
      </c>
      <c r="P82" s="244">
        <f>SUMPRODUCT(P80:P81,$I80:$I81)/SUM($I80:$I81)</f>
        <v>3.1491524416152528</v>
      </c>
      <c r="R82" s="234"/>
      <c r="S82" s="234"/>
      <c r="T82" s="234"/>
      <c r="U82" s="37"/>
      <c r="V82" s="37"/>
      <c r="W82" s="93"/>
      <c r="X82" s="37" t="s">
        <v>160</v>
      </c>
      <c r="Y82" s="37" t="s">
        <v>160</v>
      </c>
      <c r="Z82" s="37" t="s">
        <v>160</v>
      </c>
      <c r="AA82" s="37" t="s">
        <v>160</v>
      </c>
      <c r="AB82" s="93"/>
      <c r="AC82" s="93"/>
      <c r="AD82" s="93"/>
      <c r="AE82" s="93"/>
      <c r="AF82" s="93"/>
    </row>
    <row r="83" spans="1:32" s="84" customFormat="1" ht="12.75">
      <c r="B83" s="86" t="s">
        <v>159</v>
      </c>
      <c r="C83" s="378"/>
      <c r="D83" s="104">
        <v>0.23</v>
      </c>
      <c r="E83" s="104"/>
      <c r="F83" s="105"/>
      <c r="G83" s="106">
        <v>115</v>
      </c>
      <c r="H83" s="379">
        <v>12176</v>
      </c>
      <c r="I83" s="108"/>
      <c r="J83" s="106">
        <v>482</v>
      </c>
      <c r="K83" s="109">
        <v>9.5899999999999999E-2</v>
      </c>
      <c r="L83" s="110">
        <v>10.050000000000001</v>
      </c>
      <c r="M83" s="110"/>
      <c r="N83" s="111">
        <f>L83+M83</f>
        <v>10.050000000000001</v>
      </c>
      <c r="O83" s="112">
        <v>2.86</v>
      </c>
      <c r="P83" s="112"/>
      <c r="R83" s="234"/>
      <c r="S83" s="234"/>
      <c r="T83" s="234"/>
      <c r="U83" s="37"/>
      <c r="V83" s="37"/>
      <c r="W83" s="93"/>
      <c r="X83" s="37">
        <v>294</v>
      </c>
      <c r="Y83" s="37">
        <v>200</v>
      </c>
      <c r="Z83" s="231">
        <f>100000*2000</f>
        <v>200000000</v>
      </c>
      <c r="AA83" s="37">
        <v>7</v>
      </c>
      <c r="AB83" s="93"/>
      <c r="AC83" s="93"/>
      <c r="AD83" s="93"/>
      <c r="AE83" s="93"/>
      <c r="AF83" s="93"/>
    </row>
    <row r="84" spans="1:32" ht="12.75">
      <c r="A84" s="234"/>
      <c r="B84" s="83" t="s">
        <v>208</v>
      </c>
      <c r="G84" s="120"/>
      <c r="R84" s="234"/>
      <c r="S84" s="234"/>
      <c r="T84" s="234"/>
    </row>
    <row r="85" spans="1:32">
      <c r="A85" s="234"/>
      <c r="R85" s="234"/>
      <c r="S85" s="234"/>
      <c r="T85" s="234"/>
    </row>
    <row r="86" spans="1:32" ht="12.75">
      <c r="R86" s="234"/>
      <c r="S86" s="234"/>
      <c r="T86" s="234"/>
      <c r="X86" s="39"/>
      <c r="Y86" s="39"/>
      <c r="Z86" s="39"/>
      <c r="AA86" s="39"/>
    </row>
    <row r="87" spans="1:32" ht="12.75">
      <c r="R87" s="234"/>
      <c r="S87" s="234"/>
      <c r="T87" s="234"/>
      <c r="X87" s="41"/>
      <c r="Y87" s="41"/>
      <c r="Z87" s="41"/>
      <c r="AA87" s="41"/>
    </row>
    <row r="88" spans="1:32" ht="12.75">
      <c r="A88" s="39"/>
      <c r="B88" s="40" t="s">
        <v>163</v>
      </c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41"/>
      <c r="S88" s="41"/>
      <c r="T88" s="41"/>
      <c r="U88" s="41"/>
      <c r="V88" s="41"/>
      <c r="W88" s="41"/>
      <c r="X88" s="234"/>
      <c r="Y88" s="234"/>
      <c r="Z88" s="234"/>
      <c r="AA88" s="234"/>
    </row>
    <row r="89" spans="1:32" ht="12.75">
      <c r="A89" s="39"/>
      <c r="B89" s="42"/>
      <c r="C89" s="43" t="s">
        <v>36</v>
      </c>
      <c r="D89" s="44"/>
      <c r="E89" s="44"/>
      <c r="F89" s="44"/>
      <c r="G89" s="45"/>
      <c r="H89" s="45"/>
      <c r="I89" s="45"/>
      <c r="J89" s="46" t="s">
        <v>37</v>
      </c>
      <c r="K89" s="47"/>
      <c r="L89" s="48" t="s">
        <v>38</v>
      </c>
      <c r="M89" s="49"/>
      <c r="N89" s="50"/>
      <c r="O89" s="51" t="s">
        <v>39</v>
      </c>
      <c r="P89" s="52"/>
      <c r="Q89" s="53"/>
      <c r="R89" s="41"/>
      <c r="S89" s="41"/>
      <c r="T89" s="41"/>
      <c r="U89" s="41"/>
      <c r="V89" s="41"/>
      <c r="W89" s="41"/>
      <c r="X89" s="234"/>
      <c r="Y89" s="234"/>
      <c r="Z89" s="234"/>
      <c r="AA89" s="234"/>
    </row>
    <row r="90" spans="1:32" ht="12.75">
      <c r="A90" s="39"/>
      <c r="B90" s="54"/>
      <c r="C90" s="55"/>
      <c r="D90" s="55"/>
      <c r="E90" s="55"/>
      <c r="F90" s="55"/>
      <c r="G90" s="55"/>
      <c r="H90" s="56"/>
      <c r="I90" s="55"/>
      <c r="J90" s="57"/>
      <c r="K90" s="58"/>
      <c r="L90" s="59" t="s">
        <v>40</v>
      </c>
      <c r="M90" s="60"/>
      <c r="N90" s="61"/>
      <c r="O90" s="62"/>
      <c r="P90" s="63"/>
      <c r="Q90" s="39"/>
      <c r="R90" s="234"/>
      <c r="S90" s="41"/>
      <c r="T90" s="41"/>
      <c r="U90" s="39"/>
      <c r="V90" s="39"/>
      <c r="W90" s="41"/>
      <c r="X90" s="235"/>
      <c r="Y90" s="235"/>
      <c r="Z90" s="235"/>
      <c r="AA90" s="235"/>
    </row>
    <row r="91" spans="1:32" ht="38.25">
      <c r="A91" s="39"/>
      <c r="B91" s="369" t="s">
        <v>41</v>
      </c>
      <c r="C91" s="67"/>
      <c r="D91" s="67" t="s">
        <v>42</v>
      </c>
      <c r="E91" s="67" t="s">
        <v>43</v>
      </c>
      <c r="F91" s="67" t="s">
        <v>44</v>
      </c>
      <c r="G91" s="67" t="s">
        <v>45</v>
      </c>
      <c r="H91" s="67" t="s">
        <v>46</v>
      </c>
      <c r="I91" s="67" t="s">
        <v>47</v>
      </c>
      <c r="J91" s="66" t="s">
        <v>48</v>
      </c>
      <c r="K91" s="67" t="s">
        <v>49</v>
      </c>
      <c r="L91" s="68" t="s">
        <v>50</v>
      </c>
      <c r="M91" s="68" t="s">
        <v>51</v>
      </c>
      <c r="N91" s="69" t="s">
        <v>52</v>
      </c>
      <c r="O91" s="70" t="s">
        <v>53</v>
      </c>
      <c r="P91" s="67" t="s">
        <v>155</v>
      </c>
      <c r="Q91" s="39"/>
      <c r="R91" s="234"/>
      <c r="S91" s="41"/>
      <c r="T91" s="41"/>
      <c r="U91" s="39"/>
      <c r="V91" s="39"/>
      <c r="W91" s="41"/>
      <c r="X91" s="236"/>
      <c r="Y91" s="236"/>
      <c r="Z91" s="236"/>
      <c r="AA91" s="236"/>
    </row>
    <row r="92" spans="1:32" ht="12.75">
      <c r="A92" s="71"/>
      <c r="B92" s="72"/>
      <c r="C92" s="73"/>
      <c r="D92" s="74"/>
      <c r="E92" s="74"/>
      <c r="F92" s="75"/>
      <c r="G92" s="76"/>
      <c r="H92" s="77"/>
      <c r="I92" s="78"/>
      <c r="J92" s="79"/>
      <c r="K92" s="80"/>
      <c r="L92" s="79"/>
      <c r="M92" s="79"/>
      <c r="N92" s="81"/>
      <c r="O92" s="79"/>
      <c r="P92" s="82"/>
      <c r="Q92" s="71"/>
      <c r="R92" s="234"/>
      <c r="S92" s="234"/>
      <c r="T92" s="234"/>
      <c r="W92" s="83"/>
      <c r="X92" s="237"/>
      <c r="Y92" s="238"/>
      <c r="Z92" s="238"/>
      <c r="AA92" s="238"/>
    </row>
    <row r="93" spans="1:32" ht="12.75">
      <c r="A93" s="84"/>
      <c r="B93" s="85" t="s">
        <v>163</v>
      </c>
      <c r="C93" s="86"/>
      <c r="D93" s="87"/>
      <c r="E93" s="87"/>
      <c r="F93" s="88"/>
      <c r="G93" s="88"/>
      <c r="H93" s="89"/>
      <c r="I93" s="90"/>
      <c r="J93" s="91">
        <v>2004</v>
      </c>
      <c r="K93" s="88"/>
      <c r="L93" s="91">
        <v>2004</v>
      </c>
      <c r="M93" s="91">
        <v>2004</v>
      </c>
      <c r="N93" s="81"/>
      <c r="O93" s="91">
        <v>2004</v>
      </c>
      <c r="P93" s="91">
        <v>2004</v>
      </c>
      <c r="Q93" s="84"/>
      <c r="R93" s="234"/>
      <c r="S93" s="234"/>
      <c r="T93" s="234"/>
      <c r="W93" s="93"/>
      <c r="X93" s="239"/>
      <c r="Y93" s="240"/>
      <c r="Z93" s="241"/>
      <c r="AA93" s="241"/>
    </row>
    <row r="94" spans="1:32" ht="12.75">
      <c r="A94" s="84" t="s">
        <v>211</v>
      </c>
      <c r="B94" s="94" t="s">
        <v>207</v>
      </c>
      <c r="C94" s="94"/>
      <c r="D94" s="95">
        <v>0.56000000000000005</v>
      </c>
      <c r="E94" s="95"/>
      <c r="F94" s="96"/>
      <c r="G94" s="97">
        <v>420</v>
      </c>
      <c r="H94" s="98">
        <v>7462</v>
      </c>
      <c r="I94" s="99">
        <f>G94*D94*8760</f>
        <v>2060352.0000000002</v>
      </c>
      <c r="J94" s="97">
        <v>789</v>
      </c>
      <c r="K94" s="100">
        <v>7.9299999999999995E-2</v>
      </c>
      <c r="L94" s="101">
        <v>10.63</v>
      </c>
      <c r="M94" s="101">
        <v>1.35</v>
      </c>
      <c r="N94" s="102">
        <f>L94+M94</f>
        <v>11.98</v>
      </c>
      <c r="O94" s="103">
        <v>3.27</v>
      </c>
      <c r="P94" s="103">
        <v>2.3199999999999998</v>
      </c>
      <c r="Q94" s="84"/>
      <c r="R94" s="93"/>
      <c r="S94" s="350"/>
      <c r="T94" s="350"/>
      <c r="U94" s="232"/>
      <c r="V94" s="233"/>
      <c r="W94" s="93"/>
      <c r="X94" s="239"/>
      <c r="Y94" s="240"/>
      <c r="Z94" s="241"/>
      <c r="AA94" s="241"/>
    </row>
    <row r="95" spans="1:32" ht="12.75">
      <c r="A95" s="84"/>
      <c r="B95" s="94" t="s">
        <v>209</v>
      </c>
      <c r="C95" s="94"/>
      <c r="D95" s="104">
        <v>0.16</v>
      </c>
      <c r="E95" s="104"/>
      <c r="F95" s="105"/>
      <c r="G95" s="106">
        <v>105</v>
      </c>
      <c r="H95" s="107">
        <v>9512</v>
      </c>
      <c r="I95" s="108">
        <f>G95*D95*8760</f>
        <v>147168</v>
      </c>
      <c r="J95" s="106">
        <v>207</v>
      </c>
      <c r="K95" s="100">
        <v>7.9299999999999995E-2</v>
      </c>
      <c r="L95" s="110">
        <v>2.93</v>
      </c>
      <c r="M95" s="110">
        <v>1.35</v>
      </c>
      <c r="N95" s="111">
        <f>L95+M95</f>
        <v>4.28</v>
      </c>
      <c r="O95" s="112">
        <v>0.1</v>
      </c>
      <c r="P95" s="112">
        <v>2.96</v>
      </c>
      <c r="Q95" s="84"/>
      <c r="R95" s="93"/>
      <c r="S95" s="350"/>
      <c r="T95" s="350"/>
      <c r="U95" s="232"/>
      <c r="V95" s="233"/>
      <c r="W95" s="93"/>
      <c r="X95" s="93"/>
      <c r="Y95" s="93"/>
      <c r="Z95" s="93"/>
      <c r="AA95" s="93"/>
    </row>
    <row r="96" spans="1:32" ht="12.75">
      <c r="A96" s="84"/>
      <c r="B96" s="370" t="s">
        <v>57</v>
      </c>
      <c r="C96" s="113"/>
      <c r="D96" s="114">
        <f>SUMPRODUCT(D94:D95,$G94:$G95)/SUM($G94:$G95)</f>
        <v>0.48000000000000004</v>
      </c>
      <c r="E96" s="105"/>
      <c r="F96" s="105"/>
      <c r="G96" s="115"/>
      <c r="H96" s="116">
        <f>SUMPRODUCT(H94:H95,$I94:$I95)/SUM($I94:$I95)</f>
        <v>7598.6666666666679</v>
      </c>
      <c r="I96" s="105"/>
      <c r="J96" s="117">
        <f>SUMPRODUCT(J94:J95,$G94:$G95)/SUM($G94:$G95)</f>
        <v>672.6</v>
      </c>
      <c r="K96" s="118"/>
      <c r="L96" s="111">
        <f>SUMPRODUCT(L94:L95,$G94:$G95)/SUM($G94:$G95)</f>
        <v>9.09</v>
      </c>
      <c r="M96" s="111">
        <f>SUMPRODUCT(M94:M95,$G94:$G95)/SUM($G94:$G95)</f>
        <v>1.35</v>
      </c>
      <c r="N96" s="111">
        <f>SUMPRODUCT(N94:N95,$G94:$G95)/SUM($G94:$G95)</f>
        <v>10.44</v>
      </c>
      <c r="O96" s="111">
        <f>SUMPRODUCT(O94:O95,$I94:$I95)/SUM($I94:$I95)</f>
        <v>3.0586666666666669</v>
      </c>
      <c r="P96" s="111">
        <f>SUMPRODUCT(P94:P95,$I94:$I95)/SUM($I94:$I95)</f>
        <v>2.3626666666666671</v>
      </c>
      <c r="Q96" s="84"/>
      <c r="R96" s="234"/>
      <c r="S96" s="234"/>
      <c r="T96" s="234"/>
      <c r="W96" s="93"/>
      <c r="X96" s="234"/>
      <c r="Y96" s="234"/>
      <c r="Z96" s="234"/>
      <c r="AA96" s="234"/>
    </row>
    <row r="97" spans="1:27" ht="12.75">
      <c r="A97" s="84"/>
      <c r="B97" s="113" t="s">
        <v>159</v>
      </c>
      <c r="C97" s="119"/>
      <c r="D97" s="95">
        <v>0.16</v>
      </c>
      <c r="E97" s="95"/>
      <c r="F97" s="96"/>
      <c r="G97" s="97">
        <v>281</v>
      </c>
      <c r="H97" s="98">
        <v>11052</v>
      </c>
      <c r="I97" s="99"/>
      <c r="J97" s="97">
        <v>408</v>
      </c>
      <c r="K97" s="100">
        <v>7.6700000000000004E-2</v>
      </c>
      <c r="L97" s="101">
        <v>10.97</v>
      </c>
      <c r="M97" s="101"/>
      <c r="N97" s="102">
        <f>L97+M97</f>
        <v>10.97</v>
      </c>
      <c r="O97" s="103">
        <v>5.35</v>
      </c>
      <c r="P97" s="103"/>
      <c r="Q97" s="84"/>
      <c r="W97" s="93"/>
      <c r="X97" s="234"/>
      <c r="Y97" s="234"/>
      <c r="Z97" s="242"/>
      <c r="AA97" s="234"/>
    </row>
    <row r="98" spans="1:27" ht="15" customHeight="1">
      <c r="A98" s="234"/>
      <c r="B98" s="83" t="s">
        <v>210</v>
      </c>
      <c r="G98" s="120"/>
    </row>
    <row r="99" spans="1:27">
      <c r="A99" s="234"/>
    </row>
  </sheetData>
  <pageMargins left="0.25" right="0.25" top="0.25" bottom="0.75" header="0.3" footer="0.3"/>
  <pageSetup scale="56" orientation="landscape" r:id="rId1"/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E5A4-0F5A-433B-BDDB-94B31C81E72F}">
  <sheetPr codeName="Sheet43">
    <tabColor theme="0" tint="-0.249977111117893"/>
    <pageSetUpPr fitToPage="1"/>
  </sheetPr>
  <dimension ref="A1:BH85"/>
  <sheetViews>
    <sheetView topLeftCell="M1" workbookViewId="0">
      <selection activeCell="AJ11" sqref="AJ11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290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306</v>
      </c>
      <c r="H11" s="275"/>
      <c r="AB11" s="129" t="s">
        <v>99</v>
      </c>
      <c r="AC11" s="130"/>
      <c r="AD11" s="130"/>
      <c r="AE11" s="130"/>
      <c r="AF11" s="312">
        <f>+G11*(G12/AJ16)</f>
        <v>169.65075892537436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121.30275892537436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0.38680999999999999</v>
      </c>
      <c r="H12" s="275"/>
      <c r="AB12" s="129" t="s">
        <v>32</v>
      </c>
      <c r="AC12" s="130"/>
      <c r="AD12" s="130"/>
      <c r="AE12" s="130"/>
      <c r="AF12" s="138">
        <f>+AD59/8760/AF11</f>
        <v>0.68900534663461288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73.265567759999996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1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v>2021</v>
      </c>
      <c r="D28" s="6"/>
      <c r="E28" s="292">
        <f>'(2.2)_Forward_Price_Curve'!O33</f>
        <v>2.4E-2</v>
      </c>
      <c r="F28" s="6"/>
      <c r="G28" s="20">
        <v>864056.17799999996</v>
      </c>
      <c r="H28" s="6"/>
      <c r="I28" s="293">
        <f>$G$15*(1+E28)</f>
        <v>75.023941386239997</v>
      </c>
      <c r="J28" s="293"/>
      <c r="K28" s="293">
        <f>$G$16*(1+E28)</f>
        <v>1.024</v>
      </c>
      <c r="L28" s="294"/>
      <c r="M28" s="293">
        <f>$G$17</f>
        <v>0</v>
      </c>
      <c r="N28" s="6"/>
      <c r="O28" s="295">
        <f>'(2.2)_Forward_Price_Curve'!Y32</f>
        <v>1.1390234818202254</v>
      </c>
      <c r="P28" s="6"/>
      <c r="Q28" s="30">
        <v>-21.09981037752112</v>
      </c>
      <c r="R28" s="6"/>
      <c r="S28" s="20">
        <f>(I28*$G$11*1000+(K28+M28+O28+Q28)*G28)/1000</f>
        <v>6594.8783554896399</v>
      </c>
      <c r="T28" s="6"/>
      <c r="U28" s="20">
        <f t="shared" ref="U28:U57" si="0">AX28</f>
        <v>26093.941525034574</v>
      </c>
      <c r="V28" s="6"/>
      <c r="W28" s="20">
        <f t="shared" ref="W28:W57" si="1">S28-U28</f>
        <v>-19499.063169544934</v>
      </c>
      <c r="X28" s="6"/>
      <c r="Y28" s="296">
        <f>+W28*1000/G28</f>
        <v>-22.566892831758604</v>
      </c>
      <c r="Z28" s="255"/>
      <c r="AB28" s="154">
        <f>$C$28</f>
        <v>2021</v>
      </c>
      <c r="AC28" s="124"/>
      <c r="AD28" s="159">
        <f t="shared" ref="AD28:AD57" si="2">G28</f>
        <v>864056.17799999996</v>
      </c>
      <c r="AE28" s="3"/>
      <c r="AF28" s="160">
        <f>$AF$15*$AF$16*(1+E28)</f>
        <v>93.918012767032508</v>
      </c>
      <c r="AG28" s="297"/>
      <c r="AH28" s="160">
        <f>$AJ$11*(1+E28)</f>
        <v>19.676437477355702</v>
      </c>
      <c r="AI28" s="297"/>
      <c r="AJ28" s="160">
        <f>$AJ$13*(1+E28)</f>
        <v>2.2633348333515522</v>
      </c>
      <c r="AK28" s="298"/>
      <c r="AL28" s="161">
        <f>((AF28+AH28)*$AF$11*1000+AJ28*AD28)/1000</f>
        <v>21227.033139311145</v>
      </c>
      <c r="AM28" s="3"/>
      <c r="AN28" s="162">
        <f>INDEX('(2.2)_Forward_Price_Curve'!$H:$H,MATCH($AB28,'(2.2)_Forward_Price_Curve'!$C:$C,0),1)</f>
        <v>1.9506749999999997</v>
      </c>
      <c r="AO28" s="310"/>
      <c r="AP28" s="162">
        <f>AN28*$AF$14/1000+$AJ$14/(1+E29)</f>
        <v>12.681140805918394</v>
      </c>
      <c r="AQ28" s="297"/>
      <c r="AR28" s="160">
        <f>$AJ$15*(1+E28)</f>
        <v>2.3363407843883683</v>
      </c>
      <c r="AS28" s="160"/>
      <c r="AT28" s="161">
        <f t="shared" ref="AT28:AT57" si="3">AL28-BF28</f>
        <v>13117.993778928752</v>
      </c>
      <c r="AU28" s="298"/>
      <c r="AV28" s="161">
        <f t="shared" ref="AV28:AV57" si="4">(AP28+AR28)*AD28/1000</f>
        <v>12975.947746105821</v>
      </c>
      <c r="AW28" s="299"/>
      <c r="AX28" s="163">
        <f>AT28+AV28</f>
        <v>26093.941525034574</v>
      </c>
      <c r="AZ28" s="154">
        <f>$C$28</f>
        <v>2021</v>
      </c>
      <c r="BA28" s="124"/>
      <c r="BB28" s="160">
        <f>$BD$14*$BD$15*(1+E28)</f>
        <v>60.080947199999997</v>
      </c>
      <c r="BC28" s="3"/>
      <c r="BD28" s="160">
        <f>$BB$16*(1+E28)</f>
        <v>6.7686400000000004</v>
      </c>
      <c r="BE28" s="297"/>
      <c r="BF28" s="161">
        <f>(BB28+BD28)*$BD$11</f>
        <v>8109.0393603823923</v>
      </c>
      <c r="BG28" s="297"/>
      <c r="BH28" s="164"/>
    </row>
    <row r="29" spans="1:60" ht="12">
      <c r="B29" s="2"/>
      <c r="C29" s="6">
        <f>+IF(C28&gt;$G$13+$G$14,XX,C28+1)</f>
        <v>2022</v>
      </c>
      <c r="D29" s="6"/>
      <c r="E29" s="292">
        <f>'(2.2)_Forward_Price_Curve'!O34</f>
        <v>2.3E-2</v>
      </c>
      <c r="F29" s="6"/>
      <c r="G29" s="20">
        <v>1036867.4136</v>
      </c>
      <c r="H29" s="6"/>
      <c r="I29" s="30">
        <f>I28*(1+$E29)</f>
        <v>76.749492038123506</v>
      </c>
      <c r="J29" s="6"/>
      <c r="K29" s="30">
        <f>K28*(1+$E29)</f>
        <v>1.047552</v>
      </c>
      <c r="L29" s="6"/>
      <c r="M29" s="30">
        <f>M28*(1+$E29)</f>
        <v>0</v>
      </c>
      <c r="N29" s="6"/>
      <c r="O29" s="295">
        <f>'(2.2)_Forward_Price_Curve'!Y33</f>
        <v>1.1679956801767024</v>
      </c>
      <c r="P29" s="6"/>
      <c r="Q29" s="30">
        <v>-21.09981037752112</v>
      </c>
      <c r="R29" s="6"/>
      <c r="S29" s="20">
        <f t="shared" ref="S29:S57" si="5">(I29*$G$11*1000+(K29+M29+O29+Q29)*G29)/1000</f>
        <v>3904.867942927327</v>
      </c>
      <c r="T29" s="6"/>
      <c r="U29" s="20">
        <f t="shared" si="0"/>
        <v>32686.345983116087</v>
      </c>
      <c r="V29" s="6"/>
      <c r="W29" s="20">
        <f t="shared" si="1"/>
        <v>-28781.478040188762</v>
      </c>
      <c r="X29" s="6"/>
      <c r="Y29" s="296">
        <f t="shared" ref="Y29:Y57" si="6">+W29*1000/G29</f>
        <v>-27.758108377868268</v>
      </c>
      <c r="Z29" s="255"/>
      <c r="AB29" s="154">
        <f>+IF(AB28&gt;$G$13+$G$14,XX,AB28+1)</f>
        <v>2022</v>
      </c>
      <c r="AC29" s="124"/>
      <c r="AD29" s="159">
        <f t="shared" si="2"/>
        <v>1036867.4136</v>
      </c>
      <c r="AE29" s="3"/>
      <c r="AF29" s="162">
        <f>AF28*(1+$E29)</f>
        <v>96.078127060674248</v>
      </c>
      <c r="AG29" s="3"/>
      <c r="AH29" s="162">
        <f>AH28*(1+$E29)</f>
        <v>20.128995539334881</v>
      </c>
      <c r="AI29" s="3"/>
      <c r="AJ29" s="162">
        <f>AJ28*(1+$E29)</f>
        <v>2.3153915345186378</v>
      </c>
      <c r="AK29" s="3"/>
      <c r="AL29" s="161">
        <f t="shared" ref="AL29:AL57" si="7">((AF29+AH29)*$AF$11*1000+AJ29*AD29)/1000</f>
        <v>22115.380573493247</v>
      </c>
      <c r="AM29" s="3"/>
      <c r="AN29" s="162">
        <f>INDEX('(2.2)_Forward_Price_Curve'!$H:$H,MATCH($AB29,'(2.2)_Forward_Price_Curve'!$C:$C,0),1)</f>
        <v>2.431295833333333</v>
      </c>
      <c r="AO29" s="3"/>
      <c r="AP29" s="162">
        <f>AN29*$AF$14/1000+$AJ$14</f>
        <v>15.805608214255424</v>
      </c>
      <c r="AQ29" s="3"/>
      <c r="AR29" s="162">
        <f>AR28*(1+$E29)</f>
        <v>2.3900766224293006</v>
      </c>
      <c r="AS29" s="162"/>
      <c r="AT29" s="161">
        <f t="shared" si="3"/>
        <v>13819.83330782206</v>
      </c>
      <c r="AU29" s="3"/>
      <c r="AV29" s="161">
        <f t="shared" si="4"/>
        <v>18866.512675294027</v>
      </c>
      <c r="AW29" s="299"/>
      <c r="AX29" s="163">
        <f t="shared" ref="AX29:AX57" si="8">AT29+AV29</f>
        <v>32686.345983116087</v>
      </c>
      <c r="AZ29" s="154">
        <f>+IF(AZ28&gt;$G$13+$G$14,XX,AZ28+1)</f>
        <v>2022</v>
      </c>
      <c r="BA29" s="124"/>
      <c r="BB29" s="162">
        <f>BB28*(1+$E29)</f>
        <v>61.462808985599992</v>
      </c>
      <c r="BC29" s="3"/>
      <c r="BD29" s="162">
        <f>BD28*(1+$E29)</f>
        <v>6.9243187199999996</v>
      </c>
      <c r="BE29" s="3"/>
      <c r="BF29" s="161">
        <f t="shared" ref="BF29:BF57" si="9">(BB29+BD29)*$BD$11</f>
        <v>8295.5472656711863</v>
      </c>
      <c r="BG29" s="3"/>
      <c r="BH29" s="165"/>
    </row>
    <row r="30" spans="1:60" ht="12">
      <c r="B30" s="2"/>
      <c r="C30" s="6">
        <f>+IF(C29&gt;$G$13+$G$14,XX,C29+1)</f>
        <v>2023</v>
      </c>
      <c r="D30" s="6"/>
      <c r="E30" s="292">
        <f>'(2.2)_Forward_Price_Curve'!O35</f>
        <v>2.3E-2</v>
      </c>
      <c r="F30" s="6"/>
      <c r="G30" s="20">
        <v>1036867.4136</v>
      </c>
      <c r="H30" s="6"/>
      <c r="I30" s="30">
        <f t="shared" ref="I30:K57" si="10">I29*(1+$E30)</f>
        <v>78.514730355000339</v>
      </c>
      <c r="J30" s="6"/>
      <c r="K30" s="30">
        <f t="shared" si="10"/>
        <v>1.071645696</v>
      </c>
      <c r="L30" s="6"/>
      <c r="M30" s="30">
        <f t="shared" ref="M30:M57" si="11">M29*(1+$E30)</f>
        <v>0</v>
      </c>
      <c r="N30" s="6"/>
      <c r="O30" s="295">
        <f>'(2.2)_Forward_Price_Curve'!Y34</f>
        <v>1.1974836718320334</v>
      </c>
      <c r="P30" s="6"/>
      <c r="Q30" s="30">
        <v>-21.911341545887321</v>
      </c>
      <c r="R30" s="6"/>
      <c r="S30" s="20">
        <f t="shared" si="5"/>
        <v>3659.137750187494</v>
      </c>
      <c r="T30" s="6"/>
      <c r="U30" s="20">
        <f t="shared" si="0"/>
        <v>36471.283100619417</v>
      </c>
      <c r="V30" s="6"/>
      <c r="W30" s="20">
        <f t="shared" si="1"/>
        <v>-32812.145350431922</v>
      </c>
      <c r="X30" s="6"/>
      <c r="Y30" s="296">
        <f t="shared" si="6"/>
        <v>-31.645459120475461</v>
      </c>
      <c r="Z30" s="255"/>
      <c r="AB30" s="154">
        <f>+IF(AB29&gt;$G$13+$G$14,XX,AB29+1)</f>
        <v>2023</v>
      </c>
      <c r="AC30" s="124"/>
      <c r="AD30" s="159">
        <f t="shared" si="2"/>
        <v>1036867.4136</v>
      </c>
      <c r="AE30" s="3"/>
      <c r="AF30" s="162">
        <f t="shared" ref="AF30:AF57" si="12">AF29*(1+$E30)</f>
        <v>98.287923983069746</v>
      </c>
      <c r="AG30" s="3"/>
      <c r="AH30" s="162">
        <f t="shared" ref="AH30:AH57" si="13">AH29*(1+$E30)</f>
        <v>20.591962436739582</v>
      </c>
      <c r="AI30" s="3"/>
      <c r="AJ30" s="162">
        <f t="shared" ref="AJ30:AJ57" si="14">AJ29*(1+$E30)</f>
        <v>2.3686455398125661</v>
      </c>
      <c r="AK30" s="3"/>
      <c r="AL30" s="161">
        <f t="shared" si="7"/>
        <v>22624.034326683588</v>
      </c>
      <c r="AM30" s="3"/>
      <c r="AN30" s="162">
        <f>INDEX('(2.2)_Forward_Price_Curve'!$H:$H,MATCH($AB30,'(2.2)_Forward_Price_Curve'!$C:$C,0),1)</f>
        <v>2.9371999999999994</v>
      </c>
      <c r="AO30" s="3"/>
      <c r="AP30" s="162">
        <f t="shared" ref="AP30:AP57" si="15">AN30*$AF$14/1000+$AJ$14</f>
        <v>19.094440014427573</v>
      </c>
      <c r="AQ30" s="3"/>
      <c r="AR30" s="162">
        <f t="shared" ref="AR30:AR57" si="16">AR29*(1+$E30)</f>
        <v>2.4450483847451743</v>
      </c>
      <c r="AS30" s="162"/>
      <c r="AT30" s="161">
        <f t="shared" si="3"/>
        <v>14137.689473901966</v>
      </c>
      <c r="AU30" s="3"/>
      <c r="AV30" s="161">
        <f t="shared" si="4"/>
        <v>22333.593626717447</v>
      </c>
      <c r="AW30" s="299"/>
      <c r="AX30" s="163">
        <f t="shared" si="8"/>
        <v>36471.283100619417</v>
      </c>
      <c r="AZ30" s="154">
        <f>+IF(AZ29&gt;$G$13+$G$14,XX,AZ29+1)</f>
        <v>2023</v>
      </c>
      <c r="BA30" s="124"/>
      <c r="BB30" s="162">
        <f t="shared" ref="BB30:BB57" si="17">BB29*(1+$E30)</f>
        <v>62.876453592268788</v>
      </c>
      <c r="BC30" s="3"/>
      <c r="BD30" s="162">
        <f t="shared" ref="BD30:BD57" si="18">BD29*(1+$E30)</f>
        <v>7.083578050559999</v>
      </c>
      <c r="BE30" s="3"/>
      <c r="BF30" s="161">
        <f t="shared" si="9"/>
        <v>8486.3448527816217</v>
      </c>
      <c r="BG30" s="3"/>
      <c r="BH30" s="165"/>
    </row>
    <row r="31" spans="1:60" ht="12">
      <c r="B31" s="2"/>
      <c r="C31" s="6">
        <f>+IF(C30&gt;$G$13+$G$14,XX,C30+1)</f>
        <v>2024</v>
      </c>
      <c r="D31" s="6"/>
      <c r="E31" s="292">
        <f>'(2.2)_Forward_Price_Curve'!O36</f>
        <v>2.3E-2</v>
      </c>
      <c r="F31" s="6"/>
      <c r="G31" s="20">
        <v>1036867.4136</v>
      </c>
      <c r="H31" s="6"/>
      <c r="I31" s="30">
        <f t="shared" si="10"/>
        <v>80.320569153165337</v>
      </c>
      <c r="J31" s="6"/>
      <c r="K31" s="30">
        <f t="shared" si="10"/>
        <v>1.096293547008</v>
      </c>
      <c r="L31" s="6"/>
      <c r="M31" s="30">
        <f t="shared" si="11"/>
        <v>0</v>
      </c>
      <c r="N31" s="6"/>
      <c r="O31" s="295">
        <f>'(2.2)_Forward_Price_Curve'!Y35</f>
        <v>1.2269144627008759</v>
      </c>
      <c r="P31" s="6"/>
      <c r="Q31" s="30">
        <v>-21.911341545887321</v>
      </c>
      <c r="R31" s="6"/>
      <c r="S31" s="20">
        <f t="shared" si="5"/>
        <v>4267.7968039598245</v>
      </c>
      <c r="T31" s="6"/>
      <c r="U31" s="20">
        <f t="shared" si="0"/>
        <v>40429.704985289725</v>
      </c>
      <c r="V31" s="6"/>
      <c r="W31" s="20">
        <f t="shared" si="1"/>
        <v>-36161.908181329898</v>
      </c>
      <c r="X31" s="6"/>
      <c r="Y31" s="296">
        <f t="shared" si="6"/>
        <v>-34.87611598842313</v>
      </c>
      <c r="Z31" s="255"/>
      <c r="AB31" s="154">
        <f>+IF(AB30&gt;$G$13+$G$14,XX,AB30+1)</f>
        <v>2024</v>
      </c>
      <c r="AC31" s="124"/>
      <c r="AD31" s="159">
        <f t="shared" si="2"/>
        <v>1036867.4136</v>
      </c>
      <c r="AE31" s="3"/>
      <c r="AF31" s="162">
        <f t="shared" si="12"/>
        <v>100.54854623468034</v>
      </c>
      <c r="AG31" s="3"/>
      <c r="AH31" s="162">
        <f t="shared" si="13"/>
        <v>21.065577572784591</v>
      </c>
      <c r="AI31" s="3"/>
      <c r="AJ31" s="162">
        <f t="shared" si="14"/>
        <v>2.4231243872282549</v>
      </c>
      <c r="AK31" s="3"/>
      <c r="AL31" s="161">
        <f t="shared" si="7"/>
        <v>23144.387116197311</v>
      </c>
      <c r="AM31" s="3"/>
      <c r="AN31" s="162">
        <f>INDEX('(2.2)_Forward_Price_Curve'!$H:$H,MATCH($AB31,'(2.2)_Forward_Price_Curve'!$C:$C,0),1)</f>
        <v>3.4675625000000001</v>
      </c>
      <c r="AO31" s="3"/>
      <c r="AP31" s="162">
        <f t="shared" si="15"/>
        <v>22.542272964908253</v>
      </c>
      <c r="AQ31" s="3"/>
      <c r="AR31" s="162">
        <f t="shared" si="16"/>
        <v>2.5012844975943129</v>
      </c>
      <c r="AS31" s="162"/>
      <c r="AT31" s="161">
        <f t="shared" si="3"/>
        <v>14462.856331801713</v>
      </c>
      <c r="AU31" s="3"/>
      <c r="AV31" s="161">
        <f t="shared" si="4"/>
        <v>25966.848653488014</v>
      </c>
      <c r="AW31" s="299"/>
      <c r="AX31" s="163">
        <f t="shared" si="8"/>
        <v>40429.704985289725</v>
      </c>
      <c r="AZ31" s="154">
        <f>+IF(AZ30&gt;$G$13+$G$14,XX,AZ30+1)</f>
        <v>2024</v>
      </c>
      <c r="BA31" s="124"/>
      <c r="BB31" s="162">
        <f t="shared" si="17"/>
        <v>64.322612024890958</v>
      </c>
      <c r="BC31" s="3"/>
      <c r="BD31" s="162">
        <f t="shared" si="18"/>
        <v>7.246500345722878</v>
      </c>
      <c r="BE31" s="3"/>
      <c r="BF31" s="161">
        <f t="shared" si="9"/>
        <v>8681.5307843955979</v>
      </c>
      <c r="BG31" s="3"/>
      <c r="BH31" s="165"/>
    </row>
    <row r="32" spans="1:60" ht="12">
      <c r="B32" s="2"/>
      <c r="C32" s="6">
        <f>+IF(C31&gt;$G$13+$G$14,XX,C31+1)</f>
        <v>2025</v>
      </c>
      <c r="D32" s="6"/>
      <c r="E32" s="292">
        <f>'(2.2)_Forward_Price_Curve'!O37</f>
        <v>2.3E-2</v>
      </c>
      <c r="F32" s="6"/>
      <c r="G32" s="20">
        <v>1036867.4136</v>
      </c>
      <c r="H32" s="6"/>
      <c r="I32" s="30">
        <f t="shared" si="10"/>
        <v>82.167942243688131</v>
      </c>
      <c r="J32" s="6"/>
      <c r="K32" s="30">
        <f t="shared" si="10"/>
        <v>1.1215082985891838</v>
      </c>
      <c r="L32" s="6"/>
      <c r="M32" s="30">
        <f t="shared" si="11"/>
        <v>0</v>
      </c>
      <c r="N32" s="6"/>
      <c r="O32" s="295">
        <f>'(2.2)_Forward_Price_Curve'!Y36</f>
        <v>1.2554480395092353</v>
      </c>
      <c r="P32" s="6"/>
      <c r="Q32" s="30">
        <v>-22.722872714253512</v>
      </c>
      <c r="R32" s="6"/>
      <c r="S32" s="20">
        <f t="shared" si="5"/>
        <v>4047.3726363027545</v>
      </c>
      <c r="T32" s="6"/>
      <c r="U32" s="20">
        <f t="shared" si="0"/>
        <v>43232.429073934436</v>
      </c>
      <c r="V32" s="6"/>
      <c r="W32" s="20">
        <f t="shared" si="1"/>
        <v>-39185.056437631683</v>
      </c>
      <c r="X32" s="6"/>
      <c r="Y32" s="296">
        <f t="shared" si="6"/>
        <v>-37.791771564679912</v>
      </c>
      <c r="Z32" s="255"/>
      <c r="AB32" s="154">
        <f>+IF(AB31&gt;$G$13+$G$14,XX,AB31+1)</f>
        <v>2025</v>
      </c>
      <c r="AC32" s="124"/>
      <c r="AD32" s="159">
        <f t="shared" si="2"/>
        <v>1036867.4136</v>
      </c>
      <c r="AE32" s="3"/>
      <c r="AF32" s="162">
        <f t="shared" si="12"/>
        <v>102.86116279807798</v>
      </c>
      <c r="AG32" s="3"/>
      <c r="AH32" s="162">
        <f t="shared" si="13"/>
        <v>21.550085856958635</v>
      </c>
      <c r="AI32" s="3"/>
      <c r="AJ32" s="162">
        <f t="shared" si="14"/>
        <v>2.4788562481345044</v>
      </c>
      <c r="AK32" s="3"/>
      <c r="AL32" s="161">
        <f t="shared" si="7"/>
        <v>23676.708019869846</v>
      </c>
      <c r="AM32" s="3"/>
      <c r="AN32" s="162">
        <f>INDEX('(2.2)_Forward_Price_Curve'!$H:$H,MATCH($AB32,'(2.2)_Forward_Price_Curve'!$C:$C,0),1)</f>
        <v>3.8251624999999998</v>
      </c>
      <c r="AO32" s="3"/>
      <c r="AP32" s="162">
        <f t="shared" si="15"/>
        <v>24.866994382979648</v>
      </c>
      <c r="AQ32" s="3"/>
      <c r="AR32" s="162">
        <f t="shared" si="16"/>
        <v>2.5588140410389819</v>
      </c>
      <c r="AS32" s="162"/>
      <c r="AT32" s="161">
        <f t="shared" si="3"/>
        <v>14795.502027433151</v>
      </c>
      <c r="AU32" s="3"/>
      <c r="AV32" s="161">
        <f t="shared" si="4"/>
        <v>28436.927046501285</v>
      </c>
      <c r="AW32" s="299"/>
      <c r="AX32" s="163">
        <f t="shared" si="8"/>
        <v>43232.429073934436</v>
      </c>
      <c r="AZ32" s="154">
        <f>+IF(AZ31&gt;$G$13+$G$14,XX,AZ31+1)</f>
        <v>2025</v>
      </c>
      <c r="BA32" s="124"/>
      <c r="BB32" s="162">
        <f t="shared" si="17"/>
        <v>65.802032101463439</v>
      </c>
      <c r="BC32" s="3"/>
      <c r="BD32" s="162">
        <f t="shared" si="18"/>
        <v>7.4131698536745034</v>
      </c>
      <c r="BE32" s="3"/>
      <c r="BF32" s="161">
        <f t="shared" si="9"/>
        <v>8881.2059924366949</v>
      </c>
      <c r="BG32" s="3"/>
      <c r="BH32" s="165"/>
    </row>
    <row r="33" spans="2:60" ht="12">
      <c r="B33" s="2"/>
      <c r="C33" s="6">
        <f>+IF(C32&gt;$G$13+$G$14,XX,C32+1)</f>
        <v>2026</v>
      </c>
      <c r="D33" s="6"/>
      <c r="E33" s="292">
        <f>'(2.2)_Forward_Price_Curve'!O38</f>
        <v>2.1999999999999999E-2</v>
      </c>
      <c r="F33" s="6"/>
      <c r="G33" s="20">
        <v>1036867.4136</v>
      </c>
      <c r="H33" s="6"/>
      <c r="I33" s="30">
        <f t="shared" si="10"/>
        <v>83.975636973049276</v>
      </c>
      <c r="J33" s="6"/>
      <c r="K33" s="30">
        <f t="shared" si="10"/>
        <v>1.1461814811581459</v>
      </c>
      <c r="L33" s="6"/>
      <c r="M33" s="30">
        <f t="shared" si="11"/>
        <v>0</v>
      </c>
      <c r="N33" s="6"/>
      <c r="O33" s="295">
        <f>'(2.2)_Forward_Price_Curve'!Y37</f>
        <v>1.2834505366016622</v>
      </c>
      <c r="P33" s="6"/>
      <c r="Q33" s="30">
        <v>-22.722872714253512</v>
      </c>
      <c r="R33" s="6"/>
      <c r="S33" s="20">
        <f t="shared" si="5"/>
        <v>4655.1449192173886</v>
      </c>
      <c r="T33" s="6"/>
      <c r="U33" s="20">
        <f t="shared" si="0"/>
        <v>45026.819912665538</v>
      </c>
      <c r="V33" s="6"/>
      <c r="W33" s="20">
        <f t="shared" si="1"/>
        <v>-40371.674993448149</v>
      </c>
      <c r="X33" s="6"/>
      <c r="Y33" s="296">
        <f t="shared" si="6"/>
        <v>-38.9361980750054</v>
      </c>
      <c r="Z33" s="255"/>
      <c r="AB33" s="154">
        <f>+IF(AB32&gt;$G$13+$G$14,XX,AB32+1)</f>
        <v>2026</v>
      </c>
      <c r="AC33" s="124"/>
      <c r="AD33" s="159">
        <f t="shared" si="2"/>
        <v>1036867.4136</v>
      </c>
      <c r="AE33" s="3"/>
      <c r="AF33" s="162">
        <f t="shared" si="12"/>
        <v>105.1241083796357</v>
      </c>
      <c r="AG33" s="3"/>
      <c r="AH33" s="162">
        <f t="shared" si="13"/>
        <v>22.024187745811727</v>
      </c>
      <c r="AI33" s="3"/>
      <c r="AJ33" s="162">
        <f t="shared" si="14"/>
        <v>2.5333910855934634</v>
      </c>
      <c r="AK33" s="3"/>
      <c r="AL33" s="161">
        <f t="shared" si="7"/>
        <v>24197.595596306986</v>
      </c>
      <c r="AM33" s="3"/>
      <c r="AN33" s="162">
        <f>INDEX('(2.2)_Forward_Price_Curve'!$H:$H,MATCH($AB33,'(2.2)_Forward_Price_Curve'!$C:$C,0),1)</f>
        <v>4.0344208333333329</v>
      </c>
      <c r="AO33" s="3"/>
      <c r="AP33" s="162">
        <f t="shared" si="15"/>
        <v>26.227361635244531</v>
      </c>
      <c r="AQ33" s="3"/>
      <c r="AR33" s="162">
        <f t="shared" si="16"/>
        <v>2.6151079499418395</v>
      </c>
      <c r="AS33" s="162"/>
      <c r="AT33" s="161">
        <f t="shared" si="3"/>
        <v>15121.003072036685</v>
      </c>
      <c r="AU33" s="3"/>
      <c r="AV33" s="161">
        <f t="shared" si="4"/>
        <v>29905.816840628857</v>
      </c>
      <c r="AW33" s="299"/>
      <c r="AX33" s="163">
        <f t="shared" si="8"/>
        <v>45026.819912665538</v>
      </c>
      <c r="AZ33" s="154">
        <f>+IF(AZ32&gt;$G$13+$G$14,XX,AZ32+1)</f>
        <v>2026</v>
      </c>
      <c r="BA33" s="124"/>
      <c r="BB33" s="162">
        <f t="shared" si="17"/>
        <v>67.249676807695636</v>
      </c>
      <c r="BC33" s="3"/>
      <c r="BD33" s="162">
        <f t="shared" si="18"/>
        <v>7.5762595904553427</v>
      </c>
      <c r="BE33" s="3"/>
      <c r="BF33" s="161">
        <f t="shared" si="9"/>
        <v>9076.5925242703015</v>
      </c>
      <c r="BG33" s="3"/>
      <c r="BH33" s="165"/>
    </row>
    <row r="34" spans="2:60" ht="12">
      <c r="B34" s="2"/>
      <c r="C34" s="6">
        <f>+IF(C33&gt;$G$13+$G$14,XX,C33+1)</f>
        <v>2027</v>
      </c>
      <c r="D34" s="6"/>
      <c r="E34" s="292">
        <f>'(2.2)_Forward_Price_Curve'!O39</f>
        <v>2.1999999999999999E-2</v>
      </c>
      <c r="F34" s="6"/>
      <c r="G34" s="20">
        <v>1036867.4136</v>
      </c>
      <c r="H34" s="6"/>
      <c r="I34" s="30">
        <f t="shared" si="10"/>
        <v>85.823100986456367</v>
      </c>
      <c r="J34" s="6"/>
      <c r="K34" s="30">
        <f t="shared" si="10"/>
        <v>1.171397473743625</v>
      </c>
      <c r="L34" s="6"/>
      <c r="M34" s="30">
        <f t="shared" si="11"/>
        <v>0</v>
      </c>
      <c r="N34" s="6"/>
      <c r="O34" s="295">
        <f>'(2.2)_Forward_Price_Curve'!Y38</f>
        <v>1.3117597482561225</v>
      </c>
      <c r="P34" s="6"/>
      <c r="Q34" s="30">
        <v>-23.534403882619713</v>
      </c>
      <c r="R34" s="6"/>
      <c r="S34" s="20">
        <f t="shared" si="5"/>
        <v>4434.5172238029872</v>
      </c>
      <c r="T34" s="6"/>
      <c r="U34" s="20">
        <f t="shared" si="0"/>
        <v>45136.733621614672</v>
      </c>
      <c r="V34" s="6"/>
      <c r="W34" s="20">
        <f t="shared" si="1"/>
        <v>-40702.216397811688</v>
      </c>
      <c r="X34" s="6"/>
      <c r="Y34" s="296">
        <f t="shared" si="6"/>
        <v>-39.254986571999346</v>
      </c>
      <c r="Z34" s="255"/>
      <c r="AB34" s="154">
        <f>+IF(AB33&gt;$G$13+$G$14,XX,AB33+1)</f>
        <v>2027</v>
      </c>
      <c r="AC34" s="124"/>
      <c r="AD34" s="159">
        <f t="shared" si="2"/>
        <v>1036867.4136</v>
      </c>
      <c r="AE34" s="3"/>
      <c r="AF34" s="162">
        <f t="shared" si="12"/>
        <v>107.43683876398769</v>
      </c>
      <c r="AG34" s="3"/>
      <c r="AH34" s="162">
        <f t="shared" si="13"/>
        <v>22.508719876219583</v>
      </c>
      <c r="AI34" s="3"/>
      <c r="AJ34" s="162">
        <f t="shared" si="14"/>
        <v>2.5891256894765196</v>
      </c>
      <c r="AK34" s="3"/>
      <c r="AL34" s="161">
        <f t="shared" si="7"/>
        <v>24729.942699425741</v>
      </c>
      <c r="AM34" s="3"/>
      <c r="AN34" s="162">
        <f>INDEX('(2.2)_Forward_Price_Curve'!$H:$H,MATCH($AB34,'(2.2)_Forward_Price_Curve'!$C:$C,0),1)</f>
        <v>3.9925249999999992</v>
      </c>
      <c r="AO34" s="3"/>
      <c r="AP34" s="162">
        <f t="shared" si="15"/>
        <v>25.955001061760328</v>
      </c>
      <c r="AQ34" s="3"/>
      <c r="AR34" s="162">
        <f t="shared" si="16"/>
        <v>2.6726403248405601</v>
      </c>
      <c r="AS34" s="162"/>
      <c r="AT34" s="161">
        <f t="shared" si="3"/>
        <v>15453.665139621491</v>
      </c>
      <c r="AU34" s="3"/>
      <c r="AV34" s="161">
        <f t="shared" si="4"/>
        <v>29683.068481993181</v>
      </c>
      <c r="AW34" s="299"/>
      <c r="AX34" s="163">
        <f t="shared" si="8"/>
        <v>45136.733621614672</v>
      </c>
      <c r="AZ34" s="154">
        <f>+IF(AZ33&gt;$G$13+$G$14,XX,AZ33+1)</f>
        <v>2027</v>
      </c>
      <c r="BA34" s="124"/>
      <c r="BB34" s="162">
        <f t="shared" si="17"/>
        <v>68.72916969746494</v>
      </c>
      <c r="BC34" s="3"/>
      <c r="BD34" s="162">
        <f t="shared" si="18"/>
        <v>7.7429373014453606</v>
      </c>
      <c r="BE34" s="3"/>
      <c r="BF34" s="161">
        <f t="shared" si="9"/>
        <v>9276.2775598042499</v>
      </c>
      <c r="BG34" s="3"/>
      <c r="BH34" s="165"/>
    </row>
    <row r="35" spans="2:60" ht="12">
      <c r="B35" s="2"/>
      <c r="C35" s="6">
        <f>+IF(C34&gt;$G$13+$G$14,XX,C34+1)</f>
        <v>2028</v>
      </c>
      <c r="D35" s="6"/>
      <c r="E35" s="292">
        <f>'(2.2)_Forward_Price_Curve'!O40</f>
        <v>2.1999999999999999E-2</v>
      </c>
      <c r="F35" s="6"/>
      <c r="G35" s="20">
        <v>1036867.4136</v>
      </c>
      <c r="H35" s="6"/>
      <c r="I35" s="30">
        <f t="shared" si="10"/>
        <v>87.711209208158408</v>
      </c>
      <c r="J35" s="6"/>
      <c r="K35" s="30">
        <f t="shared" si="10"/>
        <v>1.1971682181659848</v>
      </c>
      <c r="L35" s="6"/>
      <c r="M35" s="30">
        <f t="shared" si="11"/>
        <v>0</v>
      </c>
      <c r="N35" s="6"/>
      <c r="O35" s="295">
        <f>'(2.2)_Forward_Price_Curve'!Y39</f>
        <v>1.3408534982838876</v>
      </c>
      <c r="P35" s="6"/>
      <c r="Q35" s="30">
        <v>-23.534403882619713</v>
      </c>
      <c r="R35" s="6"/>
      <c r="S35" s="20">
        <f t="shared" si="5"/>
        <v>5069.1655461027849</v>
      </c>
      <c r="T35" s="6"/>
      <c r="U35" s="20">
        <f t="shared" si="0"/>
        <v>45133.245866489582</v>
      </c>
      <c r="V35" s="6"/>
      <c r="W35" s="20">
        <f t="shared" si="1"/>
        <v>-40064.080320386798</v>
      </c>
      <c r="X35" s="6"/>
      <c r="Y35" s="296">
        <f t="shared" si="6"/>
        <v>-38.639540403034225</v>
      </c>
      <c r="Z35" s="255"/>
      <c r="AB35" s="154">
        <f>+IF(AB34&gt;$G$13+$G$14,XX,AB34+1)</f>
        <v>2028</v>
      </c>
      <c r="AC35" s="124"/>
      <c r="AD35" s="159">
        <f t="shared" si="2"/>
        <v>1036867.4136</v>
      </c>
      <c r="AE35" s="3"/>
      <c r="AF35" s="162">
        <f t="shared" si="12"/>
        <v>109.80044921679543</v>
      </c>
      <c r="AG35" s="3"/>
      <c r="AH35" s="162">
        <f t="shared" si="13"/>
        <v>23.003911713496414</v>
      </c>
      <c r="AI35" s="3"/>
      <c r="AJ35" s="162">
        <f t="shared" si="14"/>
        <v>2.6460864546450029</v>
      </c>
      <c r="AK35" s="3"/>
      <c r="AL35" s="161">
        <f t="shared" si="7"/>
        <v>25274.001438813106</v>
      </c>
      <c r="AM35" s="3"/>
      <c r="AN35" s="162">
        <f>INDEX('(2.2)_Forward_Price_Curve'!$H:$H,MATCH($AB35,'(2.2)_Forward_Price_Curve'!$C:$C,0),1)</f>
        <v>3.9325250000000005</v>
      </c>
      <c r="AO35" s="3"/>
      <c r="AP35" s="162">
        <f t="shared" si="15"/>
        <v>25.564947132553726</v>
      </c>
      <c r="AQ35" s="3"/>
      <c r="AR35" s="162">
        <f t="shared" si="16"/>
        <v>2.7314384119870527</v>
      </c>
      <c r="AS35" s="162"/>
      <c r="AT35" s="161">
        <f t="shared" si="3"/>
        <v>15793.645772693162</v>
      </c>
      <c r="AU35" s="3"/>
      <c r="AV35" s="161">
        <f t="shared" si="4"/>
        <v>29339.600093796424</v>
      </c>
      <c r="AW35" s="299"/>
      <c r="AX35" s="163">
        <f t="shared" si="8"/>
        <v>45133.245866489582</v>
      </c>
      <c r="AZ35" s="154">
        <f>+IF(AZ34&gt;$G$13+$G$14,XX,AZ34+1)</f>
        <v>2028</v>
      </c>
      <c r="BA35" s="124"/>
      <c r="BB35" s="162">
        <f t="shared" si="17"/>
        <v>70.241211430809173</v>
      </c>
      <c r="BC35" s="3"/>
      <c r="BD35" s="162">
        <f t="shared" si="18"/>
        <v>7.9132819220771591</v>
      </c>
      <c r="BE35" s="3"/>
      <c r="BF35" s="161">
        <f t="shared" si="9"/>
        <v>9480.3556661199436</v>
      </c>
      <c r="BG35" s="3"/>
      <c r="BH35" s="165"/>
    </row>
    <row r="36" spans="2:60" ht="12">
      <c r="B36" s="2"/>
      <c r="C36" s="6">
        <f>+IF(C35&gt;$G$13+$G$14,XX,C35+1)</f>
        <v>2029</v>
      </c>
      <c r="D36" s="6"/>
      <c r="E36" s="292">
        <f>'(2.2)_Forward_Price_Curve'!O41</f>
        <v>2.1999999999999999E-2</v>
      </c>
      <c r="F36" s="6"/>
      <c r="G36" s="20">
        <v>1036867.4136</v>
      </c>
      <c r="H36" s="6"/>
      <c r="I36" s="30">
        <f t="shared" si="10"/>
        <v>89.640855810737889</v>
      </c>
      <c r="J36" s="6"/>
      <c r="K36" s="30">
        <f t="shared" si="10"/>
        <v>1.2235059189656365</v>
      </c>
      <c r="L36" s="6"/>
      <c r="M36" s="30">
        <f t="shared" si="11"/>
        <v>0</v>
      </c>
      <c r="N36" s="6"/>
      <c r="O36" s="295">
        <f>'(2.2)_Forward_Price_Curve'!Y40</f>
        <v>1.3709529466223729</v>
      </c>
      <c r="P36" s="6"/>
      <c r="Q36" s="30">
        <v>-24.345935050985908</v>
      </c>
      <c r="R36" s="6"/>
      <c r="S36" s="20">
        <f t="shared" si="5"/>
        <v>4876.7050237502826</v>
      </c>
      <c r="T36" s="6"/>
      <c r="U36" s="20">
        <f t="shared" si="0"/>
        <v>47693.339275684702</v>
      </c>
      <c r="V36" s="6"/>
      <c r="W36" s="20">
        <f t="shared" si="1"/>
        <v>-42816.634251934418</v>
      </c>
      <c r="X36" s="6"/>
      <c r="Y36" s="296">
        <f t="shared" si="6"/>
        <v>-41.294223051407521</v>
      </c>
      <c r="Z36" s="255"/>
      <c r="AB36" s="154">
        <f>+IF(AB35&gt;$G$13+$G$14,XX,AB35+1)</f>
        <v>2029</v>
      </c>
      <c r="AC36" s="124"/>
      <c r="AD36" s="159">
        <f t="shared" si="2"/>
        <v>1036867.4136</v>
      </c>
      <c r="AE36" s="3"/>
      <c r="AF36" s="162">
        <f t="shared" si="12"/>
        <v>112.21605909956493</v>
      </c>
      <c r="AG36" s="3"/>
      <c r="AH36" s="162">
        <f t="shared" si="13"/>
        <v>23.509997771193337</v>
      </c>
      <c r="AI36" s="3"/>
      <c r="AJ36" s="162">
        <f t="shared" si="14"/>
        <v>2.704300356647193</v>
      </c>
      <c r="AK36" s="3"/>
      <c r="AL36" s="161">
        <f t="shared" si="7"/>
        <v>25830.029470466994</v>
      </c>
      <c r="AM36" s="3"/>
      <c r="AN36" s="162">
        <f>INDEX('(2.2)_Forward_Price_Curve'!$H:$H,MATCH($AB36,'(2.2)_Forward_Price_Curve'!$C:$C,0),1)</f>
        <v>4.2515375000000004</v>
      </c>
      <c r="AO36" s="3"/>
      <c r="AP36" s="162">
        <f t="shared" si="15"/>
        <v>27.638815117404125</v>
      </c>
      <c r="AQ36" s="3"/>
      <c r="AR36" s="162">
        <f t="shared" si="16"/>
        <v>2.791530057050768</v>
      </c>
      <c r="AS36" s="162"/>
      <c r="AT36" s="161">
        <f t="shared" si="3"/>
        <v>16141.105979692413</v>
      </c>
      <c r="AU36" s="3"/>
      <c r="AV36" s="161">
        <f t="shared" si="4"/>
        <v>31552.233295992286</v>
      </c>
      <c r="AW36" s="299"/>
      <c r="AX36" s="163">
        <f t="shared" si="8"/>
        <v>47693.339275684702</v>
      </c>
      <c r="AZ36" s="154">
        <f>+IF(AZ35&gt;$G$13+$G$14,XX,AZ35+1)</f>
        <v>2029</v>
      </c>
      <c r="BA36" s="124"/>
      <c r="BB36" s="162">
        <f t="shared" si="17"/>
        <v>71.786518082286975</v>
      </c>
      <c r="BC36" s="3"/>
      <c r="BD36" s="162">
        <f t="shared" si="18"/>
        <v>8.0873741243628565</v>
      </c>
      <c r="BE36" s="3"/>
      <c r="BF36" s="161">
        <f t="shared" si="9"/>
        <v>9688.9234907745813</v>
      </c>
      <c r="BG36" s="3"/>
      <c r="BH36" s="165"/>
    </row>
    <row r="37" spans="2:60" ht="12">
      <c r="B37" s="2"/>
      <c r="C37" s="6">
        <f>+IF(C36&gt;$G$13+$G$14,XX,C36+1)</f>
        <v>2030</v>
      </c>
      <c r="D37" s="6"/>
      <c r="E37" s="292">
        <f>'(2.2)_Forward_Price_Curve'!O42</f>
        <v>2.1999999999999999E-2</v>
      </c>
      <c r="F37" s="6"/>
      <c r="G37" s="20">
        <v>1036867.4136</v>
      </c>
      <c r="H37" s="6"/>
      <c r="I37" s="30">
        <f t="shared" si="10"/>
        <v>91.612954638574124</v>
      </c>
      <c r="J37" s="6"/>
      <c r="K37" s="30">
        <f t="shared" si="10"/>
        <v>1.2504230491828805</v>
      </c>
      <c r="L37" s="6"/>
      <c r="M37" s="30">
        <f t="shared" si="11"/>
        <v>0</v>
      </c>
      <c r="N37" s="6"/>
      <c r="O37" s="295">
        <f>'(2.2)_Forward_Price_Curve'!Y41</f>
        <v>1.4021626326399876</v>
      </c>
      <c r="P37" s="6"/>
      <c r="Q37" s="30">
        <v>-25.157466219352099</v>
      </c>
      <c r="R37" s="6"/>
      <c r="S37" s="20">
        <f t="shared" si="5"/>
        <v>4698.9868430787701</v>
      </c>
      <c r="T37" s="6"/>
      <c r="U37" s="20">
        <f t="shared" si="0"/>
        <v>51876.533257744552</v>
      </c>
      <c r="V37" s="6"/>
      <c r="W37" s="20">
        <f t="shared" si="1"/>
        <v>-47177.546414665783</v>
      </c>
      <c r="X37" s="6"/>
      <c r="Y37" s="296">
        <f t="shared" si="6"/>
        <v>-45.500076283490777</v>
      </c>
      <c r="Z37" s="255"/>
      <c r="AB37" s="154">
        <f>+IF(AB36&gt;$G$13+$G$14,XX,AB36+1)</f>
        <v>2030</v>
      </c>
      <c r="AC37" s="124"/>
      <c r="AD37" s="159">
        <f t="shared" si="2"/>
        <v>1036867.4136</v>
      </c>
      <c r="AE37" s="3"/>
      <c r="AF37" s="162">
        <f t="shared" si="12"/>
        <v>114.68481239975536</v>
      </c>
      <c r="AG37" s="3"/>
      <c r="AH37" s="162">
        <f t="shared" si="13"/>
        <v>24.027217722159591</v>
      </c>
      <c r="AI37" s="3"/>
      <c r="AJ37" s="162">
        <f t="shared" si="14"/>
        <v>2.7637949644934312</v>
      </c>
      <c r="AK37" s="3"/>
      <c r="AL37" s="161">
        <f t="shared" si="7"/>
        <v>26398.290118817269</v>
      </c>
      <c r="AM37" s="3"/>
      <c r="AN37" s="162">
        <f>INDEX('(2.2)_Forward_Price_Curve'!$H:$H,MATCH($AB37,'(2.2)_Forward_Price_Curve'!$C:$C,0),1)</f>
        <v>4.8100083333333341</v>
      </c>
      <c r="AO37" s="3"/>
      <c r="AP37" s="162">
        <f t="shared" si="15"/>
        <v>31.26937749888673</v>
      </c>
      <c r="AQ37" s="3"/>
      <c r="AR37" s="162">
        <f t="shared" si="16"/>
        <v>2.8529437183058848</v>
      </c>
      <c r="AS37" s="162"/>
      <c r="AT37" s="161">
        <f t="shared" si="3"/>
        <v>16496.210311245646</v>
      </c>
      <c r="AU37" s="3"/>
      <c r="AV37" s="161">
        <f t="shared" si="4"/>
        <v>35380.322946498905</v>
      </c>
      <c r="AW37" s="299"/>
      <c r="AX37" s="163">
        <f t="shared" si="8"/>
        <v>51876.533257744552</v>
      </c>
      <c r="AZ37" s="154">
        <f>+IF(AZ36&gt;$G$13+$G$14,XX,AZ36+1)</f>
        <v>2030</v>
      </c>
      <c r="BA37" s="124"/>
      <c r="BB37" s="162">
        <f t="shared" si="17"/>
        <v>73.365821480097296</v>
      </c>
      <c r="BC37" s="3"/>
      <c r="BD37" s="162">
        <f t="shared" si="18"/>
        <v>8.2652963550988403</v>
      </c>
      <c r="BE37" s="3"/>
      <c r="BF37" s="161">
        <f t="shared" si="9"/>
        <v>9902.0798075716248</v>
      </c>
      <c r="BG37" s="3"/>
      <c r="BH37" s="165"/>
    </row>
    <row r="38" spans="2:60" ht="12">
      <c r="B38" s="2"/>
      <c r="C38" s="6">
        <f>+IF(C37&gt;$G$13+$G$14,XX,C37+1)</f>
        <v>2031</v>
      </c>
      <c r="D38" s="6"/>
      <c r="E38" s="292">
        <f>'(2.2)_Forward_Price_Curve'!O43</f>
        <v>2.1999999999999999E-2</v>
      </c>
      <c r="F38" s="6"/>
      <c r="G38" s="20">
        <v>1036867.4136</v>
      </c>
      <c r="H38" s="6"/>
      <c r="I38" s="30">
        <f t="shared" si="10"/>
        <v>93.628439640622759</v>
      </c>
      <c r="J38" s="6"/>
      <c r="K38" s="30">
        <f t="shared" si="10"/>
        <v>1.2779323562649039</v>
      </c>
      <c r="L38" s="6"/>
      <c r="M38" s="30">
        <f t="shared" si="11"/>
        <v>0</v>
      </c>
      <c r="N38" s="6"/>
      <c r="O38" s="295">
        <f>'(2.2)_Forward_Price_Curve'!Y42</f>
        <v>1.4335840474923813</v>
      </c>
      <c r="P38" s="6"/>
      <c r="Q38" s="30">
        <v>0</v>
      </c>
      <c r="R38" s="6"/>
      <c r="S38" s="20">
        <f t="shared" si="5"/>
        <v>31461.785530528352</v>
      </c>
      <c r="T38" s="6"/>
      <c r="U38" s="20">
        <f t="shared" si="0"/>
        <v>54401.098707515412</v>
      </c>
      <c r="V38" s="6"/>
      <c r="W38" s="20">
        <f t="shared" si="1"/>
        <v>-22939.31317698706</v>
      </c>
      <c r="X38" s="6"/>
      <c r="Y38" s="296">
        <f t="shared" si="6"/>
        <v>-22.123670660399913</v>
      </c>
      <c r="Z38" s="255"/>
      <c r="AB38" s="154">
        <f>+IF(AB37&gt;$G$13+$G$14,XX,AB37+1)</f>
        <v>2031</v>
      </c>
      <c r="AC38" s="124"/>
      <c r="AD38" s="159">
        <f t="shared" si="2"/>
        <v>1036867.4136</v>
      </c>
      <c r="AE38" s="3"/>
      <c r="AF38" s="162">
        <f t="shared" si="12"/>
        <v>117.20787827254998</v>
      </c>
      <c r="AG38" s="3"/>
      <c r="AH38" s="162">
        <f t="shared" si="13"/>
        <v>24.555816512047102</v>
      </c>
      <c r="AI38" s="3"/>
      <c r="AJ38" s="162">
        <f t="shared" si="14"/>
        <v>2.8245984537122868</v>
      </c>
      <c r="AK38" s="3"/>
      <c r="AL38" s="161">
        <f t="shared" si="7"/>
        <v>26979.052501431244</v>
      </c>
      <c r="AM38" s="3"/>
      <c r="AN38" s="162">
        <f>INDEX('(2.2)_Forward_Price_Curve'!$H:$H,MATCH($AB38,'(2.2)_Forward_Price_Curve'!$C:$C,0),1)</f>
        <v>5.1210458333333335</v>
      </c>
      <c r="AO38" s="3"/>
      <c r="AP38" s="162">
        <f t="shared" si="15"/>
        <v>33.291400815646746</v>
      </c>
      <c r="AQ38" s="3"/>
      <c r="AR38" s="162">
        <f t="shared" si="16"/>
        <v>2.9157084801086142</v>
      </c>
      <c r="AS38" s="162"/>
      <c r="AT38" s="161">
        <f t="shared" si="3"/>
        <v>16859.126938093043</v>
      </c>
      <c r="AU38" s="3"/>
      <c r="AV38" s="161">
        <f t="shared" si="4"/>
        <v>37541.971769422373</v>
      </c>
      <c r="AW38" s="299"/>
      <c r="AX38" s="163">
        <f t="shared" si="8"/>
        <v>54401.098707515412</v>
      </c>
      <c r="AZ38" s="154">
        <f>+IF(AZ37&gt;$G$13+$G$14,XX,AZ37+1)</f>
        <v>2031</v>
      </c>
      <c r="BA38" s="124"/>
      <c r="BB38" s="162">
        <f t="shared" si="17"/>
        <v>74.979869552659437</v>
      </c>
      <c r="BC38" s="3"/>
      <c r="BD38" s="162">
        <f t="shared" si="18"/>
        <v>8.4471328749110146</v>
      </c>
      <c r="BE38" s="3"/>
      <c r="BF38" s="161">
        <f t="shared" si="9"/>
        <v>10119.925563338202</v>
      </c>
      <c r="BG38" s="3"/>
      <c r="BH38" s="165"/>
    </row>
    <row r="39" spans="2:60" ht="12">
      <c r="B39" s="2"/>
      <c r="C39" s="6">
        <f>+IF(C38&gt;$G$13+$G$14,XX,C38+1)</f>
        <v>2032</v>
      </c>
      <c r="D39" s="6"/>
      <c r="E39" s="292">
        <f>'(2.2)_Forward_Price_Curve'!O44</f>
        <v>2.1999999999999999E-2</v>
      </c>
      <c r="F39" s="6"/>
      <c r="G39" s="20">
        <v>1036867.4136</v>
      </c>
      <c r="H39" s="6"/>
      <c r="I39" s="30">
        <f t="shared" si="10"/>
        <v>95.688265312716467</v>
      </c>
      <c r="J39" s="6"/>
      <c r="K39" s="30">
        <f t="shared" si="10"/>
        <v>1.3060468681027317</v>
      </c>
      <c r="L39" s="6"/>
      <c r="M39" s="30">
        <f t="shared" si="11"/>
        <v>0</v>
      </c>
      <c r="N39" s="6"/>
      <c r="O39" s="295">
        <f>'(2.2)_Forward_Price_Curve'!Y43</f>
        <v>1.4649463685254571</v>
      </c>
      <c r="P39" s="6"/>
      <c r="Q39" s="30">
        <v>0</v>
      </c>
      <c r="R39" s="6"/>
      <c r="S39" s="20">
        <f t="shared" si="5"/>
        <v>32153.761776057003</v>
      </c>
      <c r="T39" s="6"/>
      <c r="U39" s="20">
        <f t="shared" si="0"/>
        <v>56874.89238101495</v>
      </c>
      <c r="V39" s="6"/>
      <c r="W39" s="20">
        <f t="shared" si="1"/>
        <v>-24721.130604957947</v>
      </c>
      <c r="X39" s="6"/>
      <c r="Y39" s="296">
        <f t="shared" si="6"/>
        <v>-23.842132832708348</v>
      </c>
      <c r="Z39" s="255"/>
      <c r="AB39" s="154">
        <f>+IF(AB38&gt;$G$13+$G$14,XX,AB38+1)</f>
        <v>2032</v>
      </c>
      <c r="AC39" s="124"/>
      <c r="AD39" s="159">
        <f t="shared" si="2"/>
        <v>1036867.4136</v>
      </c>
      <c r="AE39" s="3"/>
      <c r="AF39" s="162">
        <f t="shared" si="12"/>
        <v>119.78645159454608</v>
      </c>
      <c r="AG39" s="3"/>
      <c r="AH39" s="162">
        <f t="shared" si="13"/>
        <v>25.096044475312137</v>
      </c>
      <c r="AI39" s="3"/>
      <c r="AJ39" s="162">
        <f t="shared" si="14"/>
        <v>2.886739619693957</v>
      </c>
      <c r="AK39" s="3"/>
      <c r="AL39" s="161">
        <f t="shared" si="7"/>
        <v>27572.591656462733</v>
      </c>
      <c r="AM39" s="3"/>
      <c r="AN39" s="162">
        <f>INDEX('(2.2)_Forward_Price_Curve'!$H:$H,MATCH($AB39,'(2.2)_Forward_Price_Curve'!$C:$C,0),1)</f>
        <v>5.4231541666666665</v>
      </c>
      <c r="AO39" s="3"/>
      <c r="AP39" s="162">
        <f t="shared" si="15"/>
        <v>35.255376523358855</v>
      </c>
      <c r="AQ39" s="3"/>
      <c r="AR39" s="162">
        <f t="shared" si="16"/>
        <v>2.9798540666710038</v>
      </c>
      <c r="AS39" s="162"/>
      <c r="AT39" s="161">
        <f t="shared" si="3"/>
        <v>17230.02773073109</v>
      </c>
      <c r="AU39" s="3"/>
      <c r="AV39" s="161">
        <f t="shared" si="4"/>
        <v>39644.86465028386</v>
      </c>
      <c r="AW39" s="299"/>
      <c r="AX39" s="163">
        <f t="shared" si="8"/>
        <v>56874.89238101495</v>
      </c>
      <c r="AZ39" s="154">
        <f>+IF(AZ38&gt;$G$13+$G$14,XX,AZ38+1)</f>
        <v>2032</v>
      </c>
      <c r="BA39" s="124"/>
      <c r="BB39" s="162">
        <f t="shared" si="17"/>
        <v>76.62942668281795</v>
      </c>
      <c r="BC39" s="3"/>
      <c r="BD39" s="162">
        <f t="shared" si="18"/>
        <v>8.6329697981590563</v>
      </c>
      <c r="BE39" s="3"/>
      <c r="BF39" s="161">
        <f t="shared" si="9"/>
        <v>10342.563925731642</v>
      </c>
      <c r="BG39" s="3"/>
      <c r="BH39" s="165"/>
    </row>
    <row r="40" spans="2:60" ht="12">
      <c r="B40" s="2"/>
      <c r="C40" s="6">
        <f>+IF(C39&gt;$G$13+$G$14,XX,C39+1)</f>
        <v>2033</v>
      </c>
      <c r="D40" s="6"/>
      <c r="E40" s="292">
        <f>'(2.2)_Forward_Price_Curve'!O45</f>
        <v>2.1999999999999999E-2</v>
      </c>
      <c r="F40" s="6"/>
      <c r="G40" s="20">
        <v>1036867.4136</v>
      </c>
      <c r="H40" s="6"/>
      <c r="I40" s="30">
        <f t="shared" si="10"/>
        <v>97.793407149596234</v>
      </c>
      <c r="J40" s="6"/>
      <c r="K40" s="30">
        <f t="shared" si="10"/>
        <v>1.3347798992009918</v>
      </c>
      <c r="L40" s="6"/>
      <c r="M40" s="30">
        <f t="shared" si="11"/>
        <v>0</v>
      </c>
      <c r="N40" s="6"/>
      <c r="O40" s="295">
        <f>'(2.2)_Forward_Price_Curve'!Y44</f>
        <v>1.4965465421812867</v>
      </c>
      <c r="P40" s="6"/>
      <c r="Q40" s="30">
        <v>0</v>
      </c>
      <c r="R40" s="6"/>
      <c r="S40" s="20">
        <f t="shared" si="5"/>
        <v>32860.492712109779</v>
      </c>
      <c r="T40" s="6"/>
      <c r="U40" s="20">
        <f t="shared" si="0"/>
        <v>59459.558082987991</v>
      </c>
      <c r="V40" s="6"/>
      <c r="W40" s="20">
        <f t="shared" si="1"/>
        <v>-26599.065370878212</v>
      </c>
      <c r="X40" s="6"/>
      <c r="Y40" s="296">
        <f t="shared" si="6"/>
        <v>-25.653294743371625</v>
      </c>
      <c r="Z40" s="255"/>
      <c r="AB40" s="154">
        <f>+IF(AB39&gt;$G$13+$G$14,XX,AB39+1)</f>
        <v>2033</v>
      </c>
      <c r="AC40" s="124"/>
      <c r="AD40" s="159">
        <f t="shared" si="2"/>
        <v>1036867.4136</v>
      </c>
      <c r="AE40" s="3"/>
      <c r="AF40" s="162">
        <f t="shared" si="12"/>
        <v>122.4217535296261</v>
      </c>
      <c r="AG40" s="3"/>
      <c r="AH40" s="162">
        <f t="shared" si="13"/>
        <v>25.648157453769006</v>
      </c>
      <c r="AI40" s="3"/>
      <c r="AJ40" s="162">
        <f t="shared" si="14"/>
        <v>2.9502478913272241</v>
      </c>
      <c r="AK40" s="3"/>
      <c r="AL40" s="161">
        <f t="shared" si="7"/>
        <v>28179.188672904918</v>
      </c>
      <c r="AM40" s="3"/>
      <c r="AN40" s="162">
        <f>INDEX('(2.2)_Forward_Price_Curve'!$H:$H,MATCH($AB40,'(2.2)_Forward_Price_Curve'!$C:$C,0),1)</f>
        <v>5.7402833333333332</v>
      </c>
      <c r="AO40" s="3"/>
      <c r="AP40" s="162">
        <f t="shared" si="15"/>
        <v>37.317001148764703</v>
      </c>
      <c r="AQ40" s="3"/>
      <c r="AR40" s="162">
        <f t="shared" si="16"/>
        <v>3.045410856137766</v>
      </c>
      <c r="AS40" s="162"/>
      <c r="AT40" s="161">
        <f t="shared" si="3"/>
        <v>17609.088340807182</v>
      </c>
      <c r="AU40" s="3"/>
      <c r="AV40" s="161">
        <f t="shared" si="4"/>
        <v>41850.469742180809</v>
      </c>
      <c r="AW40" s="299"/>
      <c r="AX40" s="163">
        <f t="shared" si="8"/>
        <v>59459.558082987991</v>
      </c>
      <c r="AZ40" s="154">
        <f>+IF(AZ39&gt;$G$13+$G$14,XX,AZ39+1)</f>
        <v>2033</v>
      </c>
      <c r="BA40" s="124"/>
      <c r="BB40" s="162">
        <f t="shared" si="17"/>
        <v>78.315274069839944</v>
      </c>
      <c r="BC40" s="3"/>
      <c r="BD40" s="162">
        <f t="shared" si="18"/>
        <v>8.8228951337185553</v>
      </c>
      <c r="BE40" s="3"/>
      <c r="BF40" s="161">
        <f t="shared" si="9"/>
        <v>10570.100332097738</v>
      </c>
      <c r="BG40" s="3"/>
      <c r="BH40" s="165"/>
    </row>
    <row r="41" spans="2:60" ht="12">
      <c r="B41" s="2"/>
      <c r="C41" s="6">
        <f>+IF(C40&gt;$G$13+$G$14,XX,C40+1)</f>
        <v>2034</v>
      </c>
      <c r="D41" s="6"/>
      <c r="E41" s="292">
        <f>'(2.2)_Forward_Price_Curve'!O46</f>
        <v>2.1999999999999999E-2</v>
      </c>
      <c r="F41" s="6"/>
      <c r="G41" s="20">
        <v>1036867.4136</v>
      </c>
      <c r="H41" s="6"/>
      <c r="I41" s="30">
        <f t="shared" si="10"/>
        <v>99.944862106887356</v>
      </c>
      <c r="J41" s="6"/>
      <c r="K41" s="30">
        <f t="shared" si="10"/>
        <v>1.3641450569834137</v>
      </c>
      <c r="L41" s="6"/>
      <c r="M41" s="30">
        <f t="shared" si="11"/>
        <v>0</v>
      </c>
      <c r="N41" s="6"/>
      <c r="O41" s="295">
        <f>'(2.2)_Forward_Price_Curve'!Y45</f>
        <v>1.5286401492284176</v>
      </c>
      <c r="P41" s="6"/>
      <c r="Q41" s="30">
        <v>0</v>
      </c>
      <c r="R41" s="6"/>
      <c r="S41" s="20">
        <f t="shared" si="5"/>
        <v>33582.562519572733</v>
      </c>
      <c r="T41" s="6"/>
      <c r="U41" s="20">
        <f t="shared" si="0"/>
        <v>61996.201979337842</v>
      </c>
      <c r="V41" s="6"/>
      <c r="W41" s="20">
        <f t="shared" si="1"/>
        <v>-28413.639459765109</v>
      </c>
      <c r="X41" s="6"/>
      <c r="Y41" s="296">
        <f t="shared" si="6"/>
        <v>-27.40334886320041</v>
      </c>
      <c r="Z41" s="255"/>
      <c r="AB41" s="154">
        <f>+IF(AB40&gt;$G$13+$G$14,XX,AB40+1)</f>
        <v>2034</v>
      </c>
      <c r="AC41" s="124"/>
      <c r="AD41" s="159">
        <f t="shared" si="2"/>
        <v>1036867.4136</v>
      </c>
      <c r="AE41" s="3"/>
      <c r="AF41" s="162">
        <f t="shared" si="12"/>
        <v>125.11503210727788</v>
      </c>
      <c r="AG41" s="3"/>
      <c r="AH41" s="162">
        <f t="shared" si="13"/>
        <v>26.212416917751924</v>
      </c>
      <c r="AI41" s="3"/>
      <c r="AJ41" s="162">
        <f t="shared" si="14"/>
        <v>3.0151533449364232</v>
      </c>
      <c r="AK41" s="3"/>
      <c r="AL41" s="161">
        <f t="shared" si="7"/>
        <v>28799.130823708823</v>
      </c>
      <c r="AM41" s="3"/>
      <c r="AN41" s="162">
        <f>INDEX('(2.2)_Forward_Price_Curve'!$H:$H,MATCH($AB41,'(2.2)_Forward_Price_Curve'!$C:$C,0),1)</f>
        <v>6.0488291666666667</v>
      </c>
      <c r="AO41" s="3"/>
      <c r="AP41" s="162">
        <f t="shared" si="15"/>
        <v>39.322826392631285</v>
      </c>
      <c r="AQ41" s="3"/>
      <c r="AR41" s="162">
        <f t="shared" si="16"/>
        <v>3.1124098949727967</v>
      </c>
      <c r="AS41" s="162"/>
      <c r="AT41" s="161">
        <f t="shared" si="3"/>
        <v>17996.488284304934</v>
      </c>
      <c r="AU41" s="3"/>
      <c r="AV41" s="161">
        <f t="shared" si="4"/>
        <v>43999.713695032908</v>
      </c>
      <c r="AW41" s="299"/>
      <c r="AX41" s="163">
        <f t="shared" si="8"/>
        <v>61996.201979337842</v>
      </c>
      <c r="AZ41" s="154">
        <f>+IF(AZ40&gt;$G$13+$G$14,XX,AZ40+1)</f>
        <v>2034</v>
      </c>
      <c r="BA41" s="124"/>
      <c r="BB41" s="162">
        <f t="shared" si="17"/>
        <v>80.038210099376428</v>
      </c>
      <c r="BC41" s="3"/>
      <c r="BD41" s="162">
        <f t="shared" si="18"/>
        <v>9.0169988266603642</v>
      </c>
      <c r="BE41" s="3"/>
      <c r="BF41" s="161">
        <f t="shared" si="9"/>
        <v>10802.642539403889</v>
      </c>
      <c r="BG41" s="3"/>
      <c r="BH41" s="165"/>
    </row>
    <row r="42" spans="2:60" ht="12">
      <c r="B42" s="2"/>
      <c r="C42" s="6">
        <f>+IF(C41&gt;$G$13+$G$14,XX,C41+1)</f>
        <v>2035</v>
      </c>
      <c r="D42" s="6"/>
      <c r="E42" s="292">
        <f>'(2.2)_Forward_Price_Curve'!O47</f>
        <v>2.1999999999999999E-2</v>
      </c>
      <c r="F42" s="6"/>
      <c r="G42" s="20">
        <v>1036867.4136</v>
      </c>
      <c r="H42" s="6"/>
      <c r="I42" s="30">
        <f t="shared" si="10"/>
        <v>102.14364907323888</v>
      </c>
      <c r="J42" s="6"/>
      <c r="K42" s="30">
        <f t="shared" si="10"/>
        <v>1.3941562482370489</v>
      </c>
      <c r="L42" s="6"/>
      <c r="M42" s="30">
        <f t="shared" si="11"/>
        <v>0</v>
      </c>
      <c r="N42" s="6"/>
      <c r="O42" s="295">
        <f>'(2.2)_Forward_Price_Curve'!Y46</f>
        <v>1.5607569013547813</v>
      </c>
      <c r="P42" s="6"/>
      <c r="Q42" s="30">
        <v>0</v>
      </c>
      <c r="R42" s="6"/>
      <c r="S42" s="20">
        <f t="shared" si="5"/>
        <v>34319.809771241002</v>
      </c>
      <c r="T42" s="6"/>
      <c r="U42" s="20">
        <f t="shared" si="0"/>
        <v>60313.610514305139</v>
      </c>
      <c r="V42" s="6"/>
      <c r="W42" s="20">
        <f t="shared" si="1"/>
        <v>-25993.800743064137</v>
      </c>
      <c r="X42" s="6"/>
      <c r="Y42" s="296">
        <f t="shared" si="6"/>
        <v>-25.069551229133292</v>
      </c>
      <c r="Z42" s="255"/>
      <c r="AB42" s="154">
        <f>+IF(AB41&gt;$G$13+$G$14,XX,AB41+1)</f>
        <v>2035</v>
      </c>
      <c r="AC42" s="124"/>
      <c r="AD42" s="159">
        <f t="shared" si="2"/>
        <v>1036867.4136</v>
      </c>
      <c r="AE42" s="3"/>
      <c r="AF42" s="162">
        <f t="shared" si="12"/>
        <v>127.867562813638</v>
      </c>
      <c r="AG42" s="3"/>
      <c r="AH42" s="162">
        <f t="shared" si="13"/>
        <v>26.789090089942466</v>
      </c>
      <c r="AI42" s="3"/>
      <c r="AJ42" s="162">
        <f t="shared" si="14"/>
        <v>3.0814867185250248</v>
      </c>
      <c r="AK42" s="3"/>
      <c r="AL42" s="161">
        <f t="shared" si="7"/>
        <v>29432.71170183042</v>
      </c>
      <c r="AM42" s="3"/>
      <c r="AN42" s="162">
        <f>INDEX('(2.2)_Forward_Price_Curve'!$H:$H,MATCH($AB42,'(2.2)_Forward_Price_Curve'!$C:$C,0),1)</f>
        <v>5.7299374999999992</v>
      </c>
      <c r="AO42" s="3"/>
      <c r="AP42" s="162">
        <f t="shared" si="15"/>
        <v>37.24974393305498</v>
      </c>
      <c r="AQ42" s="3"/>
      <c r="AR42" s="162">
        <f t="shared" si="16"/>
        <v>3.1808829126621982</v>
      </c>
      <c r="AS42" s="162"/>
      <c r="AT42" s="161">
        <f t="shared" si="3"/>
        <v>18392.411026559646</v>
      </c>
      <c r="AU42" s="3"/>
      <c r="AV42" s="161">
        <f t="shared" si="4"/>
        <v>41921.199487745493</v>
      </c>
      <c r="AW42" s="299"/>
      <c r="AX42" s="163">
        <f t="shared" si="8"/>
        <v>60313.610514305139</v>
      </c>
      <c r="AZ42" s="154">
        <f>+IF(AZ41&gt;$G$13+$G$14,XX,AZ41+1)</f>
        <v>2035</v>
      </c>
      <c r="BA42" s="124"/>
      <c r="BB42" s="162">
        <f t="shared" si="17"/>
        <v>81.799050721562708</v>
      </c>
      <c r="BC42" s="3"/>
      <c r="BD42" s="162">
        <f t="shared" si="18"/>
        <v>9.2153728008468931</v>
      </c>
      <c r="BE42" s="3"/>
      <c r="BF42" s="161">
        <f t="shared" si="9"/>
        <v>11040.300675270773</v>
      </c>
      <c r="BG42" s="3"/>
      <c r="BH42" s="165"/>
    </row>
    <row r="43" spans="2:60" ht="12">
      <c r="B43" s="2"/>
      <c r="C43" s="6">
        <f>+IF(C42&gt;$G$13+$G$14,XX,C42+1)</f>
        <v>2036</v>
      </c>
      <c r="D43" s="6"/>
      <c r="E43" s="292">
        <f>'(2.2)_Forward_Price_Curve'!O48</f>
        <v>2.1999999999999999E-2</v>
      </c>
      <c r="F43" s="6"/>
      <c r="G43" s="20">
        <v>1036867.4136</v>
      </c>
      <c r="H43" s="6"/>
      <c r="I43" s="30">
        <f t="shared" si="10"/>
        <v>104.39080935285013</v>
      </c>
      <c r="J43" s="6"/>
      <c r="K43" s="30">
        <f t="shared" si="10"/>
        <v>1.424827685698264</v>
      </c>
      <c r="L43" s="6"/>
      <c r="M43" s="30">
        <f t="shared" si="11"/>
        <v>0</v>
      </c>
      <c r="N43" s="6"/>
      <c r="O43" s="295">
        <f>'(2.2)_Forward_Price_Curve'!Y47</f>
        <v>1.5935251628391218</v>
      </c>
      <c r="P43" s="6"/>
      <c r="Q43" s="30">
        <v>0</v>
      </c>
      <c r="R43" s="6"/>
      <c r="S43" s="20">
        <f t="shared" si="5"/>
        <v>35073.219373367298</v>
      </c>
      <c r="T43" s="6"/>
      <c r="U43" s="20">
        <f t="shared" si="0"/>
        <v>61113.872851279826</v>
      </c>
      <c r="V43" s="6"/>
      <c r="W43" s="20">
        <f t="shared" si="1"/>
        <v>-26040.653477912529</v>
      </c>
      <c r="X43" s="6"/>
      <c r="Y43" s="296">
        <f t="shared" si="6"/>
        <v>-25.114738043024687</v>
      </c>
      <c r="Z43" s="255"/>
      <c r="AB43" s="154">
        <f>+IF(AB42&gt;$G$13+$G$14,XX,AB42+1)</f>
        <v>2036</v>
      </c>
      <c r="AC43" s="124"/>
      <c r="AD43" s="159">
        <f t="shared" si="2"/>
        <v>1036867.4136</v>
      </c>
      <c r="AE43" s="3"/>
      <c r="AF43" s="162">
        <f t="shared" si="12"/>
        <v>130.68064919553805</v>
      </c>
      <c r="AG43" s="3"/>
      <c r="AH43" s="162">
        <f t="shared" si="13"/>
        <v>27.378450071921201</v>
      </c>
      <c r="AI43" s="3"/>
      <c r="AJ43" s="162">
        <f t="shared" si="14"/>
        <v>3.1492794263325754</v>
      </c>
      <c r="AK43" s="3"/>
      <c r="AL43" s="161">
        <f t="shared" si="7"/>
        <v>30080.231359270692</v>
      </c>
      <c r="AM43" s="3"/>
      <c r="AN43" s="162">
        <f>INDEX('(2.2)_Forward_Price_Curve'!$H:$H,MATCH($AB43,'(2.2)_Forward_Price_Curve'!$C:$C,0),1)</f>
        <v>5.7778666666666672</v>
      </c>
      <c r="AO43" s="3"/>
      <c r="AP43" s="162">
        <f t="shared" si="15"/>
        <v>37.561326596087184</v>
      </c>
      <c r="AQ43" s="3"/>
      <c r="AR43" s="162">
        <f t="shared" si="16"/>
        <v>3.2508623367407665</v>
      </c>
      <c r="AS43" s="162"/>
      <c r="AT43" s="161">
        <f t="shared" si="3"/>
        <v>18797.044069143962</v>
      </c>
      <c r="AU43" s="3"/>
      <c r="AV43" s="161">
        <f t="shared" si="4"/>
        <v>42316.828782135861</v>
      </c>
      <c r="AW43" s="299"/>
      <c r="AX43" s="163">
        <f t="shared" si="8"/>
        <v>61113.872851279826</v>
      </c>
      <c r="AZ43" s="154">
        <f>+IF(AZ42&gt;$G$13+$G$14,XX,AZ42+1)</f>
        <v>2036</v>
      </c>
      <c r="BA43" s="124"/>
      <c r="BB43" s="162">
        <f t="shared" si="17"/>
        <v>83.598629837437088</v>
      </c>
      <c r="BC43" s="3"/>
      <c r="BD43" s="162">
        <f t="shared" si="18"/>
        <v>9.4181110024655244</v>
      </c>
      <c r="BE43" s="3"/>
      <c r="BF43" s="161">
        <f t="shared" si="9"/>
        <v>11283.187290126731</v>
      </c>
      <c r="BG43" s="3"/>
      <c r="BH43" s="165"/>
    </row>
    <row r="44" spans="2:60" ht="12">
      <c r="B44" s="2"/>
      <c r="C44" s="6">
        <f>+IF(C43&gt;$G$13+$G$14,XX,C43+1)</f>
        <v>2037</v>
      </c>
      <c r="D44" s="6"/>
      <c r="E44" s="292">
        <f>'(2.2)_Forward_Price_Curve'!O49</f>
        <v>2.1999999999999999E-2</v>
      </c>
      <c r="F44" s="6"/>
      <c r="G44" s="20">
        <v>1036867.4136</v>
      </c>
      <c r="H44" s="6"/>
      <c r="I44" s="30">
        <f t="shared" si="10"/>
        <v>106.68740715861283</v>
      </c>
      <c r="J44" s="6"/>
      <c r="K44" s="30">
        <f t="shared" si="10"/>
        <v>1.4561738947836258</v>
      </c>
      <c r="L44" s="6"/>
      <c r="M44" s="30">
        <f t="shared" si="11"/>
        <v>0</v>
      </c>
      <c r="N44" s="6"/>
      <c r="O44" s="295">
        <f>'(2.2)_Forward_Price_Curve'!Y48</f>
        <v>1.6267336732773778</v>
      </c>
      <c r="P44" s="6"/>
      <c r="Q44" s="30">
        <v>0</v>
      </c>
      <c r="R44" s="6"/>
      <c r="S44" s="20">
        <f t="shared" si="5"/>
        <v>35842.912986998803</v>
      </c>
      <c r="T44" s="6"/>
      <c r="U44" s="20">
        <f t="shared" si="0"/>
        <v>63896.109760716776</v>
      </c>
      <c r="V44" s="6"/>
      <c r="W44" s="20">
        <f t="shared" si="1"/>
        <v>-28053.196773717973</v>
      </c>
      <c r="X44" s="6"/>
      <c r="Y44" s="296">
        <f t="shared" si="6"/>
        <v>-27.055722270523841</v>
      </c>
      <c r="Z44" s="255"/>
      <c r="AB44" s="154">
        <f>+IF(AB43&gt;$G$13+$G$14,XX,AB43+1)</f>
        <v>2037</v>
      </c>
      <c r="AC44" s="124"/>
      <c r="AD44" s="159">
        <f t="shared" si="2"/>
        <v>1036867.4136</v>
      </c>
      <c r="AE44" s="3"/>
      <c r="AF44" s="162">
        <f t="shared" si="12"/>
        <v>133.5556234778399</v>
      </c>
      <c r="AG44" s="3"/>
      <c r="AH44" s="162">
        <f t="shared" si="13"/>
        <v>27.980775973503466</v>
      </c>
      <c r="AI44" s="3"/>
      <c r="AJ44" s="162">
        <f t="shared" si="14"/>
        <v>3.2185635737118923</v>
      </c>
      <c r="AK44" s="3"/>
      <c r="AL44" s="161">
        <f t="shared" si="7"/>
        <v>30741.996449174647</v>
      </c>
      <c r="AM44" s="3"/>
      <c r="AN44" s="162">
        <f>INDEX('(2.2)_Forward_Price_Curve'!$H:$H,MATCH($AB44,'(2.2)_Forward_Price_Curve'!$C:$C,0),1)</f>
        <v>6.1182749999999997</v>
      </c>
      <c r="AO44" s="3"/>
      <c r="AP44" s="162">
        <f t="shared" si="15"/>
        <v>39.774286728609511</v>
      </c>
      <c r="AQ44" s="3"/>
      <c r="AR44" s="162">
        <f t="shared" si="16"/>
        <v>3.3223813081490636</v>
      </c>
      <c r="AS44" s="162"/>
      <c r="AT44" s="161">
        <f t="shared" si="3"/>
        <v>19210.579038665128</v>
      </c>
      <c r="AU44" s="3"/>
      <c r="AV44" s="161">
        <f t="shared" si="4"/>
        <v>44685.530722051648</v>
      </c>
      <c r="AW44" s="299"/>
      <c r="AX44" s="163">
        <f t="shared" si="8"/>
        <v>63896.109760716776</v>
      </c>
      <c r="AZ44" s="154">
        <f>+IF(AZ43&gt;$G$13+$G$14,XX,AZ43+1)</f>
        <v>2037</v>
      </c>
      <c r="BA44" s="124"/>
      <c r="BB44" s="162">
        <f t="shared" si="17"/>
        <v>85.437799693860711</v>
      </c>
      <c r="BC44" s="3"/>
      <c r="BD44" s="162">
        <f t="shared" si="18"/>
        <v>9.6253094445197664</v>
      </c>
      <c r="BE44" s="3"/>
      <c r="BF44" s="161">
        <f t="shared" si="9"/>
        <v>11531.417410509521</v>
      </c>
      <c r="BG44" s="3"/>
      <c r="BH44" s="165"/>
    </row>
    <row r="45" spans="2:60" ht="12">
      <c r="B45" s="2"/>
      <c r="C45" s="6">
        <f>+IF(C44&gt;$G$13+$G$14,XX,C44+1)</f>
        <v>2038</v>
      </c>
      <c r="D45" s="6"/>
      <c r="E45" s="292">
        <f>'(2.2)_Forward_Price_Curve'!O50</f>
        <v>2.1999999999999999E-2</v>
      </c>
      <c r="F45" s="6"/>
      <c r="G45" s="20">
        <v>1036867.4136</v>
      </c>
      <c r="H45" s="6"/>
      <c r="I45" s="30">
        <f t="shared" si="10"/>
        <v>109.03453011610232</v>
      </c>
      <c r="J45" s="6"/>
      <c r="K45" s="30">
        <f t="shared" si="10"/>
        <v>1.4882097204688656</v>
      </c>
      <c r="L45" s="6"/>
      <c r="M45" s="30">
        <f t="shared" si="11"/>
        <v>0</v>
      </c>
      <c r="N45" s="6"/>
      <c r="O45" s="295">
        <f>'(2.2)_Forward_Price_Curve'!Y49</f>
        <v>1.6606577113778709</v>
      </c>
      <c r="P45" s="6"/>
      <c r="Q45" s="30">
        <v>0</v>
      </c>
      <c r="R45" s="6"/>
      <c r="S45" s="20">
        <f t="shared" si="5"/>
        <v>36629.524245355511</v>
      </c>
      <c r="T45" s="6"/>
      <c r="U45" s="20">
        <f t="shared" si="0"/>
        <v>67721.590782457104</v>
      </c>
      <c r="V45" s="6"/>
      <c r="W45" s="20">
        <f t="shared" si="1"/>
        <v>-31092.066537101593</v>
      </c>
      <c r="X45" s="6"/>
      <c r="Y45" s="296">
        <f t="shared" si="6"/>
        <v>-29.986540351528696</v>
      </c>
      <c r="Z45" s="255"/>
      <c r="AB45" s="154">
        <f>+IF(AB44&gt;$G$13+$G$14,XX,AB44+1)</f>
        <v>2038</v>
      </c>
      <c r="AC45" s="124"/>
      <c r="AD45" s="159">
        <f t="shared" si="2"/>
        <v>1036867.4136</v>
      </c>
      <c r="AE45" s="3"/>
      <c r="AF45" s="162">
        <f t="shared" si="12"/>
        <v>136.49384719435238</v>
      </c>
      <c r="AG45" s="3"/>
      <c r="AH45" s="162">
        <f t="shared" si="13"/>
        <v>28.596353044920544</v>
      </c>
      <c r="AI45" s="3"/>
      <c r="AJ45" s="162">
        <f t="shared" si="14"/>
        <v>3.2893719723335542</v>
      </c>
      <c r="AK45" s="3"/>
      <c r="AL45" s="161">
        <f t="shared" si="7"/>
        <v>31418.320371056492</v>
      </c>
      <c r="AM45" s="3"/>
      <c r="AN45" s="162">
        <f>INDEX('(2.2)_Forward_Price_Curve'!$H:$H,MATCH($AB45,'(2.2)_Forward_Price_Curve'!$C:$C,0),1)</f>
        <v>6.6118625</v>
      </c>
      <c r="AO45" s="3"/>
      <c r="AP45" s="162">
        <f t="shared" si="15"/>
        <v>42.983049124980646</v>
      </c>
      <c r="AQ45" s="3"/>
      <c r="AR45" s="162">
        <f t="shared" si="16"/>
        <v>3.395473696928343</v>
      </c>
      <c r="AS45" s="162"/>
      <c r="AT45" s="161">
        <f t="shared" si="3"/>
        <v>19633.21177751576</v>
      </c>
      <c r="AU45" s="3"/>
      <c r="AV45" s="161">
        <f t="shared" si="4"/>
        <v>48088.379004941344</v>
      </c>
      <c r="AW45" s="299"/>
      <c r="AX45" s="163">
        <f t="shared" si="8"/>
        <v>67721.590782457104</v>
      </c>
      <c r="AZ45" s="154">
        <f>+IF(AZ44&gt;$G$13+$G$14,XX,AZ44+1)</f>
        <v>2038</v>
      </c>
      <c r="BA45" s="124"/>
      <c r="BB45" s="162">
        <f t="shared" si="17"/>
        <v>87.317431287125643</v>
      </c>
      <c r="BC45" s="3"/>
      <c r="BD45" s="162">
        <f t="shared" si="18"/>
        <v>9.8370662522992021</v>
      </c>
      <c r="BE45" s="3"/>
      <c r="BF45" s="161">
        <f t="shared" si="9"/>
        <v>11785.10859354073</v>
      </c>
      <c r="BG45" s="3"/>
      <c r="BH45" s="165"/>
    </row>
    <row r="46" spans="2:60" ht="12">
      <c r="B46" s="2"/>
      <c r="C46" s="6">
        <f>+IF(C45&gt;$G$13+$G$14,XX,C45+1)</f>
        <v>2039</v>
      </c>
      <c r="D46" s="6"/>
      <c r="E46" s="292">
        <f>'(2.2)_Forward_Price_Curve'!O51</f>
        <v>2.1999999999999999E-2</v>
      </c>
      <c r="F46" s="6"/>
      <c r="G46" s="20">
        <v>1036867.4136</v>
      </c>
      <c r="H46" s="6"/>
      <c r="I46" s="30">
        <f t="shared" si="10"/>
        <v>111.43328977865657</v>
      </c>
      <c r="J46" s="6"/>
      <c r="K46" s="30">
        <f t="shared" si="10"/>
        <v>1.5209503343191806</v>
      </c>
      <c r="L46" s="6"/>
      <c r="M46" s="30">
        <f t="shared" si="11"/>
        <v>0</v>
      </c>
      <c r="N46" s="6"/>
      <c r="O46" s="295">
        <f>'(2.2)_Forward_Price_Curve'!Y50</f>
        <v>1.6953423361778306</v>
      </c>
      <c r="P46" s="6"/>
      <c r="Q46" s="30">
        <v>0</v>
      </c>
      <c r="R46" s="6"/>
      <c r="S46" s="20">
        <f t="shared" si="5"/>
        <v>37433.45573490778</v>
      </c>
      <c r="T46" s="6"/>
      <c r="U46" s="20">
        <f t="shared" si="0"/>
        <v>71466.786572659301</v>
      </c>
      <c r="V46" s="6"/>
      <c r="W46" s="20">
        <f t="shared" si="1"/>
        <v>-34033.33083775152</v>
      </c>
      <c r="X46" s="6"/>
      <c r="Y46" s="296">
        <f t="shared" si="6"/>
        <v>-32.823223481956987</v>
      </c>
      <c r="Z46" s="255"/>
      <c r="AB46" s="154">
        <f>+IF(AB45&gt;$G$13+$G$14,XX,AB45+1)</f>
        <v>2039</v>
      </c>
      <c r="AC46" s="124"/>
      <c r="AD46" s="159">
        <f t="shared" si="2"/>
        <v>1036867.4136</v>
      </c>
      <c r="AE46" s="3"/>
      <c r="AF46" s="162">
        <f t="shared" si="12"/>
        <v>139.49671183262814</v>
      </c>
      <c r="AG46" s="3"/>
      <c r="AH46" s="162">
        <f t="shared" si="13"/>
        <v>29.225472811908798</v>
      </c>
      <c r="AI46" s="3"/>
      <c r="AJ46" s="162">
        <f t="shared" si="14"/>
        <v>3.3617381557248924</v>
      </c>
      <c r="AK46" s="3"/>
      <c r="AL46" s="161">
        <f t="shared" si="7"/>
        <v>32109.523419219735</v>
      </c>
      <c r="AM46" s="3"/>
      <c r="AN46" s="162">
        <f>INDEX('(2.2)_Forward_Price_Curve'!$H:$H,MATCH($AB46,'(2.2)_Forward_Price_Curve'!$C:$C,0),1)</f>
        <v>7.0919124999999994</v>
      </c>
      <c r="AO46" s="3"/>
      <c r="AP46" s="162">
        <f t="shared" si="15"/>
        <v>46.103805603574521</v>
      </c>
      <c r="AQ46" s="3"/>
      <c r="AR46" s="162">
        <f t="shared" si="16"/>
        <v>3.4701741182607666</v>
      </c>
      <c r="AS46" s="162"/>
      <c r="AT46" s="161">
        <f t="shared" si="3"/>
        <v>20065.142436621107</v>
      </c>
      <c r="AU46" s="3"/>
      <c r="AV46" s="161">
        <f t="shared" si="4"/>
        <v>51401.644136038201</v>
      </c>
      <c r="AW46" s="299"/>
      <c r="AX46" s="163">
        <f t="shared" si="8"/>
        <v>71466.786572659301</v>
      </c>
      <c r="AZ46" s="154">
        <f>+IF(AZ45&gt;$G$13+$G$14,XX,AZ45+1)</f>
        <v>2039</v>
      </c>
      <c r="BA46" s="124"/>
      <c r="BB46" s="162">
        <f t="shared" si="17"/>
        <v>89.238414775442408</v>
      </c>
      <c r="BC46" s="3"/>
      <c r="BD46" s="162">
        <f t="shared" si="18"/>
        <v>10.053481709849784</v>
      </c>
      <c r="BE46" s="3"/>
      <c r="BF46" s="161">
        <f t="shared" si="9"/>
        <v>12044.380982598626</v>
      </c>
      <c r="BG46" s="3"/>
      <c r="BH46" s="165"/>
    </row>
    <row r="47" spans="2:60" ht="12">
      <c r="B47" s="2"/>
      <c r="C47" s="6">
        <f>+IF(C46&gt;$G$13+$G$14,XX,C46+1)</f>
        <v>2040</v>
      </c>
      <c r="D47" s="6"/>
      <c r="E47" s="292">
        <f>'(2.2)_Forward_Price_Curve'!O52</f>
        <v>2.1999999999999999E-2</v>
      </c>
      <c r="F47" s="6"/>
      <c r="G47" s="20">
        <v>1036867.4136</v>
      </c>
      <c r="H47" s="6"/>
      <c r="I47" s="30">
        <f t="shared" si="10"/>
        <v>113.88482215378701</v>
      </c>
      <c r="J47" s="6"/>
      <c r="K47" s="30">
        <f t="shared" si="10"/>
        <v>1.5544112416742026</v>
      </c>
      <c r="L47" s="6"/>
      <c r="M47" s="30">
        <f t="shared" si="11"/>
        <v>0</v>
      </c>
      <c r="N47" s="6"/>
      <c r="O47" s="295">
        <f>'(2.2)_Forward_Price_Curve'!Y51</f>
        <v>1.730529504666237</v>
      </c>
      <c r="P47" s="6"/>
      <c r="Q47" s="30"/>
      <c r="R47" s="6"/>
      <c r="S47" s="20">
        <f t="shared" si="5"/>
        <v>38254.803594546094</v>
      </c>
      <c r="T47" s="6"/>
      <c r="U47" s="20">
        <f t="shared" si="0"/>
        <v>73542.090640547103</v>
      </c>
      <c r="V47" s="6"/>
      <c r="W47" s="20">
        <f t="shared" si="1"/>
        <v>-35287.287046001009</v>
      </c>
      <c r="X47" s="6"/>
      <c r="Y47" s="296">
        <f t="shared" si="6"/>
        <v>-34.032593351047339</v>
      </c>
      <c r="Z47" s="255"/>
      <c r="AB47" s="154">
        <f>+IF(AB46&gt;$G$13+$G$14,XX,AB46+1)</f>
        <v>2040</v>
      </c>
      <c r="AC47" s="124"/>
      <c r="AD47" s="159">
        <f t="shared" si="2"/>
        <v>1036867.4136</v>
      </c>
      <c r="AE47" s="3"/>
      <c r="AF47" s="162">
        <f t="shared" si="12"/>
        <v>142.56563949294596</v>
      </c>
      <c r="AG47" s="3"/>
      <c r="AH47" s="162">
        <f t="shared" si="13"/>
        <v>29.868433213770793</v>
      </c>
      <c r="AI47" s="3"/>
      <c r="AJ47" s="162">
        <f t="shared" si="14"/>
        <v>3.4356963951508401</v>
      </c>
      <c r="AK47" s="3"/>
      <c r="AL47" s="161">
        <f t="shared" si="7"/>
        <v>32815.932934442579</v>
      </c>
      <c r="AM47" s="3"/>
      <c r="AN47" s="162">
        <f>INDEX('(2.2)_Forward_Price_Curve'!$H:$H,MATCH($AB47,'(2.2)_Forward_Price_Curve'!$C:$C,0),1)</f>
        <v>7.3225625000000001</v>
      </c>
      <c r="AO47" s="3"/>
      <c r="AP47" s="162">
        <f t="shared" si="15"/>
        <v>47.603237916432938</v>
      </c>
      <c r="AQ47" s="3"/>
      <c r="AR47" s="162">
        <f t="shared" si="16"/>
        <v>3.5465179488625034</v>
      </c>
      <c r="AS47" s="162"/>
      <c r="AT47" s="161">
        <f t="shared" si="3"/>
        <v>20506.575570226785</v>
      </c>
      <c r="AU47" s="3"/>
      <c r="AV47" s="161">
        <f t="shared" si="4"/>
        <v>53035.515070320311</v>
      </c>
      <c r="AW47" s="299"/>
      <c r="AX47" s="163">
        <f t="shared" si="8"/>
        <v>73542.090640547103</v>
      </c>
      <c r="AZ47" s="154">
        <f>+IF(AZ46&gt;$G$13+$G$14,XX,AZ46+1)</f>
        <v>2040</v>
      </c>
      <c r="BA47" s="124"/>
      <c r="BB47" s="162">
        <f t="shared" si="17"/>
        <v>91.201659900502136</v>
      </c>
      <c r="BC47" s="3"/>
      <c r="BD47" s="162">
        <f t="shared" si="18"/>
        <v>10.274658307466479</v>
      </c>
      <c r="BE47" s="3"/>
      <c r="BF47" s="161">
        <f t="shared" si="9"/>
        <v>12309.357364215793</v>
      </c>
      <c r="BG47" s="3"/>
      <c r="BH47" s="165"/>
    </row>
    <row r="48" spans="2:60" ht="12">
      <c r="B48" s="2"/>
      <c r="C48" s="6">
        <f>+IF(C47&gt;$G$13+$G$14,XX,C47+1)</f>
        <v>2041</v>
      </c>
      <c r="D48" s="6"/>
      <c r="E48" s="292">
        <f>'(2.2)_Forward_Price_Curve'!O53</f>
        <v>2.1999999999999999E-2</v>
      </c>
      <c r="F48" s="6"/>
      <c r="G48" s="20">
        <v>1036867.4136</v>
      </c>
      <c r="H48" s="6"/>
      <c r="I48" s="30">
        <f t="shared" si="10"/>
        <v>116.39028824117032</v>
      </c>
      <c r="J48" s="6"/>
      <c r="K48" s="30">
        <f t="shared" si="10"/>
        <v>1.5886082889910351</v>
      </c>
      <c r="L48" s="6"/>
      <c r="M48" s="30">
        <f t="shared" si="11"/>
        <v>0</v>
      </c>
      <c r="N48" s="6"/>
      <c r="O48" s="295">
        <f>'(2.2)_Forward_Price_Curve'!Y52</f>
        <v>1.7664344168351047</v>
      </c>
      <c r="P48" s="6"/>
      <c r="Q48" s="30"/>
      <c r="R48" s="6"/>
      <c r="S48" s="20">
        <f t="shared" si="5"/>
        <v>39094.162654705615</v>
      </c>
      <c r="T48" s="6"/>
      <c r="U48" s="20">
        <f t="shared" si="0"/>
        <v>75160.01663463912</v>
      </c>
      <c r="V48" s="6"/>
      <c r="W48" s="20">
        <f t="shared" si="1"/>
        <v>-36065.853979933505</v>
      </c>
      <c r="X48" s="6"/>
      <c r="Y48" s="296">
        <f t="shared" si="6"/>
        <v>-34.783477141704154</v>
      </c>
      <c r="Z48" s="255"/>
      <c r="AB48" s="154">
        <f>+IF(AB47&gt;$G$13+$G$14,XX,AB47+1)</f>
        <v>2041</v>
      </c>
      <c r="AC48" s="124"/>
      <c r="AD48" s="159">
        <f t="shared" si="2"/>
        <v>1036867.4136</v>
      </c>
      <c r="AE48" s="3"/>
      <c r="AF48" s="162">
        <f t="shared" si="12"/>
        <v>145.70208356179077</v>
      </c>
      <c r="AG48" s="3"/>
      <c r="AH48" s="162">
        <f t="shared" si="13"/>
        <v>30.525538744473749</v>
      </c>
      <c r="AI48" s="3"/>
      <c r="AJ48" s="162">
        <f t="shared" si="14"/>
        <v>3.5112817158441585</v>
      </c>
      <c r="AK48" s="3"/>
      <c r="AL48" s="161">
        <f t="shared" si="7"/>
        <v>33537.88345900031</v>
      </c>
      <c r="AM48" s="3"/>
      <c r="AN48" s="162">
        <f>INDEX('(2.2)_Forward_Price_Curve'!$H:$H,MATCH($AB48,'(2.2)_Forward_Price_Curve'!$C:$C,0),1)</f>
        <v>7.4836588750000006</v>
      </c>
      <c r="AO48" s="3"/>
      <c r="AP48" s="162">
        <f t="shared" si="15"/>
        <v>48.650509150594466</v>
      </c>
      <c r="AQ48" s="3"/>
      <c r="AR48" s="162">
        <f t="shared" si="16"/>
        <v>3.6245413437374787</v>
      </c>
      <c r="AS48" s="162"/>
      <c r="AT48" s="161">
        <f t="shared" si="3"/>
        <v>20957.720232771768</v>
      </c>
      <c r="AU48" s="3"/>
      <c r="AV48" s="161">
        <f t="shared" si="4"/>
        <v>54202.296401867359</v>
      </c>
      <c r="AW48" s="299"/>
      <c r="AX48" s="163">
        <f t="shared" si="8"/>
        <v>75160.01663463912</v>
      </c>
      <c r="AZ48" s="154">
        <f>+IF(AZ47&gt;$G$13+$G$14,XX,AZ47+1)</f>
        <v>2041</v>
      </c>
      <c r="BA48" s="124"/>
      <c r="BB48" s="162">
        <f t="shared" si="17"/>
        <v>93.20809641831319</v>
      </c>
      <c r="BC48" s="3"/>
      <c r="BD48" s="162">
        <f t="shared" si="18"/>
        <v>10.500700790230741</v>
      </c>
      <c r="BE48" s="3"/>
      <c r="BF48" s="161">
        <f t="shared" si="9"/>
        <v>12580.163226228542</v>
      </c>
      <c r="BG48" s="3"/>
      <c r="BH48" s="165"/>
    </row>
    <row r="49" spans="2:60" ht="12">
      <c r="B49" s="2"/>
      <c r="C49" s="6">
        <f>+IF(C48&gt;$G$13+$G$14,XX,C48+1)</f>
        <v>2042</v>
      </c>
      <c r="D49" s="6"/>
      <c r="E49" s="292">
        <f>'(2.2)_Forward_Price_Curve'!O54</f>
        <v>2.1999999999999999E-2</v>
      </c>
      <c r="F49" s="6"/>
      <c r="G49" s="20">
        <v>1036867.4136</v>
      </c>
      <c r="H49" s="6"/>
      <c r="I49" s="30">
        <f t="shared" si="10"/>
        <v>118.95087458247608</v>
      </c>
      <c r="J49" s="6"/>
      <c r="K49" s="30">
        <f t="shared" si="10"/>
        <v>1.623557671348838</v>
      </c>
      <c r="L49" s="6"/>
      <c r="M49" s="30">
        <f t="shared" si="11"/>
        <v>0</v>
      </c>
      <c r="N49" s="6"/>
      <c r="O49" s="295">
        <f>'(2.2)_Forward_Price_Curve'!Y53</f>
        <v>1.8033030507073435</v>
      </c>
      <c r="P49" s="6"/>
      <c r="Q49" s="30"/>
      <c r="R49" s="6"/>
      <c r="S49" s="20">
        <f t="shared" si="5"/>
        <v>39952.167835883505</v>
      </c>
      <c r="T49" s="6"/>
      <c r="U49" s="20">
        <f t="shared" si="0"/>
        <v>76813.537000601194</v>
      </c>
      <c r="V49" s="6"/>
      <c r="W49" s="20">
        <f t="shared" si="1"/>
        <v>-36861.369164717689</v>
      </c>
      <c r="X49" s="6"/>
      <c r="Y49" s="296">
        <f t="shared" si="6"/>
        <v>-35.550706562119785</v>
      </c>
      <c r="Z49" s="255"/>
      <c r="AB49" s="154">
        <f>+IF(AB48&gt;$G$13+$G$14,XX,AB48+1)</f>
        <v>2042</v>
      </c>
      <c r="AC49" s="124"/>
      <c r="AD49" s="159">
        <f t="shared" si="2"/>
        <v>1036867.4136</v>
      </c>
      <c r="AE49" s="3"/>
      <c r="AF49" s="162">
        <f t="shared" si="12"/>
        <v>148.90752940015017</v>
      </c>
      <c r="AG49" s="3"/>
      <c r="AH49" s="162">
        <f t="shared" si="13"/>
        <v>31.197100596852174</v>
      </c>
      <c r="AI49" s="3"/>
      <c r="AJ49" s="162">
        <f t="shared" si="14"/>
        <v>3.5885299135927302</v>
      </c>
      <c r="AK49" s="3"/>
      <c r="AL49" s="161">
        <f t="shared" si="7"/>
        <v>34275.716895098318</v>
      </c>
      <c r="AM49" s="3"/>
      <c r="AN49" s="162">
        <f>INDEX('(2.2)_Forward_Price_Curve'!$H:$H,MATCH($AB49,'(2.2)_Forward_Price_Curve'!$C:$C,0),1)</f>
        <v>7.6482993702500011</v>
      </c>
      <c r="AO49" s="3"/>
      <c r="AP49" s="162">
        <f t="shared" si="15"/>
        <v>49.720820351907548</v>
      </c>
      <c r="AQ49" s="3"/>
      <c r="AR49" s="162">
        <f t="shared" si="16"/>
        <v>3.7042812532997034</v>
      </c>
      <c r="AS49" s="162"/>
      <c r="AT49" s="161">
        <f t="shared" si="3"/>
        <v>21418.790077892747</v>
      </c>
      <c r="AU49" s="3"/>
      <c r="AV49" s="161">
        <f t="shared" si="4"/>
        <v>55394.746922708451</v>
      </c>
      <c r="AW49" s="299"/>
      <c r="AX49" s="163">
        <f t="shared" si="8"/>
        <v>76813.537000601194</v>
      </c>
      <c r="AZ49" s="154">
        <f>+IF(AZ48&gt;$G$13+$G$14,XX,AZ48+1)</f>
        <v>2042</v>
      </c>
      <c r="BA49" s="124"/>
      <c r="BB49" s="162">
        <f t="shared" si="17"/>
        <v>95.258674539516079</v>
      </c>
      <c r="BC49" s="3"/>
      <c r="BD49" s="162">
        <f t="shared" si="18"/>
        <v>10.731716207615818</v>
      </c>
      <c r="BE49" s="3"/>
      <c r="BF49" s="161">
        <f t="shared" si="9"/>
        <v>12856.926817205571</v>
      </c>
      <c r="BG49" s="3"/>
      <c r="BH49" s="165"/>
    </row>
    <row r="50" spans="2:60" ht="12">
      <c r="B50" s="2"/>
      <c r="C50" s="6">
        <f>+IF(C49&gt;$G$13+$G$14,XX,C49+1)</f>
        <v>2043</v>
      </c>
      <c r="D50" s="6"/>
      <c r="E50" s="292">
        <f>'(2.2)_Forward_Price_Curve'!O55</f>
        <v>2.3E-2</v>
      </c>
      <c r="F50" s="6"/>
      <c r="G50" s="20">
        <v>1036867.4136</v>
      </c>
      <c r="H50" s="6"/>
      <c r="I50" s="30">
        <f t="shared" si="10"/>
        <v>121.68674469787301</v>
      </c>
      <c r="J50" s="6"/>
      <c r="K50" s="30">
        <f t="shared" si="10"/>
        <v>1.660899497789861</v>
      </c>
      <c r="L50" s="6"/>
      <c r="M50" s="30">
        <f t="shared" si="11"/>
        <v>0</v>
      </c>
      <c r="N50" s="6"/>
      <c r="O50" s="295">
        <f>'(2.2)_Forward_Price_Curve'!Y54</f>
        <v>1.8413139188621417</v>
      </c>
      <c r="P50" s="6"/>
      <c r="Q50" s="30"/>
      <c r="R50" s="6"/>
      <c r="S50" s="20">
        <f t="shared" si="5"/>
        <v>40867.474844748329</v>
      </c>
      <c r="T50" s="6"/>
      <c r="U50" s="20">
        <f t="shared" si="0"/>
        <v>78528.694453214674</v>
      </c>
      <c r="V50" s="6"/>
      <c r="W50" s="20">
        <f t="shared" si="1"/>
        <v>-37661.219608466345</v>
      </c>
      <c r="X50" s="6"/>
      <c r="Y50" s="296">
        <f t="shared" si="6"/>
        <v>-36.322117094708112</v>
      </c>
      <c r="Z50" s="255"/>
      <c r="AB50" s="154">
        <f>+IF(AB49&gt;$G$13+$G$14,XX,AB49+1)</f>
        <v>2043</v>
      </c>
      <c r="AC50" s="124"/>
      <c r="AD50" s="159">
        <f t="shared" si="2"/>
        <v>1036867.4136</v>
      </c>
      <c r="AE50" s="3"/>
      <c r="AF50" s="162">
        <f t="shared" si="12"/>
        <v>152.33240257635362</v>
      </c>
      <c r="AG50" s="3"/>
      <c r="AH50" s="162">
        <f t="shared" si="13"/>
        <v>31.91463391057977</v>
      </c>
      <c r="AI50" s="3"/>
      <c r="AJ50" s="162">
        <f t="shared" si="14"/>
        <v>3.6710661016053625</v>
      </c>
      <c r="AK50" s="3"/>
      <c r="AL50" s="161">
        <f t="shared" si="7"/>
        <v>35064.058383685573</v>
      </c>
      <c r="AM50" s="3"/>
      <c r="AN50" s="162">
        <f>INDEX('(2.2)_Forward_Price_Curve'!$H:$H,MATCH($AB50,'(2.2)_Forward_Price_Curve'!$C:$C,0),1)</f>
        <v>7.8165619563955016</v>
      </c>
      <c r="AO50" s="3"/>
      <c r="AP50" s="162">
        <f t="shared" si="15"/>
        <v>50.814678399649516</v>
      </c>
      <c r="AQ50" s="3"/>
      <c r="AR50" s="162">
        <f t="shared" si="16"/>
        <v>3.7894797221255963</v>
      </c>
      <c r="AS50" s="162"/>
      <c r="AT50" s="161">
        <f t="shared" si="3"/>
        <v>21911.422249684278</v>
      </c>
      <c r="AU50" s="3"/>
      <c r="AV50" s="161">
        <f t="shared" si="4"/>
        <v>56617.272203530396</v>
      </c>
      <c r="AW50" s="299"/>
      <c r="AX50" s="163">
        <f t="shared" si="8"/>
        <v>78528.694453214674</v>
      </c>
      <c r="AZ50" s="154">
        <f>+IF(AZ49&gt;$G$13+$G$14,XX,AZ49+1)</f>
        <v>2043</v>
      </c>
      <c r="BA50" s="124"/>
      <c r="BB50" s="162">
        <f t="shared" si="17"/>
        <v>97.449624053924936</v>
      </c>
      <c r="BC50" s="3"/>
      <c r="BD50" s="162">
        <f t="shared" si="18"/>
        <v>10.978545680390981</v>
      </c>
      <c r="BE50" s="3"/>
      <c r="BF50" s="161">
        <f t="shared" si="9"/>
        <v>13152.636134001295</v>
      </c>
      <c r="BG50" s="3"/>
      <c r="BH50" s="165"/>
    </row>
    <row r="51" spans="2:60" ht="12">
      <c r="B51" s="2"/>
      <c r="C51" s="6">
        <f>+IF(C50&gt;$G$13+$G$14,XX,C50+1)</f>
        <v>2044</v>
      </c>
      <c r="D51" s="6"/>
      <c r="E51" s="292">
        <f>'(2.2)_Forward_Price_Curve'!O56</f>
        <v>2.3E-2</v>
      </c>
      <c r="F51" s="6"/>
      <c r="G51" s="20">
        <v>1036867.4136</v>
      </c>
      <c r="H51" s="6"/>
      <c r="I51" s="30">
        <f t="shared" si="10"/>
        <v>124.48553982592408</v>
      </c>
      <c r="J51" s="6"/>
      <c r="K51" s="30">
        <f t="shared" si="10"/>
        <v>1.6991001862390276</v>
      </c>
      <c r="L51" s="6"/>
      <c r="M51" s="30">
        <f t="shared" si="11"/>
        <v>0</v>
      </c>
      <c r="N51" s="6"/>
      <c r="O51" s="295">
        <f>'(2.2)_Forward_Price_Curve'!Y55</f>
        <v>1.8803404620364608</v>
      </c>
      <c r="P51" s="6"/>
      <c r="Q51" s="30"/>
      <c r="R51" s="6"/>
      <c r="S51" s="20">
        <f t="shared" si="5"/>
        <v>41803.980553844885</v>
      </c>
      <c r="T51" s="6"/>
      <c r="U51" s="20">
        <f t="shared" si="0"/>
        <v>80282.166341473465</v>
      </c>
      <c r="V51" s="6"/>
      <c r="W51" s="20">
        <f t="shared" si="1"/>
        <v>-38478.185787628579</v>
      </c>
      <c r="X51" s="6"/>
      <c r="Y51" s="296">
        <f t="shared" si="6"/>
        <v>-37.110034786446278</v>
      </c>
      <c r="Z51" s="255"/>
      <c r="AB51" s="154">
        <f>+IF(AB50&gt;$G$13+$G$14,XX,AB50+1)</f>
        <v>2044</v>
      </c>
      <c r="AC51" s="124"/>
      <c r="AD51" s="159">
        <f t="shared" si="2"/>
        <v>1036867.4136</v>
      </c>
      <c r="AE51" s="3"/>
      <c r="AF51" s="162">
        <f t="shared" si="12"/>
        <v>155.83604783560975</v>
      </c>
      <c r="AG51" s="3"/>
      <c r="AH51" s="162">
        <f t="shared" si="13"/>
        <v>32.648670490523102</v>
      </c>
      <c r="AI51" s="3"/>
      <c r="AJ51" s="162">
        <f t="shared" si="14"/>
        <v>3.7555006219422857</v>
      </c>
      <c r="AK51" s="3"/>
      <c r="AL51" s="161">
        <f t="shared" si="7"/>
        <v>35870.531726510344</v>
      </c>
      <c r="AM51" s="3"/>
      <c r="AN51" s="162">
        <f>INDEX('(2.2)_Forward_Price_Curve'!$H:$H,MATCH($AB51,'(2.2)_Forward_Price_Curve'!$C:$C,0),1)</f>
        <v>7.9885263194362031</v>
      </c>
      <c r="AO51" s="3"/>
      <c r="AP51" s="162">
        <f t="shared" si="15"/>
        <v>51.932601324441805</v>
      </c>
      <c r="AQ51" s="3"/>
      <c r="AR51" s="162">
        <f t="shared" si="16"/>
        <v>3.8766377557344844</v>
      </c>
      <c r="AS51" s="162"/>
      <c r="AT51" s="161">
        <f t="shared" si="3"/>
        <v>22415.384961427022</v>
      </c>
      <c r="AU51" s="3"/>
      <c r="AV51" s="161">
        <f t="shared" si="4"/>
        <v>57866.781380046436</v>
      </c>
      <c r="AW51" s="299"/>
      <c r="AX51" s="163">
        <f t="shared" si="8"/>
        <v>80282.166341473465</v>
      </c>
      <c r="AZ51" s="154">
        <f>+IF(AZ50&gt;$G$13+$G$14,XX,AZ50+1)</f>
        <v>2044</v>
      </c>
      <c r="BA51" s="124"/>
      <c r="BB51" s="162">
        <f t="shared" si="17"/>
        <v>99.690965407165194</v>
      </c>
      <c r="BC51" s="3"/>
      <c r="BD51" s="162">
        <f t="shared" si="18"/>
        <v>11.231052231039973</v>
      </c>
      <c r="BE51" s="3"/>
      <c r="BF51" s="161">
        <f t="shared" si="9"/>
        <v>13455.146765083324</v>
      </c>
      <c r="BG51" s="3"/>
      <c r="BH51" s="165"/>
    </row>
    <row r="52" spans="2:60" ht="12">
      <c r="B52" s="2"/>
      <c r="C52" s="6">
        <f>+IF(C51&gt;$G$13+$G$14,XX,C51+1)</f>
        <v>2045</v>
      </c>
      <c r="D52" s="6"/>
      <c r="E52" s="292">
        <f>'(2.2)_Forward_Price_Curve'!O57</f>
        <v>2.3E-2</v>
      </c>
      <c r="F52" s="6"/>
      <c r="G52" s="20">
        <v>1036867.4136</v>
      </c>
      <c r="H52" s="6"/>
      <c r="I52" s="30">
        <f t="shared" si="10"/>
        <v>127.34870724192032</v>
      </c>
      <c r="J52" s="6"/>
      <c r="K52" s="30">
        <f t="shared" si="10"/>
        <v>1.738179490522525</v>
      </c>
      <c r="L52" s="6"/>
      <c r="M52" s="30">
        <f t="shared" si="11"/>
        <v>0</v>
      </c>
      <c r="N52" s="6"/>
      <c r="O52" s="295">
        <f>'(2.2)_Forward_Price_Curve'!Y56</f>
        <v>1.9203752935028859</v>
      </c>
      <c r="P52" s="6"/>
      <c r="Q52" s="30"/>
      <c r="R52" s="6"/>
      <c r="S52" s="20">
        <f t="shared" si="5"/>
        <v>42762.140652453949</v>
      </c>
      <c r="T52" s="6"/>
      <c r="U52" s="20">
        <f t="shared" si="0"/>
        <v>82074.808945310535</v>
      </c>
      <c r="V52" s="6"/>
      <c r="W52" s="20">
        <f t="shared" si="1"/>
        <v>-39312.668292856586</v>
      </c>
      <c r="X52" s="6"/>
      <c r="Y52" s="296">
        <f t="shared" si="6"/>
        <v>-37.914845984370501</v>
      </c>
      <c r="Z52" s="255"/>
      <c r="AB52" s="154">
        <f>+IF(AB51&gt;$G$13+$G$14,XX,AB51+1)</f>
        <v>2045</v>
      </c>
      <c r="AC52" s="124"/>
      <c r="AD52" s="159">
        <f t="shared" si="2"/>
        <v>1036867.4136</v>
      </c>
      <c r="AE52" s="3"/>
      <c r="AF52" s="162">
        <f t="shared" si="12"/>
        <v>159.42027693582875</v>
      </c>
      <c r="AG52" s="3"/>
      <c r="AH52" s="162">
        <f t="shared" si="13"/>
        <v>33.39958991180513</v>
      </c>
      <c r="AI52" s="3"/>
      <c r="AJ52" s="162">
        <f t="shared" si="14"/>
        <v>3.8418771362469579</v>
      </c>
      <c r="AK52" s="3"/>
      <c r="AL52" s="161">
        <f t="shared" si="7"/>
        <v>36695.553956220072</v>
      </c>
      <c r="AM52" s="3"/>
      <c r="AN52" s="162">
        <f>INDEX('(2.2)_Forward_Price_Curve'!$H:$H,MATCH($AB52,'(2.2)_Forward_Price_Curve'!$C:$C,0),1)</f>
        <v>8.164273898463799</v>
      </c>
      <c r="AO52" s="3"/>
      <c r="AP52" s="162">
        <f t="shared" si="15"/>
        <v>53.075118553579522</v>
      </c>
      <c r="AQ52" s="3"/>
      <c r="AR52" s="162">
        <f t="shared" si="16"/>
        <v>3.9658004241163773</v>
      </c>
      <c r="AS52" s="162"/>
      <c r="AT52" s="161">
        <f t="shared" si="3"/>
        <v>22930.938815539834</v>
      </c>
      <c r="AU52" s="3"/>
      <c r="AV52" s="161">
        <f t="shared" si="4"/>
        <v>59143.870129770694</v>
      </c>
      <c r="AW52" s="299"/>
      <c r="AX52" s="163">
        <f t="shared" si="8"/>
        <v>82074.808945310535</v>
      </c>
      <c r="AZ52" s="154">
        <f>+IF(AZ51&gt;$G$13+$G$14,XX,AZ51+1)</f>
        <v>2045</v>
      </c>
      <c r="BA52" s="124"/>
      <c r="BB52" s="162">
        <f t="shared" si="17"/>
        <v>101.98385761152998</v>
      </c>
      <c r="BC52" s="3"/>
      <c r="BD52" s="162">
        <f t="shared" si="18"/>
        <v>11.489366432353892</v>
      </c>
      <c r="BE52" s="3"/>
      <c r="BF52" s="161">
        <f t="shared" si="9"/>
        <v>13764.61514068024</v>
      </c>
      <c r="BG52" s="3"/>
      <c r="BH52" s="165"/>
    </row>
    <row r="53" spans="2:60" ht="12">
      <c r="B53" s="2"/>
      <c r="C53" s="6">
        <f>+IF(C52&gt;$G$13+$G$14,XX,C52+1)</f>
        <v>2046</v>
      </c>
      <c r="D53" s="6"/>
      <c r="E53" s="292">
        <f>'(2.2)_Forward_Price_Curve'!O58</f>
        <v>2.3E-2</v>
      </c>
      <c r="F53" s="6"/>
      <c r="G53" s="20">
        <v>1036867.4136</v>
      </c>
      <c r="H53" s="6"/>
      <c r="I53" s="30">
        <f t="shared" si="10"/>
        <v>130.27772750848447</v>
      </c>
      <c r="J53" s="6"/>
      <c r="K53" s="30">
        <f t="shared" si="10"/>
        <v>1.7781576188045429</v>
      </c>
      <c r="L53" s="6"/>
      <c r="M53" s="30">
        <f t="shared" si="11"/>
        <v>0</v>
      </c>
      <c r="N53" s="6"/>
      <c r="O53" s="295">
        <f>'(2.2)_Forward_Price_Curve'!Y57</f>
        <v>1.9616503565022387</v>
      </c>
      <c r="P53" s="6"/>
      <c r="Q53" s="30"/>
      <c r="R53" s="6"/>
      <c r="S53" s="20">
        <f t="shared" si="5"/>
        <v>43742.669640313252</v>
      </c>
      <c r="T53" s="6"/>
      <c r="U53" s="20">
        <f t="shared" si="0"/>
        <v>83907.497690151533</v>
      </c>
      <c r="V53" s="6"/>
      <c r="W53" s="20">
        <f t="shared" si="1"/>
        <v>-40164.828049838281</v>
      </c>
      <c r="X53" s="6"/>
      <c r="Y53" s="296">
        <f t="shared" si="6"/>
        <v>-38.736705892208668</v>
      </c>
      <c r="Z53" s="255"/>
      <c r="AB53" s="154">
        <f>+IF(AB52&gt;$G$13+$G$14,XX,AB52+1)</f>
        <v>2046</v>
      </c>
      <c r="AC53" s="124"/>
      <c r="AD53" s="159">
        <f t="shared" si="2"/>
        <v>1036867.4136</v>
      </c>
      <c r="AE53" s="3"/>
      <c r="AF53" s="162">
        <f t="shared" si="12"/>
        <v>163.0869433053528</v>
      </c>
      <c r="AG53" s="3"/>
      <c r="AH53" s="162">
        <f t="shared" si="13"/>
        <v>34.167780479776646</v>
      </c>
      <c r="AI53" s="3"/>
      <c r="AJ53" s="162">
        <f t="shared" si="14"/>
        <v>3.9302403103806376</v>
      </c>
      <c r="AK53" s="3"/>
      <c r="AL53" s="161">
        <f t="shared" si="7"/>
        <v>37539.551697213137</v>
      </c>
      <c r="AM53" s="3"/>
      <c r="AN53" s="162">
        <f>INDEX('(2.2)_Forward_Price_Curve'!$H:$H,MATCH($AB53,'(2.2)_Forward_Price_Curve'!$C:$C,0),1)</f>
        <v>8.3438879242300033</v>
      </c>
      <c r="AO53" s="3"/>
      <c r="AP53" s="162">
        <f t="shared" si="15"/>
        <v>54.242771161758284</v>
      </c>
      <c r="AQ53" s="3"/>
      <c r="AR53" s="162">
        <f t="shared" si="16"/>
        <v>4.0570138338710535</v>
      </c>
      <c r="AS53" s="162"/>
      <c r="AT53" s="161">
        <f t="shared" si="3"/>
        <v>23458.350408297254</v>
      </c>
      <c r="AU53" s="3"/>
      <c r="AV53" s="161">
        <f t="shared" si="4"/>
        <v>60449.147281854282</v>
      </c>
      <c r="AW53" s="299"/>
      <c r="AX53" s="163">
        <f t="shared" si="8"/>
        <v>83907.497690151533</v>
      </c>
      <c r="AZ53" s="154">
        <f>+IF(AZ52&gt;$G$13+$G$14,XX,AZ52+1)</f>
        <v>2046</v>
      </c>
      <c r="BA53" s="124"/>
      <c r="BB53" s="162">
        <f t="shared" si="17"/>
        <v>104.32948633659517</v>
      </c>
      <c r="BC53" s="3"/>
      <c r="BD53" s="162">
        <f t="shared" si="18"/>
        <v>11.753621860298031</v>
      </c>
      <c r="BE53" s="3"/>
      <c r="BF53" s="161">
        <f t="shared" si="9"/>
        <v>14081.201288915883</v>
      </c>
      <c r="BG53" s="3"/>
      <c r="BH53" s="165"/>
    </row>
    <row r="54" spans="2:60" ht="12">
      <c r="B54" s="2"/>
      <c r="C54" s="6">
        <f>+IF(C53&gt;$G$13+$G$14,XX,C53+1)</f>
        <v>2047</v>
      </c>
      <c r="D54" s="6"/>
      <c r="E54" s="292">
        <f>'(2.2)_Forward_Price_Curve'!O59</f>
        <v>2.1999999999999999E-2</v>
      </c>
      <c r="F54" s="6"/>
      <c r="G54" s="20">
        <v>1036867.4136</v>
      </c>
      <c r="H54" s="6"/>
      <c r="I54" s="30">
        <f t="shared" si="10"/>
        <v>133.14383751367114</v>
      </c>
      <c r="J54" s="6"/>
      <c r="K54" s="30">
        <f t="shared" si="10"/>
        <v>1.8172770864182428</v>
      </c>
      <c r="L54" s="6"/>
      <c r="M54" s="30">
        <f t="shared" si="11"/>
        <v>0</v>
      </c>
      <c r="N54" s="6"/>
      <c r="O54" s="295">
        <f>'(2.2)_Forward_Price_Curve'!Y58</f>
        <v>2.0038320171796222</v>
      </c>
      <c r="P54" s="6"/>
      <c r="Q54" s="30"/>
      <c r="R54" s="6"/>
      <c r="S54" s="20">
        <f t="shared" si="5"/>
        <v>44703.99779251431</v>
      </c>
      <c r="T54" s="6"/>
      <c r="U54" s="20">
        <f t="shared" si="0"/>
        <v>85753.462639334859</v>
      </c>
      <c r="V54" s="6"/>
      <c r="W54" s="20">
        <f t="shared" si="1"/>
        <v>-41049.464846820549</v>
      </c>
      <c r="X54" s="6"/>
      <c r="Y54" s="296">
        <f t="shared" si="6"/>
        <v>-39.58988806900291</v>
      </c>
      <c r="Z54" s="255"/>
      <c r="AB54" s="154">
        <f>+IF(AB53&gt;$G$13+$G$14,XX,AB53+1)</f>
        <v>2047</v>
      </c>
      <c r="AC54" s="124"/>
      <c r="AD54" s="159">
        <f t="shared" si="2"/>
        <v>1036867.4136</v>
      </c>
      <c r="AE54" s="3"/>
      <c r="AF54" s="162">
        <f t="shared" si="12"/>
        <v>166.67485605807056</v>
      </c>
      <c r="AG54" s="3"/>
      <c r="AH54" s="162">
        <f t="shared" si="13"/>
        <v>34.91947165033173</v>
      </c>
      <c r="AI54" s="3"/>
      <c r="AJ54" s="162">
        <f t="shared" si="14"/>
        <v>4.016705597209012</v>
      </c>
      <c r="AK54" s="3"/>
      <c r="AL54" s="161">
        <f t="shared" si="7"/>
        <v>38365.421834551824</v>
      </c>
      <c r="AM54" s="3"/>
      <c r="AN54" s="162">
        <f>INDEX('(2.2)_Forward_Price_Curve'!$H:$H,MATCH($AB54,'(2.2)_Forward_Price_Curve'!$C:$C,0),1)</f>
        <v>8.5274534585630644</v>
      </c>
      <c r="AO54" s="3"/>
      <c r="AP54" s="162">
        <f t="shared" si="15"/>
        <v>55.436112127316967</v>
      </c>
      <c r="AQ54" s="3"/>
      <c r="AR54" s="162">
        <f t="shared" si="16"/>
        <v>4.1462681382162172</v>
      </c>
      <c r="AS54" s="162"/>
      <c r="AT54" s="161">
        <f t="shared" si="3"/>
        <v>23974.43411727979</v>
      </c>
      <c r="AU54" s="3"/>
      <c r="AV54" s="161">
        <f t="shared" si="4"/>
        <v>61779.028522055065</v>
      </c>
      <c r="AW54" s="299"/>
      <c r="AX54" s="163">
        <f t="shared" si="8"/>
        <v>85753.462639334859</v>
      </c>
      <c r="AZ54" s="154">
        <f>+IF(AZ53&gt;$G$13+$G$14,XX,AZ53+1)</f>
        <v>2047</v>
      </c>
      <c r="BA54" s="124"/>
      <c r="BB54" s="162">
        <f t="shared" si="17"/>
        <v>106.62473503600026</v>
      </c>
      <c r="BC54" s="3"/>
      <c r="BD54" s="162">
        <f t="shared" si="18"/>
        <v>12.012201541224588</v>
      </c>
      <c r="BE54" s="3"/>
      <c r="BF54" s="161">
        <f t="shared" si="9"/>
        <v>14390.987717272033</v>
      </c>
      <c r="BG54" s="3"/>
      <c r="BH54" s="165"/>
    </row>
    <row r="55" spans="2:60" ht="12">
      <c r="B55" s="2"/>
      <c r="C55" s="6">
        <f>+IF(C54&gt;$G$13+$G$14,XX,C54+1)</f>
        <v>2048</v>
      </c>
      <c r="D55" s="6"/>
      <c r="E55" s="292">
        <f>'(2.2)_Forward_Price_Curve'!O60</f>
        <v>2.1999999999999999E-2</v>
      </c>
      <c r="F55" s="6"/>
      <c r="G55" s="20">
        <v>1036867.4136</v>
      </c>
      <c r="H55" s="6"/>
      <c r="I55" s="30">
        <f t="shared" si="10"/>
        <v>136.07300193897191</v>
      </c>
      <c r="J55" s="6"/>
      <c r="K55" s="30">
        <f t="shared" si="10"/>
        <v>1.8572571823194441</v>
      </c>
      <c r="L55" s="6"/>
      <c r="M55" s="30">
        <f t="shared" si="11"/>
        <v>0</v>
      </c>
      <c r="N55" s="6"/>
      <c r="O55" s="295">
        <f>'(2.2)_Forward_Price_Curve'!Y59</f>
        <v>2.0468358206182615</v>
      </c>
      <c r="P55" s="6"/>
      <c r="Q55" s="30"/>
      <c r="R55" s="6"/>
      <c r="S55" s="20">
        <f t="shared" si="5"/>
        <v>45686.365407735284</v>
      </c>
      <c r="T55" s="6"/>
      <c r="U55" s="20">
        <f t="shared" si="0"/>
        <v>87640.038817400229</v>
      </c>
      <c r="V55" s="6"/>
      <c r="W55" s="20">
        <f t="shared" si="1"/>
        <v>-41953.673409664945</v>
      </c>
      <c r="X55" s="6"/>
      <c r="Y55" s="296">
        <f t="shared" si="6"/>
        <v>-40.4619461074603</v>
      </c>
      <c r="Z55" s="255"/>
      <c r="AB55" s="154">
        <f>+IF(AB54&gt;$G$13+$G$14,XX,AB54+1)</f>
        <v>2048</v>
      </c>
      <c r="AC55" s="124"/>
      <c r="AD55" s="159">
        <f t="shared" si="2"/>
        <v>1036867.4136</v>
      </c>
      <c r="AE55" s="3"/>
      <c r="AF55" s="162">
        <f t="shared" si="12"/>
        <v>170.34170289134812</v>
      </c>
      <c r="AG55" s="3"/>
      <c r="AH55" s="162">
        <f t="shared" si="13"/>
        <v>35.687700026639028</v>
      </c>
      <c r="AI55" s="3"/>
      <c r="AJ55" s="162">
        <f t="shared" si="14"/>
        <v>4.1050731203476101</v>
      </c>
      <c r="AK55" s="3"/>
      <c r="AL55" s="161">
        <f t="shared" si="7"/>
        <v>39209.461114911966</v>
      </c>
      <c r="AM55" s="3"/>
      <c r="AN55" s="162">
        <f>INDEX('(2.2)_Forward_Price_Curve'!$H:$H,MATCH($AB55,'(2.2)_Forward_Price_Curve'!$C:$C,0),1)</f>
        <v>8.7150574346514524</v>
      </c>
      <c r="AO55" s="3"/>
      <c r="AP55" s="162">
        <f t="shared" si="15"/>
        <v>56.655706594117945</v>
      </c>
      <c r="AQ55" s="3"/>
      <c r="AR55" s="162">
        <f t="shared" si="16"/>
        <v>4.237486037256974</v>
      </c>
      <c r="AS55" s="162"/>
      <c r="AT55" s="161">
        <f t="shared" si="3"/>
        <v>24501.871667859949</v>
      </c>
      <c r="AU55" s="3"/>
      <c r="AV55" s="161">
        <f t="shared" si="4"/>
        <v>63138.167149540284</v>
      </c>
      <c r="AW55" s="299"/>
      <c r="AX55" s="163">
        <f t="shared" si="8"/>
        <v>87640.038817400229</v>
      </c>
      <c r="AZ55" s="154">
        <f>+IF(AZ54&gt;$G$13+$G$14,XX,AZ54+1)</f>
        <v>2048</v>
      </c>
      <c r="BA55" s="124"/>
      <c r="BB55" s="162">
        <f t="shared" si="17"/>
        <v>108.97047920679226</v>
      </c>
      <c r="BC55" s="3"/>
      <c r="BD55" s="162">
        <f t="shared" si="18"/>
        <v>12.27646997513153</v>
      </c>
      <c r="BE55" s="3"/>
      <c r="BF55" s="161">
        <f t="shared" si="9"/>
        <v>14707.589447052018</v>
      </c>
      <c r="BG55" s="3"/>
      <c r="BH55" s="165"/>
    </row>
    <row r="56" spans="2:60" ht="12">
      <c r="B56" s="2"/>
      <c r="C56" s="6">
        <f>+IF(C55&gt;$G$13+$G$14,XX,C55+1)</f>
        <v>2049</v>
      </c>
      <c r="D56" s="6"/>
      <c r="E56" s="292">
        <f>'(2.2)_Forward_Price_Curve'!O61</f>
        <v>2.1999999999999999E-2</v>
      </c>
      <c r="F56" s="6"/>
      <c r="G56" s="20">
        <v>1036867.4136</v>
      </c>
      <c r="H56" s="6"/>
      <c r="I56" s="30">
        <f t="shared" si="10"/>
        <v>139.06660798162929</v>
      </c>
      <c r="J56" s="6"/>
      <c r="K56" s="30">
        <f t="shared" si="10"/>
        <v>1.898116840330472</v>
      </c>
      <c r="L56" s="6"/>
      <c r="M56" s="30">
        <f t="shared" si="11"/>
        <v>0</v>
      </c>
      <c r="N56" s="6"/>
      <c r="O56" s="295">
        <f>'(2.2)_Forward_Price_Curve'!Y60</f>
        <v>2.0909596981572163</v>
      </c>
      <c r="P56" s="6"/>
      <c r="Q56" s="30"/>
      <c r="R56" s="6"/>
      <c r="S56" s="20">
        <f t="shared" si="5"/>
        <v>46690.525515492736</v>
      </c>
      <c r="T56" s="6"/>
      <c r="U56" s="20">
        <f t="shared" si="0"/>
        <v>89568.119671383043</v>
      </c>
      <c r="V56" s="6"/>
      <c r="W56" s="20">
        <f t="shared" si="1"/>
        <v>-42877.594155890307</v>
      </c>
      <c r="X56" s="6"/>
      <c r="Y56" s="296">
        <f t="shared" si="6"/>
        <v>-41.353015432339085</v>
      </c>
      <c r="Z56" s="255"/>
      <c r="AB56" s="154">
        <f>+IF(AB55&gt;$G$13+$G$14,XX,AB55+1)</f>
        <v>2049</v>
      </c>
      <c r="AC56" s="124"/>
      <c r="AD56" s="159">
        <f t="shared" si="2"/>
        <v>1036867.4136</v>
      </c>
      <c r="AE56" s="3"/>
      <c r="AF56" s="162">
        <f t="shared" si="12"/>
        <v>174.08922035495777</v>
      </c>
      <c r="AG56" s="3"/>
      <c r="AH56" s="162">
        <f t="shared" si="13"/>
        <v>36.472829427225086</v>
      </c>
      <c r="AI56" s="3"/>
      <c r="AJ56" s="162">
        <f t="shared" si="14"/>
        <v>4.1953847289952577</v>
      </c>
      <c r="AK56" s="3"/>
      <c r="AL56" s="161">
        <f t="shared" si="7"/>
        <v>40072.069259440024</v>
      </c>
      <c r="AM56" s="3"/>
      <c r="AN56" s="162">
        <f>INDEX('(2.2)_Forward_Price_Curve'!$H:$H,MATCH($AB56,'(2.2)_Forward_Price_Curve'!$C:$C,0),1)</f>
        <v>8.9067886982137843</v>
      </c>
      <c r="AO56" s="3"/>
      <c r="AP56" s="162">
        <f t="shared" si="15"/>
        <v>57.902132139188545</v>
      </c>
      <c r="AQ56" s="3"/>
      <c r="AR56" s="162">
        <f t="shared" si="16"/>
        <v>4.3307107300766274</v>
      </c>
      <c r="AS56" s="162"/>
      <c r="AT56" s="161">
        <f t="shared" si="3"/>
        <v>25040.912844552862</v>
      </c>
      <c r="AU56" s="3"/>
      <c r="AV56" s="161">
        <f t="shared" si="4"/>
        <v>64527.206826830181</v>
      </c>
      <c r="AW56" s="299"/>
      <c r="AX56" s="163">
        <f t="shared" si="8"/>
        <v>89568.119671383043</v>
      </c>
      <c r="AZ56" s="154">
        <f>+IF(AZ55&gt;$G$13+$G$14,XX,AZ55+1)</f>
        <v>2049</v>
      </c>
      <c r="BA56" s="124"/>
      <c r="BB56" s="162">
        <f t="shared" si="17"/>
        <v>111.36782974934169</v>
      </c>
      <c r="BC56" s="3"/>
      <c r="BD56" s="162">
        <f t="shared" si="18"/>
        <v>12.546552314584424</v>
      </c>
      <c r="BE56" s="3"/>
      <c r="BF56" s="161">
        <f t="shared" si="9"/>
        <v>15031.156414887164</v>
      </c>
      <c r="BG56" s="3"/>
      <c r="BH56" s="165"/>
    </row>
    <row r="57" spans="2:60" ht="12">
      <c r="B57" s="2"/>
      <c r="C57" s="6">
        <f>+IF(C56&gt;$G$13+$G$14,XX,C56+1)</f>
        <v>2050</v>
      </c>
      <c r="D57" s="6"/>
      <c r="E57" s="292">
        <f>'(2.2)_Forward_Price_Curve'!O62</f>
        <v>2.1999999999999999E-2</v>
      </c>
      <c r="F57" s="6"/>
      <c r="G57" s="20">
        <v>1036867.4136</v>
      </c>
      <c r="H57" s="6"/>
      <c r="I57" s="30">
        <f t="shared" si="10"/>
        <v>142.12607335722512</v>
      </c>
      <c r="J57" s="6"/>
      <c r="K57" s="30">
        <f t="shared" si="10"/>
        <v>1.9398754108177425</v>
      </c>
      <c r="L57" s="6"/>
      <c r="M57" s="30">
        <f t="shared" si="11"/>
        <v>0</v>
      </c>
      <c r="N57" s="6"/>
      <c r="O57" s="295">
        <f>'(2.2)_Forward_Price_Curve'!Y61</f>
        <v>2.1361590832077506</v>
      </c>
      <c r="P57" s="6"/>
      <c r="Q57" s="30"/>
      <c r="R57" s="6"/>
      <c r="S57" s="20">
        <f t="shared" si="5"/>
        <v>47716.885790875487</v>
      </c>
      <c r="T57" s="6"/>
      <c r="U57" s="20">
        <f t="shared" si="0"/>
        <v>91538.618304153468</v>
      </c>
      <c r="V57" s="6"/>
      <c r="W57" s="20">
        <f t="shared" si="1"/>
        <v>-43821.732513277981</v>
      </c>
      <c r="X57" s="6"/>
      <c r="Y57" s="296">
        <f t="shared" si="6"/>
        <v>-42.263583500159463</v>
      </c>
      <c r="Z57" s="255"/>
      <c r="AB57" s="154">
        <f>+IF(AB56&gt;$G$13+$G$14,XX,AB56+1)</f>
        <v>2050</v>
      </c>
      <c r="AC57" s="124"/>
      <c r="AD57" s="159">
        <f t="shared" si="2"/>
        <v>1036867.4136</v>
      </c>
      <c r="AE57" s="3"/>
      <c r="AF57" s="162">
        <f t="shared" si="12"/>
        <v>177.91918320276685</v>
      </c>
      <c r="AG57" s="3"/>
      <c r="AH57" s="162">
        <f t="shared" si="13"/>
        <v>37.275231674624038</v>
      </c>
      <c r="AI57" s="3"/>
      <c r="AJ57" s="162">
        <f t="shared" si="14"/>
        <v>4.2876831930331534</v>
      </c>
      <c r="AK57" s="3"/>
      <c r="AL57" s="161">
        <f t="shared" si="7"/>
        <v>40953.654783147715</v>
      </c>
      <c r="AM57" s="3"/>
      <c r="AN57" s="162">
        <f>INDEX('(2.2)_Forward_Price_Curve'!$H:$H,MATCH($AB57,'(2.2)_Forward_Price_Curve'!$C:$C,0),1)</f>
        <v>9.1027380495744872</v>
      </c>
      <c r="AO57" s="3"/>
      <c r="AP57" s="162">
        <f t="shared" si="15"/>
        <v>59.175979046250688</v>
      </c>
      <c r="AQ57" s="3"/>
      <c r="AR57" s="162">
        <f t="shared" si="16"/>
        <v>4.4259863661383134</v>
      </c>
      <c r="AS57" s="162"/>
      <c r="AT57" s="161">
        <f t="shared" si="3"/>
        <v>25591.812927133033</v>
      </c>
      <c r="AU57" s="3"/>
      <c r="AV57" s="161">
        <f t="shared" si="4"/>
        <v>65946.805377020428</v>
      </c>
      <c r="AW57" s="299"/>
      <c r="AX57" s="163">
        <f t="shared" si="8"/>
        <v>91538.618304153468</v>
      </c>
      <c r="AZ57" s="154">
        <f>+IF(AZ56&gt;$G$13+$G$14,XX,AZ56+1)</f>
        <v>2050</v>
      </c>
      <c r="BA57" s="124"/>
      <c r="BB57" s="162">
        <f t="shared" si="17"/>
        <v>113.81792200382722</v>
      </c>
      <c r="BC57" s="3"/>
      <c r="BD57" s="162">
        <f t="shared" si="18"/>
        <v>12.822576465505282</v>
      </c>
      <c r="BE57" s="3"/>
      <c r="BF57" s="161">
        <f t="shared" si="9"/>
        <v>15361.841856014682</v>
      </c>
      <c r="BG57" s="3"/>
      <c r="BH57" s="165"/>
    </row>
    <row r="58" spans="2:60">
      <c r="B58" s="2"/>
      <c r="C58" s="3"/>
      <c r="D58" s="3"/>
      <c r="E58" s="178"/>
      <c r="F58" s="3"/>
      <c r="G58" s="290"/>
      <c r="H58" s="3"/>
      <c r="I58" s="290"/>
      <c r="J58" s="3"/>
      <c r="K58" s="290"/>
      <c r="L58" s="3"/>
      <c r="M58" s="290"/>
      <c r="N58" s="3"/>
      <c r="O58" s="290"/>
      <c r="P58" s="3"/>
      <c r="Q58" s="290"/>
      <c r="R58" s="3"/>
      <c r="S58" s="290"/>
      <c r="T58" s="3"/>
      <c r="U58" s="290"/>
      <c r="V58" s="3"/>
      <c r="W58" s="290"/>
      <c r="X58" s="3"/>
      <c r="Y58" s="300"/>
      <c r="Z58" s="255"/>
      <c r="AB58" s="2"/>
      <c r="AC58" s="3"/>
      <c r="AD58" s="3"/>
      <c r="AE58" s="3"/>
      <c r="AF58" s="301"/>
      <c r="AG58" s="3"/>
      <c r="AH58" s="301"/>
      <c r="AI58" s="3"/>
      <c r="AJ58" s="301"/>
      <c r="AK58" s="3"/>
      <c r="AL58" s="299"/>
      <c r="AM58" s="3"/>
      <c r="AN58" s="301"/>
      <c r="AO58" s="3"/>
      <c r="AP58" s="301"/>
      <c r="AQ58" s="3"/>
      <c r="AR58" s="301"/>
      <c r="AS58" s="301"/>
      <c r="AT58" s="301"/>
      <c r="AU58" s="3"/>
      <c r="AV58" s="299"/>
      <c r="AW58" s="299"/>
      <c r="AX58" s="302"/>
      <c r="AZ58" s="2"/>
      <c r="BA58" s="3"/>
      <c r="BB58" s="301"/>
      <c r="BC58" s="3"/>
      <c r="BD58" s="3"/>
      <c r="BE58" s="3"/>
      <c r="BF58" s="299"/>
      <c r="BG58" s="3"/>
      <c r="BH58" s="255"/>
    </row>
    <row r="59" spans="2:60" ht="12">
      <c r="B59" s="2"/>
      <c r="C59" s="303" t="str">
        <f>G14&amp;"-year Nominal Levelized at "&amp;TEXT($G$18,"#.00%")</f>
        <v>30-year Nominal Levelized at 6.91%</v>
      </c>
      <c r="E59" s="178"/>
      <c r="F59" s="3"/>
      <c r="G59" s="20">
        <f>+-PMT($G$18,$G$14,NPV($G$18,G28:G57))</f>
        <v>1023958.8524513757</v>
      </c>
      <c r="H59" s="6"/>
      <c r="I59" s="30">
        <f>+-PMT($G$18,$G$14,NPV($G$18,I28:I57))</f>
        <v>94.644433123841978</v>
      </c>
      <c r="J59" s="30"/>
      <c r="K59" s="30">
        <f>+-PMT($G$18,$G$14,NPV($G$18,K28:K57))</f>
        <v>1.2917996272665746</v>
      </c>
      <c r="L59" s="6"/>
      <c r="M59" s="30">
        <f>+-PMT($G$18,$G$14,NPV($G$18,M28:M57))</f>
        <v>0</v>
      </c>
      <c r="N59" s="6"/>
      <c r="O59" s="30">
        <f>+-PMT($G$18,$G$14,NPV($G$18,O28:O57))</f>
        <v>1.4415142627138942</v>
      </c>
      <c r="P59" s="6"/>
      <c r="Q59" s="30">
        <f>+-PMT($G$18,$G$14,NPV($G$18,Q28:Q57))</f>
        <v>-12.7103694031766</v>
      </c>
      <c r="R59" s="6"/>
      <c r="S59" s="20">
        <f>+-PMT($G$18,$G$14,NPV($G$18,S28:S57))</f>
        <v>18860.759462185975</v>
      </c>
      <c r="T59" s="6"/>
      <c r="U59" s="20">
        <f>+-PMT($G$18,$G$14,NPV($G$18,U28:U57))</f>
        <v>52615.493781632853</v>
      </c>
      <c r="V59" s="3"/>
      <c r="W59" s="20">
        <f>+-PMT($G$18,$G$14,NPV($G$18,W28:W57))</f>
        <v>-33754.734319446878</v>
      </c>
      <c r="X59" s="3"/>
      <c r="Y59" s="296">
        <f>+-PMT($G$18,$G$14,NPV($G$18,Y28:Y57))</f>
        <v>-32.835481170434676</v>
      </c>
      <c r="Z59" s="255"/>
      <c r="AB59" s="2"/>
      <c r="AC59" s="3"/>
      <c r="AD59" s="159">
        <f>+-PMT($G$18,$G$14,NPV($G$18,AD28:AD57))</f>
        <v>1023958.8524513757</v>
      </c>
      <c r="AE59" s="3"/>
      <c r="AF59" s="162">
        <f>+-PMT($G$18,$G$14,NPV($G$18,AF28:AF57))</f>
        <v>118.47974012311523</v>
      </c>
      <c r="AG59" s="3"/>
      <c r="AH59" s="162">
        <f>+-PMT($G$18,$G$14,NPV($G$18,AH28:AH57))</f>
        <v>24.82227988201381</v>
      </c>
      <c r="AI59" s="3"/>
      <c r="AJ59" s="162">
        <f>+-PMT($G$18,$G$14,NPV($G$18,AJ28:AJ57))</f>
        <v>2.8552491153349502</v>
      </c>
      <c r="AK59" s="3"/>
      <c r="AL59" s="161">
        <f>+-PMT($G$18,$G$14,NPV($G$18,AL28:AL57))</f>
        <v>27242.594818714231</v>
      </c>
      <c r="AM59" s="3"/>
      <c r="AN59" s="162">
        <f>+-PMT($G$18,$G$14,NPV($G$18,AN28:AN57))</f>
        <v>4.8572277558241472</v>
      </c>
      <c r="AO59" s="3"/>
      <c r="AP59" s="162">
        <f>+-PMT($G$18,$G$14,NPV($G$18,AP28:AP57))</f>
        <v>31.576346186843537</v>
      </c>
      <c r="AQ59" s="3"/>
      <c r="AR59" s="162">
        <f>+-PMT($G$18,$G$14,NPV($G$18,AR28:AR57))</f>
        <v>2.9473478070708885</v>
      </c>
      <c r="AS59" s="162"/>
      <c r="AT59" s="161">
        <f>+-PMT($G$18,$G$14,NPV($G$18,AT28:AT57))</f>
        <v>17012.854561651777</v>
      </c>
      <c r="AU59" s="3"/>
      <c r="AV59" s="161">
        <f>+-PMT($G$18,$G$14,NPV($G$18,AV28:AV57))</f>
        <v>35602.639219981087</v>
      </c>
      <c r="AW59" s="299"/>
      <c r="AX59" s="163">
        <f>+-PMT($G$18,$G$14,NPV($G$18,AX28:AX57))</f>
        <v>52615.493781632853</v>
      </c>
      <c r="AZ59" s="2"/>
      <c r="BA59" s="3"/>
      <c r="BB59" s="162">
        <f>+-PMT($G$18,$G$14,NPV($G$18,BB28:BB57))</f>
        <v>75.79350117068627</v>
      </c>
      <c r="BC59" s="3"/>
      <c r="BD59" s="162">
        <f>+-PMT($G$18,$G$14,NPV($G$18,BD28:BD57))</f>
        <v>8.53879553623206</v>
      </c>
      <c r="BE59" s="3"/>
      <c r="BF59" s="161">
        <f>+-PMT($G$18,$G$14,NPV($G$18,BF28:BF57))</f>
        <v>10229.740257062454</v>
      </c>
      <c r="BG59" s="3"/>
      <c r="BH59" s="165"/>
    </row>
    <row r="60" spans="2:60">
      <c r="B60" s="2"/>
      <c r="C60" s="3"/>
      <c r="D60" s="3"/>
      <c r="E60" s="17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04"/>
      <c r="X60" s="3"/>
      <c r="Y60" s="305"/>
      <c r="Z60" s="255"/>
      <c r="AB60" s="2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299"/>
      <c r="AU60" s="3"/>
      <c r="AV60" s="3"/>
      <c r="AW60" s="3"/>
      <c r="AX60" s="255"/>
      <c r="AZ60" s="2"/>
      <c r="BA60" s="3"/>
      <c r="BB60" s="3"/>
      <c r="BC60" s="3"/>
      <c r="BD60" s="3"/>
      <c r="BE60" s="3"/>
      <c r="BF60" s="3"/>
      <c r="BG60" s="3"/>
      <c r="BH60" s="255"/>
    </row>
    <row r="61" spans="2:60">
      <c r="B61" s="258"/>
      <c r="C61" s="306"/>
      <c r="D61" s="306"/>
      <c r="E61" s="307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259"/>
      <c r="AB61" s="258"/>
      <c r="AC61" s="306"/>
      <c r="AD61" s="306"/>
      <c r="AE61" s="306"/>
      <c r="AF61" s="306"/>
      <c r="AG61" s="306"/>
      <c r="AH61" s="306"/>
      <c r="AI61" s="306"/>
      <c r="AJ61" s="306"/>
      <c r="AK61" s="306"/>
      <c r="AL61" s="306"/>
      <c r="AM61" s="306"/>
      <c r="AN61" s="306"/>
      <c r="AO61" s="306"/>
      <c r="AP61" s="306"/>
      <c r="AQ61" s="306"/>
      <c r="AR61" s="306"/>
      <c r="AS61" s="306"/>
      <c r="AT61" s="306"/>
      <c r="AU61" s="306"/>
      <c r="AV61" s="306"/>
      <c r="AW61" s="306"/>
      <c r="AX61" s="259"/>
      <c r="AZ61" s="258"/>
      <c r="BA61" s="306"/>
      <c r="BB61" s="306"/>
      <c r="BC61" s="306"/>
      <c r="BD61" s="306"/>
      <c r="BE61" s="306"/>
      <c r="BF61" s="306"/>
      <c r="BG61" s="306"/>
      <c r="BH61" s="259"/>
    </row>
    <row r="62" spans="2:60">
      <c r="E62" s="308"/>
    </row>
    <row r="63" spans="2:60">
      <c r="E63" s="308"/>
      <c r="G63" s="309"/>
      <c r="I63" s="309"/>
      <c r="K63" s="309"/>
      <c r="O63" s="309"/>
      <c r="Q63" s="309"/>
      <c r="S63" s="309"/>
      <c r="U63" s="309"/>
      <c r="W63" s="309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</sheetData>
  <pageMargins left="0.25" right="0.25" top="0.25" bottom="0.75" header="0.3" footer="0.3"/>
  <pageSetup paperSize="5" scale="46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F3F1-30CC-4758-8A5E-E03F0D54ADD5}">
  <sheetPr codeName="Sheet44">
    <tabColor theme="0" tint="-0.249977111117893"/>
    <pageSetUpPr fitToPage="1"/>
  </sheetPr>
  <dimension ref="A1:BH85"/>
  <sheetViews>
    <sheetView topLeftCell="M43" workbookViewId="0">
      <selection activeCell="I16" sqref="I16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290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194</v>
      </c>
      <c r="H11" s="275"/>
      <c r="AB11" s="129" t="s">
        <v>99</v>
      </c>
      <c r="AC11" s="130"/>
      <c r="AD11" s="130"/>
      <c r="AE11" s="130"/>
      <c r="AF11" s="312">
        <f>+G11*(G12/AJ16)</f>
        <v>107.55636350170792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76.90436350170792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0.38680999999999999</v>
      </c>
      <c r="H12" s="275"/>
      <c r="AB12" s="129" t="s">
        <v>32</v>
      </c>
      <c r="AC12" s="130"/>
      <c r="AD12" s="130"/>
      <c r="AE12" s="130"/>
      <c r="AF12" s="138">
        <f>+AD59/8760/AF11</f>
        <v>0.67163342269944737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46.449412240000001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1</v>
      </c>
      <c r="H16" s="275"/>
      <c r="K16" s="31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1" spans="1:60">
      <c r="Q21" s="315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v>2021</v>
      </c>
      <c r="D28" s="6"/>
      <c r="E28" s="292">
        <f>'(2.2)_Forward_Price_Curve'!O33</f>
        <v>2.4E-2</v>
      </c>
      <c r="F28" s="6"/>
      <c r="G28" s="20">
        <v>328680.19319999998</v>
      </c>
      <c r="H28" s="6"/>
      <c r="I28" s="293">
        <f>$G$15*(1+E28)</f>
        <v>47.564198133760001</v>
      </c>
      <c r="J28" s="293"/>
      <c r="K28" s="293">
        <f>$G$16*(1+E28)</f>
        <v>1.024</v>
      </c>
      <c r="L28" s="294"/>
      <c r="M28" s="293">
        <f>$G$17</f>
        <v>0</v>
      </c>
      <c r="N28" s="6"/>
      <c r="O28" s="295">
        <f>'(2.2)_Forward_Price_Curve'!Y32</f>
        <v>1.1390234818202254</v>
      </c>
      <c r="P28" s="6"/>
      <c r="Q28" s="30">
        <v>-13.377003964833651</v>
      </c>
      <c r="R28" s="6"/>
      <c r="S28" s="20">
        <f>(I28*$G$11*1000+(K28+M28+O28+Q28)*G28)/1000</f>
        <v>5541.6411662515566</v>
      </c>
      <c r="T28" s="6"/>
      <c r="U28" s="20">
        <f t="shared" ref="U28:U57" si="0">AX28</f>
        <v>12756.643109075918</v>
      </c>
      <c r="V28" s="6"/>
      <c r="W28" s="20">
        <f t="shared" ref="W28:W57" si="1">S28-U28</f>
        <v>-7215.0019428243613</v>
      </c>
      <c r="X28" s="6"/>
      <c r="Y28" s="296">
        <f>+W28*1000/G28</f>
        <v>-21.951435139975331</v>
      </c>
      <c r="Z28" s="255"/>
      <c r="AB28" s="154">
        <f>$C$28</f>
        <v>2021</v>
      </c>
      <c r="AC28" s="124"/>
      <c r="AD28" s="159">
        <f t="shared" ref="AD28:AD57" si="2">G28</f>
        <v>328680.19319999998</v>
      </c>
      <c r="AE28" s="3"/>
      <c r="AF28" s="160">
        <f>$AF$15*$AF$16*(1+E28)</f>
        <v>93.918012767032508</v>
      </c>
      <c r="AG28" s="297"/>
      <c r="AH28" s="160">
        <f>$AJ$11*(1+E28)</f>
        <v>19.676437477355702</v>
      </c>
      <c r="AI28" s="297"/>
      <c r="AJ28" s="160">
        <f>$AJ$13*(1+E28)</f>
        <v>2.2633348333515522</v>
      </c>
      <c r="AK28" s="298"/>
      <c r="AL28" s="161">
        <f>((AF28+AH28)*$AF$11*1000+AJ28*AD28)/1000</f>
        <v>12961.71931256437</v>
      </c>
      <c r="AM28" s="3"/>
      <c r="AN28" s="162">
        <f>INDEX('(2.2)_Forward_Price_Curve'!$H:$H,MATCH($AB28,'(2.2)_Forward_Price_Curve'!$C:$C,0),1)</f>
        <v>1.9506749999999997</v>
      </c>
      <c r="AO28" s="310"/>
      <c r="AP28" s="162">
        <f>AN28*$AF$14/1000+$AJ$14/(1+E29)</f>
        <v>12.681140805918394</v>
      </c>
      <c r="AQ28" s="297"/>
      <c r="AR28" s="160">
        <f>$AJ$15*(1+E28)</f>
        <v>2.3363407843883683</v>
      </c>
      <c r="AS28" s="160"/>
      <c r="AT28" s="161">
        <f t="shared" ref="AT28:AT57" si="3">AL28-BF28</f>
        <v>7820.6943585964491</v>
      </c>
      <c r="AU28" s="298"/>
      <c r="AV28" s="161">
        <f t="shared" ref="AV28:AV57" si="4">(AP28+AR28)*AD28/1000</f>
        <v>4935.9487504794688</v>
      </c>
      <c r="AW28" s="299"/>
      <c r="AX28" s="163">
        <f>AT28+AV28</f>
        <v>12756.643109075918</v>
      </c>
      <c r="AZ28" s="154">
        <f>$C$28</f>
        <v>2021</v>
      </c>
      <c r="BA28" s="124"/>
      <c r="BB28" s="160">
        <f>$BD$14*$BD$15*(1+E28)</f>
        <v>60.080947199999997</v>
      </c>
      <c r="BC28" s="3"/>
      <c r="BD28" s="160">
        <f>$BB$16*(1+E28)</f>
        <v>6.7686400000000004</v>
      </c>
      <c r="BE28" s="297"/>
      <c r="BF28" s="161">
        <f>(BB28+BD28)*$BD$11</f>
        <v>5141.0249539679207</v>
      </c>
      <c r="BG28" s="297"/>
      <c r="BH28" s="164"/>
    </row>
    <row r="29" spans="1:60" ht="12">
      <c r="B29" s="2"/>
      <c r="C29" s="6">
        <f>+IF(C28&gt;$G$13+$G$14,XX,C28+1)</f>
        <v>2022</v>
      </c>
      <c r="D29" s="6"/>
      <c r="E29" s="292">
        <f>'(2.2)_Forward_Price_Curve'!O34</f>
        <v>2.3E-2</v>
      </c>
      <c r="F29" s="6"/>
      <c r="G29" s="20">
        <v>657360.38639999996</v>
      </c>
      <c r="H29" s="6"/>
      <c r="I29" s="30">
        <f>I28*(1+$E29)</f>
        <v>48.658174690836475</v>
      </c>
      <c r="J29" s="6"/>
      <c r="K29" s="30">
        <f>K28*(1+$E29)</f>
        <v>1.047552</v>
      </c>
      <c r="L29" s="6"/>
      <c r="M29" s="30">
        <f>M28*(1+$E29)</f>
        <v>0</v>
      </c>
      <c r="N29" s="6"/>
      <c r="O29" s="295">
        <f>'(2.2)_Forward_Price_Curve'!Y33</f>
        <v>1.1679956801767024</v>
      </c>
      <c r="P29" s="6"/>
      <c r="Q29" s="30">
        <v>-13.377003964833651</v>
      </c>
      <c r="R29" s="6"/>
      <c r="S29" s="20">
        <f t="shared" ref="S29:S57" si="5">(I29*$G$11*1000+(K29+M29+O29+Q29)*G29)/1000</f>
        <v>2102.5866739534754</v>
      </c>
      <c r="T29" s="6"/>
      <c r="U29" s="20">
        <f t="shared" si="0"/>
        <v>20722.716080799088</v>
      </c>
      <c r="V29" s="6"/>
      <c r="W29" s="20">
        <f t="shared" si="1"/>
        <v>-18620.129406845612</v>
      </c>
      <c r="X29" s="6"/>
      <c r="Y29" s="296">
        <f t="shared" ref="Y29:Y57" si="6">+W29*1000/G29</f>
        <v>-28.325603112195097</v>
      </c>
      <c r="Z29" s="255"/>
      <c r="AB29" s="154">
        <f>+IF(AB28&gt;$G$13+$G$14,XX,AB28+1)</f>
        <v>2022</v>
      </c>
      <c r="AC29" s="124"/>
      <c r="AD29" s="159">
        <f t="shared" si="2"/>
        <v>657360.38639999996</v>
      </c>
      <c r="AE29" s="3"/>
      <c r="AF29" s="162">
        <f>AF28*(1+$E29)</f>
        <v>96.078127060674248</v>
      </c>
      <c r="AG29" s="3"/>
      <c r="AH29" s="162">
        <f>AH28*(1+$E29)</f>
        <v>20.128995539334881</v>
      </c>
      <c r="AI29" s="3"/>
      <c r="AJ29" s="162">
        <f>AJ28*(1+$E29)</f>
        <v>2.3153915345186378</v>
      </c>
      <c r="AK29" s="3"/>
      <c r="AL29" s="161">
        <f t="shared" ref="AL29:AL57" si="7">((AF29+AH29)*$AF$11*1000+AJ29*AD29)/1000</f>
        <v>14020.86219365258</v>
      </c>
      <c r="AM29" s="3"/>
      <c r="AN29" s="162">
        <f>INDEX('(2.2)_Forward_Price_Curve'!$H:$H,MATCH($AB29,'(2.2)_Forward_Price_Curve'!$C:$C,0),1)</f>
        <v>2.431295833333333</v>
      </c>
      <c r="AO29" s="3"/>
      <c r="AP29" s="162">
        <f>AN29*$AF$14/1000+$AJ$14</f>
        <v>15.805608214255424</v>
      </c>
      <c r="AQ29" s="3"/>
      <c r="AR29" s="162">
        <f>AR28*(1+$E29)</f>
        <v>2.3900766224293006</v>
      </c>
      <c r="AS29" s="162"/>
      <c r="AT29" s="161">
        <f t="shared" si="3"/>
        <v>8761.5936657433958</v>
      </c>
      <c r="AU29" s="3"/>
      <c r="AV29" s="161">
        <f t="shared" si="4"/>
        <v>11961.12241505569</v>
      </c>
      <c r="AW29" s="299"/>
      <c r="AX29" s="163">
        <f t="shared" ref="AX29:AX57" si="8">AT29+AV29</f>
        <v>20722.716080799088</v>
      </c>
      <c r="AZ29" s="154">
        <f>+IF(AZ28&gt;$G$13+$G$14,XX,AZ28+1)</f>
        <v>2022</v>
      </c>
      <c r="BA29" s="124"/>
      <c r="BB29" s="162">
        <f>BB28*(1+$E29)</f>
        <v>61.462808985599992</v>
      </c>
      <c r="BC29" s="3"/>
      <c r="BD29" s="162">
        <f>BD28*(1+$E29)</f>
        <v>6.9243187199999996</v>
      </c>
      <c r="BE29" s="3"/>
      <c r="BF29" s="161">
        <f t="shared" ref="BF29:BF57" si="9">(BB29+BD29)*$BD$11</f>
        <v>5259.2685279091829</v>
      </c>
      <c r="BG29" s="3"/>
      <c r="BH29" s="165"/>
    </row>
    <row r="30" spans="1:60" ht="12">
      <c r="B30" s="2"/>
      <c r="C30" s="6">
        <f>+IF(C29&gt;$G$13+$G$14,XX,C29+1)</f>
        <v>2023</v>
      </c>
      <c r="D30" s="6"/>
      <c r="E30" s="292">
        <f>'(2.2)_Forward_Price_Curve'!O35</f>
        <v>2.3E-2</v>
      </c>
      <c r="F30" s="6"/>
      <c r="G30" s="20">
        <v>657360.38639999996</v>
      </c>
      <c r="H30" s="6"/>
      <c r="I30" s="30">
        <f t="shared" ref="I30:K57" si="10">I29*(1+$E30)</f>
        <v>49.777312708725709</v>
      </c>
      <c r="J30" s="6"/>
      <c r="K30" s="30">
        <f t="shared" si="10"/>
        <v>1.071645696</v>
      </c>
      <c r="L30" s="6"/>
      <c r="M30" s="30">
        <f t="shared" ref="M30:M57" si="11">M29*(1+$E30)</f>
        <v>0</v>
      </c>
      <c r="N30" s="6"/>
      <c r="O30" s="295">
        <f>'(2.2)_Forward_Price_Curve'!Y34</f>
        <v>1.1974836718320334</v>
      </c>
      <c r="P30" s="6"/>
      <c r="Q30" s="30">
        <v>-13.891504117327255</v>
      </c>
      <c r="R30" s="6"/>
      <c r="S30" s="20">
        <f t="shared" si="5"/>
        <v>2016.7099092790056</v>
      </c>
      <c r="T30" s="6"/>
      <c r="U30" s="20">
        <f t="shared" si="0"/>
        <v>23122.316736994013</v>
      </c>
      <c r="V30" s="6"/>
      <c r="W30" s="20">
        <f t="shared" si="1"/>
        <v>-21105.606827715008</v>
      </c>
      <c r="X30" s="6"/>
      <c r="Y30" s="296">
        <f t="shared" si="6"/>
        <v>-32.106599765311032</v>
      </c>
      <c r="Z30" s="255"/>
      <c r="AB30" s="154">
        <f>+IF(AB29&gt;$G$13+$G$14,XX,AB29+1)</f>
        <v>2023</v>
      </c>
      <c r="AC30" s="124"/>
      <c r="AD30" s="159">
        <f t="shared" si="2"/>
        <v>657360.38639999996</v>
      </c>
      <c r="AE30" s="3"/>
      <c r="AF30" s="162">
        <f t="shared" ref="AF30:AF57" si="12">AF29*(1+$E30)</f>
        <v>98.287923983069746</v>
      </c>
      <c r="AG30" s="3"/>
      <c r="AH30" s="162">
        <f t="shared" ref="AH30:AH57" si="13">AH29*(1+$E30)</f>
        <v>20.591962436739582</v>
      </c>
      <c r="AI30" s="3"/>
      <c r="AJ30" s="162">
        <f t="shared" ref="AJ30:AJ57" si="14">AJ29*(1+$E30)</f>
        <v>2.3686455398125661</v>
      </c>
      <c r="AK30" s="3"/>
      <c r="AL30" s="161">
        <f t="shared" si="7"/>
        <v>14343.342024106589</v>
      </c>
      <c r="AM30" s="3"/>
      <c r="AN30" s="162">
        <f>INDEX('(2.2)_Forward_Price_Curve'!$H:$H,MATCH($AB30,'(2.2)_Forward_Price_Curve'!$C:$C,0),1)</f>
        <v>2.9371999999999994</v>
      </c>
      <c r="AO30" s="3"/>
      <c r="AP30" s="162">
        <f t="shared" ref="AP30:AP57" si="15">AN30*$AF$14/1000+$AJ$14</f>
        <v>19.094440014427573</v>
      </c>
      <c r="AQ30" s="3"/>
      <c r="AR30" s="162">
        <f t="shared" ref="AR30:AR57" si="16">AR29*(1+$E30)</f>
        <v>2.4450483847451743</v>
      </c>
      <c r="AS30" s="162"/>
      <c r="AT30" s="161">
        <f t="shared" si="3"/>
        <v>8963.1103200554971</v>
      </c>
      <c r="AU30" s="3"/>
      <c r="AV30" s="161">
        <f t="shared" si="4"/>
        <v>14159.206416938514</v>
      </c>
      <c r="AW30" s="299"/>
      <c r="AX30" s="163">
        <f t="shared" si="8"/>
        <v>23122.316736994013</v>
      </c>
      <c r="AZ30" s="154">
        <f>+IF(AZ29&gt;$G$13+$G$14,XX,AZ29+1)</f>
        <v>2023</v>
      </c>
      <c r="BA30" s="124"/>
      <c r="BB30" s="162">
        <f t="shared" ref="BB30:BB57" si="17">BB29*(1+$E30)</f>
        <v>62.876453592268788</v>
      </c>
      <c r="BC30" s="3"/>
      <c r="BD30" s="162">
        <f t="shared" ref="BD30:BD57" si="18">BD29*(1+$E30)</f>
        <v>7.083578050559999</v>
      </c>
      <c r="BE30" s="3"/>
      <c r="BF30" s="161">
        <f t="shared" si="9"/>
        <v>5380.2317040510925</v>
      </c>
      <c r="BG30" s="3"/>
      <c r="BH30" s="165"/>
    </row>
    <row r="31" spans="1:60" ht="12">
      <c r="B31" s="2"/>
      <c r="C31" s="6">
        <f>+IF(C30&gt;$G$13+$G$14,XX,C30+1)</f>
        <v>2024</v>
      </c>
      <c r="D31" s="6"/>
      <c r="E31" s="292">
        <f>'(2.2)_Forward_Price_Curve'!O36</f>
        <v>2.3E-2</v>
      </c>
      <c r="F31" s="6"/>
      <c r="G31" s="20">
        <v>657360.38639999996</v>
      </c>
      <c r="H31" s="6"/>
      <c r="I31" s="30">
        <f t="shared" si="10"/>
        <v>50.922190901026397</v>
      </c>
      <c r="J31" s="6"/>
      <c r="K31" s="30">
        <f t="shared" si="10"/>
        <v>1.096293547008</v>
      </c>
      <c r="L31" s="6"/>
      <c r="M31" s="30">
        <f t="shared" si="11"/>
        <v>0</v>
      </c>
      <c r="N31" s="6"/>
      <c r="O31" s="295">
        <f>'(2.2)_Forward_Price_Curve'!Y35</f>
        <v>1.2269144627008759</v>
      </c>
      <c r="P31" s="6"/>
      <c r="Q31" s="30">
        <v>-13.891504117327255</v>
      </c>
      <c r="R31" s="6"/>
      <c r="S31" s="20">
        <f t="shared" si="5"/>
        <v>2274.3654355054869</v>
      </c>
      <c r="T31" s="6"/>
      <c r="U31" s="20">
        <f t="shared" si="0"/>
        <v>25631.90446779806</v>
      </c>
      <c r="V31" s="6"/>
      <c r="W31" s="20">
        <f t="shared" si="1"/>
        <v>-23357.539032292574</v>
      </c>
      <c r="X31" s="6"/>
      <c r="Y31" s="296">
        <f t="shared" si="6"/>
        <v>-35.532319128946796</v>
      </c>
      <c r="Z31" s="255"/>
      <c r="AB31" s="154">
        <f>+IF(AB30&gt;$G$13+$G$14,XX,AB30+1)</f>
        <v>2024</v>
      </c>
      <c r="AC31" s="124"/>
      <c r="AD31" s="159">
        <f t="shared" si="2"/>
        <v>657360.38639999996</v>
      </c>
      <c r="AE31" s="3"/>
      <c r="AF31" s="162">
        <f t="shared" si="12"/>
        <v>100.54854623468034</v>
      </c>
      <c r="AG31" s="3"/>
      <c r="AH31" s="162">
        <f t="shared" si="13"/>
        <v>21.065577572784591</v>
      </c>
      <c r="AI31" s="3"/>
      <c r="AJ31" s="162">
        <f t="shared" si="14"/>
        <v>2.4231243872282549</v>
      </c>
      <c r="AK31" s="3"/>
      <c r="AL31" s="161">
        <f t="shared" si="7"/>
        <v>14673.238890661039</v>
      </c>
      <c r="AM31" s="3"/>
      <c r="AN31" s="162">
        <f>INDEX('(2.2)_Forward_Price_Curve'!$H:$H,MATCH($AB31,'(2.2)_Forward_Price_Curve'!$C:$C,0),1)</f>
        <v>3.4675625000000001</v>
      </c>
      <c r="AO31" s="3"/>
      <c r="AP31" s="162">
        <f t="shared" si="15"/>
        <v>22.542272964908253</v>
      </c>
      <c r="AQ31" s="3"/>
      <c r="AR31" s="162">
        <f t="shared" si="16"/>
        <v>2.5012844975943129</v>
      </c>
      <c r="AS31" s="162"/>
      <c r="AT31" s="161">
        <f t="shared" si="3"/>
        <v>9169.2618574167718</v>
      </c>
      <c r="AU31" s="3"/>
      <c r="AV31" s="161">
        <f t="shared" si="4"/>
        <v>16462.642610381288</v>
      </c>
      <c r="AW31" s="299"/>
      <c r="AX31" s="163">
        <f t="shared" si="8"/>
        <v>25631.90446779806</v>
      </c>
      <c r="AZ31" s="154">
        <f>+IF(AZ30&gt;$G$13+$G$14,XX,AZ30+1)</f>
        <v>2024</v>
      </c>
      <c r="BA31" s="124"/>
      <c r="BB31" s="162">
        <f t="shared" si="17"/>
        <v>64.322612024890958</v>
      </c>
      <c r="BC31" s="3"/>
      <c r="BD31" s="162">
        <f t="shared" si="18"/>
        <v>7.246500345722878</v>
      </c>
      <c r="BE31" s="3"/>
      <c r="BF31" s="161">
        <f t="shared" si="9"/>
        <v>5503.9770332442677</v>
      </c>
      <c r="BG31" s="3"/>
      <c r="BH31" s="165"/>
    </row>
    <row r="32" spans="1:60" ht="12">
      <c r="B32" s="2"/>
      <c r="C32" s="6">
        <f>+IF(C31&gt;$G$13+$G$14,XX,C31+1)</f>
        <v>2025</v>
      </c>
      <c r="D32" s="6"/>
      <c r="E32" s="292">
        <f>'(2.2)_Forward_Price_Curve'!O37</f>
        <v>2.3E-2</v>
      </c>
      <c r="F32" s="6"/>
      <c r="G32" s="20">
        <v>657360.38639999996</v>
      </c>
      <c r="H32" s="6"/>
      <c r="I32" s="30">
        <f t="shared" si="10"/>
        <v>52.093401291749998</v>
      </c>
      <c r="J32" s="6"/>
      <c r="K32" s="30">
        <f t="shared" si="10"/>
        <v>1.1215082985891838</v>
      </c>
      <c r="L32" s="6"/>
      <c r="M32" s="30">
        <f t="shared" si="11"/>
        <v>0</v>
      </c>
      <c r="N32" s="6"/>
      <c r="O32" s="295">
        <f>'(2.2)_Forward_Price_Curve'!Y36</f>
        <v>1.2554480395092353</v>
      </c>
      <c r="P32" s="6"/>
      <c r="Q32" s="30">
        <v>-14.406004269820855</v>
      </c>
      <c r="R32" s="6"/>
      <c r="S32" s="20">
        <f t="shared" si="5"/>
        <v>2198.700254178319</v>
      </c>
      <c r="T32" s="6"/>
      <c r="U32" s="20">
        <f t="shared" si="0"/>
        <v>27408.794903082617</v>
      </c>
      <c r="V32" s="6"/>
      <c r="W32" s="20">
        <f t="shared" si="1"/>
        <v>-25210.094648904298</v>
      </c>
      <c r="X32" s="6"/>
      <c r="Y32" s="296">
        <f t="shared" si="6"/>
        <v>-38.350492622419907</v>
      </c>
      <c r="Z32" s="255"/>
      <c r="AB32" s="154">
        <f>+IF(AB31&gt;$G$13+$G$14,XX,AB31+1)</f>
        <v>2025</v>
      </c>
      <c r="AC32" s="124"/>
      <c r="AD32" s="159">
        <f t="shared" si="2"/>
        <v>657360.38639999996</v>
      </c>
      <c r="AE32" s="3"/>
      <c r="AF32" s="162">
        <f t="shared" si="12"/>
        <v>102.86116279807798</v>
      </c>
      <c r="AG32" s="3"/>
      <c r="AH32" s="162">
        <f t="shared" si="13"/>
        <v>21.550085856958635</v>
      </c>
      <c r="AI32" s="3"/>
      <c r="AJ32" s="162">
        <f t="shared" si="14"/>
        <v>2.4788562481345044</v>
      </c>
      <c r="AK32" s="3"/>
      <c r="AL32" s="161">
        <f t="shared" si="7"/>
        <v>15010.723385146242</v>
      </c>
      <c r="AM32" s="3"/>
      <c r="AN32" s="162">
        <f>INDEX('(2.2)_Forward_Price_Curve'!$H:$H,MATCH($AB32,'(2.2)_Forward_Price_Curve'!$C:$C,0),1)</f>
        <v>3.8251624999999998</v>
      </c>
      <c r="AO32" s="3"/>
      <c r="AP32" s="162">
        <f t="shared" si="15"/>
        <v>24.866994382979648</v>
      </c>
      <c r="AQ32" s="3"/>
      <c r="AR32" s="162">
        <f t="shared" si="16"/>
        <v>2.5588140410389819</v>
      </c>
      <c r="AS32" s="162"/>
      <c r="AT32" s="161">
        <f t="shared" si="3"/>
        <v>9380.1548801373574</v>
      </c>
      <c r="AU32" s="3"/>
      <c r="AV32" s="161">
        <f t="shared" si="4"/>
        <v>18028.640022945259</v>
      </c>
      <c r="AW32" s="299"/>
      <c r="AX32" s="163">
        <f t="shared" si="8"/>
        <v>27408.794903082617</v>
      </c>
      <c r="AZ32" s="154">
        <f>+IF(AZ31&gt;$G$13+$G$14,XX,AZ31+1)</f>
        <v>2025</v>
      </c>
      <c r="BA32" s="124"/>
      <c r="BB32" s="162">
        <f t="shared" si="17"/>
        <v>65.802032101463439</v>
      </c>
      <c r="BC32" s="3"/>
      <c r="BD32" s="162">
        <f t="shared" si="18"/>
        <v>7.4131698536745034</v>
      </c>
      <c r="BE32" s="3"/>
      <c r="BF32" s="161">
        <f t="shared" si="9"/>
        <v>5630.568505008885</v>
      </c>
      <c r="BG32" s="3"/>
      <c r="BH32" s="165"/>
    </row>
    <row r="33" spans="2:60" ht="12">
      <c r="B33" s="2"/>
      <c r="C33" s="6">
        <f>+IF(C32&gt;$G$13+$G$14,XX,C32+1)</f>
        <v>2026</v>
      </c>
      <c r="D33" s="6"/>
      <c r="E33" s="292">
        <f>'(2.2)_Forward_Price_Curve'!O38</f>
        <v>2.1999999999999999E-2</v>
      </c>
      <c r="F33" s="6"/>
      <c r="G33" s="20">
        <v>657360.38639999996</v>
      </c>
      <c r="H33" s="6"/>
      <c r="I33" s="30">
        <f t="shared" si="10"/>
        <v>53.239456120168498</v>
      </c>
      <c r="J33" s="6"/>
      <c r="K33" s="30">
        <f t="shared" si="10"/>
        <v>1.1461814811581459</v>
      </c>
      <c r="L33" s="6"/>
      <c r="M33" s="30">
        <f t="shared" si="11"/>
        <v>0</v>
      </c>
      <c r="N33" s="6"/>
      <c r="O33" s="295">
        <f>'(2.2)_Forward_Price_Curve'!Y37</f>
        <v>1.2834505366016622</v>
      </c>
      <c r="P33" s="6"/>
      <c r="Q33" s="30">
        <v>-14.406004269820855</v>
      </c>
      <c r="R33" s="6"/>
      <c r="S33" s="20">
        <f t="shared" si="5"/>
        <v>2455.6617960276017</v>
      </c>
      <c r="T33" s="6"/>
      <c r="U33" s="20">
        <f t="shared" si="0"/>
        <v>28546.415238748741</v>
      </c>
      <c r="V33" s="6"/>
      <c r="W33" s="20">
        <f t="shared" si="1"/>
        <v>-26090.753442721139</v>
      </c>
      <c r="X33" s="6"/>
      <c r="Y33" s="296">
        <f t="shared" si="6"/>
        <v>-39.690182101793198</v>
      </c>
      <c r="Z33" s="255"/>
      <c r="AB33" s="154">
        <f>+IF(AB32&gt;$G$13+$G$14,XX,AB32+1)</f>
        <v>2026</v>
      </c>
      <c r="AC33" s="124"/>
      <c r="AD33" s="159">
        <f t="shared" si="2"/>
        <v>657360.38639999996</v>
      </c>
      <c r="AE33" s="3"/>
      <c r="AF33" s="162">
        <f t="shared" si="12"/>
        <v>105.1241083796357</v>
      </c>
      <c r="AG33" s="3"/>
      <c r="AH33" s="162">
        <f t="shared" si="13"/>
        <v>22.024187745811727</v>
      </c>
      <c r="AI33" s="3"/>
      <c r="AJ33" s="162">
        <f t="shared" si="14"/>
        <v>2.5333910855934634</v>
      </c>
      <c r="AK33" s="3"/>
      <c r="AL33" s="161">
        <f t="shared" si="7"/>
        <v>15340.959299619459</v>
      </c>
      <c r="AM33" s="3"/>
      <c r="AN33" s="162">
        <f>INDEX('(2.2)_Forward_Price_Curve'!$H:$H,MATCH($AB33,'(2.2)_Forward_Price_Curve'!$C:$C,0),1)</f>
        <v>4.0344208333333329</v>
      </c>
      <c r="AO33" s="3"/>
      <c r="AP33" s="162">
        <f t="shared" si="15"/>
        <v>26.227361635244531</v>
      </c>
      <c r="AQ33" s="3"/>
      <c r="AR33" s="162">
        <f t="shared" si="16"/>
        <v>2.6151079499418395</v>
      </c>
      <c r="AS33" s="162"/>
      <c r="AT33" s="161">
        <f t="shared" si="3"/>
        <v>9586.5182875003793</v>
      </c>
      <c r="AU33" s="3"/>
      <c r="AV33" s="161">
        <f t="shared" si="4"/>
        <v>18959.89695124836</v>
      </c>
      <c r="AW33" s="299"/>
      <c r="AX33" s="163">
        <f t="shared" si="8"/>
        <v>28546.415238748741</v>
      </c>
      <c r="AZ33" s="154">
        <f>+IF(AZ32&gt;$G$13+$G$14,XX,AZ32+1)</f>
        <v>2026</v>
      </c>
      <c r="BA33" s="124"/>
      <c r="BB33" s="162">
        <f t="shared" si="17"/>
        <v>67.249676807695636</v>
      </c>
      <c r="BC33" s="3"/>
      <c r="BD33" s="162">
        <f t="shared" si="18"/>
        <v>7.5762595904553427</v>
      </c>
      <c r="BE33" s="3"/>
      <c r="BF33" s="161">
        <f t="shared" si="9"/>
        <v>5754.4410121190795</v>
      </c>
      <c r="BG33" s="3"/>
      <c r="BH33" s="165"/>
    </row>
    <row r="34" spans="2:60" ht="12">
      <c r="B34" s="2"/>
      <c r="C34" s="6">
        <f>+IF(C33&gt;$G$13+$G$14,XX,C33+1)</f>
        <v>2027</v>
      </c>
      <c r="D34" s="6"/>
      <c r="E34" s="292">
        <f>'(2.2)_Forward_Price_Curve'!O39</f>
        <v>2.1999999999999999E-2</v>
      </c>
      <c r="F34" s="6"/>
      <c r="G34" s="20">
        <v>657360.38639999996</v>
      </c>
      <c r="H34" s="6"/>
      <c r="I34" s="30">
        <f t="shared" si="10"/>
        <v>54.410724154812208</v>
      </c>
      <c r="J34" s="6"/>
      <c r="K34" s="30">
        <f t="shared" si="10"/>
        <v>1.171397473743625</v>
      </c>
      <c r="L34" s="6"/>
      <c r="M34" s="30">
        <f t="shared" si="11"/>
        <v>0</v>
      </c>
      <c r="N34" s="6"/>
      <c r="O34" s="295">
        <f>'(2.2)_Forward_Price_Curve'!Y38</f>
        <v>1.3117597482561225</v>
      </c>
      <c r="P34" s="6"/>
      <c r="Q34" s="30">
        <v>-14.920504422314458</v>
      </c>
      <c r="R34" s="6"/>
      <c r="S34" s="20">
        <f t="shared" si="5"/>
        <v>2379.8611246437317</v>
      </c>
      <c r="T34" s="6"/>
      <c r="U34" s="20">
        <f t="shared" si="0"/>
        <v>28616.099093441979</v>
      </c>
      <c r="V34" s="6"/>
      <c r="W34" s="20">
        <f t="shared" si="1"/>
        <v>-26236.237968798247</v>
      </c>
      <c r="X34" s="6"/>
      <c r="Y34" s="296">
        <f t="shared" si="6"/>
        <v>-39.911498337281387</v>
      </c>
      <c r="Z34" s="255"/>
      <c r="AB34" s="154">
        <f>+IF(AB33&gt;$G$13+$G$14,XX,AB33+1)</f>
        <v>2027</v>
      </c>
      <c r="AC34" s="124"/>
      <c r="AD34" s="159">
        <f t="shared" si="2"/>
        <v>657360.38639999996</v>
      </c>
      <c r="AE34" s="3"/>
      <c r="AF34" s="162">
        <f t="shared" si="12"/>
        <v>107.43683876398769</v>
      </c>
      <c r="AG34" s="3"/>
      <c r="AH34" s="162">
        <f t="shared" si="13"/>
        <v>22.508719876219583</v>
      </c>
      <c r="AI34" s="3"/>
      <c r="AJ34" s="162">
        <f t="shared" si="14"/>
        <v>2.5891256894765196</v>
      </c>
      <c r="AK34" s="3"/>
      <c r="AL34" s="161">
        <f t="shared" si="7"/>
        <v>15678.460404211088</v>
      </c>
      <c r="AM34" s="3"/>
      <c r="AN34" s="162">
        <f>INDEX('(2.2)_Forward_Price_Curve'!$H:$H,MATCH($AB34,'(2.2)_Forward_Price_Curve'!$C:$C,0),1)</f>
        <v>3.9925249999999992</v>
      </c>
      <c r="AO34" s="3"/>
      <c r="AP34" s="162">
        <f t="shared" si="15"/>
        <v>25.955001061760328</v>
      </c>
      <c r="AQ34" s="3"/>
      <c r="AR34" s="162">
        <f t="shared" si="16"/>
        <v>2.6726403248405601</v>
      </c>
      <c r="AS34" s="162"/>
      <c r="AT34" s="161">
        <f t="shared" si="3"/>
        <v>9797.4216898253871</v>
      </c>
      <c r="AU34" s="3"/>
      <c r="AV34" s="161">
        <f t="shared" si="4"/>
        <v>18818.677403616592</v>
      </c>
      <c r="AW34" s="299"/>
      <c r="AX34" s="163">
        <f t="shared" si="8"/>
        <v>28616.099093441979</v>
      </c>
      <c r="AZ34" s="154">
        <f>+IF(AZ33&gt;$G$13+$G$14,XX,AZ33+1)</f>
        <v>2027</v>
      </c>
      <c r="BA34" s="124"/>
      <c r="BB34" s="162">
        <f t="shared" si="17"/>
        <v>68.72916969746494</v>
      </c>
      <c r="BC34" s="3"/>
      <c r="BD34" s="162">
        <f t="shared" si="18"/>
        <v>7.7429373014453606</v>
      </c>
      <c r="BE34" s="3"/>
      <c r="BF34" s="161">
        <f t="shared" si="9"/>
        <v>5881.0387143857006</v>
      </c>
      <c r="BG34" s="3"/>
      <c r="BH34" s="165"/>
    </row>
    <row r="35" spans="2:60" ht="12">
      <c r="B35" s="2"/>
      <c r="C35" s="6">
        <f>+IF(C34&gt;$G$13+$G$14,XX,C34+1)</f>
        <v>2028</v>
      </c>
      <c r="D35" s="6"/>
      <c r="E35" s="292">
        <f>'(2.2)_Forward_Price_Curve'!O40</f>
        <v>2.1999999999999999E-2</v>
      </c>
      <c r="F35" s="6"/>
      <c r="G35" s="20">
        <v>657360.38639999996</v>
      </c>
      <c r="H35" s="6"/>
      <c r="I35" s="30">
        <f t="shared" si="10"/>
        <v>55.607760086218079</v>
      </c>
      <c r="J35" s="6"/>
      <c r="K35" s="30">
        <f t="shared" si="10"/>
        <v>1.1971682181659848</v>
      </c>
      <c r="L35" s="6"/>
      <c r="M35" s="30">
        <f t="shared" si="11"/>
        <v>0</v>
      </c>
      <c r="N35" s="6"/>
      <c r="O35" s="295">
        <f>'(2.2)_Forward_Price_Curve'!Y39</f>
        <v>1.3408534982838876</v>
      </c>
      <c r="P35" s="6"/>
      <c r="Q35" s="30">
        <v>-14.920504422314458</v>
      </c>
      <c r="R35" s="6"/>
      <c r="S35" s="20">
        <f t="shared" si="5"/>
        <v>2648.1518406078462</v>
      </c>
      <c r="T35" s="6"/>
      <c r="U35" s="20">
        <f t="shared" si="0"/>
        <v>28613.887902284245</v>
      </c>
      <c r="V35" s="6"/>
      <c r="W35" s="20">
        <f t="shared" si="1"/>
        <v>-25965.736061676398</v>
      </c>
      <c r="X35" s="6"/>
      <c r="Y35" s="296">
        <f t="shared" si="6"/>
        <v>-39.500001215279191</v>
      </c>
      <c r="Z35" s="255"/>
      <c r="AB35" s="154">
        <f>+IF(AB34&gt;$G$13+$G$14,XX,AB34+1)</f>
        <v>2028</v>
      </c>
      <c r="AC35" s="124"/>
      <c r="AD35" s="159">
        <f t="shared" si="2"/>
        <v>657360.38639999996</v>
      </c>
      <c r="AE35" s="3"/>
      <c r="AF35" s="162">
        <f t="shared" si="12"/>
        <v>109.80044921679543</v>
      </c>
      <c r="AG35" s="3"/>
      <c r="AH35" s="162">
        <f t="shared" si="13"/>
        <v>23.003911713496414</v>
      </c>
      <c r="AI35" s="3"/>
      <c r="AJ35" s="162">
        <f t="shared" si="14"/>
        <v>2.6460864546450029</v>
      </c>
      <c r="AK35" s="3"/>
      <c r="AL35" s="161">
        <f t="shared" si="7"/>
        <v>16023.386533103732</v>
      </c>
      <c r="AM35" s="3"/>
      <c r="AN35" s="162">
        <f>INDEX('(2.2)_Forward_Price_Curve'!$H:$H,MATCH($AB35,'(2.2)_Forward_Price_Curve'!$C:$C,0),1)</f>
        <v>3.9325250000000005</v>
      </c>
      <c r="AO35" s="3"/>
      <c r="AP35" s="162">
        <f t="shared" si="15"/>
        <v>25.564947132553726</v>
      </c>
      <c r="AQ35" s="3"/>
      <c r="AR35" s="162">
        <f t="shared" si="16"/>
        <v>2.7314384119870527</v>
      </c>
      <c r="AS35" s="162"/>
      <c r="AT35" s="161">
        <f t="shared" si="3"/>
        <v>10012.964967001546</v>
      </c>
      <c r="AU35" s="3"/>
      <c r="AV35" s="161">
        <f t="shared" si="4"/>
        <v>18600.922935282699</v>
      </c>
      <c r="AW35" s="299"/>
      <c r="AX35" s="163">
        <f t="shared" si="8"/>
        <v>28613.887902284245</v>
      </c>
      <c r="AZ35" s="154">
        <f>+IF(AZ34&gt;$G$13+$G$14,XX,AZ34+1)</f>
        <v>2028</v>
      </c>
      <c r="BA35" s="124"/>
      <c r="BB35" s="162">
        <f t="shared" si="17"/>
        <v>70.241211430809173</v>
      </c>
      <c r="BC35" s="3"/>
      <c r="BD35" s="162">
        <f t="shared" si="18"/>
        <v>7.9132819220771591</v>
      </c>
      <c r="BE35" s="3"/>
      <c r="BF35" s="161">
        <f t="shared" si="9"/>
        <v>6010.4215661021863</v>
      </c>
      <c r="BG35" s="3"/>
      <c r="BH35" s="165"/>
    </row>
    <row r="36" spans="2:60" ht="12">
      <c r="B36" s="2"/>
      <c r="C36" s="6">
        <f>+IF(C35&gt;$G$13+$G$14,XX,C35+1)</f>
        <v>2029</v>
      </c>
      <c r="D36" s="6"/>
      <c r="E36" s="292">
        <f>'(2.2)_Forward_Price_Curve'!O41</f>
        <v>2.1999999999999999E-2</v>
      </c>
      <c r="F36" s="6"/>
      <c r="G36" s="20">
        <v>657360.38639999996</v>
      </c>
      <c r="H36" s="6"/>
      <c r="I36" s="30">
        <f t="shared" si="10"/>
        <v>56.831130808114878</v>
      </c>
      <c r="J36" s="6"/>
      <c r="K36" s="30">
        <f t="shared" si="10"/>
        <v>1.2235059189656365</v>
      </c>
      <c r="L36" s="6"/>
      <c r="M36" s="30">
        <f t="shared" si="11"/>
        <v>0</v>
      </c>
      <c r="N36" s="6"/>
      <c r="O36" s="295">
        <f>'(2.2)_Forward_Price_Curve'!Y40</f>
        <v>1.3709529466223729</v>
      </c>
      <c r="P36" s="6"/>
      <c r="Q36" s="30">
        <v>-15.435004574808058</v>
      </c>
      <c r="R36" s="6"/>
      <c r="S36" s="20">
        <f t="shared" si="5"/>
        <v>2584.3732877745347</v>
      </c>
      <c r="T36" s="6"/>
      <c r="U36" s="20">
        <f t="shared" si="0"/>
        <v>30236.953658440623</v>
      </c>
      <c r="V36" s="6"/>
      <c r="W36" s="20">
        <f t="shared" si="1"/>
        <v>-27652.580370666088</v>
      </c>
      <c r="X36" s="6"/>
      <c r="Y36" s="296">
        <f t="shared" si="6"/>
        <v>-42.066088773775995</v>
      </c>
      <c r="Z36" s="255"/>
      <c r="AB36" s="154">
        <f>+IF(AB35&gt;$G$13+$G$14,XX,AB35+1)</f>
        <v>2029</v>
      </c>
      <c r="AC36" s="124"/>
      <c r="AD36" s="159">
        <f t="shared" si="2"/>
        <v>657360.38639999996</v>
      </c>
      <c r="AE36" s="3"/>
      <c r="AF36" s="162">
        <f t="shared" si="12"/>
        <v>112.21605909956493</v>
      </c>
      <c r="AG36" s="3"/>
      <c r="AH36" s="162">
        <f t="shared" si="13"/>
        <v>23.509997771193337</v>
      </c>
      <c r="AI36" s="3"/>
      <c r="AJ36" s="162">
        <f t="shared" si="14"/>
        <v>2.704300356647193</v>
      </c>
      <c r="AK36" s="3"/>
      <c r="AL36" s="161">
        <f t="shared" si="7"/>
        <v>16375.901036832016</v>
      </c>
      <c r="AM36" s="3"/>
      <c r="AN36" s="162">
        <f>INDEX('(2.2)_Forward_Price_Curve'!$H:$H,MATCH($AB36,'(2.2)_Forward_Price_Curve'!$C:$C,0),1)</f>
        <v>4.2515375000000004</v>
      </c>
      <c r="AO36" s="3"/>
      <c r="AP36" s="162">
        <f t="shared" si="15"/>
        <v>27.638815117404125</v>
      </c>
      <c r="AQ36" s="3"/>
      <c r="AR36" s="162">
        <f t="shared" si="16"/>
        <v>2.791530057050768</v>
      </c>
      <c r="AS36" s="162"/>
      <c r="AT36" s="161">
        <f t="shared" si="3"/>
        <v>10233.250196275581</v>
      </c>
      <c r="AU36" s="3"/>
      <c r="AV36" s="161">
        <f t="shared" si="4"/>
        <v>20003.703462165042</v>
      </c>
      <c r="AW36" s="299"/>
      <c r="AX36" s="163">
        <f t="shared" si="8"/>
        <v>30236.953658440623</v>
      </c>
      <c r="AZ36" s="154">
        <f>+IF(AZ35&gt;$G$13+$G$14,XX,AZ35+1)</f>
        <v>2029</v>
      </c>
      <c r="BA36" s="124"/>
      <c r="BB36" s="162">
        <f t="shared" si="17"/>
        <v>71.786518082286975</v>
      </c>
      <c r="BC36" s="3"/>
      <c r="BD36" s="162">
        <f t="shared" si="18"/>
        <v>8.0873741243628565</v>
      </c>
      <c r="BE36" s="3"/>
      <c r="BF36" s="161">
        <f t="shared" si="9"/>
        <v>6142.6508405564336</v>
      </c>
      <c r="BG36" s="3"/>
      <c r="BH36" s="165"/>
    </row>
    <row r="37" spans="2:60" ht="12">
      <c r="B37" s="2"/>
      <c r="C37" s="6">
        <f>+IF(C36&gt;$G$13+$G$14,XX,C36+1)</f>
        <v>2030</v>
      </c>
      <c r="D37" s="6"/>
      <c r="E37" s="292">
        <f>'(2.2)_Forward_Price_Curve'!O42</f>
        <v>2.1999999999999999E-2</v>
      </c>
      <c r="F37" s="6"/>
      <c r="G37" s="20">
        <v>657360.38639999996</v>
      </c>
      <c r="H37" s="6"/>
      <c r="I37" s="30">
        <f t="shared" si="10"/>
        <v>58.081415685893404</v>
      </c>
      <c r="J37" s="6"/>
      <c r="K37" s="30">
        <f t="shared" si="10"/>
        <v>1.2504230491828805</v>
      </c>
      <c r="L37" s="6"/>
      <c r="M37" s="30">
        <f t="shared" si="11"/>
        <v>0</v>
      </c>
      <c r="N37" s="6"/>
      <c r="O37" s="295">
        <f>'(2.2)_Forward_Price_Curve'!Y41</f>
        <v>1.4021626326399876</v>
      </c>
      <c r="P37" s="6"/>
      <c r="Q37" s="30">
        <v>-15.949504727301658</v>
      </c>
      <c r="R37" s="6"/>
      <c r="S37" s="20">
        <f t="shared" si="5"/>
        <v>2526.926801397864</v>
      </c>
      <c r="T37" s="6"/>
      <c r="U37" s="20">
        <f t="shared" si="0"/>
        <v>32889.043960792296</v>
      </c>
      <c r="V37" s="6"/>
      <c r="W37" s="20">
        <f t="shared" si="1"/>
        <v>-30362.117159394431</v>
      </c>
      <c r="X37" s="6"/>
      <c r="Y37" s="296">
        <f t="shared" si="6"/>
        <v>-46.187932506354684</v>
      </c>
      <c r="Z37" s="255"/>
      <c r="AB37" s="154">
        <f>+IF(AB36&gt;$G$13+$G$14,XX,AB36+1)</f>
        <v>2030</v>
      </c>
      <c r="AC37" s="124"/>
      <c r="AD37" s="159">
        <f t="shared" si="2"/>
        <v>657360.38639999996</v>
      </c>
      <c r="AE37" s="3"/>
      <c r="AF37" s="162">
        <f t="shared" si="12"/>
        <v>114.68481239975536</v>
      </c>
      <c r="AG37" s="3"/>
      <c r="AH37" s="162">
        <f t="shared" si="13"/>
        <v>24.027217722159591</v>
      </c>
      <c r="AI37" s="3"/>
      <c r="AJ37" s="162">
        <f t="shared" si="14"/>
        <v>2.7637949644934312</v>
      </c>
      <c r="AK37" s="3"/>
      <c r="AL37" s="161">
        <f t="shared" si="7"/>
        <v>16736.17085964232</v>
      </c>
      <c r="AM37" s="3"/>
      <c r="AN37" s="162">
        <f>INDEX('(2.2)_Forward_Price_Curve'!$H:$H,MATCH($AB37,'(2.2)_Forward_Price_Curve'!$C:$C,0),1)</f>
        <v>4.8100083333333341</v>
      </c>
      <c r="AO37" s="3"/>
      <c r="AP37" s="162">
        <f t="shared" si="15"/>
        <v>31.26937749888673</v>
      </c>
      <c r="AQ37" s="3"/>
      <c r="AR37" s="162">
        <f t="shared" si="16"/>
        <v>2.8529437183058848</v>
      </c>
      <c r="AS37" s="162"/>
      <c r="AT37" s="161">
        <f t="shared" si="3"/>
        <v>10458.381700593643</v>
      </c>
      <c r="AU37" s="3"/>
      <c r="AV37" s="161">
        <f t="shared" si="4"/>
        <v>22430.662260198653</v>
      </c>
      <c r="AW37" s="299"/>
      <c r="AX37" s="163">
        <f t="shared" si="8"/>
        <v>32889.043960792296</v>
      </c>
      <c r="AZ37" s="154">
        <f>+IF(AZ36&gt;$G$13+$G$14,XX,AZ36+1)</f>
        <v>2030</v>
      </c>
      <c r="BA37" s="124"/>
      <c r="BB37" s="162">
        <f t="shared" si="17"/>
        <v>73.365821480097296</v>
      </c>
      <c r="BC37" s="3"/>
      <c r="BD37" s="162">
        <f t="shared" si="18"/>
        <v>8.2652963550988403</v>
      </c>
      <c r="BE37" s="3"/>
      <c r="BF37" s="161">
        <f t="shared" si="9"/>
        <v>6277.7891590486761</v>
      </c>
      <c r="BG37" s="3"/>
      <c r="BH37" s="165"/>
    </row>
    <row r="38" spans="2:60" ht="12">
      <c r="B38" s="2"/>
      <c r="C38" s="6">
        <f>+IF(C37&gt;$G$13+$G$14,XX,C37+1)</f>
        <v>2031</v>
      </c>
      <c r="D38" s="6"/>
      <c r="E38" s="292">
        <f>'(2.2)_Forward_Price_Curve'!O43</f>
        <v>2.1999999999999999E-2</v>
      </c>
      <c r="F38" s="6"/>
      <c r="G38" s="20">
        <v>657360.38639999996</v>
      </c>
      <c r="H38" s="6"/>
      <c r="I38" s="30">
        <f t="shared" si="10"/>
        <v>59.359206830983062</v>
      </c>
      <c r="J38" s="6"/>
      <c r="K38" s="30">
        <f t="shared" si="10"/>
        <v>1.2779323562649039</v>
      </c>
      <c r="L38" s="6"/>
      <c r="M38" s="30">
        <f t="shared" si="11"/>
        <v>0</v>
      </c>
      <c r="N38" s="6"/>
      <c r="O38" s="295">
        <f>'(2.2)_Forward_Price_Curve'!Y42</f>
        <v>1.4335840474923813</v>
      </c>
      <c r="P38" s="6"/>
      <c r="Q38" s="30">
        <v>0</v>
      </c>
      <c r="R38" s="6"/>
      <c r="S38" s="20">
        <f t="shared" si="5"/>
        <v>13298.129596114541</v>
      </c>
      <c r="T38" s="6"/>
      <c r="U38" s="20">
        <f t="shared" si="0"/>
        <v>34489.585455091474</v>
      </c>
      <c r="V38" s="6"/>
      <c r="W38" s="20">
        <f t="shared" si="1"/>
        <v>-21191.455858976933</v>
      </c>
      <c r="X38" s="6"/>
      <c r="Y38" s="296">
        <f t="shared" si="6"/>
        <v>-32.237196365042379</v>
      </c>
      <c r="Z38" s="255"/>
      <c r="AB38" s="154">
        <f>+IF(AB37&gt;$G$13+$G$14,XX,AB37+1)</f>
        <v>2031</v>
      </c>
      <c r="AC38" s="124"/>
      <c r="AD38" s="159">
        <f t="shared" si="2"/>
        <v>657360.38639999996</v>
      </c>
      <c r="AE38" s="3"/>
      <c r="AF38" s="162">
        <f t="shared" si="12"/>
        <v>117.20787827254998</v>
      </c>
      <c r="AG38" s="3"/>
      <c r="AH38" s="162">
        <f t="shared" si="13"/>
        <v>24.555816512047102</v>
      </c>
      <c r="AI38" s="3"/>
      <c r="AJ38" s="162">
        <f t="shared" si="14"/>
        <v>2.8245984537122868</v>
      </c>
      <c r="AK38" s="3"/>
      <c r="AL38" s="161">
        <f t="shared" si="7"/>
        <v>17104.36661855445</v>
      </c>
      <c r="AM38" s="3"/>
      <c r="AN38" s="162">
        <f>INDEX('(2.2)_Forward_Price_Curve'!$H:$H,MATCH($AB38,'(2.2)_Forward_Price_Curve'!$C:$C,0),1)</f>
        <v>5.1210458333333335</v>
      </c>
      <c r="AO38" s="3"/>
      <c r="AP38" s="162">
        <f t="shared" si="15"/>
        <v>33.291400815646746</v>
      </c>
      <c r="AQ38" s="3"/>
      <c r="AR38" s="162">
        <f t="shared" si="16"/>
        <v>2.9157084801086142</v>
      </c>
      <c r="AS38" s="162"/>
      <c r="AT38" s="161">
        <f t="shared" si="3"/>
        <v>10688.466098006702</v>
      </c>
      <c r="AU38" s="3"/>
      <c r="AV38" s="161">
        <f t="shared" si="4"/>
        <v>23801.119357084772</v>
      </c>
      <c r="AW38" s="299"/>
      <c r="AX38" s="163">
        <f t="shared" si="8"/>
        <v>34489.585455091474</v>
      </c>
      <c r="AZ38" s="154">
        <f>+IF(AZ37&gt;$G$13+$G$14,XX,AZ37+1)</f>
        <v>2031</v>
      </c>
      <c r="BA38" s="124"/>
      <c r="BB38" s="162">
        <f t="shared" si="17"/>
        <v>74.979869552659437</v>
      </c>
      <c r="BC38" s="3"/>
      <c r="BD38" s="162">
        <f t="shared" si="18"/>
        <v>8.4471328749110146</v>
      </c>
      <c r="BE38" s="3"/>
      <c r="BF38" s="161">
        <f t="shared" si="9"/>
        <v>6415.9005205477479</v>
      </c>
      <c r="BG38" s="3"/>
      <c r="BH38" s="165"/>
    </row>
    <row r="39" spans="2:60" ht="12">
      <c r="B39" s="2"/>
      <c r="C39" s="6">
        <f>+IF(C38&gt;$G$13+$G$14,XX,C38+1)</f>
        <v>2032</v>
      </c>
      <c r="D39" s="6"/>
      <c r="E39" s="292">
        <f>'(2.2)_Forward_Price_Curve'!O44</f>
        <v>2.1999999999999999E-2</v>
      </c>
      <c r="F39" s="6"/>
      <c r="G39" s="20">
        <v>657360.38639999996</v>
      </c>
      <c r="H39" s="6"/>
      <c r="I39" s="30">
        <f t="shared" si="10"/>
        <v>60.665109381264692</v>
      </c>
      <c r="J39" s="6"/>
      <c r="K39" s="30">
        <f t="shared" si="10"/>
        <v>1.3060468681027317</v>
      </c>
      <c r="L39" s="6"/>
      <c r="M39" s="30">
        <f t="shared" si="11"/>
        <v>0</v>
      </c>
      <c r="N39" s="6"/>
      <c r="O39" s="295">
        <f>'(2.2)_Forward_Price_Curve'!Y43</f>
        <v>1.4649463685254571</v>
      </c>
      <c r="P39" s="6"/>
      <c r="Q39" s="30">
        <v>0</v>
      </c>
      <c r="R39" s="6"/>
      <c r="S39" s="20">
        <f t="shared" si="5"/>
        <v>13590.572404707043</v>
      </c>
      <c r="T39" s="6"/>
      <c r="U39" s="20">
        <f t="shared" si="0"/>
        <v>36057.938306917975</v>
      </c>
      <c r="V39" s="6"/>
      <c r="W39" s="20">
        <f t="shared" si="1"/>
        <v>-22467.365902210931</v>
      </c>
      <c r="X39" s="6"/>
      <c r="Y39" s="296">
        <f t="shared" si="6"/>
        <v>-34.178156102852952</v>
      </c>
      <c r="Z39" s="255"/>
      <c r="AB39" s="154">
        <f>+IF(AB38&gt;$G$13+$G$14,XX,AB38+1)</f>
        <v>2032</v>
      </c>
      <c r="AC39" s="124"/>
      <c r="AD39" s="159">
        <f t="shared" si="2"/>
        <v>657360.38639999996</v>
      </c>
      <c r="AE39" s="3"/>
      <c r="AF39" s="162">
        <f t="shared" si="12"/>
        <v>119.78645159454608</v>
      </c>
      <c r="AG39" s="3"/>
      <c r="AH39" s="162">
        <f t="shared" si="13"/>
        <v>25.096044475312137</v>
      </c>
      <c r="AI39" s="3"/>
      <c r="AJ39" s="162">
        <f t="shared" si="14"/>
        <v>2.886739619693957</v>
      </c>
      <c r="AK39" s="3"/>
      <c r="AL39" s="161">
        <f t="shared" si="7"/>
        <v>17480.662684162646</v>
      </c>
      <c r="AM39" s="3"/>
      <c r="AN39" s="162">
        <f>INDEX('(2.2)_Forward_Price_Curve'!$H:$H,MATCH($AB39,'(2.2)_Forward_Price_Curve'!$C:$C,0),1)</f>
        <v>5.4231541666666665</v>
      </c>
      <c r="AO39" s="3"/>
      <c r="AP39" s="162">
        <f t="shared" si="15"/>
        <v>35.255376523358855</v>
      </c>
      <c r="AQ39" s="3"/>
      <c r="AR39" s="162">
        <f t="shared" si="16"/>
        <v>2.9798540666710038</v>
      </c>
      <c r="AS39" s="162"/>
      <c r="AT39" s="161">
        <f t="shared" si="3"/>
        <v>10923.612352162847</v>
      </c>
      <c r="AU39" s="3"/>
      <c r="AV39" s="161">
        <f t="shared" si="4"/>
        <v>25134.325954755124</v>
      </c>
      <c r="AW39" s="299"/>
      <c r="AX39" s="163">
        <f t="shared" si="8"/>
        <v>36057.938306917975</v>
      </c>
      <c r="AZ39" s="154">
        <f>+IF(AZ38&gt;$G$13+$G$14,XX,AZ38+1)</f>
        <v>2032</v>
      </c>
      <c r="BA39" s="124"/>
      <c r="BB39" s="162">
        <f t="shared" si="17"/>
        <v>76.62942668281795</v>
      </c>
      <c r="BC39" s="3"/>
      <c r="BD39" s="162">
        <f t="shared" si="18"/>
        <v>8.6329697981590563</v>
      </c>
      <c r="BE39" s="3"/>
      <c r="BF39" s="161">
        <f t="shared" si="9"/>
        <v>6557.0503319997979</v>
      </c>
      <c r="BG39" s="3"/>
      <c r="BH39" s="165"/>
    </row>
    <row r="40" spans="2:60" ht="12">
      <c r="B40" s="2"/>
      <c r="C40" s="6">
        <f>+IF(C39&gt;$G$13+$G$14,XX,C39+1)</f>
        <v>2033</v>
      </c>
      <c r="D40" s="6"/>
      <c r="E40" s="292">
        <f>'(2.2)_Forward_Price_Curve'!O45</f>
        <v>2.1999999999999999E-2</v>
      </c>
      <c r="F40" s="6"/>
      <c r="G40" s="20">
        <v>657360.38639999996</v>
      </c>
      <c r="H40" s="6"/>
      <c r="I40" s="30">
        <f t="shared" si="10"/>
        <v>61.999741787652518</v>
      </c>
      <c r="J40" s="6"/>
      <c r="K40" s="30">
        <f t="shared" si="10"/>
        <v>1.3347798992009918</v>
      </c>
      <c r="L40" s="6"/>
      <c r="M40" s="30">
        <f t="shared" si="11"/>
        <v>0</v>
      </c>
      <c r="N40" s="6"/>
      <c r="O40" s="295">
        <f>'(2.2)_Forward_Price_Curve'!Y44</f>
        <v>1.4965465421812867</v>
      </c>
      <c r="P40" s="6"/>
      <c r="Q40" s="30">
        <v>0</v>
      </c>
      <c r="R40" s="6"/>
      <c r="S40" s="20">
        <f t="shared" si="5"/>
        <v>13889.151750336179</v>
      </c>
      <c r="T40" s="6"/>
      <c r="U40" s="20">
        <f t="shared" si="0"/>
        <v>37696.582575489112</v>
      </c>
      <c r="V40" s="6"/>
      <c r="W40" s="20">
        <f t="shared" si="1"/>
        <v>-23807.430825152933</v>
      </c>
      <c r="X40" s="6"/>
      <c r="Y40" s="296">
        <f t="shared" si="6"/>
        <v>-36.216710525459398</v>
      </c>
      <c r="Z40" s="255"/>
      <c r="AB40" s="154">
        <f>+IF(AB39&gt;$G$13+$G$14,XX,AB39+1)</f>
        <v>2033</v>
      </c>
      <c r="AC40" s="124"/>
      <c r="AD40" s="159">
        <f t="shared" si="2"/>
        <v>657360.38639999996</v>
      </c>
      <c r="AE40" s="3"/>
      <c r="AF40" s="162">
        <f t="shared" si="12"/>
        <v>122.4217535296261</v>
      </c>
      <c r="AG40" s="3"/>
      <c r="AH40" s="162">
        <f t="shared" si="13"/>
        <v>25.648157453769006</v>
      </c>
      <c r="AI40" s="3"/>
      <c r="AJ40" s="162">
        <f t="shared" si="14"/>
        <v>2.9502478913272241</v>
      </c>
      <c r="AK40" s="3"/>
      <c r="AL40" s="161">
        <f t="shared" si="7"/>
        <v>17865.237263214225</v>
      </c>
      <c r="AM40" s="3"/>
      <c r="AN40" s="162">
        <f>INDEX('(2.2)_Forward_Price_Curve'!$H:$H,MATCH($AB40,'(2.2)_Forward_Price_Curve'!$C:$C,0),1)</f>
        <v>5.7402833333333332</v>
      </c>
      <c r="AO40" s="3"/>
      <c r="AP40" s="162">
        <f t="shared" si="15"/>
        <v>37.317001148764703</v>
      </c>
      <c r="AQ40" s="3"/>
      <c r="AR40" s="162">
        <f t="shared" si="16"/>
        <v>3.045410856137766</v>
      </c>
      <c r="AS40" s="162"/>
      <c r="AT40" s="161">
        <f t="shared" si="3"/>
        <v>11163.931823910432</v>
      </c>
      <c r="AU40" s="3"/>
      <c r="AV40" s="161">
        <f t="shared" si="4"/>
        <v>26532.65075157868</v>
      </c>
      <c r="AW40" s="299"/>
      <c r="AX40" s="163">
        <f t="shared" si="8"/>
        <v>37696.582575489112</v>
      </c>
      <c r="AZ40" s="154">
        <f>+IF(AZ39&gt;$G$13+$G$14,XX,AZ39+1)</f>
        <v>2033</v>
      </c>
      <c r="BA40" s="124"/>
      <c r="BB40" s="162">
        <f t="shared" si="17"/>
        <v>78.315274069839944</v>
      </c>
      <c r="BC40" s="3"/>
      <c r="BD40" s="162">
        <f t="shared" si="18"/>
        <v>8.8228951337185553</v>
      </c>
      <c r="BE40" s="3"/>
      <c r="BF40" s="161">
        <f t="shared" si="9"/>
        <v>6701.3054393037937</v>
      </c>
      <c r="BG40" s="3"/>
      <c r="BH40" s="165"/>
    </row>
    <row r="41" spans="2:60" ht="12">
      <c r="B41" s="2"/>
      <c r="C41" s="6">
        <f>+IF(C40&gt;$G$13+$G$14,XX,C40+1)</f>
        <v>2034</v>
      </c>
      <c r="D41" s="6"/>
      <c r="E41" s="292">
        <f>'(2.2)_Forward_Price_Curve'!O46</f>
        <v>2.1999999999999999E-2</v>
      </c>
      <c r="F41" s="6"/>
      <c r="G41" s="20">
        <v>657360.38639999996</v>
      </c>
      <c r="H41" s="6"/>
      <c r="I41" s="30">
        <f t="shared" si="10"/>
        <v>63.363736106980873</v>
      </c>
      <c r="J41" s="6"/>
      <c r="K41" s="30">
        <f t="shared" si="10"/>
        <v>1.3641450569834137</v>
      </c>
      <c r="L41" s="6"/>
      <c r="M41" s="30">
        <f t="shared" si="11"/>
        <v>0</v>
      </c>
      <c r="N41" s="6"/>
      <c r="O41" s="295">
        <f>'(2.2)_Forward_Price_Curve'!Y45</f>
        <v>1.5286401492284176</v>
      </c>
      <c r="P41" s="6"/>
      <c r="Q41" s="30">
        <v>0</v>
      </c>
      <c r="R41" s="6"/>
      <c r="S41" s="20">
        <f t="shared" si="5"/>
        <v>14194.167205681901</v>
      </c>
      <c r="T41" s="6"/>
      <c r="U41" s="20">
        <f t="shared" si="0"/>
        <v>39304.781647031181</v>
      </c>
      <c r="V41" s="6"/>
      <c r="W41" s="20">
        <f t="shared" si="1"/>
        <v>-25110.61444134928</v>
      </c>
      <c r="X41" s="6"/>
      <c r="Y41" s="296">
        <f t="shared" si="6"/>
        <v>-38.199159792494122</v>
      </c>
      <c r="Z41" s="255"/>
      <c r="AB41" s="154">
        <f>+IF(AB40&gt;$G$13+$G$14,XX,AB40+1)</f>
        <v>2034</v>
      </c>
      <c r="AC41" s="124"/>
      <c r="AD41" s="159">
        <f t="shared" si="2"/>
        <v>657360.38639999996</v>
      </c>
      <c r="AE41" s="3"/>
      <c r="AF41" s="162">
        <f t="shared" si="12"/>
        <v>125.11503210727788</v>
      </c>
      <c r="AG41" s="3"/>
      <c r="AH41" s="162">
        <f t="shared" si="13"/>
        <v>26.212416917751924</v>
      </c>
      <c r="AI41" s="3"/>
      <c r="AJ41" s="162">
        <f t="shared" si="14"/>
        <v>3.0151533449364232</v>
      </c>
      <c r="AK41" s="3"/>
      <c r="AL41" s="161">
        <f t="shared" si="7"/>
        <v>18258.272483004937</v>
      </c>
      <c r="AM41" s="3"/>
      <c r="AN41" s="162">
        <f>INDEX('(2.2)_Forward_Price_Curve'!$H:$H,MATCH($AB41,'(2.2)_Forward_Price_Curve'!$C:$C,0),1)</f>
        <v>6.0488291666666667</v>
      </c>
      <c r="AO41" s="3"/>
      <c r="AP41" s="162">
        <f t="shared" si="15"/>
        <v>39.322826392631285</v>
      </c>
      <c r="AQ41" s="3"/>
      <c r="AR41" s="162">
        <f t="shared" si="16"/>
        <v>3.1124098949727967</v>
      </c>
      <c r="AS41" s="162"/>
      <c r="AT41" s="161">
        <f t="shared" si="3"/>
        <v>11409.538324036461</v>
      </c>
      <c r="AU41" s="3"/>
      <c r="AV41" s="161">
        <f t="shared" si="4"/>
        <v>27895.24332299472</v>
      </c>
      <c r="AW41" s="299"/>
      <c r="AX41" s="163">
        <f t="shared" si="8"/>
        <v>39304.781647031181</v>
      </c>
      <c r="AZ41" s="154">
        <f>+IF(AZ40&gt;$G$13+$G$14,XX,AZ40+1)</f>
        <v>2034</v>
      </c>
      <c r="BA41" s="124"/>
      <c r="BB41" s="162">
        <f t="shared" si="17"/>
        <v>80.038210099376428</v>
      </c>
      <c r="BC41" s="3"/>
      <c r="BD41" s="162">
        <f t="shared" si="18"/>
        <v>9.0169988266603642</v>
      </c>
      <c r="BE41" s="3"/>
      <c r="BF41" s="161">
        <f t="shared" si="9"/>
        <v>6848.7341589684775</v>
      </c>
      <c r="BG41" s="3"/>
      <c r="BH41" s="165"/>
    </row>
    <row r="42" spans="2:60" ht="12">
      <c r="B42" s="2"/>
      <c r="C42" s="6">
        <f>+IF(C41&gt;$G$13+$G$14,XX,C41+1)</f>
        <v>2035</v>
      </c>
      <c r="D42" s="6"/>
      <c r="E42" s="292">
        <f>'(2.2)_Forward_Price_Curve'!O47</f>
        <v>2.1999999999999999E-2</v>
      </c>
      <c r="F42" s="6"/>
      <c r="G42" s="20">
        <v>657360.38639999996</v>
      </c>
      <c r="H42" s="6"/>
      <c r="I42" s="30">
        <f t="shared" si="10"/>
        <v>64.757738301334456</v>
      </c>
      <c r="J42" s="6"/>
      <c r="K42" s="30">
        <f t="shared" si="10"/>
        <v>1.3941562482370489</v>
      </c>
      <c r="L42" s="6"/>
      <c r="M42" s="30">
        <f t="shared" si="11"/>
        <v>0</v>
      </c>
      <c r="N42" s="6"/>
      <c r="O42" s="295">
        <f>'(2.2)_Forward_Price_Curve'!Y46</f>
        <v>1.5607569013547813</v>
      </c>
      <c r="P42" s="6"/>
      <c r="Q42" s="30">
        <v>0</v>
      </c>
      <c r="R42" s="6"/>
      <c r="S42" s="20">
        <f t="shared" si="5"/>
        <v>14505.444080253008</v>
      </c>
      <c r="T42" s="6"/>
      <c r="U42" s="20">
        <f t="shared" si="0"/>
        <v>38238.040652860123</v>
      </c>
      <c r="V42" s="6"/>
      <c r="W42" s="20">
        <f t="shared" si="1"/>
        <v>-23732.596572607115</v>
      </c>
      <c r="X42" s="6"/>
      <c r="Y42" s="296">
        <f t="shared" si="6"/>
        <v>-36.102869998871469</v>
      </c>
      <c r="Z42" s="255"/>
      <c r="AB42" s="154">
        <f>+IF(AB41&gt;$G$13+$G$14,XX,AB41+1)</f>
        <v>2035</v>
      </c>
      <c r="AC42" s="124"/>
      <c r="AD42" s="159">
        <f t="shared" si="2"/>
        <v>657360.38639999996</v>
      </c>
      <c r="AE42" s="3"/>
      <c r="AF42" s="162">
        <f t="shared" si="12"/>
        <v>127.867562813638</v>
      </c>
      <c r="AG42" s="3"/>
      <c r="AH42" s="162">
        <f t="shared" si="13"/>
        <v>26.789090089942466</v>
      </c>
      <c r="AI42" s="3"/>
      <c r="AJ42" s="162">
        <f t="shared" si="14"/>
        <v>3.0814867185250248</v>
      </c>
      <c r="AK42" s="3"/>
      <c r="AL42" s="161">
        <f t="shared" si="7"/>
        <v>18659.95447763105</v>
      </c>
      <c r="AM42" s="3"/>
      <c r="AN42" s="162">
        <f>INDEX('(2.2)_Forward_Price_Curve'!$H:$H,MATCH($AB42,'(2.2)_Forward_Price_Curve'!$C:$C,0),1)</f>
        <v>5.7299374999999992</v>
      </c>
      <c r="AO42" s="3"/>
      <c r="AP42" s="162">
        <f t="shared" si="15"/>
        <v>37.24974393305498</v>
      </c>
      <c r="AQ42" s="3"/>
      <c r="AR42" s="162">
        <f t="shared" si="16"/>
        <v>3.1808829126621982</v>
      </c>
      <c r="AS42" s="162"/>
      <c r="AT42" s="161">
        <f t="shared" si="3"/>
        <v>11660.548167165267</v>
      </c>
      <c r="AU42" s="3"/>
      <c r="AV42" s="161">
        <f t="shared" si="4"/>
        <v>26577.492485694856</v>
      </c>
      <c r="AW42" s="299"/>
      <c r="AX42" s="163">
        <f t="shared" si="8"/>
        <v>38238.040652860123</v>
      </c>
      <c r="AZ42" s="154">
        <f>+IF(AZ41&gt;$G$13+$G$14,XX,AZ41+1)</f>
        <v>2035</v>
      </c>
      <c r="BA42" s="124"/>
      <c r="BB42" s="162">
        <f t="shared" si="17"/>
        <v>81.799050721562708</v>
      </c>
      <c r="BC42" s="3"/>
      <c r="BD42" s="162">
        <f t="shared" si="18"/>
        <v>9.2153728008468931</v>
      </c>
      <c r="BE42" s="3"/>
      <c r="BF42" s="161">
        <f t="shared" si="9"/>
        <v>6999.4063104657835</v>
      </c>
      <c r="BG42" s="3"/>
      <c r="BH42" s="165"/>
    </row>
    <row r="43" spans="2:60" ht="12">
      <c r="B43" s="2"/>
      <c r="C43" s="6">
        <f>+IF(C42&gt;$G$13+$G$14,XX,C42+1)</f>
        <v>2036</v>
      </c>
      <c r="D43" s="6"/>
      <c r="E43" s="292">
        <f>'(2.2)_Forward_Price_Curve'!O48</f>
        <v>2.1999999999999999E-2</v>
      </c>
      <c r="F43" s="6"/>
      <c r="G43" s="20">
        <v>657360.38639999996</v>
      </c>
      <c r="H43" s="6"/>
      <c r="I43" s="30">
        <f t="shared" si="10"/>
        <v>66.182408543963817</v>
      </c>
      <c r="J43" s="6"/>
      <c r="K43" s="30">
        <f t="shared" si="10"/>
        <v>1.424827685698264</v>
      </c>
      <c r="L43" s="6"/>
      <c r="M43" s="30">
        <f t="shared" si="11"/>
        <v>0</v>
      </c>
      <c r="N43" s="6"/>
      <c r="O43" s="295">
        <f>'(2.2)_Forward_Price_Curve'!Y47</f>
        <v>1.5935251628391218</v>
      </c>
      <c r="P43" s="6"/>
      <c r="Q43" s="30">
        <v>0</v>
      </c>
      <c r="R43" s="6"/>
      <c r="S43" s="20">
        <f t="shared" si="5"/>
        <v>14823.532852335058</v>
      </c>
      <c r="T43" s="6"/>
      <c r="U43" s="20">
        <f t="shared" si="0"/>
        <v>38745.396513556494</v>
      </c>
      <c r="V43" s="6"/>
      <c r="W43" s="20">
        <f t="shared" si="1"/>
        <v>-23921.863661221436</v>
      </c>
      <c r="X43" s="6"/>
      <c r="Y43" s="296">
        <f t="shared" si="6"/>
        <v>-36.390789825697105</v>
      </c>
      <c r="Z43" s="255"/>
      <c r="AB43" s="154">
        <f>+IF(AB42&gt;$G$13+$G$14,XX,AB42+1)</f>
        <v>2036</v>
      </c>
      <c r="AC43" s="124"/>
      <c r="AD43" s="159">
        <f t="shared" si="2"/>
        <v>657360.38639999996</v>
      </c>
      <c r="AE43" s="3"/>
      <c r="AF43" s="162">
        <f t="shared" si="12"/>
        <v>130.68064919553805</v>
      </c>
      <c r="AG43" s="3"/>
      <c r="AH43" s="162">
        <f t="shared" si="13"/>
        <v>27.378450071921201</v>
      </c>
      <c r="AI43" s="3"/>
      <c r="AJ43" s="162">
        <f t="shared" si="14"/>
        <v>3.1492794263325754</v>
      </c>
      <c r="AK43" s="3"/>
      <c r="AL43" s="161">
        <f t="shared" si="7"/>
        <v>19070.473476138934</v>
      </c>
      <c r="AM43" s="3"/>
      <c r="AN43" s="162">
        <f>INDEX('(2.2)_Forward_Price_Curve'!$H:$H,MATCH($AB43,'(2.2)_Forward_Price_Curve'!$C:$C,0),1)</f>
        <v>5.7778666666666672</v>
      </c>
      <c r="AO43" s="3"/>
      <c r="AP43" s="162">
        <f t="shared" si="15"/>
        <v>37.561326596087184</v>
      </c>
      <c r="AQ43" s="3"/>
      <c r="AR43" s="162">
        <f t="shared" si="16"/>
        <v>3.2508623367407665</v>
      </c>
      <c r="AS43" s="162"/>
      <c r="AT43" s="161">
        <f t="shared" si="3"/>
        <v>11917.080226842903</v>
      </c>
      <c r="AU43" s="3"/>
      <c r="AV43" s="161">
        <f t="shared" si="4"/>
        <v>26828.316286713587</v>
      </c>
      <c r="AW43" s="299"/>
      <c r="AX43" s="163">
        <f t="shared" si="8"/>
        <v>38745.396513556494</v>
      </c>
      <c r="AZ43" s="154">
        <f>+IF(AZ42&gt;$G$13+$G$14,XX,AZ42+1)</f>
        <v>2036</v>
      </c>
      <c r="BA43" s="124"/>
      <c r="BB43" s="162">
        <f t="shared" si="17"/>
        <v>83.598629837437088</v>
      </c>
      <c r="BC43" s="3"/>
      <c r="BD43" s="162">
        <f t="shared" si="18"/>
        <v>9.4181110024655244</v>
      </c>
      <c r="BE43" s="3"/>
      <c r="BF43" s="161">
        <f t="shared" si="9"/>
        <v>7153.3932492960312</v>
      </c>
      <c r="BG43" s="3"/>
      <c r="BH43" s="165"/>
    </row>
    <row r="44" spans="2:60" ht="12">
      <c r="B44" s="2"/>
      <c r="C44" s="6">
        <f>+IF(C43&gt;$G$13+$G$14,XX,C43+1)</f>
        <v>2037</v>
      </c>
      <c r="D44" s="6"/>
      <c r="E44" s="292">
        <f>'(2.2)_Forward_Price_Curve'!O49</f>
        <v>2.1999999999999999E-2</v>
      </c>
      <c r="F44" s="6"/>
      <c r="G44" s="20">
        <v>657360.38639999996</v>
      </c>
      <c r="H44" s="6"/>
      <c r="I44" s="30">
        <f t="shared" si="10"/>
        <v>67.638421531931016</v>
      </c>
      <c r="J44" s="6"/>
      <c r="K44" s="30">
        <f t="shared" si="10"/>
        <v>1.4561738947836258</v>
      </c>
      <c r="L44" s="6"/>
      <c r="M44" s="30">
        <f t="shared" si="11"/>
        <v>0</v>
      </c>
      <c r="N44" s="6"/>
      <c r="O44" s="295">
        <f>'(2.2)_Forward_Price_Curve'!Y48</f>
        <v>1.6267336732773778</v>
      </c>
      <c r="P44" s="6"/>
      <c r="Q44" s="30">
        <v>0</v>
      </c>
      <c r="R44" s="6"/>
      <c r="S44" s="20">
        <f t="shared" si="5"/>
        <v>15148.435087370683</v>
      </c>
      <c r="T44" s="6"/>
      <c r="U44" s="20">
        <f t="shared" si="0"/>
        <v>40509.298345029587</v>
      </c>
      <c r="V44" s="6"/>
      <c r="W44" s="20">
        <f t="shared" si="1"/>
        <v>-25360.863257658904</v>
      </c>
      <c r="X44" s="6"/>
      <c r="Y44" s="296">
        <f t="shared" si="6"/>
        <v>-38.579847192415038</v>
      </c>
      <c r="Z44" s="255"/>
      <c r="AB44" s="154">
        <f>+IF(AB43&gt;$G$13+$G$14,XX,AB43+1)</f>
        <v>2037</v>
      </c>
      <c r="AC44" s="124"/>
      <c r="AD44" s="159">
        <f t="shared" si="2"/>
        <v>657360.38639999996</v>
      </c>
      <c r="AE44" s="3"/>
      <c r="AF44" s="162">
        <f t="shared" si="12"/>
        <v>133.5556234778399</v>
      </c>
      <c r="AG44" s="3"/>
      <c r="AH44" s="162">
        <f t="shared" si="13"/>
        <v>27.980775973503466</v>
      </c>
      <c r="AI44" s="3"/>
      <c r="AJ44" s="162">
        <f t="shared" si="14"/>
        <v>3.2185635737118923</v>
      </c>
      <c r="AK44" s="3"/>
      <c r="AL44" s="161">
        <f t="shared" si="7"/>
        <v>19490.023892613994</v>
      </c>
      <c r="AM44" s="3"/>
      <c r="AN44" s="162">
        <f>INDEX('(2.2)_Forward_Price_Curve'!$H:$H,MATCH($AB44,'(2.2)_Forward_Price_Curve'!$C:$C,0),1)</f>
        <v>6.1182749999999997</v>
      </c>
      <c r="AO44" s="3"/>
      <c r="AP44" s="162">
        <f t="shared" si="15"/>
        <v>39.774286728609511</v>
      </c>
      <c r="AQ44" s="3"/>
      <c r="AR44" s="162">
        <f t="shared" si="16"/>
        <v>3.3223813081490636</v>
      </c>
      <c r="AS44" s="162"/>
      <c r="AT44" s="161">
        <f t="shared" si="3"/>
        <v>12179.255991833448</v>
      </c>
      <c r="AU44" s="3"/>
      <c r="AV44" s="161">
        <f t="shared" si="4"/>
        <v>28330.042353196142</v>
      </c>
      <c r="AW44" s="299"/>
      <c r="AX44" s="163">
        <f t="shared" si="8"/>
        <v>40509.298345029587</v>
      </c>
      <c r="AZ44" s="154">
        <f>+IF(AZ43&gt;$G$13+$G$14,XX,AZ43+1)</f>
        <v>2037</v>
      </c>
      <c r="BA44" s="124"/>
      <c r="BB44" s="162">
        <f t="shared" si="17"/>
        <v>85.437799693860711</v>
      </c>
      <c r="BC44" s="3"/>
      <c r="BD44" s="162">
        <f t="shared" si="18"/>
        <v>9.6253094445197664</v>
      </c>
      <c r="BE44" s="3"/>
      <c r="BF44" s="161">
        <f t="shared" si="9"/>
        <v>7310.7679007805446</v>
      </c>
      <c r="BG44" s="3"/>
      <c r="BH44" s="165"/>
    </row>
    <row r="45" spans="2:60" ht="12">
      <c r="B45" s="2"/>
      <c r="C45" s="6">
        <f>+IF(C44&gt;$G$13+$G$14,XX,C44+1)</f>
        <v>2038</v>
      </c>
      <c r="D45" s="6"/>
      <c r="E45" s="292">
        <f>'(2.2)_Forward_Price_Curve'!O50</f>
        <v>2.1999999999999999E-2</v>
      </c>
      <c r="F45" s="6"/>
      <c r="G45" s="20">
        <v>657360.38639999996</v>
      </c>
      <c r="H45" s="6"/>
      <c r="I45" s="30">
        <f t="shared" si="10"/>
        <v>69.126466805633498</v>
      </c>
      <c r="J45" s="6"/>
      <c r="K45" s="30">
        <f t="shared" si="10"/>
        <v>1.4882097204688656</v>
      </c>
      <c r="L45" s="6"/>
      <c r="M45" s="30">
        <f t="shared" si="11"/>
        <v>0</v>
      </c>
      <c r="N45" s="6"/>
      <c r="O45" s="295">
        <f>'(2.2)_Forward_Price_Curve'!Y49</f>
        <v>1.6606577113778709</v>
      </c>
      <c r="P45" s="6"/>
      <c r="Q45" s="30">
        <v>0</v>
      </c>
      <c r="R45" s="6"/>
      <c r="S45" s="20">
        <f t="shared" si="5"/>
        <v>15480.475272014046</v>
      </c>
      <c r="T45" s="6"/>
      <c r="U45" s="20">
        <f t="shared" si="0"/>
        <v>42934.603306525096</v>
      </c>
      <c r="V45" s="6"/>
      <c r="W45" s="20">
        <f t="shared" si="1"/>
        <v>-27454.12803451105</v>
      </c>
      <c r="X45" s="6"/>
      <c r="Y45" s="296">
        <f t="shared" si="6"/>
        <v>-41.764196021701515</v>
      </c>
      <c r="Z45" s="255"/>
      <c r="AB45" s="154">
        <f>+IF(AB44&gt;$G$13+$G$14,XX,AB44+1)</f>
        <v>2038</v>
      </c>
      <c r="AC45" s="124"/>
      <c r="AD45" s="159">
        <f t="shared" si="2"/>
        <v>657360.38639999996</v>
      </c>
      <c r="AE45" s="3"/>
      <c r="AF45" s="162">
        <f t="shared" si="12"/>
        <v>136.49384719435238</v>
      </c>
      <c r="AG45" s="3"/>
      <c r="AH45" s="162">
        <f t="shared" si="13"/>
        <v>28.596353044920544</v>
      </c>
      <c r="AI45" s="3"/>
      <c r="AJ45" s="162">
        <f t="shared" si="14"/>
        <v>3.2893719723335542</v>
      </c>
      <c r="AK45" s="3"/>
      <c r="AL45" s="161">
        <f t="shared" si="7"/>
        <v>19918.804418251504</v>
      </c>
      <c r="AM45" s="3"/>
      <c r="AN45" s="162">
        <f>INDEX('(2.2)_Forward_Price_Curve'!$H:$H,MATCH($AB45,'(2.2)_Forward_Price_Curve'!$C:$C,0),1)</f>
        <v>6.6118625</v>
      </c>
      <c r="AO45" s="3"/>
      <c r="AP45" s="162">
        <f t="shared" si="15"/>
        <v>42.983049124980646</v>
      </c>
      <c r="AQ45" s="3"/>
      <c r="AR45" s="162">
        <f t="shared" si="16"/>
        <v>3.395473696928343</v>
      </c>
      <c r="AS45" s="162"/>
      <c r="AT45" s="161">
        <f t="shared" si="3"/>
        <v>12447.199623653789</v>
      </c>
      <c r="AU45" s="3"/>
      <c r="AV45" s="161">
        <f t="shared" si="4"/>
        <v>30487.403682871307</v>
      </c>
      <c r="AW45" s="299"/>
      <c r="AX45" s="163">
        <f t="shared" si="8"/>
        <v>42934.603306525096</v>
      </c>
      <c r="AZ45" s="154">
        <f>+IF(AZ44&gt;$G$13+$G$14,XX,AZ44+1)</f>
        <v>2038</v>
      </c>
      <c r="BA45" s="124"/>
      <c r="BB45" s="162">
        <f t="shared" si="17"/>
        <v>87.317431287125643</v>
      </c>
      <c r="BC45" s="3"/>
      <c r="BD45" s="162">
        <f t="shared" si="18"/>
        <v>9.8370662522992021</v>
      </c>
      <c r="BE45" s="3"/>
      <c r="BF45" s="161">
        <f t="shared" si="9"/>
        <v>7471.6047945977161</v>
      </c>
      <c r="BG45" s="3"/>
      <c r="BH45" s="165"/>
    </row>
    <row r="46" spans="2:60" ht="12">
      <c r="B46" s="2"/>
      <c r="C46" s="6">
        <f>+IF(C45&gt;$G$13+$G$14,XX,C45+1)</f>
        <v>2039</v>
      </c>
      <c r="D46" s="6"/>
      <c r="E46" s="292">
        <f>'(2.2)_Forward_Price_Curve'!O51</f>
        <v>2.1999999999999999E-2</v>
      </c>
      <c r="F46" s="6"/>
      <c r="G46" s="20">
        <v>657360.38639999996</v>
      </c>
      <c r="H46" s="6"/>
      <c r="I46" s="30">
        <f t="shared" si="10"/>
        <v>70.647249075357436</v>
      </c>
      <c r="J46" s="6"/>
      <c r="K46" s="30">
        <f t="shared" si="10"/>
        <v>1.5209503343191806</v>
      </c>
      <c r="L46" s="6"/>
      <c r="M46" s="30">
        <f t="shared" si="11"/>
        <v>0</v>
      </c>
      <c r="N46" s="6"/>
      <c r="O46" s="295">
        <f>'(2.2)_Forward_Price_Curve'!Y50</f>
        <v>1.6953423361778306</v>
      </c>
      <c r="P46" s="6"/>
      <c r="Q46" s="30">
        <v>0</v>
      </c>
      <c r="R46" s="6"/>
      <c r="S46" s="20">
        <f t="shared" si="5"/>
        <v>15819.829713272748</v>
      </c>
      <c r="T46" s="6"/>
      <c r="U46" s="20">
        <f t="shared" si="0"/>
        <v>45309.008480705575</v>
      </c>
      <c r="V46" s="6"/>
      <c r="W46" s="20">
        <f t="shared" si="1"/>
        <v>-29489.17876743283</v>
      </c>
      <c r="X46" s="6"/>
      <c r="Y46" s="296">
        <f t="shared" si="6"/>
        <v>-44.859987576873607</v>
      </c>
      <c r="Z46" s="255"/>
      <c r="AB46" s="154">
        <f>+IF(AB45&gt;$G$13+$G$14,XX,AB45+1)</f>
        <v>2039</v>
      </c>
      <c r="AC46" s="124"/>
      <c r="AD46" s="159">
        <f t="shared" si="2"/>
        <v>657360.38639999996</v>
      </c>
      <c r="AE46" s="3"/>
      <c r="AF46" s="162">
        <f t="shared" si="12"/>
        <v>139.49671183262814</v>
      </c>
      <c r="AG46" s="3"/>
      <c r="AH46" s="162">
        <f t="shared" si="13"/>
        <v>29.225472811908798</v>
      </c>
      <c r="AI46" s="3"/>
      <c r="AJ46" s="162">
        <f t="shared" si="14"/>
        <v>3.3617381557248924</v>
      </c>
      <c r="AK46" s="3"/>
      <c r="AL46" s="161">
        <f t="shared" si="7"/>
        <v>20357.018115453036</v>
      </c>
      <c r="AM46" s="3"/>
      <c r="AN46" s="162">
        <f>INDEX('(2.2)_Forward_Price_Curve'!$H:$H,MATCH($AB46,'(2.2)_Forward_Price_Curve'!$C:$C,0),1)</f>
        <v>7.0919124999999994</v>
      </c>
      <c r="AO46" s="3"/>
      <c r="AP46" s="162">
        <f t="shared" si="15"/>
        <v>46.103805603574521</v>
      </c>
      <c r="AQ46" s="3"/>
      <c r="AR46" s="162">
        <f t="shared" si="16"/>
        <v>3.4701741182607666</v>
      </c>
      <c r="AS46" s="162"/>
      <c r="AT46" s="161">
        <f t="shared" si="3"/>
        <v>12721.03801537417</v>
      </c>
      <c r="AU46" s="3"/>
      <c r="AV46" s="161">
        <f t="shared" si="4"/>
        <v>32587.970465331404</v>
      </c>
      <c r="AW46" s="299"/>
      <c r="AX46" s="163">
        <f t="shared" si="8"/>
        <v>45309.008480705575</v>
      </c>
      <c r="AZ46" s="154">
        <f>+IF(AZ45&gt;$G$13+$G$14,XX,AZ45+1)</f>
        <v>2039</v>
      </c>
      <c r="BA46" s="124"/>
      <c r="BB46" s="162">
        <f t="shared" si="17"/>
        <v>89.238414775442408</v>
      </c>
      <c r="BC46" s="3"/>
      <c r="BD46" s="162">
        <f t="shared" si="18"/>
        <v>10.053481709849784</v>
      </c>
      <c r="BE46" s="3"/>
      <c r="BF46" s="161">
        <f t="shared" si="9"/>
        <v>7635.9801000788666</v>
      </c>
      <c r="BG46" s="3"/>
      <c r="BH46" s="165"/>
    </row>
    <row r="47" spans="2:60" ht="12">
      <c r="B47" s="2"/>
      <c r="C47" s="6">
        <f>+IF(C46&gt;$G$13+$G$14,XX,C46+1)</f>
        <v>2040</v>
      </c>
      <c r="D47" s="6"/>
      <c r="E47" s="292">
        <f>'(2.2)_Forward_Price_Curve'!O52</f>
        <v>2.1999999999999999E-2</v>
      </c>
      <c r="F47" s="6"/>
      <c r="G47" s="20">
        <v>657360.38639999996</v>
      </c>
      <c r="H47" s="6"/>
      <c r="I47" s="30">
        <f t="shared" si="10"/>
        <v>72.201488555015302</v>
      </c>
      <c r="J47" s="6"/>
      <c r="K47" s="30">
        <f t="shared" si="10"/>
        <v>1.5544112416742026</v>
      </c>
      <c r="L47" s="6"/>
      <c r="M47" s="30">
        <f t="shared" si="11"/>
        <v>0</v>
      </c>
      <c r="N47" s="6"/>
      <c r="O47" s="295">
        <f>'(2.2)_Forward_Price_Curve'!Y51</f>
        <v>1.730529504666237</v>
      </c>
      <c r="P47" s="6"/>
      <c r="Q47" s="30"/>
      <c r="R47" s="6"/>
      <c r="S47" s="20">
        <f t="shared" si="5"/>
        <v>16166.478697988425</v>
      </c>
      <c r="T47" s="6"/>
      <c r="U47" s="20">
        <f t="shared" si="0"/>
        <v>46624.724131588679</v>
      </c>
      <c r="V47" s="6"/>
      <c r="W47" s="20">
        <f t="shared" si="1"/>
        <v>-30458.245433600256</v>
      </c>
      <c r="X47" s="6"/>
      <c r="Y47" s="296">
        <f t="shared" si="6"/>
        <v>-46.334166256052107</v>
      </c>
      <c r="Z47" s="255"/>
      <c r="AB47" s="154">
        <f>+IF(AB46&gt;$G$13+$G$14,XX,AB46+1)</f>
        <v>2040</v>
      </c>
      <c r="AC47" s="124"/>
      <c r="AD47" s="159">
        <f t="shared" si="2"/>
        <v>657360.38639999996</v>
      </c>
      <c r="AE47" s="3"/>
      <c r="AF47" s="162">
        <f t="shared" si="12"/>
        <v>142.56563949294596</v>
      </c>
      <c r="AG47" s="3"/>
      <c r="AH47" s="162">
        <f t="shared" si="13"/>
        <v>29.868433213770793</v>
      </c>
      <c r="AI47" s="3"/>
      <c r="AJ47" s="162">
        <f t="shared" si="14"/>
        <v>3.4356963951508401</v>
      </c>
      <c r="AK47" s="3"/>
      <c r="AL47" s="161">
        <f t="shared" si="7"/>
        <v>20804.872513993007</v>
      </c>
      <c r="AM47" s="3"/>
      <c r="AN47" s="162">
        <f>INDEX('(2.2)_Forward_Price_Curve'!$H:$H,MATCH($AB47,'(2.2)_Forward_Price_Curve'!$C:$C,0),1)</f>
        <v>7.3225625000000001</v>
      </c>
      <c r="AO47" s="3"/>
      <c r="AP47" s="162">
        <f t="shared" si="15"/>
        <v>47.603237916432938</v>
      </c>
      <c r="AQ47" s="3"/>
      <c r="AR47" s="162">
        <f t="shared" si="16"/>
        <v>3.5465179488625034</v>
      </c>
      <c r="AS47" s="162"/>
      <c r="AT47" s="161">
        <f t="shared" si="3"/>
        <v>13000.900851712406</v>
      </c>
      <c r="AU47" s="3"/>
      <c r="AV47" s="161">
        <f t="shared" si="4"/>
        <v>33623.823279876277</v>
      </c>
      <c r="AW47" s="299"/>
      <c r="AX47" s="163">
        <f t="shared" si="8"/>
        <v>46624.724131588679</v>
      </c>
      <c r="AZ47" s="154">
        <f>+IF(AZ46&gt;$G$13+$G$14,XX,AZ46+1)</f>
        <v>2040</v>
      </c>
      <c r="BA47" s="124"/>
      <c r="BB47" s="162">
        <f t="shared" si="17"/>
        <v>91.201659900502136</v>
      </c>
      <c r="BC47" s="3"/>
      <c r="BD47" s="162">
        <f t="shared" si="18"/>
        <v>10.274658307466479</v>
      </c>
      <c r="BE47" s="3"/>
      <c r="BF47" s="161">
        <f t="shared" si="9"/>
        <v>7803.9716622806009</v>
      </c>
      <c r="BG47" s="3"/>
      <c r="BH47" s="165"/>
    </row>
    <row r="48" spans="2:60" ht="12">
      <c r="B48" s="2"/>
      <c r="C48" s="6">
        <f>+IF(C47&gt;$G$13+$G$14,XX,C47+1)</f>
        <v>2041</v>
      </c>
      <c r="D48" s="6"/>
      <c r="E48" s="292">
        <f>'(2.2)_Forward_Price_Curve'!O53</f>
        <v>2.1999999999999999E-2</v>
      </c>
      <c r="F48" s="6"/>
      <c r="G48" s="20">
        <v>657360.38639999996</v>
      </c>
      <c r="H48" s="6"/>
      <c r="I48" s="30">
        <f t="shared" si="10"/>
        <v>73.78992130322564</v>
      </c>
      <c r="J48" s="6"/>
      <c r="K48" s="30">
        <f t="shared" si="10"/>
        <v>1.5886082889910351</v>
      </c>
      <c r="L48" s="6"/>
      <c r="M48" s="30">
        <f t="shared" si="11"/>
        <v>0</v>
      </c>
      <c r="N48" s="6"/>
      <c r="O48" s="295">
        <f>'(2.2)_Forward_Price_Curve'!Y52</f>
        <v>1.7664344168351047</v>
      </c>
      <c r="P48" s="6"/>
      <c r="Q48" s="30"/>
      <c r="R48" s="6"/>
      <c r="S48" s="20">
        <f t="shared" si="5"/>
        <v>16520.716902316148</v>
      </c>
      <c r="T48" s="6"/>
      <c r="U48" s="20">
        <f t="shared" si="0"/>
        <v>47650.468062483633</v>
      </c>
      <c r="V48" s="6"/>
      <c r="W48" s="20">
        <f t="shared" si="1"/>
        <v>-31129.751160167485</v>
      </c>
      <c r="X48" s="6"/>
      <c r="Y48" s="296">
        <f t="shared" si="6"/>
        <v>-47.355684650619047</v>
      </c>
      <c r="Z48" s="255"/>
      <c r="AB48" s="154">
        <f>+IF(AB47&gt;$G$13+$G$14,XX,AB47+1)</f>
        <v>2041</v>
      </c>
      <c r="AC48" s="124"/>
      <c r="AD48" s="159">
        <f t="shared" si="2"/>
        <v>657360.38639999996</v>
      </c>
      <c r="AE48" s="3"/>
      <c r="AF48" s="162">
        <f t="shared" si="12"/>
        <v>145.70208356179077</v>
      </c>
      <c r="AG48" s="3"/>
      <c r="AH48" s="162">
        <f t="shared" si="13"/>
        <v>30.525538744473749</v>
      </c>
      <c r="AI48" s="3"/>
      <c r="AJ48" s="162">
        <f t="shared" si="14"/>
        <v>3.5112817158441585</v>
      </c>
      <c r="AK48" s="3"/>
      <c r="AL48" s="161">
        <f t="shared" si="7"/>
        <v>21262.579709300851</v>
      </c>
      <c r="AM48" s="3"/>
      <c r="AN48" s="162">
        <f>INDEX('(2.2)_Forward_Price_Curve'!$H:$H,MATCH($AB48,'(2.2)_Forward_Price_Curve'!$C:$C,0),1)</f>
        <v>7.4836588750000006</v>
      </c>
      <c r="AO48" s="3"/>
      <c r="AP48" s="162">
        <f t="shared" si="15"/>
        <v>48.650509150594466</v>
      </c>
      <c r="AQ48" s="3"/>
      <c r="AR48" s="162">
        <f t="shared" si="16"/>
        <v>3.6245413437374787</v>
      </c>
      <c r="AS48" s="162"/>
      <c r="AT48" s="161">
        <f t="shared" si="3"/>
        <v>13286.920670450078</v>
      </c>
      <c r="AU48" s="3"/>
      <c r="AV48" s="161">
        <f t="shared" si="4"/>
        <v>34363.547392033557</v>
      </c>
      <c r="AW48" s="299"/>
      <c r="AX48" s="163">
        <f t="shared" si="8"/>
        <v>47650.468062483633</v>
      </c>
      <c r="AZ48" s="154">
        <f>+IF(AZ47&gt;$G$13+$G$14,XX,AZ47+1)</f>
        <v>2041</v>
      </c>
      <c r="BA48" s="124"/>
      <c r="BB48" s="162">
        <f t="shared" si="17"/>
        <v>93.20809641831319</v>
      </c>
      <c r="BC48" s="3"/>
      <c r="BD48" s="162">
        <f t="shared" si="18"/>
        <v>10.500700790230741</v>
      </c>
      <c r="BE48" s="3"/>
      <c r="BF48" s="161">
        <f t="shared" si="9"/>
        <v>7975.6590388507739</v>
      </c>
      <c r="BG48" s="3"/>
      <c r="BH48" s="165"/>
    </row>
    <row r="49" spans="2:60" ht="12">
      <c r="B49" s="2"/>
      <c r="C49" s="6">
        <f>+IF(C48&gt;$G$13+$G$14,XX,C48+1)</f>
        <v>2042</v>
      </c>
      <c r="D49" s="6"/>
      <c r="E49" s="292">
        <f>'(2.2)_Forward_Price_Curve'!O54</f>
        <v>2.1999999999999999E-2</v>
      </c>
      <c r="F49" s="6"/>
      <c r="G49" s="20">
        <v>657360.38639999996</v>
      </c>
      <c r="H49" s="6"/>
      <c r="I49" s="30">
        <f t="shared" si="10"/>
        <v>75.413299571896601</v>
      </c>
      <c r="J49" s="6"/>
      <c r="K49" s="30">
        <f t="shared" si="10"/>
        <v>1.623557671348838</v>
      </c>
      <c r="L49" s="6"/>
      <c r="M49" s="30">
        <f t="shared" si="11"/>
        <v>0</v>
      </c>
      <c r="N49" s="6"/>
      <c r="O49" s="295">
        <f>'(2.2)_Forward_Price_Curve'!Y53</f>
        <v>1.8033030507073435</v>
      </c>
      <c r="P49" s="6"/>
      <c r="Q49" s="30"/>
      <c r="R49" s="6"/>
      <c r="S49" s="20">
        <f t="shared" si="5"/>
        <v>16882.862605337774</v>
      </c>
      <c r="T49" s="6"/>
      <c r="U49" s="20">
        <f t="shared" si="0"/>
        <v>48698.778359858276</v>
      </c>
      <c r="V49" s="6"/>
      <c r="W49" s="20">
        <f t="shared" si="1"/>
        <v>-31815.915754520502</v>
      </c>
      <c r="X49" s="6"/>
      <c r="Y49" s="296">
        <f t="shared" si="6"/>
        <v>-48.399502636230807</v>
      </c>
      <c r="Z49" s="255"/>
      <c r="AB49" s="154">
        <f>+IF(AB48&gt;$G$13+$G$14,XX,AB48+1)</f>
        <v>2042</v>
      </c>
      <c r="AC49" s="124"/>
      <c r="AD49" s="159">
        <f t="shared" si="2"/>
        <v>657360.38639999996</v>
      </c>
      <c r="AE49" s="3"/>
      <c r="AF49" s="162">
        <f t="shared" si="12"/>
        <v>148.90752940015017</v>
      </c>
      <c r="AG49" s="3"/>
      <c r="AH49" s="162">
        <f t="shared" si="13"/>
        <v>31.197100596852174</v>
      </c>
      <c r="AI49" s="3"/>
      <c r="AJ49" s="162">
        <f t="shared" si="14"/>
        <v>3.5885299135927302</v>
      </c>
      <c r="AK49" s="3"/>
      <c r="AL49" s="161">
        <f t="shared" si="7"/>
        <v>21730.356462905467</v>
      </c>
      <c r="AM49" s="3"/>
      <c r="AN49" s="162">
        <f>INDEX('(2.2)_Forward_Price_Curve'!$H:$H,MATCH($AB49,'(2.2)_Forward_Price_Curve'!$C:$C,0),1)</f>
        <v>7.6482993702500011</v>
      </c>
      <c r="AO49" s="3"/>
      <c r="AP49" s="162">
        <f t="shared" si="15"/>
        <v>49.720820351907548</v>
      </c>
      <c r="AQ49" s="3"/>
      <c r="AR49" s="162">
        <f t="shared" si="16"/>
        <v>3.7042812532997034</v>
      </c>
      <c r="AS49" s="162"/>
      <c r="AT49" s="161">
        <f t="shared" si="3"/>
        <v>13579.232925199976</v>
      </c>
      <c r="AU49" s="3"/>
      <c r="AV49" s="161">
        <f t="shared" si="4"/>
        <v>35119.545434658299</v>
      </c>
      <c r="AW49" s="299"/>
      <c r="AX49" s="163">
        <f t="shared" si="8"/>
        <v>48698.778359858276</v>
      </c>
      <c r="AZ49" s="154">
        <f>+IF(AZ48&gt;$G$13+$G$14,XX,AZ48+1)</f>
        <v>2042</v>
      </c>
      <c r="BA49" s="124"/>
      <c r="BB49" s="162">
        <f t="shared" si="17"/>
        <v>95.258674539516079</v>
      </c>
      <c r="BC49" s="3"/>
      <c r="BD49" s="162">
        <f t="shared" si="18"/>
        <v>10.731716207615818</v>
      </c>
      <c r="BE49" s="3"/>
      <c r="BF49" s="161">
        <f t="shared" si="9"/>
        <v>8151.1235377054909</v>
      </c>
      <c r="BG49" s="3"/>
      <c r="BH49" s="165"/>
    </row>
    <row r="50" spans="2:60" ht="12">
      <c r="B50" s="2"/>
      <c r="C50" s="6">
        <f>+IF(C49&gt;$G$13+$G$14,XX,C49+1)</f>
        <v>2043</v>
      </c>
      <c r="D50" s="6"/>
      <c r="E50" s="292">
        <f>'(2.2)_Forward_Price_Curve'!O55</f>
        <v>2.3E-2</v>
      </c>
      <c r="F50" s="6"/>
      <c r="G50" s="20">
        <v>657360.38639999996</v>
      </c>
      <c r="H50" s="6"/>
      <c r="I50" s="30">
        <f t="shared" si="10"/>
        <v>77.147805462050215</v>
      </c>
      <c r="J50" s="6"/>
      <c r="K50" s="30">
        <f t="shared" si="10"/>
        <v>1.660899497789861</v>
      </c>
      <c r="L50" s="6"/>
      <c r="M50" s="30">
        <f t="shared" si="11"/>
        <v>0</v>
      </c>
      <c r="N50" s="6"/>
      <c r="O50" s="295">
        <f>'(2.2)_Forward_Price_Curve'!Y54</f>
        <v>1.8413139188621417</v>
      </c>
      <c r="P50" s="6"/>
      <c r="Q50" s="30"/>
      <c r="R50" s="6"/>
      <c r="S50" s="20">
        <f t="shared" si="5"/>
        <v>17268.890624463369</v>
      </c>
      <c r="T50" s="6"/>
      <c r="U50" s="20">
        <f t="shared" si="0"/>
        <v>49786.16576445636</v>
      </c>
      <c r="V50" s="6"/>
      <c r="W50" s="20">
        <f t="shared" si="1"/>
        <v>-32517.275139992991</v>
      </c>
      <c r="X50" s="6"/>
      <c r="Y50" s="296">
        <f t="shared" si="6"/>
        <v>-49.466435478523671</v>
      </c>
      <c r="Z50" s="255"/>
      <c r="AB50" s="154">
        <f>+IF(AB49&gt;$G$13+$G$14,XX,AB49+1)</f>
        <v>2043</v>
      </c>
      <c r="AC50" s="124"/>
      <c r="AD50" s="159">
        <f t="shared" si="2"/>
        <v>657360.38639999996</v>
      </c>
      <c r="AE50" s="3"/>
      <c r="AF50" s="162">
        <f t="shared" si="12"/>
        <v>152.33240257635362</v>
      </c>
      <c r="AG50" s="3"/>
      <c r="AH50" s="162">
        <f t="shared" si="13"/>
        <v>31.91463391057977</v>
      </c>
      <c r="AI50" s="3"/>
      <c r="AJ50" s="162">
        <f t="shared" si="14"/>
        <v>3.6710661016053625</v>
      </c>
      <c r="AK50" s="3"/>
      <c r="AL50" s="161">
        <f t="shared" si="7"/>
        <v>22230.154661552293</v>
      </c>
      <c r="AM50" s="3"/>
      <c r="AN50" s="162">
        <f>INDEX('(2.2)_Forward_Price_Curve'!$H:$H,MATCH($AB50,'(2.2)_Forward_Price_Curve'!$C:$C,0),1)</f>
        <v>7.8165619563955016</v>
      </c>
      <c r="AO50" s="3"/>
      <c r="AP50" s="162">
        <f t="shared" si="15"/>
        <v>50.814678399649516</v>
      </c>
      <c r="AQ50" s="3"/>
      <c r="AR50" s="162">
        <f t="shared" si="16"/>
        <v>3.7894797221255963</v>
      </c>
      <c r="AS50" s="162"/>
      <c r="AT50" s="161">
        <f t="shared" si="3"/>
        <v>13891.555282479576</v>
      </c>
      <c r="AU50" s="3"/>
      <c r="AV50" s="161">
        <f t="shared" si="4"/>
        <v>35894.610481976786</v>
      </c>
      <c r="AW50" s="299"/>
      <c r="AX50" s="163">
        <f t="shared" si="8"/>
        <v>49786.16576445636</v>
      </c>
      <c r="AZ50" s="154">
        <f>+IF(AZ49&gt;$G$13+$G$14,XX,AZ49+1)</f>
        <v>2043</v>
      </c>
      <c r="BA50" s="124"/>
      <c r="BB50" s="162">
        <f t="shared" si="17"/>
        <v>97.449624053924936</v>
      </c>
      <c r="BC50" s="3"/>
      <c r="BD50" s="162">
        <f t="shared" si="18"/>
        <v>10.978545680390981</v>
      </c>
      <c r="BE50" s="3"/>
      <c r="BF50" s="161">
        <f t="shared" si="9"/>
        <v>8338.5993790727171</v>
      </c>
      <c r="BG50" s="3"/>
      <c r="BH50" s="165"/>
    </row>
    <row r="51" spans="2:60" ht="12">
      <c r="B51" s="2"/>
      <c r="C51" s="6">
        <f>+IF(C50&gt;$G$13+$G$14,XX,C50+1)</f>
        <v>2044</v>
      </c>
      <c r="D51" s="6"/>
      <c r="E51" s="292">
        <f>'(2.2)_Forward_Price_Curve'!O56</f>
        <v>2.3E-2</v>
      </c>
      <c r="F51" s="6"/>
      <c r="G51" s="20">
        <v>657360.38639999996</v>
      </c>
      <c r="H51" s="6"/>
      <c r="I51" s="30">
        <f t="shared" si="10"/>
        <v>78.922204987677361</v>
      </c>
      <c r="J51" s="6"/>
      <c r="K51" s="30">
        <f t="shared" si="10"/>
        <v>1.6991001862390276</v>
      </c>
      <c r="L51" s="6"/>
      <c r="M51" s="30">
        <f t="shared" si="11"/>
        <v>0</v>
      </c>
      <c r="N51" s="6"/>
      <c r="O51" s="295">
        <f>'(2.2)_Forward_Price_Curve'!Y55</f>
        <v>1.8803404620364608</v>
      </c>
      <c r="P51" s="6"/>
      <c r="Q51" s="30"/>
      <c r="R51" s="6"/>
      <c r="S51" s="20">
        <f t="shared" si="5"/>
        <v>17663.89025525565</v>
      </c>
      <c r="T51" s="6"/>
      <c r="U51" s="20">
        <f t="shared" si="0"/>
        <v>50897.84402041127</v>
      </c>
      <c r="V51" s="6"/>
      <c r="W51" s="20">
        <f t="shared" si="1"/>
        <v>-33233.953765155617</v>
      </c>
      <c r="X51" s="6"/>
      <c r="Y51" s="296">
        <f t="shared" si="6"/>
        <v>-50.556672493089586</v>
      </c>
      <c r="Z51" s="255"/>
      <c r="AB51" s="154">
        <f>+IF(AB50&gt;$G$13+$G$14,XX,AB50+1)</f>
        <v>2044</v>
      </c>
      <c r="AC51" s="124"/>
      <c r="AD51" s="159">
        <f t="shared" si="2"/>
        <v>657360.38639999996</v>
      </c>
      <c r="AE51" s="3"/>
      <c r="AF51" s="162">
        <f t="shared" si="12"/>
        <v>155.83604783560975</v>
      </c>
      <c r="AG51" s="3"/>
      <c r="AH51" s="162">
        <f t="shared" si="13"/>
        <v>32.648670490523102</v>
      </c>
      <c r="AI51" s="3"/>
      <c r="AJ51" s="162">
        <f t="shared" si="14"/>
        <v>3.7555006219422857</v>
      </c>
      <c r="AK51" s="3"/>
      <c r="AL51" s="161">
        <f t="shared" si="7"/>
        <v>22741.448218767993</v>
      </c>
      <c r="AM51" s="3"/>
      <c r="AN51" s="162">
        <f>INDEX('(2.2)_Forward_Price_Curve'!$H:$H,MATCH($AB51,'(2.2)_Forward_Price_Curve'!$C:$C,0),1)</f>
        <v>7.9885263194362031</v>
      </c>
      <c r="AO51" s="3"/>
      <c r="AP51" s="162">
        <f t="shared" si="15"/>
        <v>51.932601324441805</v>
      </c>
      <c r="AQ51" s="3"/>
      <c r="AR51" s="162">
        <f t="shared" si="16"/>
        <v>3.8766377557344844</v>
      </c>
      <c r="AS51" s="162"/>
      <c r="AT51" s="161">
        <f t="shared" si="3"/>
        <v>14211.061053976606</v>
      </c>
      <c r="AU51" s="3"/>
      <c r="AV51" s="161">
        <f t="shared" si="4"/>
        <v>36686.782966434665</v>
      </c>
      <c r="AW51" s="299"/>
      <c r="AX51" s="163">
        <f t="shared" si="8"/>
        <v>50897.84402041127</v>
      </c>
      <c r="AZ51" s="154">
        <f>+IF(AZ50&gt;$G$13+$G$14,XX,AZ50+1)</f>
        <v>2044</v>
      </c>
      <c r="BA51" s="124"/>
      <c r="BB51" s="162">
        <f t="shared" si="17"/>
        <v>99.690965407165194</v>
      </c>
      <c r="BC51" s="3"/>
      <c r="BD51" s="162">
        <f t="shared" si="18"/>
        <v>11.231052231039973</v>
      </c>
      <c r="BE51" s="3"/>
      <c r="BF51" s="161">
        <f t="shared" si="9"/>
        <v>8530.3871647913875</v>
      </c>
      <c r="BG51" s="3"/>
      <c r="BH51" s="165"/>
    </row>
    <row r="52" spans="2:60" ht="12">
      <c r="B52" s="2"/>
      <c r="C52" s="6">
        <f>+IF(C51&gt;$G$13+$G$14,XX,C51+1)</f>
        <v>2045</v>
      </c>
      <c r="D52" s="6"/>
      <c r="E52" s="292">
        <f>'(2.2)_Forward_Price_Curve'!O57</f>
        <v>2.3E-2</v>
      </c>
      <c r="F52" s="6"/>
      <c r="G52" s="20">
        <v>657360.38639999996</v>
      </c>
      <c r="H52" s="6"/>
      <c r="I52" s="30">
        <f t="shared" si="10"/>
        <v>80.737415702393932</v>
      </c>
      <c r="J52" s="6"/>
      <c r="K52" s="30">
        <f t="shared" si="10"/>
        <v>1.738179490522525</v>
      </c>
      <c r="L52" s="6"/>
      <c r="M52" s="30">
        <f t="shared" si="11"/>
        <v>0</v>
      </c>
      <c r="N52" s="6"/>
      <c r="O52" s="295">
        <f>'(2.2)_Forward_Price_Curve'!Y56</f>
        <v>1.9203752935028859</v>
      </c>
      <c r="P52" s="6"/>
      <c r="Q52" s="30"/>
      <c r="R52" s="6"/>
      <c r="S52" s="20">
        <f t="shared" si="5"/>
        <v>18068.047632756934</v>
      </c>
      <c r="T52" s="6"/>
      <c r="U52" s="20">
        <f t="shared" si="0"/>
        <v>52034.355998007341</v>
      </c>
      <c r="V52" s="6"/>
      <c r="W52" s="20">
        <f t="shared" si="1"/>
        <v>-33966.308365250406</v>
      </c>
      <c r="X52" s="6"/>
      <c r="Y52" s="296">
        <f t="shared" si="6"/>
        <v>-51.67075635826663</v>
      </c>
      <c r="Z52" s="255"/>
      <c r="AB52" s="154">
        <f>+IF(AB51&gt;$G$13+$G$14,XX,AB51+1)</f>
        <v>2045</v>
      </c>
      <c r="AC52" s="124"/>
      <c r="AD52" s="159">
        <f t="shared" si="2"/>
        <v>657360.38639999996</v>
      </c>
      <c r="AE52" s="3"/>
      <c r="AF52" s="162">
        <f t="shared" si="12"/>
        <v>159.42027693582875</v>
      </c>
      <c r="AG52" s="3"/>
      <c r="AH52" s="162">
        <f t="shared" si="13"/>
        <v>33.39958991180513</v>
      </c>
      <c r="AI52" s="3"/>
      <c r="AJ52" s="162">
        <f t="shared" si="14"/>
        <v>3.8418771362469579</v>
      </c>
      <c r="AK52" s="3"/>
      <c r="AL52" s="161">
        <f t="shared" si="7"/>
        <v>23264.501527799657</v>
      </c>
      <c r="AM52" s="3"/>
      <c r="AN52" s="162">
        <f>INDEX('(2.2)_Forward_Price_Curve'!$H:$H,MATCH($AB52,'(2.2)_Forward_Price_Curve'!$C:$C,0),1)</f>
        <v>8.164273898463799</v>
      </c>
      <c r="AO52" s="3"/>
      <c r="AP52" s="162">
        <f t="shared" si="15"/>
        <v>53.075118553579522</v>
      </c>
      <c r="AQ52" s="3"/>
      <c r="AR52" s="162">
        <f t="shared" si="16"/>
        <v>3.9658004241163773</v>
      </c>
      <c r="AS52" s="162"/>
      <c r="AT52" s="161">
        <f t="shared" si="3"/>
        <v>14537.915458218069</v>
      </c>
      <c r="AU52" s="3"/>
      <c r="AV52" s="161">
        <f t="shared" si="4"/>
        <v>37496.44053978927</v>
      </c>
      <c r="AW52" s="299"/>
      <c r="AX52" s="163">
        <f t="shared" si="8"/>
        <v>52034.355998007341</v>
      </c>
      <c r="AZ52" s="154">
        <f>+IF(AZ51&gt;$G$13+$G$14,XX,AZ51+1)</f>
        <v>2045</v>
      </c>
      <c r="BA52" s="124"/>
      <c r="BB52" s="162">
        <f t="shared" si="17"/>
        <v>101.98385761152998</v>
      </c>
      <c r="BC52" s="3"/>
      <c r="BD52" s="162">
        <f t="shared" si="18"/>
        <v>11.489366432353892</v>
      </c>
      <c r="BE52" s="3"/>
      <c r="BF52" s="161">
        <f t="shared" si="9"/>
        <v>8726.5860695815882</v>
      </c>
      <c r="BG52" s="3"/>
      <c r="BH52" s="165"/>
    </row>
    <row r="53" spans="2:60" ht="12">
      <c r="B53" s="2"/>
      <c r="C53" s="6">
        <f>+IF(C52&gt;$G$13+$G$14,XX,C52+1)</f>
        <v>2046</v>
      </c>
      <c r="D53" s="6"/>
      <c r="E53" s="292">
        <f>'(2.2)_Forward_Price_Curve'!O58</f>
        <v>2.3E-2</v>
      </c>
      <c r="F53" s="6"/>
      <c r="G53" s="20">
        <v>657360.38639999996</v>
      </c>
      <c r="H53" s="6"/>
      <c r="I53" s="30">
        <f t="shared" si="10"/>
        <v>82.59437626354898</v>
      </c>
      <c r="J53" s="6"/>
      <c r="K53" s="30">
        <f t="shared" si="10"/>
        <v>1.7781576188045429</v>
      </c>
      <c r="L53" s="6"/>
      <c r="M53" s="30">
        <f t="shared" si="11"/>
        <v>0</v>
      </c>
      <c r="N53" s="6"/>
      <c r="O53" s="295">
        <f>'(2.2)_Forward_Price_Curve'!Y57</f>
        <v>1.9616503565022387</v>
      </c>
      <c r="P53" s="6"/>
      <c r="Q53" s="30"/>
      <c r="R53" s="6"/>
      <c r="S53" s="20">
        <f t="shared" si="5"/>
        <v>18481.71061083797</v>
      </c>
      <c r="T53" s="6"/>
      <c r="U53" s="20">
        <f t="shared" si="0"/>
        <v>53196.256705520907</v>
      </c>
      <c r="V53" s="6"/>
      <c r="W53" s="20">
        <f t="shared" si="1"/>
        <v>-34714.546094682941</v>
      </c>
      <c r="X53" s="6"/>
      <c r="Y53" s="296">
        <f t="shared" si="6"/>
        <v>-52.809002204704406</v>
      </c>
      <c r="Z53" s="255"/>
      <c r="AB53" s="154">
        <f>+IF(AB52&gt;$G$13+$G$14,XX,AB52+1)</f>
        <v>2046</v>
      </c>
      <c r="AC53" s="124"/>
      <c r="AD53" s="159">
        <f t="shared" si="2"/>
        <v>657360.38639999996</v>
      </c>
      <c r="AE53" s="3"/>
      <c r="AF53" s="162">
        <f t="shared" si="12"/>
        <v>163.0869433053528</v>
      </c>
      <c r="AG53" s="3"/>
      <c r="AH53" s="162">
        <f t="shared" si="13"/>
        <v>34.167780479776646</v>
      </c>
      <c r="AI53" s="3"/>
      <c r="AJ53" s="162">
        <f t="shared" si="14"/>
        <v>3.9302403103806376</v>
      </c>
      <c r="AK53" s="3"/>
      <c r="AL53" s="161">
        <f t="shared" si="7"/>
        <v>23799.585062939048</v>
      </c>
      <c r="AM53" s="3"/>
      <c r="AN53" s="162">
        <f>INDEX('(2.2)_Forward_Price_Curve'!$H:$H,MATCH($AB53,'(2.2)_Forward_Price_Curve'!$C:$C,0),1)</f>
        <v>8.3438879242300033</v>
      </c>
      <c r="AO53" s="3"/>
      <c r="AP53" s="162">
        <f t="shared" si="15"/>
        <v>54.242771161758284</v>
      </c>
      <c r="AQ53" s="3"/>
      <c r="AR53" s="162">
        <f t="shared" si="16"/>
        <v>4.0570138338710535</v>
      </c>
      <c r="AS53" s="162"/>
      <c r="AT53" s="161">
        <f t="shared" si="3"/>
        <v>14872.287513757085</v>
      </c>
      <c r="AU53" s="3"/>
      <c r="AV53" s="161">
        <f t="shared" si="4"/>
        <v>38323.969191763819</v>
      </c>
      <c r="AW53" s="299"/>
      <c r="AX53" s="163">
        <f t="shared" si="8"/>
        <v>53196.256705520907</v>
      </c>
      <c r="AZ53" s="154">
        <f>+IF(AZ52&gt;$G$13+$G$14,XX,AZ52+1)</f>
        <v>2046</v>
      </c>
      <c r="BA53" s="124"/>
      <c r="BB53" s="162">
        <f t="shared" si="17"/>
        <v>104.32948633659517</v>
      </c>
      <c r="BC53" s="3"/>
      <c r="BD53" s="162">
        <f t="shared" si="18"/>
        <v>11.753621860298031</v>
      </c>
      <c r="BE53" s="3"/>
      <c r="BF53" s="161">
        <f t="shared" si="9"/>
        <v>8927.2975491819634</v>
      </c>
      <c r="BG53" s="3"/>
      <c r="BH53" s="165"/>
    </row>
    <row r="54" spans="2:60" ht="12">
      <c r="B54" s="2"/>
      <c r="C54" s="6">
        <f>+IF(C53&gt;$G$13+$G$14,XX,C53+1)</f>
        <v>2047</v>
      </c>
      <c r="D54" s="6"/>
      <c r="E54" s="292">
        <f>'(2.2)_Forward_Price_Curve'!O59</f>
        <v>2.1999999999999999E-2</v>
      </c>
      <c r="F54" s="6"/>
      <c r="G54" s="20">
        <v>657360.38639999996</v>
      </c>
      <c r="H54" s="6"/>
      <c r="I54" s="30">
        <f t="shared" si="10"/>
        <v>84.41145254134706</v>
      </c>
      <c r="J54" s="6"/>
      <c r="K54" s="30">
        <f t="shared" si="10"/>
        <v>1.8172770864182428</v>
      </c>
      <c r="L54" s="6"/>
      <c r="M54" s="30">
        <f t="shared" si="11"/>
        <v>0</v>
      </c>
      <c r="N54" s="6"/>
      <c r="O54" s="295">
        <f>'(2.2)_Forward_Price_Curve'!Y58</f>
        <v>2.0038320171796222</v>
      </c>
      <c r="P54" s="6"/>
      <c r="Q54" s="30"/>
      <c r="R54" s="6"/>
      <c r="S54" s="20">
        <f t="shared" si="5"/>
        <v>18887.667549838981</v>
      </c>
      <c r="T54" s="6"/>
      <c r="U54" s="20">
        <f t="shared" si="0"/>
        <v>54366.574353042357</v>
      </c>
      <c r="V54" s="6"/>
      <c r="W54" s="20">
        <f t="shared" si="1"/>
        <v>-35478.906803203376</v>
      </c>
      <c r="X54" s="6"/>
      <c r="Y54" s="296">
        <f t="shared" si="6"/>
        <v>-53.971774900373546</v>
      </c>
      <c r="Z54" s="255"/>
      <c r="AB54" s="154">
        <f>+IF(AB53&gt;$G$13+$G$14,XX,AB53+1)</f>
        <v>2047</v>
      </c>
      <c r="AC54" s="124"/>
      <c r="AD54" s="159">
        <f t="shared" si="2"/>
        <v>657360.38639999996</v>
      </c>
      <c r="AE54" s="3"/>
      <c r="AF54" s="162">
        <f t="shared" si="12"/>
        <v>166.67485605807056</v>
      </c>
      <c r="AG54" s="3"/>
      <c r="AH54" s="162">
        <f t="shared" si="13"/>
        <v>34.91947165033173</v>
      </c>
      <c r="AI54" s="3"/>
      <c r="AJ54" s="162">
        <f t="shared" si="14"/>
        <v>4.016705597209012</v>
      </c>
      <c r="AK54" s="3"/>
      <c r="AL54" s="161">
        <f t="shared" si="7"/>
        <v>24323.175934323703</v>
      </c>
      <c r="AM54" s="3"/>
      <c r="AN54" s="162">
        <f>INDEX('(2.2)_Forward_Price_Curve'!$H:$H,MATCH($AB54,'(2.2)_Forward_Price_Curve'!$C:$C,0),1)</f>
        <v>8.5274534585630644</v>
      </c>
      <c r="AO54" s="3"/>
      <c r="AP54" s="162">
        <f t="shared" si="15"/>
        <v>55.436112127316967</v>
      </c>
      <c r="AQ54" s="3"/>
      <c r="AR54" s="162">
        <f t="shared" si="16"/>
        <v>4.1462681382162172</v>
      </c>
      <c r="AS54" s="162"/>
      <c r="AT54" s="161">
        <f t="shared" si="3"/>
        <v>15199.477839059735</v>
      </c>
      <c r="AU54" s="3"/>
      <c r="AV54" s="161">
        <f t="shared" si="4"/>
        <v>39167.096513982622</v>
      </c>
      <c r="AW54" s="299"/>
      <c r="AX54" s="163">
        <f t="shared" si="8"/>
        <v>54366.574353042357</v>
      </c>
      <c r="AZ54" s="154">
        <f>+IF(AZ53&gt;$G$13+$G$14,XX,AZ53+1)</f>
        <v>2047</v>
      </c>
      <c r="BA54" s="124"/>
      <c r="BB54" s="162">
        <f t="shared" si="17"/>
        <v>106.62473503600026</v>
      </c>
      <c r="BC54" s="3"/>
      <c r="BD54" s="162">
        <f t="shared" si="18"/>
        <v>12.012201541224588</v>
      </c>
      <c r="BE54" s="3"/>
      <c r="BF54" s="161">
        <f t="shared" si="9"/>
        <v>9123.6980952639678</v>
      </c>
      <c r="BG54" s="3"/>
      <c r="BH54" s="165"/>
    </row>
    <row r="55" spans="2:60" ht="12">
      <c r="B55" s="2"/>
      <c r="C55" s="6">
        <f>+IF(C54&gt;$G$13+$G$14,XX,C54+1)</f>
        <v>2048</v>
      </c>
      <c r="D55" s="6"/>
      <c r="E55" s="292">
        <f>'(2.2)_Forward_Price_Curve'!O60</f>
        <v>2.1999999999999999E-2</v>
      </c>
      <c r="F55" s="6"/>
      <c r="G55" s="20">
        <v>657360.38639999996</v>
      </c>
      <c r="H55" s="6"/>
      <c r="I55" s="30">
        <f t="shared" si="10"/>
        <v>86.2685044972567</v>
      </c>
      <c r="J55" s="6"/>
      <c r="K55" s="30">
        <f t="shared" si="10"/>
        <v>1.8572571823194441</v>
      </c>
      <c r="L55" s="6"/>
      <c r="M55" s="30">
        <f t="shared" si="11"/>
        <v>0</v>
      </c>
      <c r="N55" s="6"/>
      <c r="O55" s="295">
        <f>'(2.2)_Forward_Price_Curve'!Y59</f>
        <v>2.0468358206182615</v>
      </c>
      <c r="P55" s="6"/>
      <c r="Q55" s="30"/>
      <c r="R55" s="6"/>
      <c r="S55" s="20">
        <f t="shared" si="5"/>
        <v>19302.485957420467</v>
      </c>
      <c r="T55" s="6"/>
      <c r="U55" s="20">
        <f t="shared" si="0"/>
        <v>55562.638988809296</v>
      </c>
      <c r="V55" s="6"/>
      <c r="W55" s="20">
        <f t="shared" si="1"/>
        <v>-36260.153031388829</v>
      </c>
      <c r="X55" s="6"/>
      <c r="Y55" s="296">
        <f t="shared" si="6"/>
        <v>-55.160234449121084</v>
      </c>
      <c r="Z55" s="255"/>
      <c r="AB55" s="154">
        <f>+IF(AB54&gt;$G$13+$G$14,XX,AB54+1)</f>
        <v>2048</v>
      </c>
      <c r="AC55" s="124"/>
      <c r="AD55" s="159">
        <f t="shared" si="2"/>
        <v>657360.38639999996</v>
      </c>
      <c r="AE55" s="3"/>
      <c r="AF55" s="162">
        <f t="shared" si="12"/>
        <v>170.34170289134812</v>
      </c>
      <c r="AG55" s="3"/>
      <c r="AH55" s="162">
        <f t="shared" si="13"/>
        <v>35.687700026639028</v>
      </c>
      <c r="AI55" s="3"/>
      <c r="AJ55" s="162">
        <f t="shared" si="14"/>
        <v>4.1050731203476101</v>
      </c>
      <c r="AK55" s="3"/>
      <c r="AL55" s="161">
        <f t="shared" si="7"/>
        <v>24858.285804878826</v>
      </c>
      <c r="AM55" s="3"/>
      <c r="AN55" s="162">
        <f>INDEX('(2.2)_Forward_Price_Curve'!$H:$H,MATCH($AB55,'(2.2)_Forward_Price_Curve'!$C:$C,0),1)</f>
        <v>8.7150574346514524</v>
      </c>
      <c r="AO55" s="3"/>
      <c r="AP55" s="162">
        <f t="shared" si="15"/>
        <v>56.655706594117945</v>
      </c>
      <c r="AQ55" s="3"/>
      <c r="AR55" s="162">
        <f t="shared" si="16"/>
        <v>4.237486037256974</v>
      </c>
      <c r="AS55" s="162"/>
      <c r="AT55" s="161">
        <f t="shared" si="3"/>
        <v>15533.866351519051</v>
      </c>
      <c r="AU55" s="3"/>
      <c r="AV55" s="161">
        <f t="shared" si="4"/>
        <v>40028.772637290247</v>
      </c>
      <c r="AW55" s="299"/>
      <c r="AX55" s="163">
        <f t="shared" si="8"/>
        <v>55562.638988809296</v>
      </c>
      <c r="AZ55" s="154">
        <f>+IF(AZ54&gt;$G$13+$G$14,XX,AZ54+1)</f>
        <v>2048</v>
      </c>
      <c r="BA55" s="124"/>
      <c r="BB55" s="162">
        <f t="shared" si="17"/>
        <v>108.97047920679226</v>
      </c>
      <c r="BC55" s="3"/>
      <c r="BD55" s="162">
        <f t="shared" si="18"/>
        <v>12.27646997513153</v>
      </c>
      <c r="BE55" s="3"/>
      <c r="BF55" s="161">
        <f t="shared" si="9"/>
        <v>9324.4194533597747</v>
      </c>
      <c r="BG55" s="3"/>
      <c r="BH55" s="165"/>
    </row>
    <row r="56" spans="2:60" ht="12">
      <c r="B56" s="2"/>
      <c r="C56" s="6">
        <f>+IF(C55&gt;$G$13+$G$14,XX,C55+1)</f>
        <v>2049</v>
      </c>
      <c r="D56" s="6"/>
      <c r="E56" s="292">
        <f>'(2.2)_Forward_Price_Curve'!O61</f>
        <v>2.1999999999999999E-2</v>
      </c>
      <c r="F56" s="6"/>
      <c r="G56" s="20">
        <v>657360.38639999996</v>
      </c>
      <c r="H56" s="6"/>
      <c r="I56" s="30">
        <f t="shared" si="10"/>
        <v>88.166411596196355</v>
      </c>
      <c r="J56" s="6"/>
      <c r="K56" s="30">
        <f t="shared" si="10"/>
        <v>1.898116840330472</v>
      </c>
      <c r="L56" s="6"/>
      <c r="M56" s="30">
        <f t="shared" si="11"/>
        <v>0</v>
      </c>
      <c r="N56" s="6"/>
      <c r="O56" s="295">
        <f>'(2.2)_Forward_Price_Curve'!Y60</f>
        <v>2.0909596981572163</v>
      </c>
      <c r="P56" s="6"/>
      <c r="Q56" s="30"/>
      <c r="R56" s="6"/>
      <c r="S56" s="20">
        <f t="shared" si="5"/>
        <v>19726.544744381532</v>
      </c>
      <c r="T56" s="6"/>
      <c r="U56" s="20">
        <f t="shared" si="0"/>
        <v>56785.017046563109</v>
      </c>
      <c r="V56" s="6"/>
      <c r="W56" s="20">
        <f t="shared" si="1"/>
        <v>-37058.472302181573</v>
      </c>
      <c r="X56" s="6"/>
      <c r="Y56" s="296">
        <f t="shared" si="6"/>
        <v>-56.374666117516405</v>
      </c>
      <c r="Z56" s="255"/>
      <c r="AB56" s="154">
        <f>+IF(AB55&gt;$G$13+$G$14,XX,AB55+1)</f>
        <v>2049</v>
      </c>
      <c r="AC56" s="124"/>
      <c r="AD56" s="159">
        <f t="shared" si="2"/>
        <v>657360.38639999996</v>
      </c>
      <c r="AE56" s="3"/>
      <c r="AF56" s="162">
        <f t="shared" si="12"/>
        <v>174.08922035495777</v>
      </c>
      <c r="AG56" s="3"/>
      <c r="AH56" s="162">
        <f t="shared" si="13"/>
        <v>36.472829427225086</v>
      </c>
      <c r="AI56" s="3"/>
      <c r="AJ56" s="162">
        <f t="shared" si="14"/>
        <v>4.1953847289952577</v>
      </c>
      <c r="AK56" s="3"/>
      <c r="AL56" s="161">
        <f t="shared" si="7"/>
        <v>25405.168092586162</v>
      </c>
      <c r="AM56" s="3"/>
      <c r="AN56" s="162">
        <f>INDEX('(2.2)_Forward_Price_Curve'!$H:$H,MATCH($AB56,'(2.2)_Forward_Price_Curve'!$C:$C,0),1)</f>
        <v>8.9067886982137843</v>
      </c>
      <c r="AO56" s="3"/>
      <c r="AP56" s="162">
        <f t="shared" si="15"/>
        <v>57.902132139188545</v>
      </c>
      <c r="AQ56" s="3"/>
      <c r="AR56" s="162">
        <f t="shared" si="16"/>
        <v>4.3307107300766274</v>
      </c>
      <c r="AS56" s="162"/>
      <c r="AT56" s="161">
        <f t="shared" si="3"/>
        <v>15875.611411252472</v>
      </c>
      <c r="AU56" s="3"/>
      <c r="AV56" s="161">
        <f t="shared" si="4"/>
        <v>40909.405635310635</v>
      </c>
      <c r="AW56" s="299"/>
      <c r="AX56" s="163">
        <f t="shared" si="8"/>
        <v>56785.017046563109</v>
      </c>
      <c r="AZ56" s="154">
        <f>+IF(AZ55&gt;$G$13+$G$14,XX,AZ55+1)</f>
        <v>2049</v>
      </c>
      <c r="BA56" s="124"/>
      <c r="BB56" s="162">
        <f t="shared" si="17"/>
        <v>111.36782974934169</v>
      </c>
      <c r="BC56" s="3"/>
      <c r="BD56" s="162">
        <f t="shared" si="18"/>
        <v>12.546552314584424</v>
      </c>
      <c r="BE56" s="3"/>
      <c r="BF56" s="161">
        <f t="shared" si="9"/>
        <v>9529.55668133369</v>
      </c>
      <c r="BG56" s="3"/>
      <c r="BH56" s="165"/>
    </row>
    <row r="57" spans="2:60" ht="12">
      <c r="B57" s="2"/>
      <c r="C57" s="6">
        <f>+IF(C56&gt;$G$13+$G$14,XX,C56+1)</f>
        <v>2050</v>
      </c>
      <c r="D57" s="6"/>
      <c r="E57" s="292">
        <f>'(2.2)_Forward_Price_Curve'!O62</f>
        <v>2.1999999999999999E-2</v>
      </c>
      <c r="F57" s="6"/>
      <c r="G57" s="20">
        <v>657360.38639999996</v>
      </c>
      <c r="H57" s="6"/>
      <c r="I57" s="30">
        <f t="shared" si="10"/>
        <v>90.106072651312672</v>
      </c>
      <c r="J57" s="6"/>
      <c r="K57" s="30">
        <f t="shared" si="10"/>
        <v>1.9398754108177425</v>
      </c>
      <c r="L57" s="6"/>
      <c r="M57" s="30">
        <f t="shared" si="11"/>
        <v>0</v>
      </c>
      <c r="N57" s="6"/>
      <c r="O57" s="295">
        <f>'(2.2)_Forward_Price_Curve'!Y61</f>
        <v>2.1361590832077506</v>
      </c>
      <c r="P57" s="6"/>
      <c r="Q57" s="30"/>
      <c r="R57" s="6"/>
      <c r="S57" s="20">
        <f t="shared" si="5"/>
        <v>20160.001704326987</v>
      </c>
      <c r="T57" s="6"/>
      <c r="U57" s="20">
        <f t="shared" si="0"/>
        <v>58034.287421587491</v>
      </c>
      <c r="V57" s="6"/>
      <c r="W57" s="20">
        <f t="shared" si="1"/>
        <v>-37874.2857172605</v>
      </c>
      <c r="X57" s="6"/>
      <c r="Y57" s="296">
        <f t="shared" si="6"/>
        <v>-57.615710500410685</v>
      </c>
      <c r="Z57" s="255"/>
      <c r="AB57" s="154">
        <f>+IF(AB56&gt;$G$13+$G$14,XX,AB56+1)</f>
        <v>2050</v>
      </c>
      <c r="AC57" s="124"/>
      <c r="AD57" s="159">
        <f t="shared" si="2"/>
        <v>657360.38639999996</v>
      </c>
      <c r="AE57" s="3"/>
      <c r="AF57" s="162">
        <f t="shared" si="12"/>
        <v>177.91918320276685</v>
      </c>
      <c r="AG57" s="3"/>
      <c r="AH57" s="162">
        <f t="shared" si="13"/>
        <v>37.275231674624038</v>
      </c>
      <c r="AI57" s="3"/>
      <c r="AJ57" s="162">
        <f t="shared" si="14"/>
        <v>4.2876831930331534</v>
      </c>
      <c r="AK57" s="3"/>
      <c r="AL57" s="161">
        <f t="shared" si="7"/>
        <v>25964.081790623062</v>
      </c>
      <c r="AM57" s="3"/>
      <c r="AN57" s="162">
        <f>INDEX('(2.2)_Forward_Price_Curve'!$H:$H,MATCH($AB57,'(2.2)_Forward_Price_Curve'!$C:$C,0),1)</f>
        <v>9.1027380495744872</v>
      </c>
      <c r="AO57" s="3"/>
      <c r="AP57" s="162">
        <f t="shared" si="15"/>
        <v>59.175979046250688</v>
      </c>
      <c r="AQ57" s="3"/>
      <c r="AR57" s="162">
        <f t="shared" si="16"/>
        <v>4.4259863661383134</v>
      </c>
      <c r="AS57" s="162"/>
      <c r="AT57" s="161">
        <f t="shared" si="3"/>
        <v>16224.87486230003</v>
      </c>
      <c r="AU57" s="3"/>
      <c r="AV57" s="161">
        <f t="shared" si="4"/>
        <v>41809.412559287462</v>
      </c>
      <c r="AW57" s="299"/>
      <c r="AX57" s="163">
        <f t="shared" si="8"/>
        <v>58034.287421587491</v>
      </c>
      <c r="AZ57" s="154">
        <f>+IF(AZ56&gt;$G$13+$G$14,XX,AZ56+1)</f>
        <v>2050</v>
      </c>
      <c r="BA57" s="124"/>
      <c r="BB57" s="162">
        <f t="shared" si="17"/>
        <v>113.81792200382722</v>
      </c>
      <c r="BC57" s="3"/>
      <c r="BD57" s="162">
        <f t="shared" si="18"/>
        <v>12.822576465505282</v>
      </c>
      <c r="BE57" s="3"/>
      <c r="BF57" s="161">
        <f t="shared" si="9"/>
        <v>9739.2069283230321</v>
      </c>
      <c r="BG57" s="3"/>
      <c r="BH57" s="165"/>
    </row>
    <row r="58" spans="2:60">
      <c r="B58" s="2"/>
      <c r="C58" s="3"/>
      <c r="D58" s="3"/>
      <c r="E58" s="178"/>
      <c r="F58" s="3"/>
      <c r="G58" s="290"/>
      <c r="H58" s="3"/>
      <c r="I58" s="290"/>
      <c r="J58" s="3"/>
      <c r="K58" s="290"/>
      <c r="L58" s="3"/>
      <c r="M58" s="290"/>
      <c r="N58" s="3"/>
      <c r="O58" s="290"/>
      <c r="P58" s="3"/>
      <c r="Q58" s="290"/>
      <c r="R58" s="3"/>
      <c r="S58" s="290"/>
      <c r="T58" s="3"/>
      <c r="U58" s="290"/>
      <c r="V58" s="3"/>
      <c r="W58" s="290"/>
      <c r="X58" s="3"/>
      <c r="Y58" s="300"/>
      <c r="Z58" s="255"/>
      <c r="AB58" s="2"/>
      <c r="AC58" s="3"/>
      <c r="AD58" s="3"/>
      <c r="AE58" s="3"/>
      <c r="AF58" s="301"/>
      <c r="AG58" s="3"/>
      <c r="AH58" s="301"/>
      <c r="AI58" s="3"/>
      <c r="AJ58" s="301"/>
      <c r="AK58" s="3"/>
      <c r="AL58" s="299"/>
      <c r="AM58" s="3"/>
      <c r="AN58" s="301"/>
      <c r="AO58" s="3"/>
      <c r="AP58" s="301"/>
      <c r="AQ58" s="3"/>
      <c r="AR58" s="301"/>
      <c r="AS58" s="301"/>
      <c r="AT58" s="301"/>
      <c r="AU58" s="3"/>
      <c r="AV58" s="299"/>
      <c r="AW58" s="299"/>
      <c r="AX58" s="302"/>
      <c r="AZ58" s="2"/>
      <c r="BA58" s="3"/>
      <c r="BB58" s="301"/>
      <c r="BC58" s="3"/>
      <c r="BD58" s="3"/>
      <c r="BE58" s="3"/>
      <c r="BF58" s="299"/>
      <c r="BG58" s="3"/>
      <c r="BH58" s="255"/>
    </row>
    <row r="59" spans="2:60" ht="12">
      <c r="B59" s="2"/>
      <c r="C59" s="303" t="str">
        <f>G14&amp;"-year Nominal Levelized at "&amp;TEXT($G$18,"#.00%")</f>
        <v>30-year Nominal Levelized at 6.91%</v>
      </c>
      <c r="E59" s="178"/>
      <c r="F59" s="3"/>
      <c r="G59" s="20">
        <f>+-PMT($G$18,$G$14,NPV($G$18,G28:G57))</f>
        <v>632808.80931340018</v>
      </c>
      <c r="H59" s="6"/>
      <c r="I59" s="30">
        <f>+-PMT($G$18,$G$14,NPV($G$18,I28:I57))</f>
        <v>60.003333418383455</v>
      </c>
      <c r="J59" s="30"/>
      <c r="K59" s="30">
        <f>+-PMT($G$18,$G$14,NPV($G$18,K28:K57))</f>
        <v>1.2917996272665746</v>
      </c>
      <c r="L59" s="6"/>
      <c r="M59" s="30">
        <f>+-PMT($G$18,$G$14,NPV($G$18,M28:M57))</f>
        <v>0</v>
      </c>
      <c r="N59" s="6"/>
      <c r="O59" s="30">
        <f>+-PMT($G$18,$G$14,NPV($G$18,O28:O57))</f>
        <v>1.4415142627138942</v>
      </c>
      <c r="P59" s="6"/>
      <c r="Q59" s="30">
        <f>+-PMT($G$18,$G$14,NPV($G$18,Q28:Q57))</f>
        <v>-8.0582080529943152</v>
      </c>
      <c r="R59" s="6"/>
      <c r="S59" s="20">
        <f>+-PMT($G$18,$G$14,NPV($G$18,S28:S57))</f>
        <v>8415.5931049048413</v>
      </c>
      <c r="T59" s="6"/>
      <c r="U59" s="20">
        <f>+-PMT($G$18,$G$14,NPV($G$18,U28:U57))</f>
        <v>33074.687742292917</v>
      </c>
      <c r="V59" s="3"/>
      <c r="W59" s="20">
        <f>+-PMT($G$18,$G$14,NPV($G$18,W28:W57))</f>
        <v>-24659.094637388065</v>
      </c>
      <c r="X59" s="3"/>
      <c r="Y59" s="296">
        <f>+-PMT($G$18,$G$14,NPV($G$18,Y28:Y57))</f>
        <v>-38.332150081912332</v>
      </c>
      <c r="Z59" s="255"/>
      <c r="AB59" s="2"/>
      <c r="AC59" s="3"/>
      <c r="AD59" s="159">
        <f>+-PMT($G$18,$G$14,NPV($G$18,AD28:AD57))</f>
        <v>632808.80931340018</v>
      </c>
      <c r="AE59" s="3"/>
      <c r="AF59" s="162">
        <f>+-PMT($G$18,$G$14,NPV($G$18,AF28:AF57))</f>
        <v>118.47974012311523</v>
      </c>
      <c r="AG59" s="3"/>
      <c r="AH59" s="162">
        <f>+-PMT($G$18,$G$14,NPV($G$18,AH28:AH57))</f>
        <v>24.82227988201381</v>
      </c>
      <c r="AI59" s="3"/>
      <c r="AJ59" s="162">
        <f>+-PMT($G$18,$G$14,NPV($G$18,AJ28:AJ57))</f>
        <v>2.8552491153349502</v>
      </c>
      <c r="AK59" s="3"/>
      <c r="AL59" s="161">
        <f>+-PMT($G$18,$G$14,NPV($G$18,AL28:AL57))</f>
        <v>17234.403376291706</v>
      </c>
      <c r="AM59" s="3"/>
      <c r="AN59" s="162">
        <f>+-PMT($G$18,$G$14,NPV($G$18,AN28:AN57))</f>
        <v>4.8572277558241472</v>
      </c>
      <c r="AO59" s="3"/>
      <c r="AP59" s="162">
        <f>+-PMT($G$18,$G$14,NPV($G$18,AP28:AP57))</f>
        <v>31.576346186843537</v>
      </c>
      <c r="AQ59" s="3"/>
      <c r="AR59" s="162">
        <f>+-PMT($G$18,$G$14,NPV($G$18,AR28:AR57))</f>
        <v>2.9473478070708885</v>
      </c>
      <c r="AS59" s="162"/>
      <c r="AT59" s="161">
        <f>+-PMT($G$18,$G$14,NPV($G$18,AT28:AT57))</f>
        <v>10748.881775408978</v>
      </c>
      <c r="AU59" s="3"/>
      <c r="AV59" s="161">
        <f>+-PMT($G$18,$G$14,NPV($G$18,AV28:AV57))</f>
        <v>22325.805966883927</v>
      </c>
      <c r="AW59" s="299"/>
      <c r="AX59" s="163">
        <f>+-PMT($G$18,$G$14,NPV($G$18,AX28:AX57))</f>
        <v>33074.687742292917</v>
      </c>
      <c r="AZ59" s="2"/>
      <c r="BA59" s="3"/>
      <c r="BB59" s="162">
        <f>+-PMT($G$18,$G$14,NPV($G$18,BB28:BB57))</f>
        <v>75.79350117068627</v>
      </c>
      <c r="BC59" s="3"/>
      <c r="BD59" s="162">
        <f>+-PMT($G$18,$G$14,NPV($G$18,BD28:BD57))</f>
        <v>8.53879553623206</v>
      </c>
      <c r="BE59" s="3"/>
      <c r="BF59" s="161">
        <f>+-PMT($G$18,$G$14,NPV($G$18,BF28:BF57))</f>
        <v>6485.5216008827338</v>
      </c>
      <c r="BG59" s="3"/>
      <c r="BH59" s="165"/>
    </row>
    <row r="60" spans="2:60">
      <c r="B60" s="2"/>
      <c r="C60" s="3"/>
      <c r="D60" s="3"/>
      <c r="E60" s="17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04"/>
      <c r="X60" s="3"/>
      <c r="Y60" s="305"/>
      <c r="Z60" s="255"/>
      <c r="AB60" s="2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299"/>
      <c r="AU60" s="3"/>
      <c r="AV60" s="3"/>
      <c r="AW60" s="3"/>
      <c r="AX60" s="255"/>
      <c r="AZ60" s="2"/>
      <c r="BA60" s="3"/>
      <c r="BB60" s="3"/>
      <c r="BC60" s="3"/>
      <c r="BD60" s="3"/>
      <c r="BE60" s="3"/>
      <c r="BF60" s="3"/>
      <c r="BG60" s="3"/>
      <c r="BH60" s="255"/>
    </row>
    <row r="61" spans="2:60">
      <c r="B61" s="258"/>
      <c r="C61" s="306"/>
      <c r="D61" s="306"/>
      <c r="E61" s="307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259"/>
      <c r="AB61" s="258"/>
      <c r="AC61" s="306"/>
      <c r="AD61" s="306"/>
      <c r="AE61" s="306"/>
      <c r="AF61" s="306"/>
      <c r="AG61" s="306"/>
      <c r="AH61" s="306"/>
      <c r="AI61" s="306"/>
      <c r="AJ61" s="306"/>
      <c r="AK61" s="306"/>
      <c r="AL61" s="306"/>
      <c r="AM61" s="306"/>
      <c r="AN61" s="306"/>
      <c r="AO61" s="306"/>
      <c r="AP61" s="306"/>
      <c r="AQ61" s="306"/>
      <c r="AR61" s="306"/>
      <c r="AS61" s="306"/>
      <c r="AT61" s="306"/>
      <c r="AU61" s="306"/>
      <c r="AV61" s="306"/>
      <c r="AW61" s="306"/>
      <c r="AX61" s="259"/>
      <c r="AZ61" s="258"/>
      <c r="BA61" s="306"/>
      <c r="BB61" s="306"/>
      <c r="BC61" s="306"/>
      <c r="BD61" s="306"/>
      <c r="BE61" s="306"/>
      <c r="BF61" s="306"/>
      <c r="BG61" s="306"/>
      <c r="BH61" s="259"/>
    </row>
    <row r="62" spans="2:60">
      <c r="E62" s="308"/>
    </row>
    <row r="63" spans="2:60">
      <c r="E63" s="308"/>
      <c r="G63" s="309"/>
      <c r="I63" s="309"/>
      <c r="K63" s="309"/>
      <c r="O63" s="309"/>
      <c r="Q63" s="309"/>
      <c r="S63" s="309"/>
      <c r="U63" s="309"/>
      <c r="W63" s="309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</sheetData>
  <pageMargins left="0.25" right="0.25" top="0.25" bottom="0.75" header="0.3" footer="0.3"/>
  <pageSetup paperSize="5" scale="46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99769-E8FC-4AAC-8FF5-74CC044D704E}">
  <sheetPr>
    <tabColor theme="0" tint="-0.249977111117893"/>
    <pageSetUpPr fitToPage="1"/>
  </sheetPr>
  <dimension ref="A1:BH76"/>
  <sheetViews>
    <sheetView topLeftCell="A35" workbookViewId="0">
      <selection activeCell="K39" sqref="K39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5.1640625" style="143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347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64.5</v>
      </c>
      <c r="H11" s="275"/>
      <c r="AB11" s="129" t="s">
        <v>99</v>
      </c>
      <c r="AC11" s="130"/>
      <c r="AD11" s="130"/>
      <c r="AE11" s="130"/>
      <c r="AF11" s="312">
        <f>+G11*(G12/AJ16)</f>
        <v>41.736874999999991</v>
      </c>
      <c r="AG11" s="134"/>
      <c r="AH11" s="130" t="s">
        <v>100</v>
      </c>
      <c r="AI11" s="131"/>
      <c r="AJ11" s="174">
        <f>'(2.1)_Proxy Resources'!$N$96</f>
        <v>10.44</v>
      </c>
      <c r="AK11" s="255"/>
      <c r="AZ11" s="129" t="s">
        <v>99</v>
      </c>
      <c r="BA11" s="130"/>
      <c r="BB11" s="130"/>
      <c r="BC11" s="130"/>
      <c r="BD11" s="141">
        <f>(AF11*AF13-G11*G19)</f>
        <v>38.724724999999992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0.31059999999999999</v>
      </c>
      <c r="H12" s="275"/>
      <c r="AB12" s="129" t="s">
        <v>32</v>
      </c>
      <c r="AC12" s="130"/>
      <c r="AD12" s="130"/>
      <c r="AE12" s="130"/>
      <c r="AF12" s="138">
        <f>+AD50/8760/AF11</f>
        <v>0.47864553706456692</v>
      </c>
      <c r="AG12" s="134"/>
      <c r="AH12" s="124" t="s">
        <v>101</v>
      </c>
      <c r="AI12" s="125"/>
      <c r="AJ12" s="124">
        <v>2004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2005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Resources'!$O$96</f>
        <v>3.0586666666666669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21</v>
      </c>
      <c r="H14" s="275"/>
      <c r="AB14" s="129" t="s">
        <v>104</v>
      </c>
      <c r="AC14" s="130"/>
      <c r="AD14" s="130"/>
      <c r="AE14" s="130"/>
      <c r="AF14" s="141">
        <f>'(2.1)_Proxy Resources'!$H$96</f>
        <v>7598.6666666666679</v>
      </c>
      <c r="AG14" s="134"/>
      <c r="AH14" s="124"/>
      <c r="AI14" s="125"/>
      <c r="AJ14" s="174"/>
      <c r="AK14" s="255"/>
      <c r="AZ14" s="129" t="s">
        <v>105</v>
      </c>
      <c r="BA14" s="130"/>
      <c r="BB14" s="130"/>
      <c r="BC14" s="130"/>
      <c r="BD14" s="175">
        <f>'(2.1)_Proxy Resources'!$J$97</f>
        <v>408</v>
      </c>
      <c r="BE14" s="139"/>
    </row>
    <row r="15" spans="1:57" ht="12">
      <c r="A15" s="143" t="s">
        <v>199</v>
      </c>
      <c r="B15" s="272"/>
      <c r="C15" s="273" t="s">
        <v>107</v>
      </c>
      <c r="D15" s="273"/>
      <c r="E15" s="273"/>
      <c r="F15" s="273"/>
      <c r="G15" s="314"/>
      <c r="H15" s="275"/>
      <c r="AB15" s="129" t="s">
        <v>200</v>
      </c>
      <c r="AC15" s="130"/>
      <c r="AD15" s="130"/>
      <c r="AE15" s="130"/>
      <c r="AF15" s="175">
        <f>'(2.1)_Proxy Resources'!$J$96</f>
        <v>672.6</v>
      </c>
      <c r="AG15" s="134"/>
      <c r="AH15" s="124" t="s">
        <v>145</v>
      </c>
      <c r="AI15" s="125"/>
      <c r="AJ15" s="174">
        <f>'(2.1)_Proxy Resources'!$P$96</f>
        <v>2.3626666666666671</v>
      </c>
      <c r="AK15" s="255"/>
      <c r="AZ15" s="129" t="s">
        <v>108</v>
      </c>
      <c r="BA15" s="130"/>
      <c r="BB15" s="130"/>
      <c r="BC15" s="130"/>
      <c r="BD15" s="144">
        <f>'(2.1)_Proxy Resources'!$K$97</f>
        <v>7.6700000000000004E-2</v>
      </c>
      <c r="BE15" s="139"/>
    </row>
    <row r="16" spans="1:57" ht="12">
      <c r="A16" s="143" t="s">
        <v>199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Resources'!$K$94</f>
        <v>7.9299999999999995E-2</v>
      </c>
      <c r="AG16" s="134"/>
      <c r="AH16" s="124" t="s">
        <v>110</v>
      </c>
      <c r="AI16" s="131"/>
      <c r="AJ16" s="145">
        <f>'(2.1)_Proxy Resources'!$D$96</f>
        <v>0.48000000000000004</v>
      </c>
      <c r="AK16" s="255"/>
      <c r="AZ16" s="129" t="s">
        <v>100</v>
      </c>
      <c r="BA16" s="131"/>
      <c r="BB16" s="174">
        <f>'(2.1)_Proxy Resources'!$N$97</f>
        <v>10.97</v>
      </c>
      <c r="BC16" s="3"/>
      <c r="BD16" s="3"/>
      <c r="BE16" s="137"/>
    </row>
    <row r="17" spans="1:60" ht="12">
      <c r="A17" s="143" t="s">
        <v>199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2004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'(2.2)_Forward_Price_Curve'!W3</f>
        <v>8.6999999999999994E-2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'(2.2)_Forward_Price_Curve'!G80</f>
        <v>4.6699999999999998E-2</v>
      </c>
      <c r="H19" s="282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2005</v>
      </c>
      <c r="D28" s="6"/>
      <c r="E28" s="292">
        <f>IF(AND(C28&gt;=2003,C28&lt;=2010),'(2.2)_Forward_Price_Curve'!$CI$46,IF(AND(C28&gt;=2011,C28&lt;=2020),'(2.2)_Forward_Price_Curve'!$CI$47,'(2.2)_Forward_Price_Curve'!$CI$48))</f>
        <v>2.0199999999999999E-2</v>
      </c>
      <c r="F28" s="6"/>
      <c r="G28" s="20">
        <v>175000</v>
      </c>
      <c r="H28" s="6"/>
      <c r="I28" s="316">
        <f>$G$15</f>
        <v>0</v>
      </c>
      <c r="J28" s="293"/>
      <c r="K28" s="293">
        <v>53.1</v>
      </c>
      <c r="L28" s="294"/>
      <c r="M28" s="293">
        <f>$G$17</f>
        <v>0</v>
      </c>
      <c r="N28" s="6"/>
      <c r="O28" s="295">
        <f>O29*1-E29</f>
        <v>4.9264537342386037</v>
      </c>
      <c r="P28" s="6"/>
      <c r="Q28" s="30"/>
      <c r="R28" s="6"/>
      <c r="S28" s="20">
        <f>(I28*$G$11*1000+(K28+M28+O28+Q28)*G28)/1000</f>
        <v>10154.629403491756</v>
      </c>
      <c r="T28" s="6"/>
      <c r="U28" s="20">
        <f t="shared" ref="U28:U42" si="0">AX28</f>
        <v>9338.6967463053898</v>
      </c>
      <c r="V28" s="6"/>
      <c r="W28" s="20">
        <f t="shared" ref="W28:W42" si="1">S28-U28</f>
        <v>815.93265718636576</v>
      </c>
      <c r="X28" s="6"/>
      <c r="Y28" s="296">
        <f>+W28*1000/G28</f>
        <v>4.6624723267792332</v>
      </c>
      <c r="Z28" s="255"/>
      <c r="AB28" s="154">
        <f>$C$28</f>
        <v>2005</v>
      </c>
      <c r="AC28" s="124"/>
      <c r="AD28" s="159">
        <f t="shared" ref="AD28:AD42" si="2">G28</f>
        <v>175000</v>
      </c>
      <c r="AE28" s="3"/>
      <c r="AF28" s="160">
        <f>$AF$15*$AF$16*(1+E28)</f>
        <v>54.414591035999997</v>
      </c>
      <c r="AG28" s="297"/>
      <c r="AH28" s="160">
        <f>$AJ$11*(1+E28)</f>
        <v>10.650888</v>
      </c>
      <c r="AI28" s="297"/>
      <c r="AJ28" s="160">
        <f>$AJ$13*(1+E28)</f>
        <v>3.1204517333333337</v>
      </c>
      <c r="AK28" s="298"/>
      <c r="AL28" s="161">
        <f>((AF28+AH28)*$AF$11*1000+AJ28*AD28)/1000</f>
        <v>3261.7088186739852</v>
      </c>
      <c r="AM28" s="3"/>
      <c r="AN28" s="162">
        <f>INDEX('(2.2)_Forward_Price_Curve'!$J:$J,MATCH($AB28,'(2.2)_Forward_Price_Curve'!$C:$C,0),1)</f>
        <v>5.5083917806249998</v>
      </c>
      <c r="AO28" s="310"/>
      <c r="AP28" s="162">
        <f>AN28*$AF$14/1000</f>
        <v>41.856433010375838</v>
      </c>
      <c r="AQ28" s="297"/>
      <c r="AR28" s="160">
        <f>$AJ$15*(1+E28)</f>
        <v>2.4103925333333338</v>
      </c>
      <c r="AS28" s="160"/>
      <c r="AT28" s="161">
        <f t="shared" ref="AT28:AT42" si="3">AL28-BF28</f>
        <v>1592.0022761562836</v>
      </c>
      <c r="AU28" s="298"/>
      <c r="AV28" s="161">
        <f t="shared" ref="AV28:AV42" si="4">(AP28+AR28)*AD28/1000</f>
        <v>7746.6944701491057</v>
      </c>
      <c r="AW28" s="299"/>
      <c r="AX28" s="163">
        <f>AT28+AV28</f>
        <v>9338.6967463053898</v>
      </c>
      <c r="AZ28" s="154">
        <f>$C$28</f>
        <v>2005</v>
      </c>
      <c r="BA28" s="124"/>
      <c r="BB28" s="160">
        <f>$BD$14*$BD$15*(1+E28)</f>
        <v>31.925730720000001</v>
      </c>
      <c r="BC28" s="3"/>
      <c r="BD28" s="160">
        <f>$BB$16*(1+E28)</f>
        <v>11.191594</v>
      </c>
      <c r="BE28" s="297"/>
      <c r="BF28" s="161">
        <f>(BB28+BD28)*$BD$11</f>
        <v>1669.7065425177016</v>
      </c>
      <c r="BG28" s="297"/>
      <c r="BH28" s="164"/>
    </row>
    <row r="29" spans="1:60" ht="12">
      <c r="B29" s="2"/>
      <c r="C29" s="6">
        <f>+IF(C28&gt;$G$13+$G$14,XX,C28+1)</f>
        <v>2006</v>
      </c>
      <c r="D29" s="6"/>
      <c r="E29" s="292">
        <f>IF(AND(C29&gt;=2003,C29&lt;=2010),'(2.2)_Forward_Price_Curve'!$CI$46,IF(AND(C29&gt;=2011,C29&lt;=2020),'(2.2)_Forward_Price_Curve'!$CI$47,'(2.2)_Forward_Price_Curve'!$CI$48))</f>
        <v>2.0199999999999999E-2</v>
      </c>
      <c r="F29" s="6"/>
      <c r="G29" s="20">
        <f>$G$28</f>
        <v>175000</v>
      </c>
      <c r="H29" s="6"/>
      <c r="I29" s="30">
        <f>I28*(1+$E29)</f>
        <v>0</v>
      </c>
      <c r="J29" s="6"/>
      <c r="K29" s="30">
        <v>53.1</v>
      </c>
      <c r="L29" s="6"/>
      <c r="M29" s="30">
        <f>M28*(1+$E29)</f>
        <v>0</v>
      </c>
      <c r="N29" s="6"/>
      <c r="O29" s="295">
        <f>'(2.2)_Forward_Price_Curve'!U18</f>
        <v>4.9466537342386037</v>
      </c>
      <c r="P29" s="6"/>
      <c r="Q29" s="30"/>
      <c r="R29" s="6"/>
      <c r="S29" s="20">
        <f t="shared" ref="S29:S48" si="5">(I29*$G$11*1000+(K29+M29+O29+Q29)*G29)/1000</f>
        <v>10158.164403491755</v>
      </c>
      <c r="T29" s="6"/>
      <c r="U29" s="20">
        <f t="shared" si="0"/>
        <v>8771.5634346465504</v>
      </c>
      <c r="V29" s="6"/>
      <c r="W29" s="20">
        <f t="shared" si="1"/>
        <v>1386.600968845205</v>
      </c>
      <c r="X29" s="6"/>
      <c r="Y29" s="296">
        <f t="shared" ref="Y29:Y42" si="6">+W29*1000/G29</f>
        <v>7.9234341076868855</v>
      </c>
      <c r="Z29" s="255"/>
      <c r="AB29" s="154">
        <f>+IF(AB28&gt;$G$13+$G$14,XX,AB28+1)</f>
        <v>2006</v>
      </c>
      <c r="AC29" s="124"/>
      <c r="AD29" s="159">
        <f t="shared" si="2"/>
        <v>175000</v>
      </c>
      <c r="AE29" s="3"/>
      <c r="AF29" s="162">
        <f>AF28*(1+$E29)</f>
        <v>55.513765774927194</v>
      </c>
      <c r="AG29" s="3"/>
      <c r="AH29" s="162">
        <f>AH28*(1+$E29)</f>
        <v>10.8660359376</v>
      </c>
      <c r="AI29" s="3"/>
      <c r="AJ29" s="162">
        <f>AJ28*(1+$E29)</f>
        <v>3.1834848583466671</v>
      </c>
      <c r="AK29" s="3"/>
      <c r="AL29" s="161">
        <f t="shared" ref="AL29:AL42" si="7">((AF29+AH29)*$AF$11*1000+AJ29*AD29)/1000</f>
        <v>3327.5953368111996</v>
      </c>
      <c r="AM29" s="3"/>
      <c r="AN29" s="162">
        <f>INDEX('(2.2)_Forward_Price_Curve'!$J:$J,MATCH($AB29,'(2.2)_Forward_Price_Curve'!$C:$C,0),1)</f>
        <v>5.0513097146666661</v>
      </c>
      <c r="AO29" s="3"/>
      <c r="AP29" s="162">
        <f t="shared" ref="AP29:AP42" si="8">AN29*$AF$14/1000</f>
        <v>38.38321875184711</v>
      </c>
      <c r="AQ29" s="3"/>
      <c r="AR29" s="162">
        <f>AR28*(1+$E29)</f>
        <v>2.4590824625066672</v>
      </c>
      <c r="AS29" s="162"/>
      <c r="AT29" s="161">
        <f t="shared" si="3"/>
        <v>1624.1607221346405</v>
      </c>
      <c r="AU29" s="3"/>
      <c r="AV29" s="161">
        <f t="shared" si="4"/>
        <v>7147.4027125119101</v>
      </c>
      <c r="AW29" s="299"/>
      <c r="AX29" s="163">
        <f t="shared" ref="AX29:AX42" si="9">AT29+AV29</f>
        <v>8771.5634346465504</v>
      </c>
      <c r="AZ29" s="154">
        <f>+IF(AZ28&gt;$G$13+$G$14,XX,AZ28+1)</f>
        <v>2006</v>
      </c>
      <c r="BA29" s="124"/>
      <c r="BB29" s="162">
        <f>BB28*(1+$E29)</f>
        <v>32.570630480543997</v>
      </c>
      <c r="BC29" s="3"/>
      <c r="BD29" s="162">
        <f>BD28*(1+$E29)</f>
        <v>11.417664198800001</v>
      </c>
      <c r="BE29" s="3"/>
      <c r="BF29" s="161">
        <f t="shared" ref="BF29:BF42" si="10">(BB29+BD29)*$BD$11</f>
        <v>1703.434614676559</v>
      </c>
      <c r="BG29" s="3"/>
      <c r="BH29" s="165"/>
    </row>
    <row r="30" spans="1:60" ht="12">
      <c r="B30" s="2"/>
      <c r="C30" s="6">
        <f>+IF(C29&gt;$G$13+$G$14,XX,C29+1)</f>
        <v>2007</v>
      </c>
      <c r="D30" s="6"/>
      <c r="E30" s="292">
        <f>IF(AND(C30&gt;=2003,C30&lt;=2010),'(2.2)_Forward_Price_Curve'!$CI$46,IF(AND(C30&gt;=2011,C30&lt;=2020),'(2.2)_Forward_Price_Curve'!$CI$47,'(2.2)_Forward_Price_Curve'!$CI$48))</f>
        <v>2.0199999999999999E-2</v>
      </c>
      <c r="F30" s="6"/>
      <c r="G30" s="20">
        <f t="shared" ref="G30:G48" si="11">$G$28</f>
        <v>175000</v>
      </c>
      <c r="H30" s="6"/>
      <c r="I30" s="30">
        <f t="shared" ref="I30:I48" si="12">I29*(1+$E30)</f>
        <v>0</v>
      </c>
      <c r="J30" s="6"/>
      <c r="K30" s="30">
        <v>53.58</v>
      </c>
      <c r="L30" s="6"/>
      <c r="M30" s="30">
        <f t="shared" ref="M30:M48" si="13">M29*(1+$E30)</f>
        <v>0</v>
      </c>
      <c r="N30" s="6"/>
      <c r="O30" s="295">
        <f>'(2.2)_Forward_Price_Curve'!U19</f>
        <v>5.0999999999999996</v>
      </c>
      <c r="P30" s="6"/>
      <c r="Q30" s="30"/>
      <c r="R30" s="6"/>
      <c r="S30" s="20">
        <f t="shared" si="5"/>
        <v>10269</v>
      </c>
      <c r="T30" s="6"/>
      <c r="U30" s="20">
        <f t="shared" si="0"/>
        <v>8222.9715908665858</v>
      </c>
      <c r="V30" s="6"/>
      <c r="W30" s="20">
        <f t="shared" si="1"/>
        <v>2046.0284091334142</v>
      </c>
      <c r="X30" s="6"/>
      <c r="Y30" s="296">
        <f t="shared" si="6"/>
        <v>11.691590909333796</v>
      </c>
      <c r="Z30" s="255"/>
      <c r="AB30" s="154">
        <f>+IF(AB29&gt;$G$13+$G$14,XX,AB29+1)</f>
        <v>2007</v>
      </c>
      <c r="AC30" s="124"/>
      <c r="AD30" s="159">
        <f t="shared" si="2"/>
        <v>175000</v>
      </c>
      <c r="AE30" s="3"/>
      <c r="AF30" s="162">
        <f t="shared" ref="AF30:AF48" si="14">AF29*(1+$E30)</f>
        <v>56.635143843580721</v>
      </c>
      <c r="AG30" s="3"/>
      <c r="AH30" s="162">
        <f t="shared" ref="AH30:AH48" si="15">AH29*(1+$E30)</f>
        <v>11.08552986353952</v>
      </c>
      <c r="AI30" s="3"/>
      <c r="AJ30" s="162">
        <f t="shared" ref="AJ30:AJ48" si="16">AJ29*(1+$E30)</f>
        <v>3.2477912524852699</v>
      </c>
      <c r="AK30" s="3"/>
      <c r="AL30" s="161">
        <f t="shared" si="7"/>
        <v>3394.8127626147857</v>
      </c>
      <c r="AM30" s="3"/>
      <c r="AN30" s="162">
        <f>INDEX('(2.2)_Forward_Price_Curve'!$J:$J,MATCH($AB30,'(2.2)_Forward_Price_Curve'!$C:$C,0),1)</f>
        <v>4.6075531055833343</v>
      </c>
      <c r="AO30" s="3"/>
      <c r="AP30" s="162">
        <f t="shared" si="8"/>
        <v>35.011260198292568</v>
      </c>
      <c r="AQ30" s="3"/>
      <c r="AR30" s="162">
        <f t="shared" ref="AR30:AR48" si="17">AR29*(1+$E30)</f>
        <v>2.5087559282493017</v>
      </c>
      <c r="AS30" s="162"/>
      <c r="AT30" s="161">
        <f t="shared" si="3"/>
        <v>1656.9687687217599</v>
      </c>
      <c r="AU30" s="3"/>
      <c r="AV30" s="161">
        <f t="shared" si="4"/>
        <v>6566.0028221448265</v>
      </c>
      <c r="AW30" s="299"/>
      <c r="AX30" s="163">
        <f t="shared" si="9"/>
        <v>8222.9715908665858</v>
      </c>
      <c r="AZ30" s="154">
        <f>+IF(AZ29&gt;$G$13+$G$14,XX,AZ29+1)</f>
        <v>2007</v>
      </c>
      <c r="BA30" s="124"/>
      <c r="BB30" s="162">
        <f t="shared" ref="BB30:BB48" si="18">BB29*(1+$E30)</f>
        <v>33.228557216250984</v>
      </c>
      <c r="BC30" s="3"/>
      <c r="BD30" s="162">
        <f t="shared" ref="BD30:BD48" si="19">BD29*(1+$E30)</f>
        <v>11.648301015615761</v>
      </c>
      <c r="BE30" s="3"/>
      <c r="BF30" s="161">
        <f t="shared" si="10"/>
        <v>1737.8439938930258</v>
      </c>
      <c r="BG30" s="3"/>
      <c r="BH30" s="165"/>
    </row>
    <row r="31" spans="1:60" ht="12">
      <c r="B31" s="2"/>
      <c r="C31" s="6">
        <f>+IF(C30&gt;$G$13+$G$14,XX,C30+1)</f>
        <v>2008</v>
      </c>
      <c r="D31" s="6"/>
      <c r="E31" s="292">
        <f>IF(AND(C31&gt;=2003,C31&lt;=2010),'(2.2)_Forward_Price_Curve'!$CI$46,IF(AND(C31&gt;=2011,C31&lt;=2020),'(2.2)_Forward_Price_Curve'!$CI$47,'(2.2)_Forward_Price_Curve'!$CI$48))</f>
        <v>2.0199999999999999E-2</v>
      </c>
      <c r="F31" s="6"/>
      <c r="G31" s="20">
        <f t="shared" si="11"/>
        <v>175000</v>
      </c>
      <c r="H31" s="6"/>
      <c r="I31" s="30">
        <f t="shared" si="12"/>
        <v>0</v>
      </c>
      <c r="J31" s="6"/>
      <c r="K31" s="30">
        <v>54.07</v>
      </c>
      <c r="L31" s="6"/>
      <c r="M31" s="30">
        <f t="shared" si="13"/>
        <v>0</v>
      </c>
      <c r="N31" s="6"/>
      <c r="O31" s="295">
        <f>'(2.2)_Forward_Price_Curve'!U20</f>
        <v>5.1866999999999992</v>
      </c>
      <c r="P31" s="6"/>
      <c r="Q31" s="30"/>
      <c r="R31" s="6"/>
      <c r="S31" s="20">
        <f t="shared" si="5"/>
        <v>10369.922500000001</v>
      </c>
      <c r="T31" s="6"/>
      <c r="U31" s="20">
        <f t="shared" si="0"/>
        <v>7827.2294652358114</v>
      </c>
      <c r="V31" s="6"/>
      <c r="W31" s="20">
        <f t="shared" si="1"/>
        <v>2542.6930347641892</v>
      </c>
      <c r="X31" s="6"/>
      <c r="Y31" s="296">
        <f t="shared" si="6"/>
        <v>14.529674484366796</v>
      </c>
      <c r="Z31" s="255"/>
      <c r="AB31" s="154">
        <f>+IF(AB30&gt;$G$13+$G$14,XX,AB30+1)</f>
        <v>2008</v>
      </c>
      <c r="AC31" s="124"/>
      <c r="AD31" s="159">
        <f t="shared" si="2"/>
        <v>175000</v>
      </c>
      <c r="AE31" s="3"/>
      <c r="AF31" s="162">
        <f t="shared" si="14"/>
        <v>57.779173749221052</v>
      </c>
      <c r="AG31" s="3"/>
      <c r="AH31" s="162">
        <f t="shared" si="15"/>
        <v>11.309457566783019</v>
      </c>
      <c r="AI31" s="3"/>
      <c r="AJ31" s="162">
        <f t="shared" si="16"/>
        <v>3.3133966357854723</v>
      </c>
      <c r="AK31" s="3"/>
      <c r="AL31" s="161">
        <f t="shared" si="7"/>
        <v>3463.387980419604</v>
      </c>
      <c r="AM31" s="3"/>
      <c r="AN31" s="162">
        <f>INDEX('(2.2)_Forward_Price_Curve'!$J:$J,MATCH($AB31,'(2.2)_Forward_Price_Curve'!$C:$C,0),1)</f>
        <v>4.278110837291667</v>
      </c>
      <c r="AO31" s="3"/>
      <c r="AP31" s="162">
        <f t="shared" si="8"/>
        <v>32.507938215633615</v>
      </c>
      <c r="AQ31" s="3"/>
      <c r="AR31" s="162">
        <f t="shared" si="17"/>
        <v>2.5594327979999374</v>
      </c>
      <c r="AS31" s="162"/>
      <c r="AT31" s="161">
        <f t="shared" si="3"/>
        <v>1690.4395378499391</v>
      </c>
      <c r="AU31" s="3"/>
      <c r="AV31" s="161">
        <f t="shared" si="4"/>
        <v>6136.789927385872</v>
      </c>
      <c r="AW31" s="299"/>
      <c r="AX31" s="163">
        <f t="shared" si="9"/>
        <v>7827.2294652358114</v>
      </c>
      <c r="AZ31" s="154">
        <f>+IF(AZ30&gt;$G$13+$G$14,XX,AZ30+1)</f>
        <v>2008</v>
      </c>
      <c r="BA31" s="124"/>
      <c r="BB31" s="162">
        <f t="shared" si="18"/>
        <v>33.899774072019255</v>
      </c>
      <c r="BC31" s="3"/>
      <c r="BD31" s="162">
        <f t="shared" si="19"/>
        <v>11.8835966961312</v>
      </c>
      <c r="BE31" s="3"/>
      <c r="BF31" s="161">
        <f t="shared" si="10"/>
        <v>1772.9484425696648</v>
      </c>
      <c r="BG31" s="3"/>
      <c r="BH31" s="165"/>
    </row>
    <row r="32" spans="1:60" ht="12">
      <c r="B32" s="2"/>
      <c r="C32" s="6">
        <f>+IF(C31&gt;$G$13+$G$14,XX,C31+1)</f>
        <v>2009</v>
      </c>
      <c r="D32" s="6"/>
      <c r="E32" s="292">
        <f>IF(AND(C32&gt;=2003,C32&lt;=2010),'(2.2)_Forward_Price_Curve'!$CI$46,IF(AND(C32&gt;=2011,C32&lt;=2020),'(2.2)_Forward_Price_Curve'!$CI$47,'(2.2)_Forward_Price_Curve'!$CI$48))</f>
        <v>2.0199999999999999E-2</v>
      </c>
      <c r="F32" s="6"/>
      <c r="G32" s="20">
        <f t="shared" si="11"/>
        <v>175000</v>
      </c>
      <c r="H32" s="6"/>
      <c r="I32" s="30">
        <f t="shared" si="12"/>
        <v>0</v>
      </c>
      <c r="J32" s="6"/>
      <c r="K32" s="30">
        <v>54.58</v>
      </c>
      <c r="L32" s="6"/>
      <c r="M32" s="30">
        <f t="shared" si="13"/>
        <v>0</v>
      </c>
      <c r="N32" s="6"/>
      <c r="O32" s="295">
        <f>'(2.2)_Forward_Price_Curve'!U21</f>
        <v>5.2748738999999985</v>
      </c>
      <c r="P32" s="6"/>
      <c r="Q32" s="30"/>
      <c r="R32" s="6"/>
      <c r="S32" s="20">
        <f t="shared" si="5"/>
        <v>10474.6029325</v>
      </c>
      <c r="T32" s="6"/>
      <c r="U32" s="20">
        <f t="shared" si="0"/>
        <v>7775.3952916191774</v>
      </c>
      <c r="V32" s="6"/>
      <c r="W32" s="20">
        <f t="shared" si="1"/>
        <v>2699.2076408808225</v>
      </c>
      <c r="X32" s="6"/>
      <c r="Y32" s="296">
        <f t="shared" si="6"/>
        <v>15.42404366217613</v>
      </c>
      <c r="Z32" s="255"/>
      <c r="AB32" s="154">
        <f>+IF(AB31&gt;$G$13+$G$14,XX,AB31+1)</f>
        <v>2009</v>
      </c>
      <c r="AC32" s="124"/>
      <c r="AD32" s="159">
        <f t="shared" si="2"/>
        <v>175000</v>
      </c>
      <c r="AE32" s="3"/>
      <c r="AF32" s="162">
        <f t="shared" si="14"/>
        <v>58.946313058955319</v>
      </c>
      <c r="AG32" s="3"/>
      <c r="AH32" s="162">
        <f t="shared" si="15"/>
        <v>11.537908609632035</v>
      </c>
      <c r="AI32" s="3"/>
      <c r="AJ32" s="162">
        <f t="shared" si="16"/>
        <v>3.3803272478283386</v>
      </c>
      <c r="AK32" s="3"/>
      <c r="AL32" s="161">
        <f t="shared" si="7"/>
        <v>3533.3484176240804</v>
      </c>
      <c r="AM32" s="3"/>
      <c r="AN32" s="162">
        <f>INDEX('(2.2)_Forward_Price_Curve'!$J:$J,MATCH($AB32,'(2.2)_Forward_Price_Curve'!$C:$C,0),1)</f>
        <v>4.2066481892916672</v>
      </c>
      <c r="AO32" s="3"/>
      <c r="AP32" s="162">
        <f t="shared" si="8"/>
        <v>31.964917374364287</v>
      </c>
      <c r="AQ32" s="3"/>
      <c r="AR32" s="162">
        <f t="shared" si="17"/>
        <v>2.6111333405195363</v>
      </c>
      <c r="AS32" s="162"/>
      <c r="AT32" s="161">
        <f t="shared" si="3"/>
        <v>1724.5864165145083</v>
      </c>
      <c r="AU32" s="3"/>
      <c r="AV32" s="161">
        <f t="shared" si="4"/>
        <v>6050.8088751046689</v>
      </c>
      <c r="AW32" s="299"/>
      <c r="AX32" s="163">
        <f t="shared" si="9"/>
        <v>7775.3952916191774</v>
      </c>
      <c r="AZ32" s="154">
        <f>+IF(AZ31&gt;$G$13+$G$14,XX,AZ31+1)</f>
        <v>2009</v>
      </c>
      <c r="BA32" s="124"/>
      <c r="BB32" s="162">
        <f t="shared" si="18"/>
        <v>34.584549508274044</v>
      </c>
      <c r="BC32" s="3"/>
      <c r="BD32" s="162">
        <f t="shared" si="19"/>
        <v>12.123645349393049</v>
      </c>
      <c r="BE32" s="3"/>
      <c r="BF32" s="161">
        <f t="shared" si="10"/>
        <v>1808.7620011095721</v>
      </c>
      <c r="BG32" s="3"/>
      <c r="BH32" s="165"/>
    </row>
    <row r="33" spans="2:60" ht="12">
      <c r="B33" s="2"/>
      <c r="C33" s="6">
        <f>+IF(C32&gt;$G$13+$G$14,XX,C32+1)</f>
        <v>2010</v>
      </c>
      <c r="D33" s="6"/>
      <c r="E33" s="292">
        <f>IF(AND(C33&gt;=2003,C33&lt;=2010),'(2.2)_Forward_Price_Curve'!$CI$46,IF(AND(C33&gt;=2011,C33&lt;=2020),'(2.2)_Forward_Price_Curve'!$CI$47,'(2.2)_Forward_Price_Curve'!$CI$48))</f>
        <v>2.0199999999999999E-2</v>
      </c>
      <c r="F33" s="6"/>
      <c r="G33" s="20">
        <f t="shared" si="11"/>
        <v>175000</v>
      </c>
      <c r="H33" s="6"/>
      <c r="I33" s="30">
        <f t="shared" si="12"/>
        <v>0</v>
      </c>
      <c r="J33" s="6"/>
      <c r="K33" s="30">
        <v>55.11</v>
      </c>
      <c r="L33" s="6"/>
      <c r="M33" s="30">
        <f t="shared" si="13"/>
        <v>0</v>
      </c>
      <c r="N33" s="6"/>
      <c r="O33" s="295">
        <f>'(2.2)_Forward_Price_Curve'!U22</f>
        <v>5.3750965040999983</v>
      </c>
      <c r="P33" s="6"/>
      <c r="Q33" s="30"/>
      <c r="R33" s="6"/>
      <c r="S33" s="20">
        <f t="shared" si="5"/>
        <v>10584.8918882175</v>
      </c>
      <c r="T33" s="6"/>
      <c r="U33" s="20">
        <f t="shared" si="0"/>
        <v>7991.1935110557333</v>
      </c>
      <c r="V33" s="6"/>
      <c r="W33" s="20">
        <f t="shared" si="1"/>
        <v>2593.698377161767</v>
      </c>
      <c r="X33" s="6"/>
      <c r="Y33" s="296">
        <f t="shared" si="6"/>
        <v>14.821133583781524</v>
      </c>
      <c r="Z33" s="255"/>
      <c r="AB33" s="154">
        <f>+IF(AB32&gt;$G$13+$G$14,XX,AB32+1)</f>
        <v>2010</v>
      </c>
      <c r="AC33" s="124"/>
      <c r="AD33" s="159">
        <f t="shared" si="2"/>
        <v>175000</v>
      </c>
      <c r="AE33" s="3"/>
      <c r="AF33" s="162">
        <f t="shared" si="14"/>
        <v>60.137028582746218</v>
      </c>
      <c r="AG33" s="3"/>
      <c r="AH33" s="162">
        <f t="shared" si="15"/>
        <v>11.770974363546602</v>
      </c>
      <c r="AI33" s="3"/>
      <c r="AJ33" s="162">
        <f t="shared" si="16"/>
        <v>3.4486098582344709</v>
      </c>
      <c r="AK33" s="3"/>
      <c r="AL33" s="161">
        <f t="shared" si="7"/>
        <v>3604.7220556600873</v>
      </c>
      <c r="AM33" s="3"/>
      <c r="AN33" s="162">
        <f>INDEX('(2.2)_Forward_Price_Curve'!$J:$J,MATCH($AB33,'(2.2)_Forward_Price_Curve'!$C:$C,0),1)</f>
        <v>4.3357920622499995</v>
      </c>
      <c r="AO33" s="3"/>
      <c r="AP33" s="162">
        <f t="shared" si="8"/>
        <v>32.946238617017002</v>
      </c>
      <c r="AQ33" s="3"/>
      <c r="AR33" s="162">
        <f t="shared" si="17"/>
        <v>2.6638782339980307</v>
      </c>
      <c r="AS33" s="162"/>
      <c r="AT33" s="161">
        <f t="shared" si="3"/>
        <v>1759.4230621281019</v>
      </c>
      <c r="AU33" s="3"/>
      <c r="AV33" s="161">
        <f t="shared" si="4"/>
        <v>6231.7704489276312</v>
      </c>
      <c r="AW33" s="299"/>
      <c r="AX33" s="163">
        <f t="shared" si="9"/>
        <v>7991.1935110557333</v>
      </c>
      <c r="AZ33" s="154">
        <f>+IF(AZ32&gt;$G$13+$G$14,XX,AZ32+1)</f>
        <v>2010</v>
      </c>
      <c r="BA33" s="124"/>
      <c r="BB33" s="162">
        <f t="shared" si="18"/>
        <v>35.283157408341182</v>
      </c>
      <c r="BC33" s="3"/>
      <c r="BD33" s="162">
        <f t="shared" si="19"/>
        <v>12.368542985450789</v>
      </c>
      <c r="BE33" s="3"/>
      <c r="BF33" s="161">
        <f t="shared" si="10"/>
        <v>1845.2989935319854</v>
      </c>
      <c r="BG33" s="3"/>
      <c r="BH33" s="165"/>
    </row>
    <row r="34" spans="2:60" ht="12">
      <c r="B34" s="2"/>
      <c r="C34" s="6">
        <f>+IF(C33&gt;$G$13+$G$14,XX,C33+1)</f>
        <v>2011</v>
      </c>
      <c r="D34" s="6"/>
      <c r="E34" s="292">
        <f>IF(AND(C34&gt;=2003,C34&lt;=2010),'(2.2)_Forward_Price_Curve'!$CI$46,IF(AND(C34&gt;=2011,C34&lt;=2020),'(2.2)_Forward_Price_Curve'!$CI$47,'(2.2)_Forward_Price_Curve'!$CI$48))</f>
        <v>2.9399999999999999E-2</v>
      </c>
      <c r="F34" s="6"/>
      <c r="G34" s="20">
        <f t="shared" si="11"/>
        <v>175000</v>
      </c>
      <c r="H34" s="6"/>
      <c r="I34" s="30">
        <f t="shared" si="12"/>
        <v>0</v>
      </c>
      <c r="J34" s="6"/>
      <c r="K34" s="30">
        <v>55.65</v>
      </c>
      <c r="L34" s="6"/>
      <c r="M34" s="30">
        <f t="shared" si="13"/>
        <v>0</v>
      </c>
      <c r="N34" s="6"/>
      <c r="O34" s="295">
        <f>'(2.2)_Forward_Price_Curve'!U23</f>
        <v>5.4772233376778976</v>
      </c>
      <c r="P34" s="6"/>
      <c r="Q34" s="30"/>
      <c r="R34" s="6"/>
      <c r="S34" s="20">
        <f t="shared" si="5"/>
        <v>10697.264084093633</v>
      </c>
      <c r="T34" s="6"/>
      <c r="U34" s="20">
        <f t="shared" si="0"/>
        <v>8136.467083507132</v>
      </c>
      <c r="V34" s="6"/>
      <c r="W34" s="20">
        <f t="shared" si="1"/>
        <v>2560.7970005865009</v>
      </c>
      <c r="X34" s="6"/>
      <c r="Y34" s="296">
        <f t="shared" si="6"/>
        <v>14.633125717637148</v>
      </c>
      <c r="Z34" s="255"/>
      <c r="AB34" s="154">
        <f>+IF(AB33&gt;$G$13+$G$14,XX,AB33+1)</f>
        <v>2011</v>
      </c>
      <c r="AC34" s="124"/>
      <c r="AD34" s="159">
        <f t="shared" si="2"/>
        <v>175000</v>
      </c>
      <c r="AE34" s="3"/>
      <c r="AF34" s="162">
        <f t="shared" si="14"/>
        <v>61.905057223078963</v>
      </c>
      <c r="AG34" s="3"/>
      <c r="AH34" s="162">
        <f t="shared" si="15"/>
        <v>12.117041009834873</v>
      </c>
      <c r="AI34" s="3"/>
      <c r="AJ34" s="162">
        <f t="shared" si="16"/>
        <v>3.5499989880665646</v>
      </c>
      <c r="AK34" s="3"/>
      <c r="AL34" s="161">
        <f t="shared" si="7"/>
        <v>3710.7008840964941</v>
      </c>
      <c r="AM34" s="3"/>
      <c r="AN34" s="162">
        <f>INDEX('(2.2)_Forward_Price_Curve'!$J:$J,MATCH($AB34,'(2.2)_Forward_Price_Curve'!$C:$C,0),1)</f>
        <v>4.395833333333333</v>
      </c>
      <c r="AO34" s="3"/>
      <c r="AP34" s="162">
        <f t="shared" si="8"/>
        <v>33.402472222222229</v>
      </c>
      <c r="AQ34" s="3"/>
      <c r="AR34" s="162">
        <f t="shared" si="17"/>
        <v>2.7421962540775731</v>
      </c>
      <c r="AS34" s="162"/>
      <c r="AT34" s="161">
        <f t="shared" si="3"/>
        <v>1811.1501001546678</v>
      </c>
      <c r="AU34" s="3"/>
      <c r="AV34" s="161">
        <f t="shared" si="4"/>
        <v>6325.3169833524644</v>
      </c>
      <c r="AW34" s="299"/>
      <c r="AX34" s="163">
        <f t="shared" si="9"/>
        <v>8136.467083507132</v>
      </c>
      <c r="AZ34" s="154">
        <f>+IF(AZ33&gt;$G$13+$G$14,XX,AZ33+1)</f>
        <v>2011</v>
      </c>
      <c r="BA34" s="124"/>
      <c r="BB34" s="162">
        <f t="shared" si="18"/>
        <v>36.320482236146418</v>
      </c>
      <c r="BC34" s="3"/>
      <c r="BD34" s="162">
        <f t="shared" si="19"/>
        <v>12.732178149223044</v>
      </c>
      <c r="BE34" s="3"/>
      <c r="BF34" s="161">
        <f t="shared" si="10"/>
        <v>1899.5507839418262</v>
      </c>
      <c r="BG34" s="3"/>
      <c r="BH34" s="165"/>
    </row>
    <row r="35" spans="2:60" ht="12">
      <c r="B35" s="2"/>
      <c r="C35" s="6">
        <f>+IF(C34&gt;$G$13+$G$14,XX,C34+1)</f>
        <v>2012</v>
      </c>
      <c r="D35" s="6"/>
      <c r="E35" s="292">
        <f>IF(AND(C35&gt;=2003,C35&lt;=2010),'(2.2)_Forward_Price_Curve'!$CI$46,IF(AND(C35&gt;=2011,C35&lt;=2020),'(2.2)_Forward_Price_Curve'!$CI$47,'(2.2)_Forward_Price_Curve'!$CI$48))</f>
        <v>2.9399999999999999E-2</v>
      </c>
      <c r="F35" s="6"/>
      <c r="G35" s="20">
        <f t="shared" si="11"/>
        <v>175000</v>
      </c>
      <c r="H35" s="6"/>
      <c r="I35" s="30">
        <f t="shared" si="12"/>
        <v>0</v>
      </c>
      <c r="J35" s="6"/>
      <c r="K35" s="30">
        <v>56.2</v>
      </c>
      <c r="L35" s="6"/>
      <c r="M35" s="30">
        <f t="shared" si="13"/>
        <v>0</v>
      </c>
      <c r="N35" s="6"/>
      <c r="O35" s="295">
        <f>'(2.2)_Forward_Price_Curve'!U24</f>
        <v>5.5867678044314557</v>
      </c>
      <c r="P35" s="6"/>
      <c r="Q35" s="30"/>
      <c r="R35" s="6"/>
      <c r="S35" s="20">
        <f t="shared" si="5"/>
        <v>10812.684365775505</v>
      </c>
      <c r="T35" s="6"/>
      <c r="U35" s="20">
        <f t="shared" si="0"/>
        <v>8254.7978850677973</v>
      </c>
      <c r="V35" s="6"/>
      <c r="W35" s="20">
        <f t="shared" si="1"/>
        <v>2557.886480707708</v>
      </c>
      <c r="X35" s="6"/>
      <c r="Y35" s="296">
        <f t="shared" si="6"/>
        <v>14.616494175472615</v>
      </c>
      <c r="Z35" s="255"/>
      <c r="AB35" s="154">
        <f>+IF(AB34&gt;$G$13+$G$14,XX,AB34+1)</f>
        <v>2012</v>
      </c>
      <c r="AC35" s="124"/>
      <c r="AD35" s="159">
        <f t="shared" si="2"/>
        <v>175000</v>
      </c>
      <c r="AE35" s="3"/>
      <c r="AF35" s="162">
        <f t="shared" si="14"/>
        <v>63.725065905437489</v>
      </c>
      <c r="AG35" s="3"/>
      <c r="AH35" s="162">
        <f t="shared" si="15"/>
        <v>12.473282015524019</v>
      </c>
      <c r="AI35" s="3"/>
      <c r="AJ35" s="162">
        <f t="shared" si="16"/>
        <v>3.6543689583157217</v>
      </c>
      <c r="AK35" s="3"/>
      <c r="AL35" s="161">
        <f t="shared" si="7"/>
        <v>3819.7954900889313</v>
      </c>
      <c r="AM35" s="3"/>
      <c r="AN35" s="162">
        <f>INDEX('(2.2)_Forward_Price_Curve'!$J:$J,MATCH($AB35,'(2.2)_Forward_Price_Curve'!$C:$C,0),1)</f>
        <v>4.4341666666666661</v>
      </c>
      <c r="AO35" s="3"/>
      <c r="AP35" s="162">
        <f t="shared" si="8"/>
        <v>33.693754444444444</v>
      </c>
      <c r="AQ35" s="3"/>
      <c r="AR35" s="162">
        <f t="shared" si="17"/>
        <v>2.8228168239474538</v>
      </c>
      <c r="AS35" s="162"/>
      <c r="AT35" s="161">
        <f t="shared" si="3"/>
        <v>1864.3979130992154</v>
      </c>
      <c r="AU35" s="3"/>
      <c r="AV35" s="161">
        <f t="shared" si="4"/>
        <v>6390.3999719685826</v>
      </c>
      <c r="AW35" s="299"/>
      <c r="AX35" s="163">
        <f t="shared" si="9"/>
        <v>8254.7978850677973</v>
      </c>
      <c r="AZ35" s="154">
        <f>+IF(AZ34&gt;$G$13+$G$14,XX,AZ34+1)</f>
        <v>2012</v>
      </c>
      <c r="BA35" s="124"/>
      <c r="BB35" s="162">
        <f t="shared" si="18"/>
        <v>37.388304413889124</v>
      </c>
      <c r="BC35" s="3"/>
      <c r="BD35" s="162">
        <f t="shared" si="19"/>
        <v>13.106504186810202</v>
      </c>
      <c r="BE35" s="3"/>
      <c r="BF35" s="161">
        <f t="shared" si="10"/>
        <v>1955.3975769897158</v>
      </c>
      <c r="BG35" s="3"/>
      <c r="BH35" s="165"/>
    </row>
    <row r="36" spans="2:60" ht="12">
      <c r="B36" s="2"/>
      <c r="C36" s="6">
        <f>+IF(C35&gt;$G$13+$G$14,XX,C35+1)</f>
        <v>2013</v>
      </c>
      <c r="D36" s="6"/>
      <c r="E36" s="292">
        <f>IF(AND(C36&gt;=2003,C36&lt;=2010),'(2.2)_Forward_Price_Curve'!$CI$46,IF(AND(C36&gt;=2011,C36&lt;=2020),'(2.2)_Forward_Price_Curve'!$CI$47,'(2.2)_Forward_Price_Curve'!$CI$48))</f>
        <v>2.9399999999999999E-2</v>
      </c>
      <c r="F36" s="6"/>
      <c r="G36" s="20">
        <f t="shared" si="11"/>
        <v>175000</v>
      </c>
      <c r="H36" s="6"/>
      <c r="I36" s="30">
        <f t="shared" si="12"/>
        <v>0</v>
      </c>
      <c r="J36" s="6"/>
      <c r="K36" s="30">
        <v>56.78</v>
      </c>
      <c r="L36" s="6"/>
      <c r="M36" s="30">
        <f t="shared" si="13"/>
        <v>0</v>
      </c>
      <c r="N36" s="6"/>
      <c r="O36" s="295">
        <f>'(2.2)_Forward_Price_Curve'!U25</f>
        <v>5.6929163927156532</v>
      </c>
      <c r="P36" s="6"/>
      <c r="Q36" s="30"/>
      <c r="R36" s="6"/>
      <c r="S36" s="20">
        <f t="shared" si="5"/>
        <v>10932.760368725239</v>
      </c>
      <c r="T36" s="6"/>
      <c r="U36" s="20">
        <f t="shared" si="0"/>
        <v>8495.342034605459</v>
      </c>
      <c r="V36" s="6"/>
      <c r="W36" s="20">
        <f t="shared" si="1"/>
        <v>2437.4183341197804</v>
      </c>
      <c r="X36" s="6"/>
      <c r="Y36" s="296">
        <f t="shared" si="6"/>
        <v>13.928104766398745</v>
      </c>
      <c r="Z36" s="255"/>
      <c r="AB36" s="154">
        <f>+IF(AB35&gt;$G$13+$G$14,XX,AB35+1)</f>
        <v>2013</v>
      </c>
      <c r="AC36" s="124"/>
      <c r="AD36" s="159">
        <f t="shared" si="2"/>
        <v>175000</v>
      </c>
      <c r="AE36" s="3"/>
      <c r="AF36" s="162">
        <f t="shared" si="14"/>
        <v>65.598582843057358</v>
      </c>
      <c r="AG36" s="3"/>
      <c r="AH36" s="162">
        <f t="shared" si="15"/>
        <v>12.839996506780427</v>
      </c>
      <c r="AI36" s="3"/>
      <c r="AJ36" s="162">
        <f t="shared" si="16"/>
        <v>3.7618074056902042</v>
      </c>
      <c r="AK36" s="3"/>
      <c r="AL36" s="161">
        <f t="shared" si="7"/>
        <v>3932.0974774975457</v>
      </c>
      <c r="AM36" s="3"/>
      <c r="AN36" s="162">
        <f>INDEX('(2.2)_Forward_Price_Curve'!$J:$J,MATCH($AB36,'(2.2)_Forward_Price_Curve'!$C:$C,0),1)</f>
        <v>4.5629166666666672</v>
      </c>
      <c r="AO36" s="3"/>
      <c r="AP36" s="162">
        <f t="shared" si="8"/>
        <v>34.672082777777788</v>
      </c>
      <c r="AQ36" s="3"/>
      <c r="AR36" s="162">
        <f t="shared" si="17"/>
        <v>2.9058076385715093</v>
      </c>
      <c r="AS36" s="162"/>
      <c r="AT36" s="161">
        <f t="shared" si="3"/>
        <v>1919.2112117443321</v>
      </c>
      <c r="AU36" s="3"/>
      <c r="AV36" s="161">
        <f t="shared" si="4"/>
        <v>6576.1308228611279</v>
      </c>
      <c r="AW36" s="299"/>
      <c r="AX36" s="163">
        <f t="shared" si="9"/>
        <v>8495.342034605459</v>
      </c>
      <c r="AZ36" s="154">
        <f>+IF(AZ35&gt;$G$13+$G$14,XX,AZ35+1)</f>
        <v>2013</v>
      </c>
      <c r="BA36" s="124"/>
      <c r="BB36" s="162">
        <f t="shared" si="18"/>
        <v>38.487520563657469</v>
      </c>
      <c r="BC36" s="3"/>
      <c r="BD36" s="162">
        <f t="shared" si="19"/>
        <v>13.491835409902423</v>
      </c>
      <c r="BE36" s="3"/>
      <c r="BF36" s="161">
        <f t="shared" si="10"/>
        <v>2012.8862657532136</v>
      </c>
      <c r="BG36" s="3"/>
      <c r="BH36" s="165"/>
    </row>
    <row r="37" spans="2:60" ht="12">
      <c r="B37" s="2"/>
      <c r="C37" s="6">
        <f>+IF(C36&gt;$G$13+$G$14,XX,C36+1)</f>
        <v>2014</v>
      </c>
      <c r="D37" s="6"/>
      <c r="E37" s="292">
        <f>IF(AND(C37&gt;=2003,C37&lt;=2010),'(2.2)_Forward_Price_Curve'!$CI$46,IF(AND(C37&gt;=2011,C37&lt;=2020),'(2.2)_Forward_Price_Curve'!$CI$47,'(2.2)_Forward_Price_Curve'!$CI$48))</f>
        <v>2.9399999999999999E-2</v>
      </c>
      <c r="F37" s="6"/>
      <c r="G37" s="20">
        <f t="shared" si="11"/>
        <v>175000</v>
      </c>
      <c r="H37" s="6"/>
      <c r="I37" s="30">
        <f t="shared" si="12"/>
        <v>0</v>
      </c>
      <c r="J37" s="6"/>
      <c r="K37" s="30">
        <v>57.37</v>
      </c>
      <c r="L37" s="6"/>
      <c r="M37" s="30">
        <f t="shared" si="13"/>
        <v>0</v>
      </c>
      <c r="N37" s="6"/>
      <c r="O37" s="295">
        <f>'(2.2)_Forward_Price_Curve'!U26</f>
        <v>5.7953888877845348</v>
      </c>
      <c r="P37" s="6"/>
      <c r="Q37" s="30"/>
      <c r="R37" s="6"/>
      <c r="S37" s="20">
        <f t="shared" si="5"/>
        <v>11053.943055362293</v>
      </c>
      <c r="T37" s="6"/>
      <c r="U37" s="20">
        <f t="shared" si="0"/>
        <v>8816.6025439756359</v>
      </c>
      <c r="V37" s="6"/>
      <c r="W37" s="20">
        <f t="shared" si="1"/>
        <v>2237.3405113866575</v>
      </c>
      <c r="X37" s="6"/>
      <c r="Y37" s="296">
        <f t="shared" si="6"/>
        <v>12.784802922209472</v>
      </c>
      <c r="Z37" s="255"/>
      <c r="AB37" s="154">
        <f>+IF(AB36&gt;$G$13+$G$14,XX,AB36+1)</f>
        <v>2014</v>
      </c>
      <c r="AC37" s="124"/>
      <c r="AD37" s="159">
        <f t="shared" si="2"/>
        <v>175000</v>
      </c>
      <c r="AE37" s="3"/>
      <c r="AF37" s="162">
        <f t="shared" si="14"/>
        <v>67.527181178643247</v>
      </c>
      <c r="AG37" s="3"/>
      <c r="AH37" s="162">
        <f t="shared" si="15"/>
        <v>13.217492404079772</v>
      </c>
      <c r="AI37" s="3"/>
      <c r="AJ37" s="162">
        <f t="shared" si="16"/>
        <v>3.8724045434174967</v>
      </c>
      <c r="AK37" s="3"/>
      <c r="AL37" s="161">
        <f t="shared" si="7"/>
        <v>4047.7011433359739</v>
      </c>
      <c r="AM37" s="3"/>
      <c r="AN37" s="162">
        <f>INDEX('(2.2)_Forward_Price_Curve'!$J:$J,MATCH($AB37,'(2.2)_Forward_Price_Curve'!$C:$C,0),1)</f>
        <v>4.7508333333333326</v>
      </c>
      <c r="AO37" s="3"/>
      <c r="AP37" s="162">
        <f t="shared" si="8"/>
        <v>36.099998888888891</v>
      </c>
      <c r="AQ37" s="3"/>
      <c r="AR37" s="162">
        <f t="shared" si="17"/>
        <v>2.9912383831455118</v>
      </c>
      <c r="AS37" s="162"/>
      <c r="AT37" s="161">
        <f t="shared" si="3"/>
        <v>1975.6360213696157</v>
      </c>
      <c r="AU37" s="3"/>
      <c r="AV37" s="161">
        <f t="shared" si="4"/>
        <v>6840.9665226060206</v>
      </c>
      <c r="AW37" s="299"/>
      <c r="AX37" s="163">
        <f t="shared" si="9"/>
        <v>8816.6025439756359</v>
      </c>
      <c r="AZ37" s="154">
        <f>+IF(AZ36&gt;$G$13+$G$14,XX,AZ36+1)</f>
        <v>2014</v>
      </c>
      <c r="BA37" s="124"/>
      <c r="BB37" s="162">
        <f t="shared" si="18"/>
        <v>39.619053668229</v>
      </c>
      <c r="BC37" s="3"/>
      <c r="BD37" s="162">
        <f t="shared" si="19"/>
        <v>13.888495370953555</v>
      </c>
      <c r="BE37" s="3"/>
      <c r="BF37" s="161">
        <f t="shared" si="10"/>
        <v>2072.0651219663582</v>
      </c>
      <c r="BG37" s="3"/>
      <c r="BH37" s="165"/>
    </row>
    <row r="38" spans="2:60" ht="12">
      <c r="B38" s="2"/>
      <c r="C38" s="6">
        <f>+IF(C37&gt;$G$13+$G$14,XX,C37+1)</f>
        <v>2015</v>
      </c>
      <c r="D38" s="6"/>
      <c r="E38" s="292">
        <f>IF(AND(C38&gt;=2003,C38&lt;=2010),'(2.2)_Forward_Price_Curve'!$CI$46,IF(AND(C38&gt;=2011,C38&lt;=2020),'(2.2)_Forward_Price_Curve'!$CI$47,'(2.2)_Forward_Price_Curve'!$CI$48))</f>
        <v>2.9399999999999999E-2</v>
      </c>
      <c r="F38" s="6"/>
      <c r="G38" s="20">
        <f t="shared" si="11"/>
        <v>175000</v>
      </c>
      <c r="H38" s="6"/>
      <c r="I38" s="30">
        <f t="shared" si="12"/>
        <v>0</v>
      </c>
      <c r="J38" s="6"/>
      <c r="K38" s="30">
        <v>57.98</v>
      </c>
      <c r="L38" s="6"/>
      <c r="M38" s="30">
        <f t="shared" si="13"/>
        <v>0</v>
      </c>
      <c r="N38" s="6"/>
      <c r="O38" s="295">
        <f>'(2.2)_Forward_Price_Curve'!U27</f>
        <v>5.8997058877646564</v>
      </c>
      <c r="P38" s="6"/>
      <c r="Q38" s="30"/>
      <c r="R38" s="6"/>
      <c r="S38" s="20">
        <f t="shared" si="5"/>
        <v>11178.948530358814</v>
      </c>
      <c r="T38" s="6"/>
      <c r="U38" s="20">
        <f t="shared" si="0"/>
        <v>9023.6069005962981</v>
      </c>
      <c r="V38" s="6"/>
      <c r="W38" s="20">
        <f t="shared" si="1"/>
        <v>2155.3416297625154</v>
      </c>
      <c r="X38" s="6"/>
      <c r="Y38" s="296">
        <f t="shared" si="6"/>
        <v>12.31623788435723</v>
      </c>
      <c r="Z38" s="255"/>
      <c r="AB38" s="154">
        <f>+IF(AB37&gt;$G$13+$G$14,XX,AB37+1)</f>
        <v>2015</v>
      </c>
      <c r="AC38" s="124"/>
      <c r="AD38" s="159">
        <f t="shared" si="2"/>
        <v>175000</v>
      </c>
      <c r="AE38" s="3"/>
      <c r="AF38" s="162">
        <f t="shared" si="14"/>
        <v>69.512480305295369</v>
      </c>
      <c r="AG38" s="3"/>
      <c r="AH38" s="162">
        <f t="shared" si="15"/>
        <v>13.606086680759718</v>
      </c>
      <c r="AI38" s="3"/>
      <c r="AJ38" s="162">
        <f t="shared" si="16"/>
        <v>3.9862532369939716</v>
      </c>
      <c r="AK38" s="3"/>
      <c r="AL38" s="161">
        <f t="shared" si="7"/>
        <v>4166.7035569500522</v>
      </c>
      <c r="AM38" s="3"/>
      <c r="AN38" s="162">
        <f>INDEX('(2.2)_Forward_Price_Curve'!$J:$J,MATCH($AB38,'(2.2)_Forward_Price_Curve'!$C:$C,0),1)</f>
        <v>4.8512499999999994</v>
      </c>
      <c r="AO38" s="3"/>
      <c r="AP38" s="162">
        <f t="shared" si="8"/>
        <v>36.863031666666672</v>
      </c>
      <c r="AQ38" s="3"/>
      <c r="AR38" s="162">
        <f t="shared" si="17"/>
        <v>3.07918079160999</v>
      </c>
      <c r="AS38" s="162"/>
      <c r="AT38" s="161">
        <f t="shared" si="3"/>
        <v>2033.7197203978826</v>
      </c>
      <c r="AU38" s="3"/>
      <c r="AV38" s="161">
        <f t="shared" si="4"/>
        <v>6989.887180198416</v>
      </c>
      <c r="AW38" s="299"/>
      <c r="AX38" s="163">
        <f t="shared" si="9"/>
        <v>9023.6069005962981</v>
      </c>
      <c r="AZ38" s="154">
        <f>+IF(AZ37&gt;$G$13+$G$14,XX,AZ37+1)</f>
        <v>2015</v>
      </c>
      <c r="BA38" s="124"/>
      <c r="BB38" s="162">
        <f t="shared" si="18"/>
        <v>40.783853846074933</v>
      </c>
      <c r="BC38" s="3"/>
      <c r="BD38" s="162">
        <f t="shared" si="19"/>
        <v>14.296817134859591</v>
      </c>
      <c r="BE38" s="3"/>
      <c r="BF38" s="161">
        <f t="shared" si="10"/>
        <v>2132.9838365521696</v>
      </c>
      <c r="BG38" s="3"/>
      <c r="BH38" s="165"/>
    </row>
    <row r="39" spans="2:60" ht="12">
      <c r="B39" s="2"/>
      <c r="C39" s="6">
        <f>+IF(C38&gt;$G$13+$G$14,XX,C38+1)</f>
        <v>2016</v>
      </c>
      <c r="D39" s="6"/>
      <c r="E39" s="292">
        <f>IF(AND(C39&gt;=2003,C39&lt;=2010),'(2.2)_Forward_Price_Curve'!$CI$46,IF(AND(C39&gt;=2011,C39&lt;=2020),'(2.2)_Forward_Price_Curve'!$CI$47,'(2.2)_Forward_Price_Curve'!$CI$48))</f>
        <v>2.9399999999999999E-2</v>
      </c>
      <c r="F39" s="6"/>
      <c r="G39" s="20">
        <f t="shared" si="11"/>
        <v>175000</v>
      </c>
      <c r="H39" s="6"/>
      <c r="I39" s="30">
        <f t="shared" si="12"/>
        <v>0</v>
      </c>
      <c r="J39" s="6"/>
      <c r="K39" s="30">
        <v>58.6</v>
      </c>
      <c r="L39" s="6"/>
      <c r="M39" s="30">
        <f t="shared" si="13"/>
        <v>0</v>
      </c>
      <c r="N39" s="6"/>
      <c r="O39" s="295">
        <f>'(2.2)_Forward_Price_Curve'!U28</f>
        <v>6.0059005937444203</v>
      </c>
      <c r="P39" s="6"/>
      <c r="Q39" s="30"/>
      <c r="R39" s="6"/>
      <c r="S39" s="20">
        <f t="shared" si="5"/>
        <v>11306.032603905274</v>
      </c>
      <c r="T39" s="6"/>
      <c r="U39" s="20">
        <f t="shared" si="0"/>
        <v>9301.4759927710529</v>
      </c>
      <c r="V39" s="6"/>
      <c r="W39" s="20">
        <f t="shared" si="1"/>
        <v>2004.5566111342214</v>
      </c>
      <c r="X39" s="6"/>
      <c r="Y39" s="296">
        <f t="shared" si="6"/>
        <v>11.454609206481265</v>
      </c>
      <c r="Z39" s="255"/>
      <c r="AB39" s="154">
        <f>+IF(AB38&gt;$G$13+$G$14,XX,AB38+1)</f>
        <v>2016</v>
      </c>
      <c r="AC39" s="124"/>
      <c r="AD39" s="159">
        <f t="shared" si="2"/>
        <v>175000</v>
      </c>
      <c r="AE39" s="3"/>
      <c r="AF39" s="162">
        <f t="shared" si="14"/>
        <v>71.556147226271065</v>
      </c>
      <c r="AG39" s="3"/>
      <c r="AH39" s="162">
        <f t="shared" si="15"/>
        <v>14.006105629174055</v>
      </c>
      <c r="AI39" s="3"/>
      <c r="AJ39" s="162">
        <f t="shared" si="16"/>
        <v>4.1034490821615943</v>
      </c>
      <c r="AK39" s="3"/>
      <c r="AL39" s="161">
        <f t="shared" si="7"/>
        <v>4289.204641524384</v>
      </c>
      <c r="AM39" s="3"/>
      <c r="AN39" s="162">
        <f>INDEX('(2.2)_Forward_Price_Curve'!$J:$J,MATCH($AB39,'(2.2)_Forward_Price_Curve'!$C:$C,0),1)</f>
        <v>5.003333333333333</v>
      </c>
      <c r="AO39" s="3"/>
      <c r="AP39" s="162">
        <f t="shared" si="8"/>
        <v>38.018662222222225</v>
      </c>
      <c r="AQ39" s="3"/>
      <c r="AR39" s="162">
        <f t="shared" si="17"/>
        <v>3.1697087068833238</v>
      </c>
      <c r="AS39" s="162"/>
      <c r="AT39" s="161">
        <f t="shared" si="3"/>
        <v>2093.5110801775809</v>
      </c>
      <c r="AU39" s="3"/>
      <c r="AV39" s="161">
        <f t="shared" si="4"/>
        <v>7207.964912593472</v>
      </c>
      <c r="AW39" s="299"/>
      <c r="AX39" s="163">
        <f t="shared" si="9"/>
        <v>9301.4759927710529</v>
      </c>
      <c r="AZ39" s="154">
        <f>+IF(AZ38&gt;$G$13+$G$14,XX,AZ38+1)</f>
        <v>2016</v>
      </c>
      <c r="BA39" s="124"/>
      <c r="BB39" s="162">
        <f t="shared" si="18"/>
        <v>41.982899149149539</v>
      </c>
      <c r="BC39" s="3"/>
      <c r="BD39" s="162">
        <f t="shared" si="19"/>
        <v>14.717143558624464</v>
      </c>
      <c r="BE39" s="3"/>
      <c r="BF39" s="161">
        <f t="shared" si="10"/>
        <v>2195.6935613468031</v>
      </c>
      <c r="BG39" s="3"/>
      <c r="BH39" s="165"/>
    </row>
    <row r="40" spans="2:60" ht="12">
      <c r="B40" s="2"/>
      <c r="C40" s="6">
        <f>+IF(C39&gt;$G$13+$G$14,XX,C39+1)</f>
        <v>2017</v>
      </c>
      <c r="D40" s="6"/>
      <c r="E40" s="292">
        <f>IF(AND(C40&gt;=2003,C40&lt;=2010),'(2.2)_Forward_Price_Curve'!$CI$46,IF(AND(C40&gt;=2011,C40&lt;=2020),'(2.2)_Forward_Price_Curve'!$CI$47,'(2.2)_Forward_Price_Curve'!$CI$48))</f>
        <v>2.9399999999999999E-2</v>
      </c>
      <c r="F40" s="6"/>
      <c r="G40" s="20">
        <f t="shared" si="11"/>
        <v>175000</v>
      </c>
      <c r="H40" s="6"/>
      <c r="I40" s="30">
        <f t="shared" si="12"/>
        <v>0</v>
      </c>
      <c r="J40" s="6"/>
      <c r="K40" s="30">
        <v>59.25</v>
      </c>
      <c r="L40" s="6"/>
      <c r="M40" s="30">
        <f t="shared" si="13"/>
        <v>0</v>
      </c>
      <c r="N40" s="6"/>
      <c r="O40" s="295">
        <f>'(2.2)_Forward_Price_Curve'!U29</f>
        <v>6.1140068044318197</v>
      </c>
      <c r="P40" s="6"/>
      <c r="Q40" s="30"/>
      <c r="R40" s="6"/>
      <c r="S40" s="20">
        <f t="shared" si="5"/>
        <v>11438.70119077557</v>
      </c>
      <c r="T40" s="6"/>
      <c r="U40" s="20">
        <f t="shared" si="0"/>
        <v>9590.4338281585206</v>
      </c>
      <c r="V40" s="6"/>
      <c r="W40" s="20">
        <f t="shared" si="1"/>
        <v>1848.267362617049</v>
      </c>
      <c r="X40" s="6"/>
      <c r="Y40" s="296">
        <f t="shared" si="6"/>
        <v>10.561527786383136</v>
      </c>
      <c r="Z40" s="255"/>
      <c r="AB40" s="154">
        <f>+IF(AB39&gt;$G$13+$G$14,XX,AB39+1)</f>
        <v>2017</v>
      </c>
      <c r="AC40" s="124"/>
      <c r="AD40" s="159">
        <f t="shared" si="2"/>
        <v>175000</v>
      </c>
      <c r="AE40" s="3"/>
      <c r="AF40" s="162">
        <f t="shared" si="14"/>
        <v>73.659897954723448</v>
      </c>
      <c r="AG40" s="3"/>
      <c r="AH40" s="162">
        <f t="shared" si="15"/>
        <v>14.417885134671774</v>
      </c>
      <c r="AI40" s="3"/>
      <c r="AJ40" s="162">
        <f t="shared" si="16"/>
        <v>4.2240904851771459</v>
      </c>
      <c r="AK40" s="3"/>
      <c r="AL40" s="161">
        <f t="shared" si="7"/>
        <v>4415.3072579852014</v>
      </c>
      <c r="AM40" s="3"/>
      <c r="AN40" s="162">
        <f>INDEX('(2.2)_Forward_Price_Curve'!$J:$J,MATCH($AB40,'(2.2)_Forward_Price_Curve'!$C:$C,0),1)</f>
        <v>5.1620833333333334</v>
      </c>
      <c r="AO40" s="3"/>
      <c r="AP40" s="162">
        <f t="shared" si="8"/>
        <v>39.224950555555559</v>
      </c>
      <c r="AQ40" s="3"/>
      <c r="AR40" s="162">
        <f t="shared" si="17"/>
        <v>3.2628981428656938</v>
      </c>
      <c r="AS40" s="162"/>
      <c r="AT40" s="161">
        <f t="shared" si="3"/>
        <v>2155.0603059348018</v>
      </c>
      <c r="AU40" s="3"/>
      <c r="AV40" s="161">
        <f t="shared" si="4"/>
        <v>7435.3735222237192</v>
      </c>
      <c r="AW40" s="299"/>
      <c r="AX40" s="163">
        <f t="shared" si="9"/>
        <v>9590.4338281585206</v>
      </c>
      <c r="AZ40" s="154">
        <f>+IF(AZ39&gt;$G$13+$G$14,XX,AZ39+1)</f>
        <v>2017</v>
      </c>
      <c r="BA40" s="124"/>
      <c r="BB40" s="162">
        <f t="shared" si="18"/>
        <v>43.217196384134539</v>
      </c>
      <c r="BC40" s="3"/>
      <c r="BD40" s="162">
        <f t="shared" si="19"/>
        <v>15.149827579248024</v>
      </c>
      <c r="BE40" s="3"/>
      <c r="BF40" s="161">
        <f t="shared" si="10"/>
        <v>2260.2469520503996</v>
      </c>
      <c r="BG40" s="3"/>
      <c r="BH40" s="165"/>
    </row>
    <row r="41" spans="2:60" ht="12">
      <c r="B41" s="2"/>
      <c r="C41" s="6">
        <f>+IF(C40&gt;$G$13+$G$14,XX,C40+1)</f>
        <v>2018</v>
      </c>
      <c r="D41" s="6"/>
      <c r="E41" s="292">
        <f>IF(AND(C41&gt;=2003,C41&lt;=2010),'(2.2)_Forward_Price_Curve'!$CI$46,IF(AND(C41&gt;=2011,C41&lt;=2020),'(2.2)_Forward_Price_Curve'!$CI$47,'(2.2)_Forward_Price_Curve'!$CI$48))</f>
        <v>2.9399999999999999E-2</v>
      </c>
      <c r="F41" s="6"/>
      <c r="G41" s="20">
        <f t="shared" si="11"/>
        <v>175000</v>
      </c>
      <c r="H41" s="6"/>
      <c r="I41" s="30">
        <f t="shared" si="12"/>
        <v>0</v>
      </c>
      <c r="J41" s="6"/>
      <c r="K41" s="30">
        <v>59.91</v>
      </c>
      <c r="L41" s="6"/>
      <c r="M41" s="30">
        <f t="shared" si="13"/>
        <v>0</v>
      </c>
      <c r="N41" s="6"/>
      <c r="O41" s="295">
        <f>'(2.2)_Forward_Price_Curve'!U30</f>
        <v>6.2240589269115922</v>
      </c>
      <c r="P41" s="6"/>
      <c r="Q41" s="30"/>
      <c r="R41" s="6"/>
      <c r="S41" s="20">
        <f t="shared" si="5"/>
        <v>11573.460312209529</v>
      </c>
      <c r="T41" s="6"/>
      <c r="U41" s="20">
        <f t="shared" si="0"/>
        <v>9898.3027537647158</v>
      </c>
      <c r="V41" s="6"/>
      <c r="W41" s="20">
        <f t="shared" si="1"/>
        <v>1675.1575584448128</v>
      </c>
      <c r="X41" s="6"/>
      <c r="Y41" s="296">
        <f t="shared" si="6"/>
        <v>9.5723289053989316</v>
      </c>
      <c r="Z41" s="255"/>
      <c r="AB41" s="154">
        <f>+IF(AB40&gt;$G$13+$G$14,XX,AB40+1)</f>
        <v>2018</v>
      </c>
      <c r="AC41" s="124"/>
      <c r="AD41" s="159">
        <f t="shared" si="2"/>
        <v>175000</v>
      </c>
      <c r="AE41" s="3"/>
      <c r="AF41" s="162">
        <f t="shared" si="14"/>
        <v>75.825498954592319</v>
      </c>
      <c r="AG41" s="3"/>
      <c r="AH41" s="162">
        <f t="shared" si="15"/>
        <v>14.841770957631125</v>
      </c>
      <c r="AI41" s="3"/>
      <c r="AJ41" s="162">
        <f t="shared" si="16"/>
        <v>4.3482787454413545</v>
      </c>
      <c r="AK41" s="3"/>
      <c r="AL41" s="161">
        <f t="shared" si="7"/>
        <v>4545.1172913699675</v>
      </c>
      <c r="AM41" s="3"/>
      <c r="AN41" s="162">
        <f>INDEX('(2.2)_Forward_Price_Curve'!$J:$J,MATCH($AB41,'(2.2)_Forward_Price_Curve'!$C:$C,0),1)</f>
        <v>5.333333333333333</v>
      </c>
      <c r="AO41" s="3"/>
      <c r="AP41" s="162">
        <f t="shared" si="8"/>
        <v>40.526222222222223</v>
      </c>
      <c r="AQ41" s="3"/>
      <c r="AR41" s="162">
        <f t="shared" si="17"/>
        <v>3.3588273482659456</v>
      </c>
      <c r="AS41" s="162"/>
      <c r="AT41" s="161">
        <f t="shared" si="3"/>
        <v>2218.4190789292861</v>
      </c>
      <c r="AU41" s="3"/>
      <c r="AV41" s="161">
        <f t="shared" si="4"/>
        <v>7679.8836748354297</v>
      </c>
      <c r="AW41" s="299"/>
      <c r="AX41" s="163">
        <f t="shared" si="9"/>
        <v>9898.3027537647158</v>
      </c>
      <c r="AZ41" s="154">
        <f>+IF(AZ40&gt;$G$13+$G$14,XX,AZ40+1)</f>
        <v>2018</v>
      </c>
      <c r="BA41" s="124"/>
      <c r="BB41" s="162">
        <f t="shared" si="18"/>
        <v>44.487781957828098</v>
      </c>
      <c r="BC41" s="3"/>
      <c r="BD41" s="162">
        <f t="shared" si="19"/>
        <v>15.595232510077917</v>
      </c>
      <c r="BE41" s="3"/>
      <c r="BF41" s="161">
        <f t="shared" si="10"/>
        <v>2326.6982124406813</v>
      </c>
      <c r="BG41" s="3"/>
      <c r="BH41" s="165"/>
    </row>
    <row r="42" spans="2:60" ht="12">
      <c r="B42" s="2"/>
      <c r="C42" s="6">
        <f>+IF(C41&gt;$G$13+$G$14,XX,C41+1)</f>
        <v>2019</v>
      </c>
      <c r="D42" s="6"/>
      <c r="E42" s="292">
        <f>IF(AND(C42&gt;=2003,C42&lt;=2010),'(2.2)_Forward_Price_Curve'!$CI$46,IF(AND(C42&gt;=2011,C42&lt;=2020),'(2.2)_Forward_Price_Curve'!$CI$47,'(2.2)_Forward_Price_Curve'!$CI$48))</f>
        <v>2.9399999999999999E-2</v>
      </c>
      <c r="F42" s="6"/>
      <c r="G42" s="20">
        <f t="shared" si="11"/>
        <v>175000</v>
      </c>
      <c r="H42" s="6"/>
      <c r="I42" s="30">
        <f t="shared" si="12"/>
        <v>0</v>
      </c>
      <c r="J42" s="6"/>
      <c r="K42" s="30">
        <v>60.6</v>
      </c>
      <c r="L42" s="6"/>
      <c r="M42" s="30">
        <f t="shared" si="13"/>
        <v>0</v>
      </c>
      <c r="N42" s="6"/>
      <c r="O42" s="295">
        <f>'(2.2)_Forward_Price_Curve'!U31</f>
        <v>6.3360919875960011</v>
      </c>
      <c r="P42" s="6"/>
      <c r="Q42" s="30"/>
      <c r="R42" s="6"/>
      <c r="S42" s="20">
        <f t="shared" si="5"/>
        <v>11713.816097829302</v>
      </c>
      <c r="T42" s="6"/>
      <c r="U42" s="20">
        <f t="shared" si="0"/>
        <v>10222.379719169841</v>
      </c>
      <c r="V42" s="6"/>
      <c r="W42" s="20">
        <f t="shared" si="1"/>
        <v>1491.4363786594604</v>
      </c>
      <c r="X42" s="6"/>
      <c r="Y42" s="296">
        <f t="shared" si="6"/>
        <v>8.5224935923397744</v>
      </c>
      <c r="Z42" s="255"/>
      <c r="AB42" s="154">
        <f>+IF(AB41&gt;$G$13+$G$14,XX,AB41+1)</f>
        <v>2019</v>
      </c>
      <c r="AC42" s="124"/>
      <c r="AD42" s="159">
        <f t="shared" si="2"/>
        <v>175000</v>
      </c>
      <c r="AE42" s="3"/>
      <c r="AF42" s="162">
        <f t="shared" si="14"/>
        <v>78.054768623857342</v>
      </c>
      <c r="AG42" s="3"/>
      <c r="AH42" s="162">
        <f t="shared" si="15"/>
        <v>15.278119023785482</v>
      </c>
      <c r="AI42" s="3"/>
      <c r="AJ42" s="162">
        <f t="shared" si="16"/>
        <v>4.4761181405573307</v>
      </c>
      <c r="AK42" s="3"/>
      <c r="AL42" s="161">
        <f t="shared" si="7"/>
        <v>4678.7437397362437</v>
      </c>
      <c r="AM42" s="3"/>
      <c r="AN42" s="162">
        <f>INDEX('(2.2)_Forward_Price_Curve'!$J:$J,MATCH($AB42,'(2.2)_Forward_Price_Curve'!$C:$C,0),1)</f>
        <v>5.5149999999999997</v>
      </c>
      <c r="AO42" s="3"/>
      <c r="AP42" s="162">
        <f t="shared" si="8"/>
        <v>41.906646666666667</v>
      </c>
      <c r="AQ42" s="3"/>
      <c r="AR42" s="162">
        <f t="shared" si="17"/>
        <v>3.4575768723049647</v>
      </c>
      <c r="AS42" s="162"/>
      <c r="AT42" s="161">
        <f t="shared" si="3"/>
        <v>2283.6405998498062</v>
      </c>
      <c r="AU42" s="3"/>
      <c r="AV42" s="161">
        <f t="shared" si="4"/>
        <v>7938.7391193200347</v>
      </c>
      <c r="AW42" s="299"/>
      <c r="AX42" s="163">
        <f t="shared" si="9"/>
        <v>10222.379719169841</v>
      </c>
      <c r="AZ42" s="154">
        <f>+IF(AZ41&gt;$G$13+$G$14,XX,AZ41+1)</f>
        <v>2019</v>
      </c>
      <c r="BA42" s="124"/>
      <c r="BB42" s="162">
        <f t="shared" si="18"/>
        <v>45.795722747388247</v>
      </c>
      <c r="BC42" s="3"/>
      <c r="BD42" s="162">
        <f t="shared" si="19"/>
        <v>16.053732345874209</v>
      </c>
      <c r="BE42" s="3"/>
      <c r="BF42" s="161">
        <f t="shared" si="10"/>
        <v>2395.1031398864375</v>
      </c>
      <c r="BG42" s="3"/>
      <c r="BH42" s="165"/>
    </row>
    <row r="43" spans="2:60" ht="12">
      <c r="B43" s="2"/>
      <c r="C43" s="6">
        <f>+IF(C42&gt;$G$13+$G$14,XX,C42+1)</f>
        <v>2020</v>
      </c>
      <c r="D43" s="6"/>
      <c r="E43" s="292">
        <f>IF(AND(C43&gt;=2003,C43&lt;=2010),'(2.2)_Forward_Price_Curve'!$CI$46,IF(AND(C43&gt;=2011,C43&lt;=2020),'(2.2)_Forward_Price_Curve'!$CI$47,'(2.2)_Forward_Price_Curve'!$CI$48))</f>
        <v>2.9399999999999999E-2</v>
      </c>
      <c r="F43" s="6"/>
      <c r="G43" s="20">
        <f t="shared" si="11"/>
        <v>175000</v>
      </c>
      <c r="H43" s="6"/>
      <c r="I43" s="30">
        <f t="shared" si="12"/>
        <v>0</v>
      </c>
      <c r="J43" s="6"/>
      <c r="K43" s="30">
        <v>61.3</v>
      </c>
      <c r="L43" s="6"/>
      <c r="M43" s="30">
        <f t="shared" si="13"/>
        <v>0</v>
      </c>
      <c r="N43" s="6"/>
      <c r="O43" s="295">
        <f>'(2.2)_Forward_Price_Curve'!U32</f>
        <v>6.4501416433727297</v>
      </c>
      <c r="P43" s="6"/>
      <c r="Q43" s="30"/>
      <c r="R43" s="6"/>
      <c r="S43" s="20">
        <f t="shared" si="5"/>
        <v>11856.274787590228</v>
      </c>
      <c r="T43" s="6"/>
      <c r="U43" s="20">
        <f t="shared" ref="U43:U46" si="20">AX43</f>
        <v>10556.639235813436</v>
      </c>
      <c r="V43" s="6"/>
      <c r="W43" s="20">
        <f t="shared" ref="W43:W46" si="21">S43-U43</f>
        <v>1299.6355517767915</v>
      </c>
      <c r="X43" s="6"/>
      <c r="Y43" s="296">
        <f t="shared" ref="Y43:Y46" si="22">+W43*1000/G43</f>
        <v>7.4264888672959515</v>
      </c>
      <c r="Z43" s="255"/>
      <c r="AB43" s="154">
        <f>+IF(AB42&gt;$G$13+$G$14,XX,AB42+1)</f>
        <v>2020</v>
      </c>
      <c r="AC43" s="124"/>
      <c r="AD43" s="159">
        <f t="shared" ref="AD43:AD46" si="23">G43</f>
        <v>175000</v>
      </c>
      <c r="AE43" s="3"/>
      <c r="AF43" s="162">
        <f t="shared" si="14"/>
        <v>80.349578821398751</v>
      </c>
      <c r="AG43" s="3"/>
      <c r="AH43" s="162">
        <f t="shared" si="15"/>
        <v>15.727295723084778</v>
      </c>
      <c r="AI43" s="3"/>
      <c r="AJ43" s="162">
        <f t="shared" si="16"/>
        <v>4.6077160138897169</v>
      </c>
      <c r="AK43" s="3"/>
      <c r="AL43" s="161">
        <f t="shared" ref="AL43:AL46" si="24">((AF43+AH43)*$AF$11*1000+AJ43*AD43)/1000</f>
        <v>4816.2988056844897</v>
      </c>
      <c r="AM43" s="3"/>
      <c r="AN43" s="162">
        <f>INDEX('(2.2)_Forward_Price_Curve'!$J:$J,MATCH($AB43,'(2.2)_Forward_Price_Curve'!$C:$C,0),1)</f>
        <v>5.7024999999999997</v>
      </c>
      <c r="AO43" s="3"/>
      <c r="AP43" s="162">
        <f t="shared" ref="AP43:AP46" si="25">AN43*$AF$14/1000</f>
        <v>43.331396666666677</v>
      </c>
      <c r="AQ43" s="3"/>
      <c r="AR43" s="162">
        <f t="shared" si="17"/>
        <v>3.5592296323507311</v>
      </c>
      <c r="AS43" s="162"/>
      <c r="AT43" s="161">
        <f t="shared" ref="AT43:AT46" si="26">AL43-BF43</f>
        <v>2350.7796334853911</v>
      </c>
      <c r="AU43" s="3"/>
      <c r="AV43" s="161">
        <f t="shared" ref="AV43:AV46" si="27">(AP43+AR43)*AD43/1000</f>
        <v>8205.8596023280461</v>
      </c>
      <c r="AW43" s="299"/>
      <c r="AX43" s="163">
        <f t="shared" ref="AX43:AX46" si="28">AT43+AV43</f>
        <v>10556.639235813436</v>
      </c>
      <c r="AZ43" s="154">
        <f>+IF(AZ42&gt;$G$13+$G$14,XX,AZ42+1)</f>
        <v>2020</v>
      </c>
      <c r="BA43" s="124"/>
      <c r="BB43" s="162">
        <f t="shared" si="18"/>
        <v>47.142116996161462</v>
      </c>
      <c r="BC43" s="3"/>
      <c r="BD43" s="162">
        <f t="shared" si="19"/>
        <v>16.525712076842911</v>
      </c>
      <c r="BE43" s="3"/>
      <c r="BF43" s="161">
        <f t="shared" ref="BF43:BF46" si="29">(BB43+BD43)*$BD$11</f>
        <v>2465.5191721990986</v>
      </c>
      <c r="BG43" s="3"/>
      <c r="BH43" s="165"/>
    </row>
    <row r="44" spans="2:60" ht="12">
      <c r="B44" s="2"/>
      <c r="C44" s="6">
        <f>+IF(C43&gt;$G$13+$G$14,XX,C43+1)</f>
        <v>2021</v>
      </c>
      <c r="D44" s="6"/>
      <c r="E44" s="292">
        <f>IF(AND(C44&gt;=2003,C44&lt;=2010),'(2.2)_Forward_Price_Curve'!$CI$46,IF(AND(C44&gt;=2011,C44&lt;=2020),'(2.2)_Forward_Price_Curve'!$CI$47,'(2.2)_Forward_Price_Curve'!$CI$48))</f>
        <v>3.4799999999999998E-2</v>
      </c>
      <c r="F44" s="6"/>
      <c r="G44" s="20">
        <f t="shared" si="11"/>
        <v>175000</v>
      </c>
      <c r="H44" s="6"/>
      <c r="I44" s="30">
        <f t="shared" si="12"/>
        <v>0</v>
      </c>
      <c r="J44" s="6"/>
      <c r="K44" s="30">
        <v>62.03</v>
      </c>
      <c r="L44" s="6"/>
      <c r="M44" s="30">
        <f t="shared" si="13"/>
        <v>0</v>
      </c>
      <c r="N44" s="6"/>
      <c r="O44" s="295">
        <f>'(2.2)_Forward_Price_Curve'!U33</f>
        <v>6.5662441929534392</v>
      </c>
      <c r="P44" s="6"/>
      <c r="Q44" s="30"/>
      <c r="R44" s="6"/>
      <c r="S44" s="20">
        <f t="shared" si="5"/>
        <v>12004.342733766853</v>
      </c>
      <c r="T44" s="6"/>
      <c r="U44" s="20">
        <f t="shared" si="20"/>
        <v>10916.656228297519</v>
      </c>
      <c r="V44" s="6"/>
      <c r="W44" s="20">
        <f t="shared" si="21"/>
        <v>1087.6865054693335</v>
      </c>
      <c r="X44" s="6"/>
      <c r="Y44" s="296">
        <f t="shared" si="22"/>
        <v>6.2153514598247623</v>
      </c>
      <c r="Z44" s="255"/>
      <c r="AB44" s="154">
        <f>+IF(AB43&gt;$G$13+$G$14,XX,AB43+1)</f>
        <v>2021</v>
      </c>
      <c r="AC44" s="124"/>
      <c r="AD44" s="159">
        <f t="shared" si="23"/>
        <v>175000</v>
      </c>
      <c r="AE44" s="3"/>
      <c r="AF44" s="162">
        <f t="shared" si="14"/>
        <v>83.145744164383416</v>
      </c>
      <c r="AG44" s="3"/>
      <c r="AH44" s="162">
        <f t="shared" si="15"/>
        <v>16.274605614248127</v>
      </c>
      <c r="AI44" s="3"/>
      <c r="AJ44" s="162">
        <f t="shared" si="16"/>
        <v>4.7680645311730787</v>
      </c>
      <c r="AK44" s="3"/>
      <c r="AL44" s="161">
        <f t="shared" si="24"/>
        <v>4983.9060041223102</v>
      </c>
      <c r="AM44" s="3"/>
      <c r="AN44" s="162">
        <f>INDEX('(2.2)_Forward_Price_Curve'!$J:$J,MATCH($AB44,'(2.2)_Forward_Price_Curve'!$C:$C,0),1)</f>
        <v>5.8954166666666659</v>
      </c>
      <c r="AO44" s="3"/>
      <c r="AP44" s="162">
        <f t="shared" si="25"/>
        <v>44.797306111111112</v>
      </c>
      <c r="AQ44" s="3"/>
      <c r="AR44" s="162">
        <f t="shared" si="17"/>
        <v>3.6830908235565363</v>
      </c>
      <c r="AS44" s="162"/>
      <c r="AT44" s="161">
        <f t="shared" si="26"/>
        <v>2432.5867647306827</v>
      </c>
      <c r="AU44" s="3"/>
      <c r="AV44" s="161">
        <f t="shared" si="27"/>
        <v>8484.0694635668369</v>
      </c>
      <c r="AW44" s="299"/>
      <c r="AX44" s="163">
        <f t="shared" si="28"/>
        <v>10916.656228297519</v>
      </c>
      <c r="AZ44" s="154">
        <f>+IF(AZ43&gt;$G$13+$G$14,XX,AZ43+1)</f>
        <v>2021</v>
      </c>
      <c r="BA44" s="124"/>
      <c r="BB44" s="162">
        <f t="shared" si="18"/>
        <v>48.782662667627875</v>
      </c>
      <c r="BC44" s="3"/>
      <c r="BD44" s="162">
        <f t="shared" si="19"/>
        <v>17.100806857117043</v>
      </c>
      <c r="BE44" s="3"/>
      <c r="BF44" s="161">
        <f t="shared" si="29"/>
        <v>2551.3192393916274</v>
      </c>
      <c r="BG44" s="3"/>
      <c r="BH44" s="165"/>
    </row>
    <row r="45" spans="2:60" ht="12">
      <c r="B45" s="2"/>
      <c r="C45" s="6">
        <f>+IF(C44&gt;$G$13+$G$14,XX,C44+1)</f>
        <v>2022</v>
      </c>
      <c r="D45" s="6"/>
      <c r="E45" s="292">
        <f>IF(AND(C45&gt;=2003,C45&lt;=2010),'(2.2)_Forward_Price_Curve'!$CI$46,IF(AND(C45&gt;=2011,C45&lt;=2020),'(2.2)_Forward_Price_Curve'!$CI$47,'(2.2)_Forward_Price_Curve'!$CI$48))</f>
        <v>3.4799999999999998E-2</v>
      </c>
      <c r="F45" s="6"/>
      <c r="G45" s="20">
        <f t="shared" si="11"/>
        <v>175000</v>
      </c>
      <c r="H45" s="6"/>
      <c r="I45" s="30">
        <f t="shared" si="12"/>
        <v>0</v>
      </c>
      <c r="J45" s="6"/>
      <c r="K45" s="30">
        <v>62.78</v>
      </c>
      <c r="L45" s="6"/>
      <c r="M45" s="30">
        <f t="shared" si="13"/>
        <v>0</v>
      </c>
      <c r="N45" s="6"/>
      <c r="O45" s="295">
        <f>'(2.2)_Forward_Price_Curve'!U34</f>
        <v>6.6910028326195539</v>
      </c>
      <c r="P45" s="6"/>
      <c r="Q45" s="30"/>
      <c r="R45" s="6"/>
      <c r="S45" s="20">
        <f t="shared" si="5"/>
        <v>12157.425495708423</v>
      </c>
      <c r="T45" s="6"/>
      <c r="U45" s="20">
        <f t="shared" si="20"/>
        <v>11300.220923603389</v>
      </c>
      <c r="V45" s="6"/>
      <c r="W45" s="20">
        <f t="shared" si="21"/>
        <v>857.20457210503446</v>
      </c>
      <c r="X45" s="6"/>
      <c r="Y45" s="296">
        <f t="shared" si="22"/>
        <v>4.8983118406001971</v>
      </c>
      <c r="Z45" s="255"/>
      <c r="AB45" s="154">
        <f>+IF(AB44&gt;$G$13+$G$14,XX,AB44+1)</f>
        <v>2022</v>
      </c>
      <c r="AC45" s="124"/>
      <c r="AD45" s="159">
        <f t="shared" si="23"/>
        <v>175000</v>
      </c>
      <c r="AE45" s="3"/>
      <c r="AF45" s="162">
        <f t="shared" si="14"/>
        <v>86.039216061303961</v>
      </c>
      <c r="AG45" s="3"/>
      <c r="AH45" s="162">
        <f t="shared" si="15"/>
        <v>16.840961889623962</v>
      </c>
      <c r="AI45" s="3"/>
      <c r="AJ45" s="162">
        <f t="shared" si="16"/>
        <v>4.9339931768579017</v>
      </c>
      <c r="AK45" s="3"/>
      <c r="AL45" s="161">
        <f t="shared" si="24"/>
        <v>5157.345933065767</v>
      </c>
      <c r="AM45" s="3"/>
      <c r="AN45" s="162">
        <f>INDEX('(2.2)_Forward_Price_Curve'!$J:$J,MATCH($AB45,'(2.2)_Forward_Price_Curve'!$C:$C,0),1)</f>
        <v>6.1033333333333344</v>
      </c>
      <c r="AO45" s="3"/>
      <c r="AP45" s="162">
        <f t="shared" si="25"/>
        <v>46.377195555555566</v>
      </c>
      <c r="AQ45" s="3"/>
      <c r="AR45" s="162">
        <f t="shared" si="17"/>
        <v>3.8112623842163034</v>
      </c>
      <c r="AS45" s="162"/>
      <c r="AT45" s="161">
        <f t="shared" si="26"/>
        <v>2517.2407841433114</v>
      </c>
      <c r="AU45" s="3"/>
      <c r="AV45" s="161">
        <f t="shared" si="27"/>
        <v>8782.9801394600781</v>
      </c>
      <c r="AW45" s="299"/>
      <c r="AX45" s="163">
        <f t="shared" si="28"/>
        <v>11300.220923603389</v>
      </c>
      <c r="AZ45" s="154">
        <f>+IF(AZ44&gt;$G$13+$G$14,XX,AZ44+1)</f>
        <v>2022</v>
      </c>
      <c r="BA45" s="124"/>
      <c r="BB45" s="162">
        <f t="shared" si="18"/>
        <v>50.480299328461321</v>
      </c>
      <c r="BC45" s="3"/>
      <c r="BD45" s="162">
        <f t="shared" si="19"/>
        <v>17.695914935744714</v>
      </c>
      <c r="BE45" s="3"/>
      <c r="BF45" s="161">
        <f t="shared" si="29"/>
        <v>2640.1051489224556</v>
      </c>
      <c r="BG45" s="3"/>
      <c r="BH45" s="165"/>
    </row>
    <row r="46" spans="2:60" ht="12">
      <c r="B46" s="2"/>
      <c r="C46" s="6">
        <f>+IF(C45&gt;$G$13+$G$14,XX,C45+1)</f>
        <v>2023</v>
      </c>
      <c r="D46" s="6"/>
      <c r="E46" s="292">
        <f>IF(AND(C46&gt;=2003,C46&lt;=2010),'(2.2)_Forward_Price_Curve'!$CI$46,IF(AND(C46&gt;=2011,C46&lt;=2020),'(2.2)_Forward_Price_Curve'!$CI$47,'(2.2)_Forward_Price_Curve'!$CI$48))</f>
        <v>3.4799999999999998E-2</v>
      </c>
      <c r="F46" s="6"/>
      <c r="G46" s="20">
        <f t="shared" si="11"/>
        <v>175000</v>
      </c>
      <c r="H46" s="6"/>
      <c r="I46" s="30">
        <f t="shared" si="12"/>
        <v>0</v>
      </c>
      <c r="J46" s="6"/>
      <c r="K46" s="30">
        <v>63.55</v>
      </c>
      <c r="L46" s="6"/>
      <c r="M46" s="30">
        <f t="shared" si="13"/>
        <v>0</v>
      </c>
      <c r="N46" s="6"/>
      <c r="O46" s="295">
        <f>'(2.2)_Forward_Price_Curve'!U35</f>
        <v>6.8181318864393248</v>
      </c>
      <c r="P46" s="6"/>
      <c r="Q46" s="30"/>
      <c r="R46" s="6"/>
      <c r="S46" s="20">
        <f t="shared" si="5"/>
        <v>12314.423080126884</v>
      </c>
      <c r="T46" s="6"/>
      <c r="U46" s="20">
        <f t="shared" si="20"/>
        <v>11692.498768589227</v>
      </c>
      <c r="V46" s="6"/>
      <c r="W46" s="20">
        <f t="shared" si="21"/>
        <v>621.92431153765756</v>
      </c>
      <c r="X46" s="6"/>
      <c r="Y46" s="296">
        <f t="shared" si="22"/>
        <v>3.5538532087866144</v>
      </c>
      <c r="Z46" s="255"/>
      <c r="AB46" s="154">
        <f>+IF(AB45&gt;$G$13+$G$14,XX,AB45+1)</f>
        <v>2023</v>
      </c>
      <c r="AC46" s="124"/>
      <c r="AD46" s="159">
        <f t="shared" si="23"/>
        <v>175000</v>
      </c>
      <c r="AE46" s="3"/>
      <c r="AF46" s="162">
        <f t="shared" si="14"/>
        <v>89.033380780237337</v>
      </c>
      <c r="AG46" s="3"/>
      <c r="AH46" s="162">
        <f t="shared" si="15"/>
        <v>17.427027363382877</v>
      </c>
      <c r="AI46" s="3"/>
      <c r="AJ46" s="162">
        <f t="shared" si="16"/>
        <v>5.1056961394125562</v>
      </c>
      <c r="AK46" s="3"/>
      <c r="AL46" s="161">
        <f t="shared" si="24"/>
        <v>5336.8215715364549</v>
      </c>
      <c r="AM46" s="3"/>
      <c r="AN46" s="162">
        <f>INDEX('(2.2)_Forward_Price_Curve'!$J:$J,MATCH($AB46,'(2.2)_Forward_Price_Curve'!$C:$C,0),1)</f>
        <v>6.3149999999999986</v>
      </c>
      <c r="AO46" s="3"/>
      <c r="AP46" s="162">
        <f t="shared" si="25"/>
        <v>47.985579999999992</v>
      </c>
      <c r="AQ46" s="3"/>
      <c r="AR46" s="162">
        <f t="shared" si="17"/>
        <v>3.9438943151870305</v>
      </c>
      <c r="AS46" s="162"/>
      <c r="AT46" s="161">
        <f t="shared" si="26"/>
        <v>2604.8407634314981</v>
      </c>
      <c r="AU46" s="3"/>
      <c r="AV46" s="161">
        <f t="shared" si="27"/>
        <v>9087.6580051577293</v>
      </c>
      <c r="AW46" s="299"/>
      <c r="AX46" s="163">
        <f t="shared" si="28"/>
        <v>11692.498768589227</v>
      </c>
      <c r="AZ46" s="154">
        <f>+IF(AZ45&gt;$G$13+$G$14,XX,AZ45+1)</f>
        <v>2023</v>
      </c>
      <c r="BA46" s="124"/>
      <c r="BB46" s="162">
        <f t="shared" si="18"/>
        <v>52.237013745091772</v>
      </c>
      <c r="BC46" s="3"/>
      <c r="BD46" s="162">
        <f t="shared" si="19"/>
        <v>18.311732775508627</v>
      </c>
      <c r="BE46" s="3"/>
      <c r="BF46" s="161">
        <f t="shared" si="29"/>
        <v>2731.9808081049569</v>
      </c>
      <c r="BG46" s="3"/>
      <c r="BH46" s="165"/>
    </row>
    <row r="47" spans="2:60" ht="12">
      <c r="B47" s="2"/>
      <c r="C47" s="6">
        <f>+IF(C46&gt;$G$13+$G$14,XX,C46+1)</f>
        <v>2024</v>
      </c>
      <c r="D47" s="6"/>
      <c r="E47" s="292">
        <f>IF(AND(C47&gt;=2003,C47&lt;=2010),'(2.2)_Forward_Price_Curve'!$CI$46,IF(AND(C47&gt;=2011,C47&lt;=2020),'(2.2)_Forward_Price_Curve'!$CI$47,'(2.2)_Forward_Price_Curve'!$CI$48))</f>
        <v>3.4799999999999998E-2</v>
      </c>
      <c r="F47" s="6"/>
      <c r="G47" s="20">
        <f t="shared" si="11"/>
        <v>175000</v>
      </c>
      <c r="H47" s="6"/>
      <c r="I47" s="30">
        <f t="shared" si="12"/>
        <v>0</v>
      </c>
      <c r="J47" s="6"/>
      <c r="K47" s="30">
        <v>64.34</v>
      </c>
      <c r="L47" s="6"/>
      <c r="M47" s="30">
        <f t="shared" si="13"/>
        <v>0</v>
      </c>
      <c r="N47" s="6"/>
      <c r="O47" s="295">
        <f>'(2.2)_Forward_Price_Curve'!U36</f>
        <v>6.9476763922816716</v>
      </c>
      <c r="P47" s="6"/>
      <c r="Q47" s="30"/>
      <c r="R47" s="6"/>
      <c r="S47" s="20">
        <f t="shared" si="5"/>
        <v>12475.343368649294</v>
      </c>
      <c r="T47" s="6"/>
      <c r="U47" s="20">
        <f t="shared" ref="U47:U48" si="30">AX47</f>
        <v>12102.484557425023</v>
      </c>
      <c r="V47" s="6"/>
      <c r="W47" s="20">
        <f t="shared" ref="W47:W48" si="31">S47-U47</f>
        <v>372.85881122427054</v>
      </c>
      <c r="X47" s="6"/>
      <c r="Y47" s="296">
        <f t="shared" ref="Y47:Y48" si="32">+W47*1000/G47</f>
        <v>2.1306217784244033</v>
      </c>
      <c r="Z47" s="255"/>
      <c r="AB47" s="154">
        <f>+IF(AB46&gt;$G$13+$G$14,XX,AB46+1)</f>
        <v>2024</v>
      </c>
      <c r="AC47" s="124"/>
      <c r="AD47" s="159">
        <f t="shared" ref="AD47:AD48" si="33">G47</f>
        <v>175000</v>
      </c>
      <c r="AE47" s="3"/>
      <c r="AF47" s="162">
        <f t="shared" si="14"/>
        <v>92.131742431389597</v>
      </c>
      <c r="AG47" s="3"/>
      <c r="AH47" s="162">
        <f t="shared" si="15"/>
        <v>18.033487915628598</v>
      </c>
      <c r="AI47" s="3"/>
      <c r="AJ47" s="162">
        <f t="shared" si="16"/>
        <v>5.2833743650641125</v>
      </c>
      <c r="AK47" s="3"/>
      <c r="AL47" s="161">
        <f t="shared" ref="AL47:AL48" si="34">((AF47+AH47)*$AF$11*1000+AJ47*AD47)/1000</f>
        <v>5522.5429622259235</v>
      </c>
      <c r="AM47" s="3"/>
      <c r="AN47" s="162">
        <f>INDEX('(2.2)_Forward_Price_Curve'!$J:$J,MATCH($AB47,'(2.2)_Forward_Price_Curve'!$C:$C,0),1)</f>
        <v>6.5370833333333325</v>
      </c>
      <c r="AO47" s="3"/>
      <c r="AP47" s="162">
        <f t="shared" ref="AP47:AP48" si="35">AN47*$AF$14/1000</f>
        <v>49.673117222222224</v>
      </c>
      <c r="AQ47" s="3"/>
      <c r="AR47" s="162">
        <f t="shared" si="17"/>
        <v>4.0811418373555393</v>
      </c>
      <c r="AS47" s="162"/>
      <c r="AT47" s="161">
        <f t="shared" ref="AT47:AT48" si="36">AL47-BF47</f>
        <v>2695.4892219989142</v>
      </c>
      <c r="AU47" s="3"/>
      <c r="AV47" s="161">
        <f t="shared" ref="AV47:AV48" si="37">(AP47+AR47)*AD47/1000</f>
        <v>9406.9953354261088</v>
      </c>
      <c r="AW47" s="299"/>
      <c r="AX47" s="163">
        <f t="shared" ref="AX47:AX48" si="38">AT47+AV47</f>
        <v>12102.484557425023</v>
      </c>
      <c r="AZ47" s="154">
        <f>+IF(AZ46&gt;$G$13+$G$14,XX,AZ46+1)</f>
        <v>2024</v>
      </c>
      <c r="BA47" s="124"/>
      <c r="BB47" s="162">
        <f t="shared" si="18"/>
        <v>54.054861823420964</v>
      </c>
      <c r="BC47" s="3"/>
      <c r="BD47" s="162">
        <f t="shared" si="19"/>
        <v>18.948981076096327</v>
      </c>
      <c r="BE47" s="3"/>
      <c r="BF47" s="161">
        <f t="shared" ref="BF47:BF48" si="39">(BB47+BD47)*$BD$11</f>
        <v>2827.0537402270093</v>
      </c>
      <c r="BG47" s="3"/>
      <c r="BH47" s="165"/>
    </row>
    <row r="48" spans="2:60" ht="12">
      <c r="B48" s="2"/>
      <c r="C48" s="6">
        <f>+IF(C47&gt;$G$13+$G$14,XX,C47+1)</f>
        <v>2025</v>
      </c>
      <c r="D48" s="6"/>
      <c r="E48" s="292">
        <f>IF(AND(C48&gt;=2003,C48&lt;=2010),'(2.2)_Forward_Price_Curve'!$CI$46,IF(AND(C48&gt;=2011,C48&lt;=2020),'(2.2)_Forward_Price_Curve'!$CI$47,'(2.2)_Forward_Price_Curve'!$CI$48))</f>
        <v>3.4799999999999998E-2</v>
      </c>
      <c r="F48" s="6"/>
      <c r="G48" s="20">
        <f t="shared" si="11"/>
        <v>175000</v>
      </c>
      <c r="H48" s="6"/>
      <c r="I48" s="30">
        <f t="shared" si="12"/>
        <v>0</v>
      </c>
      <c r="J48" s="6"/>
      <c r="K48" s="30">
        <v>65.16</v>
      </c>
      <c r="L48" s="6"/>
      <c r="M48" s="30">
        <f t="shared" si="13"/>
        <v>0</v>
      </c>
      <c r="N48" s="6"/>
      <c r="O48" s="295">
        <f>'(2.2)_Forward_Price_Curve'!U37</f>
        <v>7.0796822437350224</v>
      </c>
      <c r="P48" s="6"/>
      <c r="Q48" s="30"/>
      <c r="R48" s="6"/>
      <c r="S48" s="20">
        <f t="shared" si="5"/>
        <v>12641.944392653628</v>
      </c>
      <c r="T48" s="6"/>
      <c r="U48" s="20">
        <f t="shared" si="30"/>
        <v>12524.771791695635</v>
      </c>
      <c r="V48" s="6"/>
      <c r="W48" s="20">
        <f t="shared" si="31"/>
        <v>117.17260095799247</v>
      </c>
      <c r="X48" s="6"/>
      <c r="Y48" s="296">
        <f t="shared" si="32"/>
        <v>0.66955771975995704</v>
      </c>
      <c r="Z48" s="255"/>
      <c r="AB48" s="154">
        <f>+IF(AB47&gt;$G$13+$G$14,XX,AB47+1)</f>
        <v>2025</v>
      </c>
      <c r="AC48" s="124"/>
      <c r="AD48" s="159">
        <f t="shared" si="33"/>
        <v>175000</v>
      </c>
      <c r="AE48" s="3"/>
      <c r="AF48" s="162">
        <f t="shared" si="14"/>
        <v>95.337927068001946</v>
      </c>
      <c r="AG48" s="3"/>
      <c r="AH48" s="162">
        <f t="shared" si="15"/>
        <v>18.661053295092472</v>
      </c>
      <c r="AI48" s="3"/>
      <c r="AJ48" s="162">
        <f t="shared" si="16"/>
        <v>5.4672357929683431</v>
      </c>
      <c r="AK48" s="3"/>
      <c r="AL48" s="161">
        <f t="shared" si="34"/>
        <v>5714.7274573113855</v>
      </c>
      <c r="AM48" s="3"/>
      <c r="AN48" s="162">
        <f>INDEX('(2.2)_Forward_Price_Curve'!$J:$J,MATCH($AB48,'(2.2)_Forward_Price_Curve'!$C:$C,0),1)</f>
        <v>6.765416666666666</v>
      </c>
      <c r="AO48" s="3"/>
      <c r="AP48" s="162">
        <f t="shared" si="35"/>
        <v>51.408146111111115</v>
      </c>
      <c r="AQ48" s="3"/>
      <c r="AR48" s="162">
        <f t="shared" si="17"/>
        <v>4.2231655732955122</v>
      </c>
      <c r="AS48" s="162"/>
      <c r="AT48" s="161">
        <f t="shared" si="36"/>
        <v>2789.2922469244763</v>
      </c>
      <c r="AU48" s="3"/>
      <c r="AV48" s="161">
        <f t="shared" si="37"/>
        <v>9735.4795447711585</v>
      </c>
      <c r="AW48" s="299"/>
      <c r="AX48" s="163">
        <f t="shared" si="38"/>
        <v>12524.771791695635</v>
      </c>
      <c r="AZ48" s="154">
        <f>+IF(AZ47&gt;$G$13+$G$14,XX,AZ47+1)</f>
        <v>2025</v>
      </c>
      <c r="BA48" s="124"/>
      <c r="BB48" s="162">
        <f t="shared" si="18"/>
        <v>55.93597101487601</v>
      </c>
      <c r="BC48" s="3"/>
      <c r="BD48" s="162">
        <f t="shared" si="19"/>
        <v>19.608405617544477</v>
      </c>
      <c r="BE48" s="3"/>
      <c r="BF48" s="161">
        <f t="shared" si="39"/>
        <v>2925.4352103869091</v>
      </c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303" t="str">
        <f>G14&amp;"-year Nominal Levelized at "&amp;TEXT($G$18,"#.00%")</f>
        <v>21-year Nominal Levelized at 8.70%</v>
      </c>
      <c r="E50" s="178"/>
      <c r="F50" s="3"/>
      <c r="G50" s="317">
        <f>+-PMT($G$18,$G$14,NPV($G$18,G28:G48))</f>
        <v>175000.00000000003</v>
      </c>
      <c r="H50" s="6"/>
      <c r="I50" s="30">
        <f>+-PMT($G$18,$G$14,NPV($G$18,I28:I42))</f>
        <v>0</v>
      </c>
      <c r="J50" s="30"/>
      <c r="K50" s="30">
        <f>+-PMT($G$18,$G$14,NPV($G$18,K28:K48))</f>
        <v>56.574502069884204</v>
      </c>
      <c r="L50" s="6"/>
      <c r="M50" s="30">
        <f>+-PMT($G$18,$G$14,NPV($G$18,M28:M43))</f>
        <v>0</v>
      </c>
      <c r="N50" s="6"/>
      <c r="O50" s="30">
        <f>+-PMT($G$18,$G$14,NPV($G$18,O28:O48))</f>
        <v>5.6161583278024132</v>
      </c>
      <c r="P50" s="6"/>
      <c r="Q50" s="30">
        <f>+-PMT($G$18,$G$14,NPV($G$18,Q28:Q42))</f>
        <v>0</v>
      </c>
      <c r="R50" s="6"/>
      <c r="S50" s="317">
        <f>+-PMT($G$18,$G$14,NPV($G$18,S28:S48))</f>
        <v>10883.36556959516</v>
      </c>
      <c r="T50" s="6"/>
      <c r="U50" s="317">
        <f>+-PMT($G$18,$G$14,NPV($G$18,U28:U48))</f>
        <v>9016.4648363367778</v>
      </c>
      <c r="V50" s="3"/>
      <c r="W50" s="317">
        <f>+-PMT($G$18,$G$14,NPV($G$18,W28:W48))</f>
        <v>1866.9007332583785</v>
      </c>
      <c r="X50" s="3"/>
      <c r="Y50" s="317">
        <f>+-PMT($G$18,$G$14,NPV($G$18,Y28:Y48))</f>
        <v>10.668004190047878</v>
      </c>
      <c r="Z50" s="255"/>
      <c r="AB50" s="2"/>
      <c r="AC50" s="3"/>
      <c r="AD50" s="459">
        <f>+-PMT($G$18,$G$14,NPV($G$18,AD28:AD48))</f>
        <v>175000.00000000003</v>
      </c>
      <c r="AE50" s="3"/>
      <c r="AF50" s="162">
        <f>+-PMT($G$18,$G$14,NPV($G$18,AF28:AF48))</f>
        <v>65.555506160470017</v>
      </c>
      <c r="AG50" s="3"/>
      <c r="AH50" s="162">
        <f>+-PMT($G$18,$G$14,NPV($G$18,AH28:AH48))</f>
        <v>12.831564854296891</v>
      </c>
      <c r="AI50" s="3"/>
      <c r="AJ50" s="162">
        <f>+-PMT($G$18,$G$14,NPV($G$18,AJ28:AJ48))</f>
        <v>3.759337136112014</v>
      </c>
      <c r="AK50" s="3"/>
      <c r="AL50" s="161">
        <f>+-PMT($G$18,$G$14,NPV($G$18,AL28:AL48))</f>
        <v>3929.5153833790509</v>
      </c>
      <c r="AM50" s="3"/>
      <c r="AN50" s="162">
        <f>+-PMT($G$18,$G$14,NPV($G$18,AN28:AN48))</f>
        <v>4.9560059453711212</v>
      </c>
      <c r="AO50" s="3"/>
      <c r="AP50" s="162">
        <f>+-PMT($G$18,$G$14,NPV($G$18,AP28:AP48))</f>
        <v>37.659037176893371</v>
      </c>
      <c r="AQ50" s="3"/>
      <c r="AR50" s="162">
        <f>+-PMT($G$18,$G$14,NPV($G$18,AR28:AR48))</f>
        <v>2.9038994791588877</v>
      </c>
      <c r="AS50" s="162"/>
      <c r="AT50" s="161">
        <f>+-PMT($G$18,$G$14,NPV($G$18,AT28:AT48))</f>
        <v>1917.9509215276348</v>
      </c>
      <c r="AU50" s="3"/>
      <c r="AV50" s="161">
        <f>+-PMT($G$18,$G$14,NPV($G$18,AV28:AV48))</f>
        <v>7098.5139148091466</v>
      </c>
      <c r="AW50" s="299"/>
      <c r="AX50" s="163">
        <f>+-PMT($G$18,$G$14,NPV($G$18,AX28:AX48))</f>
        <v>9016.4648363367778</v>
      </c>
      <c r="AZ50" s="2"/>
      <c r="BA50" s="3"/>
      <c r="BB50" s="162">
        <f>+-PMT($G$18,$G$14,NPV($G$18,BB28:BB48))</f>
        <v>38.462246927626929</v>
      </c>
      <c r="BC50" s="3"/>
      <c r="BD50" s="162">
        <f>+-PMT($G$18,$G$14,NPV($G$18,BD28:BD48))</f>
        <v>13.482975713758325</v>
      </c>
      <c r="BE50" s="3"/>
      <c r="BF50" s="161">
        <f>+-PMT($G$18,$G$14,NPV($G$18,BF28:BF48))</f>
        <v>2011.564461851417</v>
      </c>
      <c r="BG50" s="3"/>
      <c r="BH50" s="165"/>
    </row>
    <row r="51" spans="2:60">
      <c r="B51" s="2"/>
      <c r="C51" s="3"/>
      <c r="D51" s="3"/>
      <c r="E51" s="17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04"/>
      <c r="X51" s="3"/>
      <c r="Y51" s="305"/>
      <c r="Z51" s="255"/>
      <c r="AB51" s="2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299"/>
      <c r="AU51" s="3"/>
      <c r="AV51" s="3"/>
      <c r="AW51" s="3"/>
      <c r="AX51" s="255"/>
      <c r="AZ51" s="2"/>
      <c r="BA51" s="3"/>
      <c r="BB51" s="3"/>
      <c r="BC51" s="3"/>
      <c r="BD51" s="3"/>
      <c r="BE51" s="3"/>
      <c r="BF51" s="3"/>
      <c r="BG51" s="3"/>
      <c r="BH51" s="255"/>
    </row>
    <row r="52" spans="2:60">
      <c r="B52" s="258"/>
      <c r="C52" s="306"/>
      <c r="D52" s="306"/>
      <c r="E52" s="307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259"/>
      <c r="AB52" s="258"/>
      <c r="AC52" s="306"/>
      <c r="AD52" s="306"/>
      <c r="AE52" s="306"/>
      <c r="AF52" s="306"/>
      <c r="AG52" s="306"/>
      <c r="AH52" s="306"/>
      <c r="AI52" s="306"/>
      <c r="AJ52" s="306"/>
      <c r="AK52" s="306"/>
      <c r="AL52" s="306"/>
      <c r="AM52" s="306"/>
      <c r="AN52" s="306"/>
      <c r="AO52" s="306"/>
      <c r="AP52" s="306"/>
      <c r="AQ52" s="306"/>
      <c r="AR52" s="306"/>
      <c r="AS52" s="306"/>
      <c r="AT52" s="306"/>
      <c r="AU52" s="306"/>
      <c r="AV52" s="306"/>
      <c r="AW52" s="306"/>
      <c r="AX52" s="259"/>
      <c r="AZ52" s="258"/>
      <c r="BA52" s="306"/>
      <c r="BB52" s="306"/>
      <c r="BC52" s="306"/>
      <c r="BD52" s="306"/>
      <c r="BE52" s="306"/>
      <c r="BF52" s="306"/>
      <c r="BG52" s="306"/>
      <c r="BH52" s="259"/>
    </row>
    <row r="53" spans="2:60">
      <c r="E53" s="308"/>
    </row>
    <row r="54" spans="2:60">
      <c r="E54" s="308"/>
      <c r="G54" s="309"/>
      <c r="I54" s="309"/>
      <c r="K54" s="309"/>
      <c r="O54" s="309"/>
      <c r="Q54" s="309"/>
      <c r="S54" s="309"/>
      <c r="U54" s="309"/>
      <c r="W54" s="309"/>
    </row>
    <row r="55" spans="2:60">
      <c r="E55" s="308"/>
    </row>
    <row r="56" spans="2:60">
      <c r="E56" s="308"/>
    </row>
    <row r="57" spans="2:60">
      <c r="E57" s="308"/>
    </row>
    <row r="58" spans="2:60">
      <c r="E58" s="308"/>
    </row>
    <row r="59" spans="2:60">
      <c r="E59" s="308"/>
    </row>
    <row r="60" spans="2:60">
      <c r="E60" s="308"/>
    </row>
    <row r="61" spans="2:60">
      <c r="E61" s="308"/>
    </row>
    <row r="62" spans="2:60">
      <c r="E62" s="308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</sheetData>
  <pageMargins left="0.25" right="0.25" top="0.25" bottom="0.75" header="0.3" footer="0.3"/>
  <pageSetup paperSize="5" scale="4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K686"/>
  <sheetViews>
    <sheetView topLeftCell="R10" zoomScale="85" zoomScaleNormal="85" workbookViewId="0">
      <selection activeCell="Y30" sqref="Y30:AA30"/>
    </sheetView>
  </sheetViews>
  <sheetFormatPr defaultRowHeight="11.25"/>
  <cols>
    <col min="1" max="1" width="2.83203125" style="3" customWidth="1"/>
    <col min="2" max="2" width="3" style="3" customWidth="1"/>
    <col min="3" max="8" width="15.1640625" style="3" customWidth="1"/>
    <col min="9" max="11" width="16" style="3" customWidth="1"/>
    <col min="12" max="13" width="10.1640625" style="3" customWidth="1"/>
    <col min="14" max="14" width="2.6640625" style="632" customWidth="1"/>
    <col min="15" max="16" width="14.6640625" style="3" customWidth="1"/>
    <col min="17" max="17" width="17.6640625" style="3" customWidth="1"/>
    <col min="18" max="19" width="15.1640625" style="3" customWidth="1"/>
    <col min="20" max="20" width="2.5" style="632" customWidth="1"/>
    <col min="21" max="21" width="13.33203125" style="3" customWidth="1"/>
    <col min="22" max="24" width="15.33203125" style="3" customWidth="1"/>
    <col min="25" max="27" width="13.33203125" style="3" customWidth="1"/>
    <col min="28" max="28" width="2.6640625" style="3" customWidth="1"/>
    <col min="29" max="29" width="9.6640625" style="3" customWidth="1"/>
    <col min="30" max="30" width="3.1640625" style="632" customWidth="1"/>
    <col min="31" max="32" width="11.5" style="3" customWidth="1"/>
    <col min="33" max="34" width="13.6640625" style="3" customWidth="1"/>
    <col min="35" max="35" width="3.1640625" style="632" customWidth="1"/>
    <col min="36" max="37" width="15.1640625" style="3" customWidth="1"/>
    <col min="38" max="38" width="11.6640625" style="3" customWidth="1"/>
    <col min="39" max="39" width="12.1640625" style="3" customWidth="1"/>
    <col min="40" max="42" width="15.1640625" style="3" customWidth="1"/>
    <col min="43" max="43" width="8.83203125" style="3" customWidth="1"/>
    <col min="44" max="44" width="9.83203125" style="3" customWidth="1"/>
    <col min="45" max="45" width="1" style="3" customWidth="1"/>
    <col min="46" max="46" width="1.1640625" style="3" customWidth="1"/>
    <col min="47" max="47" width="2.33203125" style="3" customWidth="1"/>
    <col min="48" max="48" width="9.33203125" style="3"/>
    <col min="49" max="49" width="11.6640625" style="3" customWidth="1"/>
    <col min="50" max="50" width="16" style="3" customWidth="1"/>
    <col min="51" max="51" width="10.6640625" style="3" bestFit="1" customWidth="1"/>
    <col min="52" max="52" width="7.33203125" style="3" customWidth="1"/>
    <col min="53" max="53" width="9.33203125" style="3"/>
    <col min="54" max="54" width="15.1640625" style="3" customWidth="1"/>
    <col min="55" max="56" width="9.33203125" style="3"/>
    <col min="57" max="57" width="10.6640625" style="3" customWidth="1"/>
    <col min="58" max="58" width="4" style="3" customWidth="1"/>
    <col min="59" max="59" width="6.33203125" style="3" customWidth="1"/>
    <col min="60" max="61" width="11.1640625" style="3" customWidth="1"/>
    <col min="62" max="63" width="9.33203125" style="3"/>
    <col min="64" max="64" width="6.33203125" style="3" customWidth="1"/>
    <col min="65" max="66" width="11.1640625" style="412" customWidth="1"/>
    <col min="67" max="68" width="9.33203125" style="412"/>
    <col min="69" max="69" width="6.33203125" style="3" customWidth="1"/>
    <col min="70" max="71" width="11.1640625" style="412" customWidth="1"/>
    <col min="72" max="73" width="9.33203125" style="412"/>
    <col min="74" max="85" width="9.33203125" style="3"/>
    <col min="86" max="86" width="22" style="3" customWidth="1"/>
    <col min="87" max="16384" width="9.33203125" style="3"/>
  </cols>
  <sheetData>
    <row r="1" spans="1:89" s="273" customFormat="1" ht="20.25">
      <c r="A1" s="273" t="s">
        <v>0</v>
      </c>
      <c r="N1" s="631"/>
      <c r="T1" s="631"/>
      <c r="V1" s="784" t="s">
        <v>356</v>
      </c>
      <c r="W1" s="784"/>
      <c r="X1" s="784"/>
      <c r="Y1" s="784"/>
      <c r="Z1" s="784"/>
      <c r="AD1" s="631"/>
      <c r="AI1" s="631"/>
      <c r="AJ1" s="636" t="s">
        <v>310</v>
      </c>
      <c r="BL1" s="412"/>
      <c r="BM1" s="424"/>
      <c r="BN1" s="424"/>
      <c r="BO1" s="424"/>
      <c r="BP1" s="424"/>
      <c r="BQ1" s="469"/>
      <c r="BR1" s="470"/>
      <c r="BS1" s="470"/>
      <c r="BT1" s="470"/>
      <c r="BU1" s="470"/>
      <c r="BW1" s="273" t="s">
        <v>60</v>
      </c>
    </row>
    <row r="2" spans="1:89" s="273" customFormat="1" ht="20.25">
      <c r="N2" s="631"/>
      <c r="T2" s="631"/>
      <c r="V2" s="274">
        <v>1999</v>
      </c>
      <c r="W2" s="630">
        <v>7.8200000000000006E-2</v>
      </c>
      <c r="X2" s="742"/>
      <c r="Y2" s="742"/>
      <c r="Z2" s="742"/>
      <c r="AD2" s="631"/>
      <c r="AI2" s="631"/>
      <c r="AJ2" s="636"/>
      <c r="BL2" s="412"/>
      <c r="BM2" s="424"/>
      <c r="BN2" s="424"/>
      <c r="BO2" s="424"/>
      <c r="BP2" s="424"/>
      <c r="BQ2" s="469"/>
      <c r="BR2" s="470"/>
      <c r="BS2" s="470"/>
      <c r="BT2" s="470"/>
      <c r="BU2" s="470"/>
    </row>
    <row r="3" spans="1:89" s="273" customFormat="1" ht="20.25">
      <c r="N3" s="631"/>
      <c r="T3" s="631"/>
      <c r="V3" s="274">
        <v>2003</v>
      </c>
      <c r="W3" s="630">
        <v>8.6999999999999994E-2</v>
      </c>
      <c r="X3" s="732"/>
      <c r="Y3" s="732"/>
      <c r="Z3" s="732"/>
      <c r="AD3" s="631"/>
      <c r="AI3" s="631"/>
      <c r="AJ3" s="636"/>
      <c r="BL3" s="412"/>
      <c r="BM3" s="424"/>
      <c r="BN3" s="424"/>
      <c r="BO3" s="424"/>
      <c r="BP3" s="424"/>
      <c r="BQ3" s="469"/>
      <c r="BR3" s="470"/>
      <c r="BS3" s="470"/>
      <c r="BT3" s="470"/>
      <c r="BU3" s="470"/>
    </row>
    <row r="4" spans="1:89" s="273" customFormat="1">
      <c r="A4" s="273" t="s">
        <v>143</v>
      </c>
      <c r="N4" s="631"/>
      <c r="T4" s="631"/>
      <c r="V4" s="274" t="s">
        <v>383</v>
      </c>
      <c r="W4" s="630">
        <v>7.1999999999999995E-2</v>
      </c>
      <c r="AD4" s="631"/>
      <c r="AI4" s="631"/>
      <c r="BL4" s="412"/>
      <c r="BM4" s="424"/>
      <c r="BN4" s="424"/>
      <c r="BO4" s="424"/>
      <c r="BP4" s="424"/>
      <c r="BQ4" s="469"/>
      <c r="BR4" s="470"/>
      <c r="BS4" s="470"/>
      <c r="BT4" s="470"/>
      <c r="BU4" s="470"/>
      <c r="BW4" s="273" t="s">
        <v>62</v>
      </c>
    </row>
    <row r="5" spans="1:89" s="273" customFormat="1">
      <c r="A5" s="273" t="s">
        <v>1</v>
      </c>
      <c r="N5" s="631"/>
      <c r="T5" s="631"/>
      <c r="V5" s="274">
        <v>2008</v>
      </c>
      <c r="W5" s="313">
        <v>7.3164524549999999E-2</v>
      </c>
      <c r="AD5" s="631"/>
      <c r="AI5" s="631"/>
      <c r="BL5" s="412"/>
      <c r="BM5" s="424"/>
      <c r="BN5" s="424"/>
      <c r="BO5" s="424"/>
      <c r="BP5" s="424"/>
      <c r="BQ5" s="469"/>
      <c r="BR5" s="470"/>
      <c r="BS5" s="470"/>
      <c r="BT5" s="470"/>
      <c r="BU5" s="470"/>
      <c r="BW5" s="273" t="s">
        <v>64</v>
      </c>
    </row>
    <row r="6" spans="1:89" s="273" customFormat="1">
      <c r="N6" s="631"/>
      <c r="T6" s="631"/>
      <c r="V6" s="274">
        <v>2013</v>
      </c>
      <c r="W6" s="277">
        <v>7.125514275E-2</v>
      </c>
      <c r="X6"/>
      <c r="AD6" s="631"/>
      <c r="AI6" s="631"/>
      <c r="BL6" s="412"/>
      <c r="BM6" s="424"/>
      <c r="BN6" s="424"/>
      <c r="BO6" s="424"/>
      <c r="BP6" s="424"/>
      <c r="BQ6" s="469"/>
      <c r="BR6" s="470"/>
      <c r="BS6" s="470"/>
      <c r="BT6" s="470"/>
      <c r="BU6" s="470"/>
      <c r="BW6" s="273" t="s">
        <v>65</v>
      </c>
    </row>
    <row r="7" spans="1:89" s="273" customFormat="1">
      <c r="A7" s="273" t="s">
        <v>140</v>
      </c>
      <c r="N7" s="631"/>
      <c r="T7" s="631"/>
      <c r="V7" s="274">
        <v>2015</v>
      </c>
      <c r="W7" s="765">
        <v>6.6600000000000006E-2</v>
      </c>
      <c r="X7" t="s">
        <v>301</v>
      </c>
      <c r="AD7" s="631"/>
      <c r="AI7" s="631"/>
      <c r="BL7" s="412"/>
      <c r="BM7" s="424"/>
      <c r="BN7" s="424"/>
      <c r="BO7" s="424"/>
      <c r="BP7" s="424"/>
      <c r="BQ7" s="469"/>
      <c r="BR7" s="470"/>
      <c r="BS7" s="470"/>
      <c r="BT7" s="470"/>
      <c r="BU7" s="470"/>
      <c r="BW7" s="273" t="s">
        <v>66</v>
      </c>
    </row>
    <row r="8" spans="1:89">
      <c r="A8" s="6"/>
      <c r="B8" s="6"/>
      <c r="C8" s="6"/>
      <c r="V8" s="274">
        <v>2017</v>
      </c>
      <c r="W8" s="765">
        <v>6.5699999999999995E-2</v>
      </c>
      <c r="X8" t="s">
        <v>300</v>
      </c>
      <c r="AA8" s="766"/>
      <c r="BL8" s="412"/>
      <c r="BQ8" s="469"/>
      <c r="BR8" s="469"/>
      <c r="BS8" s="469"/>
      <c r="BT8" s="469"/>
      <c r="BU8" s="469"/>
      <c r="BW8" s="273" t="s">
        <v>67</v>
      </c>
    </row>
    <row r="9" spans="1:89">
      <c r="V9" s="274">
        <v>2019</v>
      </c>
      <c r="W9" s="765">
        <v>6.9099999999999995E-2</v>
      </c>
      <c r="X9" s="3" t="s">
        <v>302</v>
      </c>
      <c r="BL9" s="412"/>
      <c r="BQ9" s="469"/>
      <c r="BR9" s="469"/>
      <c r="BS9" s="469"/>
      <c r="BT9" s="469"/>
      <c r="BU9" s="469"/>
      <c r="BW9" s="3" t="s">
        <v>68</v>
      </c>
    </row>
    <row r="10" spans="1:89">
      <c r="U10" s="632"/>
      <c r="V10" s="642"/>
      <c r="W10" s="643"/>
      <c r="X10" s="632"/>
      <c r="Y10" s="632"/>
      <c r="Z10" s="632"/>
      <c r="AA10" s="632"/>
      <c r="AB10" s="632"/>
      <c r="AC10" s="632"/>
      <c r="AE10" s="632"/>
      <c r="AF10" s="632"/>
      <c r="AG10" s="632"/>
      <c r="AH10" s="632"/>
      <c r="BL10" s="412"/>
      <c r="BQ10" s="469"/>
      <c r="BR10" s="469"/>
      <c r="BS10" s="469"/>
      <c r="BT10" s="469"/>
      <c r="BU10" s="469"/>
    </row>
    <row r="11" spans="1:89" ht="33.75">
      <c r="B11" s="338" t="s">
        <v>353</v>
      </c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637"/>
      <c r="O11" s="338" t="s">
        <v>354</v>
      </c>
      <c r="P11" s="339"/>
      <c r="Q11" s="339"/>
      <c r="R11" s="339"/>
      <c r="S11" s="339"/>
      <c r="T11" s="637"/>
      <c r="U11" s="783" t="s">
        <v>355</v>
      </c>
      <c r="V11" s="783"/>
      <c r="W11" s="783"/>
      <c r="X11" s="783"/>
      <c r="Y11" s="783"/>
      <c r="Z11" s="783"/>
      <c r="AA11" s="783"/>
      <c r="AD11" s="633"/>
      <c r="AE11" s="783" t="s">
        <v>380</v>
      </c>
      <c r="AF11" s="783"/>
      <c r="AG11" s="783"/>
      <c r="AH11" s="741"/>
      <c r="AI11" s="633"/>
      <c r="AJ11" s="340" t="s">
        <v>69</v>
      </c>
      <c r="AK11" s="764"/>
      <c r="AL11" s="764"/>
      <c r="AM11" s="340"/>
      <c r="AN11" s="340"/>
      <c r="AO11" s="340"/>
      <c r="AP11" s="340"/>
      <c r="AQ11" s="340"/>
      <c r="AR11" s="340"/>
      <c r="AS11" s="340"/>
      <c r="AX11" s="273" t="s">
        <v>61</v>
      </c>
      <c r="BL11" s="412"/>
      <c r="BQ11" s="469"/>
      <c r="BR11" s="469"/>
      <c r="BS11" s="469"/>
      <c r="BT11" s="469"/>
      <c r="BU11" s="469"/>
      <c r="BW11" s="3" t="s">
        <v>70</v>
      </c>
    </row>
    <row r="12" spans="1:89">
      <c r="AX12" s="273" t="s">
        <v>63</v>
      </c>
      <c r="AY12" s="254"/>
      <c r="BC12" s="3" t="s">
        <v>187</v>
      </c>
      <c r="BH12" s="3" t="s">
        <v>186</v>
      </c>
      <c r="BL12" s="412"/>
      <c r="BM12" s="412" t="s">
        <v>240</v>
      </c>
      <c r="BQ12" s="469"/>
      <c r="BR12" s="469" t="s">
        <v>240</v>
      </c>
      <c r="BS12" s="469"/>
      <c r="BT12" s="469"/>
      <c r="BU12" s="469"/>
      <c r="BW12" s="3" t="s">
        <v>71</v>
      </c>
    </row>
    <row r="13" spans="1:89" ht="32.25" customHeight="1">
      <c r="C13" s="289"/>
      <c r="D13" s="289" t="s">
        <v>72</v>
      </c>
      <c r="E13" s="289" t="s">
        <v>72</v>
      </c>
      <c r="F13" s="289" t="s">
        <v>72</v>
      </c>
      <c r="G13" s="740" t="s">
        <v>233</v>
      </c>
      <c r="H13" s="740" t="s">
        <v>249</v>
      </c>
      <c r="I13" s="341" t="s">
        <v>171</v>
      </c>
      <c r="J13" s="341" t="s">
        <v>176</v>
      </c>
      <c r="K13" s="341" t="s">
        <v>73</v>
      </c>
      <c r="L13" s="341" t="s">
        <v>184</v>
      </c>
      <c r="M13" s="341"/>
      <c r="N13" s="638"/>
      <c r="O13" s="289" t="s">
        <v>229</v>
      </c>
      <c r="P13" s="289" t="s">
        <v>248</v>
      </c>
      <c r="Q13" s="289" t="s">
        <v>191</v>
      </c>
      <c r="R13" s="289" t="s">
        <v>184</v>
      </c>
      <c r="S13" s="3" t="s">
        <v>377</v>
      </c>
      <c r="T13" s="634"/>
      <c r="U13" s="341" t="s">
        <v>188</v>
      </c>
      <c r="V13" s="782" t="s">
        <v>298</v>
      </c>
      <c r="W13" s="782"/>
      <c r="X13" s="782"/>
      <c r="Y13" s="782" t="s">
        <v>296</v>
      </c>
      <c r="Z13" s="782"/>
      <c r="AA13" s="782"/>
      <c r="AJ13" s="289"/>
      <c r="AK13" s="289"/>
      <c r="AL13" s="289" t="s">
        <v>72</v>
      </c>
      <c r="AM13" s="289" t="s">
        <v>72</v>
      </c>
      <c r="AN13" s="289" t="s">
        <v>72</v>
      </c>
      <c r="AO13" s="289"/>
      <c r="AP13" s="289"/>
      <c r="AQ13" s="289"/>
      <c r="AR13" s="289"/>
      <c r="AX13" s="273" t="s">
        <v>74</v>
      </c>
      <c r="AY13" s="254"/>
      <c r="BC13" s="254" t="s">
        <v>182</v>
      </c>
      <c r="BH13" s="254" t="s">
        <v>183</v>
      </c>
      <c r="BI13" s="254"/>
      <c r="BL13" s="412"/>
      <c r="BM13" s="425" t="s">
        <v>232</v>
      </c>
      <c r="BN13" s="425"/>
      <c r="BQ13" s="469"/>
      <c r="BR13" s="471" t="s">
        <v>247</v>
      </c>
      <c r="BS13" s="471"/>
      <c r="BT13" s="469"/>
      <c r="BU13" s="469"/>
      <c r="BW13" s="3" t="s">
        <v>75</v>
      </c>
      <c r="CH13" s="3" t="s">
        <v>165</v>
      </c>
      <c r="CI13" s="3" t="s">
        <v>172</v>
      </c>
      <c r="CJ13" s="3" t="s">
        <v>173</v>
      </c>
    </row>
    <row r="14" spans="1:89" ht="56.25">
      <c r="C14" s="289" t="s">
        <v>76</v>
      </c>
      <c r="D14" s="289" t="s">
        <v>77</v>
      </c>
      <c r="E14" s="289" t="s">
        <v>78</v>
      </c>
      <c r="F14" s="289" t="s">
        <v>79</v>
      </c>
      <c r="G14" s="740" t="s">
        <v>189</v>
      </c>
      <c r="H14" s="740" t="s">
        <v>189</v>
      </c>
      <c r="I14" s="341" t="s">
        <v>189</v>
      </c>
      <c r="J14" s="341" t="s">
        <v>189</v>
      </c>
      <c r="K14" s="341" t="s">
        <v>189</v>
      </c>
      <c r="L14" s="341" t="s">
        <v>189</v>
      </c>
      <c r="M14" s="341"/>
      <c r="N14" s="638"/>
      <c r="O14" s="740" t="s">
        <v>190</v>
      </c>
      <c r="P14" s="740" t="s">
        <v>190</v>
      </c>
      <c r="Q14" s="289" t="s">
        <v>190</v>
      </c>
      <c r="R14" s="289" t="s">
        <v>190</v>
      </c>
      <c r="S14" s="287" t="s">
        <v>376</v>
      </c>
      <c r="T14" s="634"/>
      <c r="U14" s="289" t="s">
        <v>80</v>
      </c>
      <c r="V14" s="341" t="s">
        <v>284</v>
      </c>
      <c r="W14" s="341" t="s">
        <v>285</v>
      </c>
      <c r="X14" s="341" t="s">
        <v>286</v>
      </c>
      <c r="Y14" s="341" t="s">
        <v>284</v>
      </c>
      <c r="Z14" s="341" t="s">
        <v>285</v>
      </c>
      <c r="AA14" s="341" t="s">
        <v>286</v>
      </c>
      <c r="AC14" s="289" t="s">
        <v>76</v>
      </c>
      <c r="AD14" s="634"/>
      <c r="AF14" s="759" t="s">
        <v>382</v>
      </c>
      <c r="AG14" s="759" t="s">
        <v>378</v>
      </c>
      <c r="AH14" s="759" t="s">
        <v>381</v>
      </c>
      <c r="AI14" s="634"/>
      <c r="AJ14" s="289" t="s">
        <v>76</v>
      </c>
      <c r="AK14" s="289" t="s">
        <v>81</v>
      </c>
      <c r="AL14" s="289" t="s">
        <v>77</v>
      </c>
      <c r="AM14" s="289" t="s">
        <v>78</v>
      </c>
      <c r="AN14" s="289" t="s">
        <v>79</v>
      </c>
      <c r="AO14" s="289" t="s">
        <v>82</v>
      </c>
      <c r="AP14" s="289" t="s">
        <v>83</v>
      </c>
      <c r="AQ14" s="289" t="s">
        <v>84</v>
      </c>
      <c r="AR14" s="289" t="s">
        <v>85</v>
      </c>
      <c r="AV14" s="3" t="s">
        <v>76</v>
      </c>
      <c r="AW14" s="3" t="s">
        <v>81</v>
      </c>
      <c r="AX14" s="254" t="s">
        <v>86</v>
      </c>
      <c r="AY14" s="254" t="s">
        <v>87</v>
      </c>
      <c r="BC14" s="254" t="s">
        <v>87</v>
      </c>
      <c r="BD14" s="342" t="s">
        <v>174</v>
      </c>
      <c r="BE14" s="342" t="s">
        <v>175</v>
      </c>
      <c r="BG14" s="3" t="s">
        <v>76</v>
      </c>
      <c r="BH14" s="254" t="s">
        <v>87</v>
      </c>
      <c r="BI14" s="254" t="s">
        <v>87</v>
      </c>
      <c r="BJ14" s="342" t="s">
        <v>174</v>
      </c>
      <c r="BK14" s="342" t="s">
        <v>175</v>
      </c>
      <c r="BL14" s="412" t="s">
        <v>76</v>
      </c>
      <c r="BM14" s="425" t="s">
        <v>87</v>
      </c>
      <c r="BN14" s="425" t="s">
        <v>87</v>
      </c>
      <c r="BO14" s="426" t="s">
        <v>174</v>
      </c>
      <c r="BP14" s="426" t="s">
        <v>175</v>
      </c>
      <c r="BQ14" s="469" t="s">
        <v>76</v>
      </c>
      <c r="BR14" s="471" t="s">
        <v>87</v>
      </c>
      <c r="BS14" s="471" t="s">
        <v>87</v>
      </c>
      <c r="BT14" s="472" t="s">
        <v>174</v>
      </c>
      <c r="BU14" s="472" t="s">
        <v>175</v>
      </c>
      <c r="BW14" s="3" t="s">
        <v>88</v>
      </c>
      <c r="CH14" s="3" t="s">
        <v>164</v>
      </c>
      <c r="CI14" s="3" t="s">
        <v>166</v>
      </c>
      <c r="CJ14" s="3" t="s">
        <v>167</v>
      </c>
      <c r="CK14" s="3" t="s">
        <v>185</v>
      </c>
    </row>
    <row r="15" spans="1:89" ht="21.75">
      <c r="C15" s="256">
        <v>1999</v>
      </c>
      <c r="D15" s="249">
        <f t="shared" ref="D15" si="0">D16/(1+$CH$40)</f>
        <v>56.906578106457275</v>
      </c>
      <c r="E15" s="249">
        <f t="shared" ref="E15" si="1">E16/(1+$CH$40)</f>
        <v>46.864557554923167</v>
      </c>
      <c r="F15" s="249">
        <f t="shared" ref="F15" si="2">F16/(1+$CH$40)</f>
        <v>52.582592114411248</v>
      </c>
      <c r="G15" s="248"/>
      <c r="H15" s="248"/>
      <c r="I15" s="249">
        <f t="shared" ref="I15" si="3">I16/(1+$CH$40)</f>
        <v>3.3674848357922609</v>
      </c>
      <c r="J15" s="249">
        <f>J16/(1+$CI42)</f>
        <v>5.4627740569496179</v>
      </c>
      <c r="K15" s="249">
        <f t="shared" ref="K15" si="4">K16/(1+$CH$40)</f>
        <v>6.1512431125930114</v>
      </c>
      <c r="L15" s="243"/>
      <c r="M15" s="243"/>
      <c r="N15" s="639"/>
      <c r="O15" s="178"/>
      <c r="P15" s="178"/>
      <c r="Q15" s="178"/>
      <c r="R15" s="178"/>
      <c r="S15" s="178"/>
      <c r="T15" s="641"/>
      <c r="U15" s="178"/>
      <c r="V15" s="178"/>
      <c r="W15" s="178"/>
      <c r="X15" s="178"/>
      <c r="Y15" s="178"/>
      <c r="Z15" s="178"/>
      <c r="AA15" s="178"/>
      <c r="AC15" s="256">
        <v>2003</v>
      </c>
      <c r="AD15" s="635"/>
      <c r="AE15" s="763" t="s">
        <v>76</v>
      </c>
      <c r="AF15" s="760" t="s">
        <v>379</v>
      </c>
      <c r="AG15" s="761">
        <v>0.37951000000000001</v>
      </c>
      <c r="AH15" s="761">
        <v>0.24587000000000001</v>
      </c>
      <c r="AI15" s="635"/>
      <c r="AJ15" s="289"/>
      <c r="AK15" s="289"/>
      <c r="AL15" s="289"/>
      <c r="AM15" s="289"/>
      <c r="AN15" s="289"/>
      <c r="AO15" s="289"/>
      <c r="AP15" s="289"/>
      <c r="AQ15" s="289"/>
      <c r="AR15" s="289"/>
      <c r="AX15" s="254"/>
      <c r="AY15" s="254"/>
      <c r="BA15" s="3">
        <f>YEAR(BB15)</f>
        <v>2004</v>
      </c>
      <c r="BB15" s="343">
        <v>38230</v>
      </c>
      <c r="BC15" s="3">
        <f>AVERAGE(BD15:BE15)</f>
        <v>5.2698228344999993</v>
      </c>
      <c r="BD15" s="3">
        <v>5.394645669</v>
      </c>
      <c r="BE15" s="3">
        <v>5.1449999999999996</v>
      </c>
      <c r="BG15" s="3">
        <f>YEAR(BH15)</f>
        <v>2008</v>
      </c>
      <c r="BH15" s="318">
        <v>39630</v>
      </c>
      <c r="BI15" s="3">
        <f>AVERAGE(BJ15:BK15)</f>
        <v>11.8</v>
      </c>
      <c r="BJ15" s="3">
        <v>11.85</v>
      </c>
      <c r="BK15" s="3">
        <v>11.75</v>
      </c>
      <c r="BL15" s="412">
        <f t="shared" ref="BL15:BL79" si="5">YEAR(BM15)</f>
        <v>2015</v>
      </c>
      <c r="BM15" s="427">
        <v>42005</v>
      </c>
      <c r="BN15" s="412">
        <f t="shared" ref="BN15:BN65" si="6">AVERAGE(BO15:BP15)</f>
        <v>2.7747580645161287</v>
      </c>
      <c r="BO15" s="458">
        <v>2.7880645161290318</v>
      </c>
      <c r="BP15" s="458">
        <v>2.7614516129032256</v>
      </c>
      <c r="BQ15" s="469">
        <f t="shared" ref="BQ15:BQ79" si="7">YEAR(BR15)</f>
        <v>2018</v>
      </c>
      <c r="BR15" s="473">
        <v>43101</v>
      </c>
      <c r="BS15" s="469">
        <f t="shared" ref="BS15:BS79" si="8">AVERAGE(BT15:BU15)</f>
        <v>2.7073387096774191</v>
      </c>
      <c r="BT15" s="474">
        <v>2.7169354838709676</v>
      </c>
      <c r="BU15" s="474">
        <v>2.697741935483871</v>
      </c>
      <c r="CH15" s="3">
        <v>2004</v>
      </c>
      <c r="CI15" s="344">
        <v>3.81</v>
      </c>
      <c r="CJ15" s="344">
        <v>3.63</v>
      </c>
    </row>
    <row r="16" spans="1:89">
      <c r="C16" s="256">
        <v>2000</v>
      </c>
      <c r="D16" s="249">
        <f t="shared" ref="D16:F17" si="9">D17/(1+$CH$40)</f>
        <v>58.329242559118704</v>
      </c>
      <c r="E16" s="249">
        <f t="shared" si="9"/>
        <v>48.036171493796239</v>
      </c>
      <c r="F16" s="249">
        <f t="shared" si="9"/>
        <v>53.897156917271523</v>
      </c>
      <c r="G16" s="248"/>
      <c r="H16" s="248"/>
      <c r="I16" s="249">
        <f t="shared" ref="I16:I18" si="10">I17/(1+$CH$40)</f>
        <v>3.4516719566870671</v>
      </c>
      <c r="J16" s="249">
        <f>J17/(1+$CI43)</f>
        <v>5.4627740569496179</v>
      </c>
      <c r="K16" s="249">
        <f t="shared" ref="K16" si="11">K17/(1+$CH$40)</f>
        <v>6.3050241904078357</v>
      </c>
      <c r="L16" s="243"/>
      <c r="M16" s="243"/>
      <c r="N16" s="640"/>
      <c r="O16" s="178"/>
      <c r="P16" s="178"/>
      <c r="Q16" s="178"/>
      <c r="R16" s="178"/>
      <c r="S16" s="178"/>
      <c r="T16" s="641"/>
      <c r="U16" s="178"/>
      <c r="V16" s="178"/>
      <c r="W16" s="178"/>
      <c r="X16" s="178"/>
      <c r="Y16" s="178"/>
      <c r="Z16" s="178"/>
      <c r="AA16" s="178"/>
      <c r="AC16" s="256">
        <v>2004</v>
      </c>
      <c r="AD16" s="635"/>
      <c r="AE16" s="3">
        <v>2007</v>
      </c>
      <c r="AF16" s="762">
        <v>20</v>
      </c>
      <c r="AG16" s="762">
        <f t="shared" ref="AG16:AG49" si="12">+AF16/(1-AG$15)</f>
        <v>32.232590372125259</v>
      </c>
      <c r="AH16" s="762"/>
      <c r="AI16" s="635"/>
      <c r="AJ16" s="289"/>
      <c r="AK16" s="289"/>
      <c r="AL16" s="289"/>
      <c r="AM16" s="289"/>
      <c r="AN16" s="289"/>
      <c r="AO16" s="289"/>
      <c r="AP16" s="289"/>
      <c r="AQ16" s="289"/>
      <c r="AR16" s="289"/>
      <c r="AX16" s="254"/>
      <c r="AY16" s="254"/>
      <c r="BA16" s="3">
        <f t="shared" ref="BA16:BA80" si="13">YEAR(BB16)</f>
        <v>2004</v>
      </c>
      <c r="BB16" s="343">
        <v>38260</v>
      </c>
      <c r="BC16" s="3">
        <f t="shared" ref="BC16:BC80" si="14">AVERAGE(BD16:BE16)</f>
        <v>5.3128441459999998</v>
      </c>
      <c r="BD16" s="3">
        <v>5.4616882919999998</v>
      </c>
      <c r="BE16" s="3">
        <v>5.1639999999999997</v>
      </c>
      <c r="BG16" s="3">
        <f t="shared" ref="BG16:BG80" si="15">YEAR(BH16)</f>
        <v>2008</v>
      </c>
      <c r="BH16" s="318">
        <v>39661</v>
      </c>
      <c r="BI16" s="3">
        <f t="shared" ref="BI16:BI80" si="16">AVERAGE(BJ16:BK16)</f>
        <v>12.195499999999999</v>
      </c>
      <c r="BJ16" s="3">
        <v>12.288</v>
      </c>
      <c r="BK16" s="3">
        <v>12.103</v>
      </c>
      <c r="BL16" s="412">
        <f t="shared" si="5"/>
        <v>2015</v>
      </c>
      <c r="BM16" s="427">
        <v>42036</v>
      </c>
      <c r="BN16" s="412">
        <f t="shared" si="6"/>
        <v>2.3497321428571434</v>
      </c>
      <c r="BO16" s="458">
        <v>2.3876785714285722</v>
      </c>
      <c r="BP16" s="458">
        <v>2.3117857142857146</v>
      </c>
      <c r="BQ16" s="469">
        <f t="shared" si="7"/>
        <v>2018</v>
      </c>
      <c r="BR16" s="473">
        <v>43132</v>
      </c>
      <c r="BS16" s="469">
        <f t="shared" si="8"/>
        <v>2.1688392857142853</v>
      </c>
      <c r="BT16" s="474">
        <v>2.176071428571428</v>
      </c>
      <c r="BU16" s="474">
        <v>2.1616071428571426</v>
      </c>
      <c r="CH16" s="3">
        <v>2005</v>
      </c>
      <c r="CI16" s="344">
        <v>3.96</v>
      </c>
      <c r="CJ16" s="344">
        <v>3.77</v>
      </c>
    </row>
    <row r="17" spans="3:88">
      <c r="C17" s="256">
        <v>2001</v>
      </c>
      <c r="D17" s="249">
        <f t="shared" si="9"/>
        <v>59.787473623096666</v>
      </c>
      <c r="E17" s="249">
        <f t="shared" si="9"/>
        <v>49.237075781141144</v>
      </c>
      <c r="F17" s="249">
        <f t="shared" si="9"/>
        <v>55.244585840203307</v>
      </c>
      <c r="G17" s="248"/>
      <c r="H17" s="248"/>
      <c r="I17" s="249">
        <f t="shared" si="10"/>
        <v>3.5379637556042436</v>
      </c>
      <c r="J17" s="249">
        <f>J18/(1+$CI44)</f>
        <v>5.4627740569496179</v>
      </c>
      <c r="K17" s="249">
        <f>K18/(1+$CH$40)</f>
        <v>6.4626497951680308</v>
      </c>
      <c r="L17" s="243"/>
      <c r="M17" s="243"/>
      <c r="N17" s="640"/>
      <c r="O17" s="178"/>
      <c r="P17" s="178"/>
      <c r="Q17" s="178"/>
      <c r="R17" s="178"/>
      <c r="S17" s="178"/>
      <c r="T17" s="641"/>
      <c r="U17" s="178"/>
      <c r="V17" s="178"/>
      <c r="W17" s="178"/>
      <c r="X17" s="178"/>
      <c r="Y17" s="178"/>
      <c r="Z17" s="178"/>
      <c r="AA17" s="178"/>
      <c r="AC17" s="256">
        <v>2005</v>
      </c>
      <c r="AD17" s="635"/>
      <c r="AE17" s="3">
        <v>2008</v>
      </c>
      <c r="AF17" s="762">
        <v>21</v>
      </c>
      <c r="AG17" s="762">
        <f t="shared" si="12"/>
        <v>33.844219890731516</v>
      </c>
      <c r="AH17" s="762"/>
      <c r="AI17" s="635"/>
      <c r="AJ17" s="289"/>
      <c r="AK17" s="289"/>
      <c r="AL17" s="289"/>
      <c r="AM17" s="289"/>
      <c r="AN17" s="289"/>
      <c r="AO17" s="289"/>
      <c r="AP17" s="289"/>
      <c r="AQ17" s="289"/>
      <c r="AR17" s="289"/>
      <c r="AX17" s="254"/>
      <c r="AY17" s="254"/>
      <c r="BA17" s="3">
        <f t="shared" si="13"/>
        <v>2004</v>
      </c>
      <c r="BB17" s="343">
        <v>38291</v>
      </c>
      <c r="BC17" s="3">
        <f t="shared" si="14"/>
        <v>5.3528441459999998</v>
      </c>
      <c r="BD17" s="3">
        <v>5.5016882919999999</v>
      </c>
      <c r="BE17" s="3">
        <v>5.2039999999999997</v>
      </c>
      <c r="BG17" s="3">
        <f t="shared" si="15"/>
        <v>2008</v>
      </c>
      <c r="BH17" s="318">
        <v>39692</v>
      </c>
      <c r="BI17" s="3">
        <f t="shared" si="16"/>
        <v>12.238</v>
      </c>
      <c r="BJ17" s="3">
        <v>12.278</v>
      </c>
      <c r="BK17" s="3">
        <v>12.198</v>
      </c>
      <c r="BL17" s="412">
        <f t="shared" si="5"/>
        <v>2015</v>
      </c>
      <c r="BM17" s="427">
        <v>42064</v>
      </c>
      <c r="BN17" s="412">
        <f t="shared" si="6"/>
        <v>2.2695967741935492</v>
      </c>
      <c r="BO17" s="458">
        <v>2.3482258064516142</v>
      </c>
      <c r="BP17" s="458">
        <v>2.1909677419354838</v>
      </c>
      <c r="BQ17" s="469">
        <f t="shared" si="7"/>
        <v>2018</v>
      </c>
      <c r="BR17" s="473">
        <v>43160</v>
      </c>
      <c r="BS17" s="469">
        <f t="shared" si="8"/>
        <v>2.0997580645161289</v>
      </c>
      <c r="BT17" s="474">
        <v>2.1046774193548385</v>
      </c>
      <c r="BU17" s="474">
        <v>2.0948387096774188</v>
      </c>
      <c r="CH17" s="3">
        <v>2006</v>
      </c>
      <c r="CI17" s="344">
        <v>4</v>
      </c>
      <c r="CJ17" s="344">
        <v>3.82</v>
      </c>
    </row>
    <row r="18" spans="3:88">
      <c r="C18" s="256">
        <v>2002</v>
      </c>
      <c r="D18" s="248">
        <f t="shared" ref="D18:F21" si="17">D19/(1+$Q15)</f>
        <v>61.282160463674074</v>
      </c>
      <c r="E18" s="248">
        <f t="shared" si="17"/>
        <v>50.468002675669666</v>
      </c>
      <c r="F18" s="248">
        <f t="shared" si="17"/>
        <v>56.625700486208387</v>
      </c>
      <c r="G18" s="248"/>
      <c r="H18" s="248"/>
      <c r="I18" s="249">
        <f t="shared" si="10"/>
        <v>3.6264128494943493</v>
      </c>
      <c r="J18" s="249">
        <f>J19/(1+$CI45)</f>
        <v>5.4627740569496179</v>
      </c>
      <c r="K18" s="249">
        <f>K19/(1+$Q15)</f>
        <v>6.624216040047231</v>
      </c>
      <c r="L18" s="243"/>
      <c r="M18" s="243"/>
      <c r="N18" s="640"/>
      <c r="O18" s="178">
        <v>3.2000000000000001E-2</v>
      </c>
      <c r="P18" s="178">
        <v>3.2000000000000001E-2</v>
      </c>
      <c r="Q18" s="178">
        <v>3.1E-2</v>
      </c>
      <c r="R18" s="178"/>
      <c r="S18" s="178"/>
      <c r="T18" s="641"/>
      <c r="U18" s="319">
        <f>U19/(1+Q18)</f>
        <v>4.9466537342386037</v>
      </c>
      <c r="V18" s="319"/>
      <c r="W18" s="319"/>
      <c r="X18" s="319"/>
      <c r="Y18" s="319"/>
      <c r="Z18" s="319"/>
      <c r="AA18" s="319"/>
      <c r="AC18" s="256">
        <v>2006</v>
      </c>
      <c r="AD18" s="635"/>
      <c r="AE18" s="3">
        <v>2009</v>
      </c>
      <c r="AF18" s="762">
        <v>21</v>
      </c>
      <c r="AG18" s="762">
        <f t="shared" si="12"/>
        <v>33.844219890731516</v>
      </c>
      <c r="AH18" s="762"/>
      <c r="AI18" s="635"/>
      <c r="AJ18" s="3">
        <f>+YEAR(AK18)</f>
        <v>2006</v>
      </c>
      <c r="AK18" s="345">
        <v>38718</v>
      </c>
      <c r="AL18" s="346">
        <f>AL30/(1+$Q$18)</f>
        <v>78.040737148399614</v>
      </c>
      <c r="AM18" s="346">
        <f>AM30/(1+$Q$18)</f>
        <v>70.305528612997094</v>
      </c>
      <c r="AN18" s="319">
        <f t="shared" ref="AN18:AN25" si="18">AL18*0.57+AM18*0.43</f>
        <v>74.714597478176529</v>
      </c>
      <c r="AO18" s="305">
        <v>400</v>
      </c>
      <c r="AP18" s="305">
        <v>344</v>
      </c>
      <c r="AQ18" s="305">
        <f>AO18/(AO18+AP18)</f>
        <v>0.5376344086021505</v>
      </c>
      <c r="AR18" s="305">
        <f>AP18/(AO18+AP18)</f>
        <v>0.46236559139784944</v>
      </c>
      <c r="AV18" s="3">
        <f t="shared" ref="AV18:AV29" si="19">+YEAR(AW18)</f>
        <v>2006</v>
      </c>
      <c r="AW18" s="343">
        <v>38718</v>
      </c>
      <c r="AX18" s="121">
        <f>AY18</f>
        <v>8.9348112271618962</v>
      </c>
      <c r="AY18" s="122">
        <f>AY30/(1+$Q$18)</f>
        <v>8.9348112271618962</v>
      </c>
      <c r="BA18" s="3">
        <f t="shared" si="13"/>
        <v>2004</v>
      </c>
      <c r="BB18" s="343">
        <v>38321</v>
      </c>
      <c r="BC18" s="3">
        <f t="shared" si="14"/>
        <v>5.8505496689999994</v>
      </c>
      <c r="BD18" s="3">
        <v>5.8830993380000001</v>
      </c>
      <c r="BE18" s="3">
        <v>5.8179999999999996</v>
      </c>
      <c r="BG18" s="3">
        <f t="shared" si="15"/>
        <v>2008</v>
      </c>
      <c r="BH18" s="318">
        <v>39722</v>
      </c>
      <c r="BI18" s="3">
        <f t="shared" si="16"/>
        <v>12.463750000000001</v>
      </c>
      <c r="BJ18" s="3">
        <v>12.28</v>
      </c>
      <c r="BK18" s="3">
        <v>12.647500000000001</v>
      </c>
      <c r="BL18" s="412">
        <f t="shared" si="5"/>
        <v>2015</v>
      </c>
      <c r="BM18" s="427">
        <v>42095</v>
      </c>
      <c r="BN18" s="412">
        <f t="shared" si="6"/>
        <v>2.2114166666666675</v>
      </c>
      <c r="BO18" s="458">
        <v>2.260333333333334</v>
      </c>
      <c r="BP18" s="458">
        <v>2.1625000000000005</v>
      </c>
      <c r="BQ18" s="469">
        <f t="shared" si="7"/>
        <v>2018</v>
      </c>
      <c r="BR18" s="473">
        <v>43191</v>
      </c>
      <c r="BS18" s="469">
        <f t="shared" si="8"/>
        <v>1.9435833333333334</v>
      </c>
      <c r="BT18" s="474">
        <v>1.9496666666666667</v>
      </c>
      <c r="BU18" s="474">
        <v>1.9375000000000002</v>
      </c>
      <c r="BW18" s="3" t="s">
        <v>89</v>
      </c>
      <c r="CH18" s="3">
        <v>2007</v>
      </c>
      <c r="CI18" s="344">
        <v>4.22</v>
      </c>
      <c r="CJ18" s="344">
        <v>4.04</v>
      </c>
    </row>
    <row r="19" spans="3:88">
      <c r="C19" s="256">
        <v>2003</v>
      </c>
      <c r="D19" s="248">
        <f t="shared" si="17"/>
        <v>61.282160463674074</v>
      </c>
      <c r="E19" s="248">
        <f t="shared" si="17"/>
        <v>50.468002675669666</v>
      </c>
      <c r="F19" s="248">
        <f t="shared" si="17"/>
        <v>56.625700486208387</v>
      </c>
      <c r="G19" s="248"/>
      <c r="H19" s="248"/>
      <c r="I19" s="249">
        <f>I20/(1+$CH$40)</f>
        <v>3.7170731707317075</v>
      </c>
      <c r="J19" s="249">
        <f>J20/(1+$CI46)</f>
        <v>5.4627740569496179</v>
      </c>
      <c r="K19" s="249">
        <f>K20/(1+$Q16)</f>
        <v>6.624216040047231</v>
      </c>
      <c r="L19" s="243"/>
      <c r="M19" s="243"/>
      <c r="N19" s="639"/>
      <c r="O19" s="178">
        <v>2.9000000000000001E-2</v>
      </c>
      <c r="P19" s="178">
        <v>2.9000000000000001E-2</v>
      </c>
      <c r="Q19" s="178">
        <v>1.9E-2</v>
      </c>
      <c r="R19" s="178"/>
      <c r="S19" s="178"/>
      <c r="T19" s="641"/>
      <c r="U19" s="319">
        <v>5.0999999999999996</v>
      </c>
      <c r="V19" s="319"/>
      <c r="W19" s="319"/>
      <c r="X19" s="319"/>
      <c r="Y19" s="319"/>
      <c r="Z19" s="319"/>
      <c r="AA19" s="319"/>
      <c r="AC19" s="3">
        <f>+AC18+1</f>
        <v>2007</v>
      </c>
      <c r="AE19" s="3">
        <v>2010</v>
      </c>
      <c r="AF19" s="762">
        <v>22</v>
      </c>
      <c r="AG19" s="762">
        <f t="shared" si="12"/>
        <v>35.45584940933778</v>
      </c>
      <c r="AH19" s="762"/>
      <c r="AJ19" s="3">
        <f t="shared" ref="AJ19:AJ83" si="20">+YEAR(AK19)</f>
        <v>2006</v>
      </c>
      <c r="AK19" s="345">
        <f t="shared" ref="AK19:AK30" si="21">EOMONTH(AK18,0)+1</f>
        <v>38749</v>
      </c>
      <c r="AL19" s="346">
        <f t="shared" ref="AL19:AM25" si="22">AL31/(1+$Q$18)</f>
        <v>73.705140640155193</v>
      </c>
      <c r="AM19" s="346">
        <f t="shared" si="22"/>
        <v>66.435499515033953</v>
      </c>
      <c r="AN19" s="319">
        <f t="shared" si="18"/>
        <v>70.579194956353049</v>
      </c>
      <c r="AO19" s="305">
        <v>384</v>
      </c>
      <c r="AP19" s="305">
        <v>288</v>
      </c>
      <c r="AQ19" s="305">
        <f t="shared" ref="AQ19:AQ83" si="23">AO19/(AO19+AP19)</f>
        <v>0.5714285714285714</v>
      </c>
      <c r="AR19" s="305">
        <f t="shared" ref="AR19:AR83" si="24">AP19/(AO19+AP19)</f>
        <v>0.42857142857142855</v>
      </c>
      <c r="AV19" s="3">
        <f t="shared" si="19"/>
        <v>2006</v>
      </c>
      <c r="AW19" s="343">
        <v>38749</v>
      </c>
      <c r="AX19" s="121">
        <f t="shared" ref="AX19:AX83" si="25">AY19</f>
        <v>8.9760162003450414</v>
      </c>
      <c r="AY19" s="122">
        <f t="shared" ref="AY19:AY24" si="26">AY31/(1+$Q$18)</f>
        <v>8.9760162003450414</v>
      </c>
      <c r="BA19" s="3">
        <f t="shared" si="13"/>
        <v>2004</v>
      </c>
      <c r="BB19" s="343">
        <v>38352</v>
      </c>
      <c r="BC19" s="3">
        <f t="shared" si="14"/>
        <v>6.0795496690000004</v>
      </c>
      <c r="BD19" s="3">
        <v>6.1120993380000002</v>
      </c>
      <c r="BE19" s="3">
        <v>6.0469999999999997</v>
      </c>
      <c r="BG19" s="3">
        <f t="shared" si="15"/>
        <v>2008</v>
      </c>
      <c r="BH19" s="318">
        <v>39753</v>
      </c>
      <c r="BI19" s="3">
        <f t="shared" si="16"/>
        <v>12.91625</v>
      </c>
      <c r="BJ19" s="3">
        <v>12.545</v>
      </c>
      <c r="BK19" s="3">
        <v>13.2875</v>
      </c>
      <c r="BL19" s="412">
        <f t="shared" si="5"/>
        <v>2015</v>
      </c>
      <c r="BM19" s="427">
        <v>42125</v>
      </c>
      <c r="BN19" s="412">
        <f t="shared" si="6"/>
        <v>2.4567741935483864</v>
      </c>
      <c r="BO19" s="458">
        <v>2.5498387096774193</v>
      </c>
      <c r="BP19" s="458">
        <v>2.363709677419354</v>
      </c>
      <c r="BQ19" s="469">
        <f t="shared" si="7"/>
        <v>2018</v>
      </c>
      <c r="BR19" s="473">
        <v>43221</v>
      </c>
      <c r="BS19" s="469">
        <f t="shared" si="8"/>
        <v>1.5073387096774196</v>
      </c>
      <c r="BT19" s="474">
        <v>1.6269354838709678</v>
      </c>
      <c r="BU19" s="474">
        <v>1.3877419354838714</v>
      </c>
      <c r="BW19" s="3" t="s">
        <v>90</v>
      </c>
      <c r="CH19" s="3">
        <v>2008</v>
      </c>
      <c r="CI19" s="344">
        <v>4.42</v>
      </c>
      <c r="CJ19" s="344">
        <v>4.26</v>
      </c>
    </row>
    <row r="20" spans="3:88">
      <c r="C20" s="256">
        <v>2004</v>
      </c>
      <c r="D20" s="248">
        <f t="shared" si="17"/>
        <v>61.282160463674074</v>
      </c>
      <c r="E20" s="248">
        <f t="shared" si="17"/>
        <v>50.468002675669666</v>
      </c>
      <c r="F20" s="248">
        <f t="shared" si="17"/>
        <v>56.625700486208387</v>
      </c>
      <c r="G20" s="248"/>
      <c r="H20" s="248"/>
      <c r="I20" s="243">
        <f t="shared" ref="I20:I39" si="27">INDEX($CI$15:$CI$34,MATCH($C20,$CH$15:$CH$34,0),1)</f>
        <v>3.81</v>
      </c>
      <c r="J20" s="177">
        <f t="shared" ref="J20:J50" si="28">AVERAGEIF($BA$15:$BA$387,$C20,$BC$15:$BC$387)</f>
        <v>5.5731220929000003</v>
      </c>
      <c r="K20" s="249">
        <f>K21/(1+$Q17)</f>
        <v>6.624216040047231</v>
      </c>
      <c r="L20" s="177"/>
      <c r="M20" s="177"/>
      <c r="N20" s="639"/>
      <c r="O20" s="178">
        <v>0.03</v>
      </c>
      <c r="P20" s="178">
        <v>0.03</v>
      </c>
      <c r="Q20" s="178">
        <v>1.7000000000000001E-2</v>
      </c>
      <c r="R20" s="178">
        <v>3.4000000000000002E-2</v>
      </c>
      <c r="S20" s="178"/>
      <c r="T20" s="641"/>
      <c r="U20" s="319">
        <f t="shared" ref="U20:U47" si="29">U19*(1+Q20)</f>
        <v>5.1866999999999992</v>
      </c>
      <c r="V20" s="319"/>
      <c r="W20" s="319"/>
      <c r="X20" s="319"/>
      <c r="Y20" s="319"/>
      <c r="Z20" s="319"/>
      <c r="AA20" s="319"/>
      <c r="AC20" s="3">
        <f>+AC19+1</f>
        <v>2008</v>
      </c>
      <c r="AE20" s="3">
        <v>2011</v>
      </c>
      <c r="AF20" s="762">
        <v>22</v>
      </c>
      <c r="AG20" s="762">
        <f t="shared" si="12"/>
        <v>35.45584940933778</v>
      </c>
      <c r="AH20" s="762"/>
      <c r="AJ20" s="3">
        <f t="shared" si="20"/>
        <v>2006</v>
      </c>
      <c r="AK20" s="345">
        <f t="shared" si="21"/>
        <v>38777</v>
      </c>
      <c r="AL20" s="346">
        <f t="shared" si="22"/>
        <v>65.03394762366635</v>
      </c>
      <c r="AM20" s="346">
        <f t="shared" si="22"/>
        <v>56.760426770126102</v>
      </c>
      <c r="AN20" s="319">
        <f t="shared" si="18"/>
        <v>61.476333656644037</v>
      </c>
      <c r="AO20" s="305">
        <v>432</v>
      </c>
      <c r="AP20" s="305">
        <v>312</v>
      </c>
      <c r="AQ20" s="305">
        <f t="shared" si="23"/>
        <v>0.58064516129032262</v>
      </c>
      <c r="AR20" s="305">
        <f t="shared" si="24"/>
        <v>0.41935483870967744</v>
      </c>
      <c r="AV20" s="3">
        <f t="shared" si="19"/>
        <v>2006</v>
      </c>
      <c r="AW20" s="343">
        <v>38777</v>
      </c>
      <c r="AX20" s="121">
        <f t="shared" si="25"/>
        <v>8.8260300979583945</v>
      </c>
      <c r="AY20" s="122">
        <f t="shared" si="26"/>
        <v>8.8260300979583945</v>
      </c>
      <c r="BA20" s="3">
        <f t="shared" si="13"/>
        <v>2005</v>
      </c>
      <c r="BB20" s="343">
        <v>38383</v>
      </c>
      <c r="BC20" s="3">
        <f t="shared" si="14"/>
        <v>6.2105496690000006</v>
      </c>
      <c r="BD20" s="3">
        <v>6.2430993380000004</v>
      </c>
      <c r="BE20" s="3">
        <v>6.1779999999999999</v>
      </c>
      <c r="BG20" s="3">
        <f t="shared" si="15"/>
        <v>2008</v>
      </c>
      <c r="BH20" s="318">
        <v>39783</v>
      </c>
      <c r="BI20" s="3">
        <f t="shared" si="16"/>
        <v>13.66</v>
      </c>
      <c r="BJ20" s="3">
        <v>13.125</v>
      </c>
      <c r="BK20" s="3">
        <v>14.195</v>
      </c>
      <c r="BL20" s="412">
        <f t="shared" si="5"/>
        <v>2015</v>
      </c>
      <c r="BM20" s="427">
        <v>42156</v>
      </c>
      <c r="BN20" s="412">
        <f t="shared" si="6"/>
        <v>2.3834166666666672</v>
      </c>
      <c r="BO20" s="458">
        <v>2.5126666666666675</v>
      </c>
      <c r="BP20" s="458">
        <v>2.2541666666666669</v>
      </c>
      <c r="BQ20" s="469">
        <f t="shared" si="7"/>
        <v>2018</v>
      </c>
      <c r="BR20" s="473">
        <v>43252</v>
      </c>
      <c r="BS20" s="469">
        <f t="shared" si="8"/>
        <v>1.7749999999999999</v>
      </c>
      <c r="BT20" s="474">
        <v>2.0499999999999998</v>
      </c>
      <c r="BU20" s="474">
        <v>1.5</v>
      </c>
      <c r="BW20" s="3" t="s">
        <v>91</v>
      </c>
      <c r="CH20" s="3">
        <v>2009</v>
      </c>
      <c r="CI20" s="344">
        <v>4.29</v>
      </c>
      <c r="CJ20" s="344">
        <v>4.1399999999999997</v>
      </c>
    </row>
    <row r="21" spans="3:88">
      <c r="C21" s="256">
        <v>2005</v>
      </c>
      <c r="D21" s="248">
        <f t="shared" si="17"/>
        <v>61.282160463674074</v>
      </c>
      <c r="E21" s="248">
        <f t="shared" si="17"/>
        <v>50.468002675669666</v>
      </c>
      <c r="F21" s="248">
        <f t="shared" si="17"/>
        <v>56.625700486208387</v>
      </c>
      <c r="G21" s="248"/>
      <c r="H21" s="248"/>
      <c r="I21" s="243">
        <f t="shared" si="27"/>
        <v>3.96</v>
      </c>
      <c r="J21" s="177">
        <f t="shared" si="28"/>
        <v>5.5083917806249998</v>
      </c>
      <c r="K21" s="249">
        <f>K22/(1+$Q18)</f>
        <v>6.624216040047231</v>
      </c>
      <c r="L21" s="177"/>
      <c r="M21" s="177"/>
      <c r="N21" s="639"/>
      <c r="O21" s="178">
        <v>3.0000000000000001E-3</v>
      </c>
      <c r="P21" s="178">
        <v>3.0000000000000001E-3</v>
      </c>
      <c r="Q21" s="178">
        <v>1.7000000000000001E-2</v>
      </c>
      <c r="R21" s="178">
        <v>2.1999999999999999E-2</v>
      </c>
      <c r="S21" s="178"/>
      <c r="T21" s="641"/>
      <c r="U21" s="319">
        <f t="shared" si="29"/>
        <v>5.2748738999999985</v>
      </c>
      <c r="V21" s="319"/>
      <c r="W21" s="319"/>
      <c r="X21" s="319"/>
      <c r="Y21" s="319"/>
      <c r="Z21" s="319"/>
      <c r="AA21" s="319"/>
      <c r="AC21" s="3">
        <f t="shared" ref="AC21:AC63" si="30">+AC20+1</f>
        <v>2009</v>
      </c>
      <c r="AE21" s="3">
        <v>2012</v>
      </c>
      <c r="AF21" s="762">
        <v>22</v>
      </c>
      <c r="AG21" s="762">
        <f t="shared" si="12"/>
        <v>35.45584940933778</v>
      </c>
      <c r="AH21" s="762"/>
      <c r="AJ21" s="3">
        <f t="shared" si="20"/>
        <v>2006</v>
      </c>
      <c r="AK21" s="345">
        <f t="shared" si="21"/>
        <v>38808</v>
      </c>
      <c r="AL21" s="346">
        <f t="shared" si="22"/>
        <v>56.74102812803104</v>
      </c>
      <c r="AM21" s="346">
        <f t="shared" si="22"/>
        <v>41.610087293889428</v>
      </c>
      <c r="AN21" s="319">
        <f t="shared" si="18"/>
        <v>50.234723569350152</v>
      </c>
      <c r="AO21" s="305">
        <v>400</v>
      </c>
      <c r="AP21" s="305">
        <v>320</v>
      </c>
      <c r="AQ21" s="305">
        <f t="shared" si="23"/>
        <v>0.55555555555555558</v>
      </c>
      <c r="AR21" s="305">
        <f t="shared" si="24"/>
        <v>0.44444444444444442</v>
      </c>
      <c r="AV21" s="3">
        <f t="shared" si="19"/>
        <v>2006</v>
      </c>
      <c r="AW21" s="343">
        <v>38808</v>
      </c>
      <c r="AX21" s="121">
        <f t="shared" si="25"/>
        <v>6.9779046407480143</v>
      </c>
      <c r="AY21" s="122">
        <f t="shared" si="26"/>
        <v>6.9779046407480143</v>
      </c>
      <c r="BA21" s="3">
        <f t="shared" si="13"/>
        <v>2005</v>
      </c>
      <c r="BB21" s="343">
        <v>38411</v>
      </c>
      <c r="BC21" s="3">
        <f t="shared" si="14"/>
        <v>6.1605496689999999</v>
      </c>
      <c r="BD21" s="3">
        <v>6.1930993379999997</v>
      </c>
      <c r="BE21" s="3">
        <v>6.1280000000000001</v>
      </c>
      <c r="BG21" s="3">
        <f t="shared" si="15"/>
        <v>2009</v>
      </c>
      <c r="BH21" s="318">
        <v>39814</v>
      </c>
      <c r="BI21" s="3">
        <f t="shared" si="16"/>
        <v>13.9175</v>
      </c>
      <c r="BJ21" s="3">
        <v>13.315</v>
      </c>
      <c r="BK21" s="3">
        <v>14.52</v>
      </c>
      <c r="BL21" s="412">
        <f t="shared" si="5"/>
        <v>2015</v>
      </c>
      <c r="BM21" s="427">
        <v>42186</v>
      </c>
      <c r="BN21" s="412">
        <f t="shared" si="6"/>
        <v>2.4612096774193546</v>
      </c>
      <c r="BO21" s="458">
        <v>2.6649999999999996</v>
      </c>
      <c r="BP21" s="458">
        <v>2.2574193548387096</v>
      </c>
      <c r="BQ21" s="469">
        <f t="shared" si="7"/>
        <v>2018</v>
      </c>
      <c r="BR21" s="473">
        <v>43282</v>
      </c>
      <c r="BS21" s="469">
        <f t="shared" si="8"/>
        <v>2.2631451612903226</v>
      </c>
      <c r="BT21" s="474">
        <v>2.3737096774193547</v>
      </c>
      <c r="BU21" s="474">
        <v>2.1525806451612906</v>
      </c>
      <c r="BW21" s="3" t="s">
        <v>92</v>
      </c>
      <c r="CH21" s="3">
        <v>2010</v>
      </c>
      <c r="CI21" s="344">
        <v>3.77</v>
      </c>
      <c r="CJ21" s="344">
        <v>3.65</v>
      </c>
    </row>
    <row r="22" spans="3:88">
      <c r="C22" s="256">
        <v>2006</v>
      </c>
      <c r="D22" s="177">
        <f t="array" ref="D22">SUM((AL$18:AL$387)*(AO$18:AO$387)*($AJ$18:$AJ$387=$C22))/SUM((AO$18:AO$387)*($AJ$18:$AJ$387=$C22))</f>
        <v>63.181907438047965</v>
      </c>
      <c r="E22" s="177">
        <f t="array" ref="E22">SUM((AM$18:AM$387)*(AP$18:AP$387)*($AJ$18:$AJ$387=$C22))/SUM((AP$18:AP$387)*($AJ$18:$AJ$387=$C22))</f>
        <v>52.032510758615423</v>
      </c>
      <c r="F22" s="177">
        <f t="array" ref="F22">(SUM((AN$18:AN$387)*(AO$18:AO$387)*($AJ$18:$AJ$387=$C22))+SUM((AN$18:AN$387)*(AP$18:AP$387)*($AJ$18:$AJ$387=$C22)))/(SUM((AO$18:AO$387)*($AJ$18:$AJ$387=$C22))+SUM((AP$18:AP$387)*($AJ$18:$AJ$387=$C22)))</f>
        <v>58.381097201280845</v>
      </c>
      <c r="G22" s="177"/>
      <c r="H22" s="177"/>
      <c r="I22" s="243">
        <f t="shared" si="27"/>
        <v>4</v>
      </c>
      <c r="J22" s="177">
        <f t="shared" si="28"/>
        <v>5.0513097146666661</v>
      </c>
      <c r="K22" s="177">
        <f>(SUM((AX$18:AX$387)*(AO$18:AO$387)*($AJ$18:$AJ$387=$C22))+SUM((AX$18:AX$387)*(AP$18:AP$387)*($AJ$18:$AJ$387=$C22)))/(SUM((AO$18:AO$387)*($AJ$18:$AJ$387=$C22))+SUM((AP$18:AP$387)*($AJ$18:$AJ$387=$C22)))</f>
        <v>6.8295667372886948</v>
      </c>
      <c r="L22" s="177"/>
      <c r="M22" s="177"/>
      <c r="N22" s="639"/>
      <c r="O22" s="178">
        <v>1.2999999999999999E-2</v>
      </c>
      <c r="P22" s="178">
        <v>1.2999999999999999E-2</v>
      </c>
      <c r="Q22" s="178">
        <v>1.9E-2</v>
      </c>
      <c r="R22" s="178">
        <v>1.7000000000000001E-2</v>
      </c>
      <c r="S22" s="178"/>
      <c r="T22" s="641"/>
      <c r="U22" s="319">
        <f t="shared" si="29"/>
        <v>5.3750965040999983</v>
      </c>
      <c r="V22" s="319"/>
      <c r="W22" s="319"/>
      <c r="X22" s="319"/>
      <c r="Y22" s="319"/>
      <c r="Z22" s="319"/>
      <c r="AA22" s="319"/>
      <c r="AC22" s="3">
        <f t="shared" si="30"/>
        <v>2010</v>
      </c>
      <c r="AE22" s="3">
        <v>2013</v>
      </c>
      <c r="AF22" s="762">
        <v>23</v>
      </c>
      <c r="AG22" s="762">
        <f t="shared" si="12"/>
        <v>37.067478927944045</v>
      </c>
      <c r="AH22" s="762"/>
      <c r="AJ22" s="3">
        <f t="shared" si="20"/>
        <v>2006</v>
      </c>
      <c r="AK22" s="345">
        <f t="shared" si="21"/>
        <v>38838</v>
      </c>
      <c r="AL22" s="346">
        <f t="shared" si="22"/>
        <v>46.556741028128037</v>
      </c>
      <c r="AM22" s="346">
        <f t="shared" si="22"/>
        <v>31.901066925315231</v>
      </c>
      <c r="AN22" s="319">
        <f t="shared" si="18"/>
        <v>40.254801163918529</v>
      </c>
      <c r="AO22" s="305">
        <v>416</v>
      </c>
      <c r="AP22" s="305">
        <v>328</v>
      </c>
      <c r="AQ22" s="305">
        <f t="shared" si="23"/>
        <v>0.55913978494623651</v>
      </c>
      <c r="AR22" s="305">
        <f t="shared" si="24"/>
        <v>0.44086021505376344</v>
      </c>
      <c r="AV22" s="3">
        <f t="shared" si="19"/>
        <v>2006</v>
      </c>
      <c r="AW22" s="343">
        <v>38838</v>
      </c>
      <c r="AX22" s="121">
        <f t="shared" si="25"/>
        <v>6.8295667372886948</v>
      </c>
      <c r="AY22" s="122">
        <f>AY34/(1+$Q$18)</f>
        <v>6.8295667372886948</v>
      </c>
      <c r="BA22" s="3">
        <f t="shared" si="13"/>
        <v>2005</v>
      </c>
      <c r="BB22" s="343">
        <v>38442</v>
      </c>
      <c r="BC22" s="3">
        <f t="shared" si="14"/>
        <v>6.0055496690000005</v>
      </c>
      <c r="BD22" s="3">
        <v>6.0380993380000003</v>
      </c>
      <c r="BE22" s="3">
        <v>5.9729999999999999</v>
      </c>
      <c r="BG22" s="3">
        <f t="shared" si="15"/>
        <v>2009</v>
      </c>
      <c r="BH22" s="318">
        <v>39845</v>
      </c>
      <c r="BI22" s="3">
        <f t="shared" si="16"/>
        <v>13.906749999999999</v>
      </c>
      <c r="BJ22" s="3">
        <v>13.3255</v>
      </c>
      <c r="BK22" s="3">
        <v>14.488</v>
      </c>
      <c r="BL22" s="412">
        <f t="shared" si="5"/>
        <v>2015</v>
      </c>
      <c r="BM22" s="427">
        <v>42217</v>
      </c>
      <c r="BN22" s="412">
        <f t="shared" si="6"/>
        <v>2.5201612903225805</v>
      </c>
      <c r="BO22" s="458">
        <v>2.5983870967741929</v>
      </c>
      <c r="BP22" s="458">
        <v>2.4419354838709681</v>
      </c>
      <c r="BQ22" s="469">
        <f t="shared" si="7"/>
        <v>2018</v>
      </c>
      <c r="BR22" s="473">
        <v>43313</v>
      </c>
      <c r="BS22" s="469">
        <f t="shared" si="8"/>
        <v>2.4433064516129042</v>
      </c>
      <c r="BT22" s="474">
        <v>2.5282258064516143</v>
      </c>
      <c r="BU22" s="474">
        <v>2.358387096774194</v>
      </c>
      <c r="CH22" s="3">
        <v>2011</v>
      </c>
      <c r="CI22" s="344">
        <v>3.91</v>
      </c>
      <c r="CJ22" s="344">
        <v>4.01</v>
      </c>
    </row>
    <row r="23" spans="3:88">
      <c r="C23" s="3">
        <f>+C22+1</f>
        <v>2007</v>
      </c>
      <c r="D23" s="177">
        <f t="array" ref="D23">SUM((AL$18:AL$387)*(AO$18:AO$387)*($AJ$18:$AJ$387=$C23))/SUM((AO$18:AO$387)*($AJ$18:$AJ$387=$C23))</f>
        <v>69.601889250814324</v>
      </c>
      <c r="E23" s="177">
        <f t="array" ref="E23">SUM((AM$18:AM$387)*(AP$18:AP$387)*($AJ$18:$AJ$387=$C23))/SUM((AP$18:AP$387)*($AJ$18:$AJ$387=$C23))</f>
        <v>57.56770270270269</v>
      </c>
      <c r="F23" s="177">
        <f t="array" ref="F23">(SUM((AN$18:AN$387)*(AO$18:AO$387)*($AJ$18:$AJ$387=$C23))+SUM((AN$18:AN$387)*(AP$18:AP$387)*($AJ$18:$AJ$387=$C23)))/(SUM((AO$18:AO$387)*($AJ$18:$AJ$387=$C23))+SUM((AP$18:AP$387)*($AJ$18:$AJ$387=$C23)))</f>
        <v>64.461059246575331</v>
      </c>
      <c r="G23" s="177"/>
      <c r="H23" s="177"/>
      <c r="I23" s="243">
        <f t="shared" si="27"/>
        <v>4.22</v>
      </c>
      <c r="J23" s="177">
        <f t="shared" si="28"/>
        <v>4.6075531055833343</v>
      </c>
      <c r="K23" s="177">
        <f t="array" ref="K23">(SUM((AX$18:AX$387)*(AO$18:AO$387)*($AJ$18:$AJ$387=$C23))+SUM((AX$18:AX$387)*(AP$18:AP$387)*($AJ$18:$AJ$387=$C23)))/(SUM((AO$18:AO$387)*($AJ$18:$AJ$387=$C23))+SUM((AP$18:AP$387)*($AJ$18:$AJ$387=$C23)))</f>
        <v>8.0291312655031408</v>
      </c>
      <c r="L23" s="243"/>
      <c r="M23" s="243"/>
      <c r="N23" s="639"/>
      <c r="O23" s="178">
        <v>2.5999999999999999E-2</v>
      </c>
      <c r="P23" s="178">
        <v>2.5999999999999999E-2</v>
      </c>
      <c r="Q23" s="178">
        <v>1.9E-2</v>
      </c>
      <c r="R23" s="178">
        <v>1.9E-2</v>
      </c>
      <c r="S23" s="178"/>
      <c r="T23" s="641"/>
      <c r="U23" s="319">
        <f t="shared" si="29"/>
        <v>5.4772233376778976</v>
      </c>
      <c r="V23" s="319"/>
      <c r="W23" s="319"/>
      <c r="X23" s="319"/>
      <c r="Y23" s="319"/>
      <c r="Z23" s="319"/>
      <c r="AA23" s="319"/>
      <c r="AC23" s="3">
        <f t="shared" si="30"/>
        <v>2011</v>
      </c>
      <c r="AE23" s="3">
        <v>2014</v>
      </c>
      <c r="AF23" s="762">
        <v>23</v>
      </c>
      <c r="AG23" s="762">
        <f t="shared" si="12"/>
        <v>37.067478927944045</v>
      </c>
      <c r="AH23" s="762"/>
      <c r="AJ23" s="3">
        <f t="shared" si="20"/>
        <v>2006</v>
      </c>
      <c r="AK23" s="345">
        <f t="shared" si="21"/>
        <v>38869</v>
      </c>
      <c r="AL23" s="346">
        <f t="shared" si="22"/>
        <v>43.161978661493698</v>
      </c>
      <c r="AM23" s="346">
        <f t="shared" si="22"/>
        <v>30.514064015518915</v>
      </c>
      <c r="AN23" s="319">
        <f t="shared" si="18"/>
        <v>37.723375363724536</v>
      </c>
      <c r="AO23" s="305">
        <v>416</v>
      </c>
      <c r="AP23" s="305">
        <v>304</v>
      </c>
      <c r="AQ23" s="305">
        <f t="shared" si="23"/>
        <v>0.57777777777777772</v>
      </c>
      <c r="AR23" s="305">
        <f t="shared" si="24"/>
        <v>0.42222222222222222</v>
      </c>
      <c r="AV23" s="3">
        <f t="shared" si="19"/>
        <v>2006</v>
      </c>
      <c r="AW23" s="343">
        <v>38869</v>
      </c>
      <c r="AX23" s="121">
        <f t="shared" si="25"/>
        <v>6.9122733594619028</v>
      </c>
      <c r="AY23" s="122">
        <f t="shared" si="26"/>
        <v>6.9122733594619028</v>
      </c>
      <c r="BA23" s="3">
        <f t="shared" si="13"/>
        <v>2005</v>
      </c>
      <c r="BB23" s="343">
        <v>38472</v>
      </c>
      <c r="BC23" s="3">
        <f t="shared" si="14"/>
        <v>5.3331220135000006</v>
      </c>
      <c r="BD23" s="3">
        <v>5.4254084110000003</v>
      </c>
      <c r="BE23" s="3">
        <v>5.240835616</v>
      </c>
      <c r="BG23" s="3">
        <f t="shared" si="15"/>
        <v>2009</v>
      </c>
      <c r="BH23" s="318">
        <v>39873</v>
      </c>
      <c r="BI23" s="3">
        <f t="shared" si="16"/>
        <v>13.205</v>
      </c>
      <c r="BJ23" s="3">
        <v>13.01</v>
      </c>
      <c r="BK23" s="3">
        <v>13.4</v>
      </c>
      <c r="BL23" s="412">
        <f t="shared" si="5"/>
        <v>2015</v>
      </c>
      <c r="BM23" s="427">
        <v>42248</v>
      </c>
      <c r="BN23" s="412">
        <f t="shared" si="6"/>
        <v>2.5133333333333328</v>
      </c>
      <c r="BO23" s="458">
        <v>2.529833333333332</v>
      </c>
      <c r="BP23" s="458">
        <v>2.4968333333333339</v>
      </c>
      <c r="BQ23" s="469">
        <f t="shared" si="7"/>
        <v>2018</v>
      </c>
      <c r="BR23" s="473">
        <v>43344</v>
      </c>
      <c r="BS23" s="469">
        <f t="shared" si="8"/>
        <v>2.3125</v>
      </c>
      <c r="BT23" s="474">
        <v>2.3220000000000001</v>
      </c>
      <c r="BU23" s="474">
        <v>2.3029999999999999</v>
      </c>
      <c r="CH23" s="3">
        <v>2012</v>
      </c>
      <c r="CI23" s="344">
        <v>4.4000000000000004</v>
      </c>
      <c r="CJ23" s="344">
        <v>4.53</v>
      </c>
    </row>
    <row r="24" spans="3:88">
      <c r="C24" s="3">
        <f>+C23+1</f>
        <v>2008</v>
      </c>
      <c r="D24" s="177">
        <f t="array" ref="D24">SUM((AL$18:AL$387)*(AO$18:AO$387)*($AJ$18:$AJ$387=$C24))/SUM((AO$18:AO$387)*($AJ$18:$AJ$387=$C24))</f>
        <v>69.778360389610398</v>
      </c>
      <c r="E24" s="177">
        <f t="array" ref="E24">SUM((AM$18:AM$387)*(AP$18:AP$387)*($AJ$18:$AJ$387=$C24))/SUM((AP$18:AP$387)*($AJ$18:$AJ$387=$C24))</f>
        <v>57.537904564315362</v>
      </c>
      <c r="F24" s="177">
        <f t="array" ref="F24">(SUM((AN$18:AN$387)*(AO$18:AO$387)*($AJ$18:$AJ$387=$C24))+SUM((AN$18:AN$387)*(AP$18:AP$387)*($AJ$18:$AJ$387=$C24)))/(SUM((AO$18:AO$387)*($AJ$18:$AJ$387=$C24))+SUM((AP$18:AP$387)*($AJ$18:$AJ$387=$C24)))</f>
        <v>64.5269524590164</v>
      </c>
      <c r="G24" s="177"/>
      <c r="H24" s="177"/>
      <c r="I24" s="243">
        <f t="shared" si="27"/>
        <v>4.42</v>
      </c>
      <c r="J24" s="177">
        <f t="shared" si="28"/>
        <v>4.278110837291667</v>
      </c>
      <c r="K24" s="177">
        <f t="array" ref="K24">(SUM((AX$18:AX$387)*(AO$18:AO$387)*($AJ$18:$AJ$387=$C24))+SUM((AX$18:AX$387)*(AP$18:AP$387)*($AJ$18:$AJ$387=$C24)))/(SUM((AO$18:AO$387)*($AJ$18:$AJ$387=$C24))+SUM((AP$18:AP$387)*($AJ$18:$AJ$387=$C24)))</f>
        <v>7.9707205782722266</v>
      </c>
      <c r="L24" s="243">
        <f t="shared" ref="L24:L54" si="31">AVERAGEIF($BG$15:$BG$387,$C24,$BI$15:$BI$387)</f>
        <v>12.545583333333333</v>
      </c>
      <c r="M24" s="243"/>
      <c r="N24" s="639"/>
      <c r="O24" s="178">
        <v>0.02</v>
      </c>
      <c r="P24" s="178">
        <v>0.02</v>
      </c>
      <c r="Q24" s="178">
        <v>0.02</v>
      </c>
      <c r="R24" s="178">
        <v>1.9E-2</v>
      </c>
      <c r="S24" s="178"/>
      <c r="T24" s="641"/>
      <c r="U24" s="319">
        <f t="shared" si="29"/>
        <v>5.5867678044314557</v>
      </c>
      <c r="V24" s="319"/>
      <c r="W24" s="319"/>
      <c r="X24" s="319"/>
      <c r="Y24" s="319"/>
      <c r="Z24" s="319"/>
      <c r="AA24" s="319"/>
      <c r="AC24" s="3">
        <f t="shared" si="30"/>
        <v>2012</v>
      </c>
      <c r="AE24" s="3">
        <v>2015</v>
      </c>
      <c r="AF24" s="762">
        <v>23</v>
      </c>
      <c r="AG24" s="762">
        <f t="shared" si="12"/>
        <v>37.067478927944045</v>
      </c>
      <c r="AH24" s="762"/>
      <c r="AJ24" s="3">
        <f t="shared" si="20"/>
        <v>2006</v>
      </c>
      <c r="AK24" s="345">
        <f t="shared" si="21"/>
        <v>38899</v>
      </c>
      <c r="AL24" s="346">
        <f t="shared" si="22"/>
        <v>69.398642095053347</v>
      </c>
      <c r="AM24" s="346">
        <f t="shared" si="22"/>
        <v>54.122211445198836</v>
      </c>
      <c r="AN24" s="319">
        <f t="shared" si="18"/>
        <v>62.829776915615909</v>
      </c>
      <c r="AO24" s="305">
        <v>400</v>
      </c>
      <c r="AP24" s="305">
        <v>344</v>
      </c>
      <c r="AQ24" s="305">
        <f t="shared" si="23"/>
        <v>0.5376344086021505</v>
      </c>
      <c r="AR24" s="305">
        <f t="shared" si="24"/>
        <v>0.46236559139784944</v>
      </c>
      <c r="AV24" s="3">
        <f t="shared" si="19"/>
        <v>2006</v>
      </c>
      <c r="AW24" s="343">
        <v>38899</v>
      </c>
      <c r="AX24" s="121">
        <f t="shared" si="25"/>
        <v>7.0711927000346524</v>
      </c>
      <c r="AY24" s="122">
        <f t="shared" si="26"/>
        <v>7.0711927000346524</v>
      </c>
      <c r="BA24" s="3">
        <f t="shared" si="13"/>
        <v>2005</v>
      </c>
      <c r="BB24" s="343">
        <v>38503</v>
      </c>
      <c r="BC24" s="3">
        <f t="shared" si="14"/>
        <v>5.1861220135000003</v>
      </c>
      <c r="BD24" s="3">
        <v>5.278408411</v>
      </c>
      <c r="BE24" s="3">
        <v>5.0938356159999998</v>
      </c>
      <c r="BG24" s="3">
        <f t="shared" si="15"/>
        <v>2009</v>
      </c>
      <c r="BH24" s="318">
        <v>39904</v>
      </c>
      <c r="BI24" s="3">
        <f t="shared" si="16"/>
        <v>10.885000000000002</v>
      </c>
      <c r="BJ24" s="3">
        <v>11.005000000000001</v>
      </c>
      <c r="BK24" s="3">
        <v>10.765000000000001</v>
      </c>
      <c r="BL24" s="412">
        <f t="shared" si="5"/>
        <v>2015</v>
      </c>
      <c r="BM24" s="427">
        <v>42278</v>
      </c>
      <c r="BN24" s="412">
        <f t="shared" si="6"/>
        <v>2.1750806451612901</v>
      </c>
      <c r="BO24" s="458">
        <v>2.1909677419354834</v>
      </c>
      <c r="BP24" s="458">
        <v>2.1591935483870968</v>
      </c>
      <c r="BQ24" s="469">
        <f t="shared" si="7"/>
        <v>2018</v>
      </c>
      <c r="BR24" s="473">
        <v>43374</v>
      </c>
      <c r="BS24" s="469">
        <f t="shared" si="8"/>
        <v>2.125</v>
      </c>
      <c r="BT24" s="474">
        <v>2</v>
      </c>
      <c r="BU24" s="474">
        <v>2.25</v>
      </c>
      <c r="CH24" s="3">
        <v>2013</v>
      </c>
      <c r="CI24" s="344">
        <v>4.6399999999999997</v>
      </c>
      <c r="CJ24" s="344">
        <v>4.7699999999999996</v>
      </c>
    </row>
    <row r="25" spans="3:88">
      <c r="C25" s="3">
        <f t="shared" ref="C25:C69" si="32">+C24+1</f>
        <v>2009</v>
      </c>
      <c r="D25" s="177">
        <f t="array" ref="D25">SUM((AL$18:AL$387)*(AO$18:AO$387)*($AJ$18:$AJ$387=$C25))/SUM((AO$18:AO$387)*($AJ$18:$AJ$387=$C25))</f>
        <v>66.730374592833869</v>
      </c>
      <c r="E25" s="177">
        <f t="array" ref="E25">SUM((AM$18:AM$387)*(AP$18:AP$387)*($AJ$18:$AJ$387=$C25))/SUM((AP$18:AP$387)*($AJ$18:$AJ$387=$C25))</f>
        <v>54.76019750519751</v>
      </c>
      <c r="F25" s="177">
        <f t="array" ref="F25">(SUM((AN$18:AN$387)*(AO$18:AO$387)*($AJ$18:$AJ$387=$C25))+SUM((AN$18:AN$387)*(AP$18:AP$387)*($AJ$18:$AJ$387=$C25)))/(SUM((AO$18:AO$387)*($AJ$18:$AJ$387=$C25))+SUM((AP$18:AP$387)*($AJ$18:$AJ$387=$C25)))</f>
        <v>61.597048630136982</v>
      </c>
      <c r="G25" s="177"/>
      <c r="H25" s="177"/>
      <c r="I25" s="243">
        <f t="shared" si="27"/>
        <v>4.29</v>
      </c>
      <c r="J25" s="177">
        <f t="shared" si="28"/>
        <v>4.2066481892916672</v>
      </c>
      <c r="K25" s="177">
        <f t="array" ref="K25">(SUM((AX$18:AX$387)*(AO$18:AO$387)*($AJ$18:$AJ$387=$C25))+SUM((AX$18:AX$387)*(AP$18:AP$387)*($AJ$18:$AJ$387=$C25)))/(SUM((AO$18:AO$387)*($AJ$18:$AJ$387=$C25))+SUM((AP$18:AP$387)*($AJ$18:$AJ$387=$C25)))</f>
        <v>7.7758276535043622</v>
      </c>
      <c r="L25" s="243">
        <f t="shared" si="31"/>
        <v>11.848729166666667</v>
      </c>
      <c r="M25" s="243"/>
      <c r="N25" s="639"/>
      <c r="O25" s="178">
        <v>1.4999999999999999E-2</v>
      </c>
      <c r="P25" s="178">
        <v>1.4999999999999999E-2</v>
      </c>
      <c r="Q25" s="178">
        <v>1.9E-2</v>
      </c>
      <c r="R25" s="178">
        <v>1.7999999999999999E-2</v>
      </c>
      <c r="S25" s="178"/>
      <c r="T25" s="641"/>
      <c r="U25" s="319">
        <f t="shared" si="29"/>
        <v>5.6929163927156532</v>
      </c>
      <c r="V25" s="319"/>
      <c r="W25" s="319"/>
      <c r="X25" s="319"/>
      <c r="Y25" s="319"/>
      <c r="Z25" s="319"/>
      <c r="AA25" s="319"/>
      <c r="AC25" s="3">
        <f t="shared" si="30"/>
        <v>2013</v>
      </c>
      <c r="AE25" s="3">
        <v>2016</v>
      </c>
      <c r="AF25" s="762">
        <v>23</v>
      </c>
      <c r="AG25" s="762">
        <f t="shared" si="12"/>
        <v>37.067478927944045</v>
      </c>
      <c r="AH25" s="762"/>
      <c r="AJ25" s="3">
        <f t="shared" si="20"/>
        <v>2006</v>
      </c>
      <c r="AK25" s="345">
        <f t="shared" si="21"/>
        <v>38930</v>
      </c>
      <c r="AL25" s="346">
        <f t="shared" si="22"/>
        <v>81.736178467507273</v>
      </c>
      <c r="AM25" s="346">
        <f t="shared" si="22"/>
        <v>63.743937924345303</v>
      </c>
      <c r="AN25" s="319">
        <f t="shared" si="18"/>
        <v>73.999515033947631</v>
      </c>
      <c r="AO25" s="305">
        <v>432</v>
      </c>
      <c r="AP25" s="305">
        <v>312</v>
      </c>
      <c r="AQ25" s="305">
        <f t="shared" si="23"/>
        <v>0.58064516129032262</v>
      </c>
      <c r="AR25" s="305">
        <f t="shared" si="24"/>
        <v>0.41935483870967744</v>
      </c>
      <c r="AV25" s="3">
        <f t="shared" si="19"/>
        <v>2006</v>
      </c>
      <c r="AW25" s="343">
        <v>38930</v>
      </c>
      <c r="AX25" s="121">
        <f t="shared" si="25"/>
        <v>7.1601954421102452</v>
      </c>
      <c r="AY25" s="122">
        <f>AY37/(1+$Q$18)</f>
        <v>7.1601954421102452</v>
      </c>
      <c r="BA25" s="3">
        <f t="shared" si="13"/>
        <v>2005</v>
      </c>
      <c r="BB25" s="343">
        <v>38533</v>
      </c>
      <c r="BC25" s="3">
        <f t="shared" si="14"/>
        <v>5.2011220135</v>
      </c>
      <c r="BD25" s="3">
        <v>5.2934084109999997</v>
      </c>
      <c r="BE25" s="3">
        <v>5.1088356160000004</v>
      </c>
      <c r="BG25" s="3">
        <f t="shared" si="15"/>
        <v>2009</v>
      </c>
      <c r="BH25" s="318">
        <v>39934</v>
      </c>
      <c r="BI25" s="3">
        <f t="shared" si="16"/>
        <v>10.7325</v>
      </c>
      <c r="BJ25" s="3">
        <v>10.8475</v>
      </c>
      <c r="BK25" s="3">
        <v>10.6175</v>
      </c>
      <c r="BL25" s="412">
        <f t="shared" si="5"/>
        <v>2015</v>
      </c>
      <c r="BM25" s="427">
        <v>42309</v>
      </c>
      <c r="BN25" s="412">
        <f t="shared" si="6"/>
        <v>2.1590000000000003</v>
      </c>
      <c r="BO25" s="458">
        <v>2.1646666666666672</v>
      </c>
      <c r="BP25" s="458">
        <v>2.1533333333333333</v>
      </c>
      <c r="BQ25" s="469">
        <f t="shared" si="7"/>
        <v>2018</v>
      </c>
      <c r="BR25" s="473">
        <v>43405</v>
      </c>
      <c r="BS25" s="469">
        <f t="shared" si="8"/>
        <v>2.32925</v>
      </c>
      <c r="BT25" s="474">
        <v>2.3105000000000002</v>
      </c>
      <c r="BU25" s="474">
        <v>2.3479999999999999</v>
      </c>
      <c r="CH25" s="3">
        <v>2014</v>
      </c>
      <c r="CI25" s="344">
        <v>4.45</v>
      </c>
      <c r="CJ25" s="344">
        <v>4.53</v>
      </c>
    </row>
    <row r="26" spans="3:88">
      <c r="C26" s="3">
        <f t="shared" si="32"/>
        <v>2010</v>
      </c>
      <c r="D26" s="177">
        <f t="array" ref="D26">SUM((AL$18:AL$387)*(AO$18:AO$387)*($AJ$18:$AJ$387=$C26))/SUM((AO$18:AO$387)*($AJ$18:$AJ$387=$C26))</f>
        <v>62.227996742671003</v>
      </c>
      <c r="E26" s="177">
        <f t="array" ref="E26">SUM((AM$18:AM$387)*(AP$18:AP$387)*($AJ$18:$AJ$387=$C26))/SUM((AP$18:AP$387)*($AJ$18:$AJ$387=$C26))</f>
        <v>51.022224532224534</v>
      </c>
      <c r="F26" s="177">
        <f t="array" ref="F26">(SUM((AN$18:AN$387)*(AO$18:AO$387)*($AJ$18:$AJ$387=$C26))+SUM((AN$18:AN$387)*(AP$18:AP$387)*($AJ$18:$AJ$387=$C26)))/(SUM((AO$18:AO$387)*($AJ$18:$AJ$387=$C26))+SUM((AP$18:AP$387)*($AJ$18:$AJ$387=$C26)))</f>
        <v>57.41954863013698</v>
      </c>
      <c r="G26" s="177"/>
      <c r="H26" s="177"/>
      <c r="I26" s="243">
        <f t="shared" si="27"/>
        <v>3.77</v>
      </c>
      <c r="J26" s="177">
        <f t="shared" si="28"/>
        <v>4.3357920622499995</v>
      </c>
      <c r="K26" s="177">
        <f t="array" ref="K26">(SUM((AX$18:AX$387)*(AO$18:AO$387)*($AJ$18:$AJ$387=$C26))+SUM((AX$18:AX$387)*(AP$18:AP$387)*($AJ$18:$AJ$387=$C26)))/(SUM((AO$18:AO$387)*($AJ$18:$AJ$387=$C26))+SUM((AP$18:AP$387)*($AJ$18:$AJ$387=$C26)))</f>
        <v>7.4774457529777205</v>
      </c>
      <c r="L26" s="243">
        <f t="shared" si="31"/>
        <v>10.836874999999999</v>
      </c>
      <c r="M26" s="243"/>
      <c r="N26" s="639"/>
      <c r="O26" s="178">
        <v>1.7000000000000001E-2</v>
      </c>
      <c r="P26" s="178">
        <v>1.7000000000000001E-2</v>
      </c>
      <c r="Q26" s="178">
        <v>1.7999999999999999E-2</v>
      </c>
      <c r="R26" s="178">
        <v>1.7999999999999999E-2</v>
      </c>
      <c r="S26" s="178"/>
      <c r="T26" s="641"/>
      <c r="U26" s="319">
        <f t="shared" si="29"/>
        <v>5.7953888877845348</v>
      </c>
      <c r="V26" s="319">
        <v>3.06</v>
      </c>
      <c r="W26" s="319">
        <v>0.77</v>
      </c>
      <c r="X26" s="319">
        <v>0.77</v>
      </c>
      <c r="Y26" s="319"/>
      <c r="Z26" s="319"/>
      <c r="AA26" s="319"/>
      <c r="AC26" s="3">
        <f t="shared" si="30"/>
        <v>2014</v>
      </c>
      <c r="AE26" s="3">
        <v>2017</v>
      </c>
      <c r="AF26" s="762">
        <v>24</v>
      </c>
      <c r="AG26" s="762">
        <f t="shared" si="12"/>
        <v>38.679108446550309</v>
      </c>
      <c r="AH26" s="762"/>
      <c r="AJ26" s="3">
        <f t="shared" si="20"/>
        <v>2006</v>
      </c>
      <c r="AK26" s="345">
        <f t="shared" si="21"/>
        <v>38961</v>
      </c>
      <c r="AL26" s="122">
        <v>56.25</v>
      </c>
      <c r="AM26" s="122">
        <v>46</v>
      </c>
      <c r="AN26" s="319">
        <f>AL26*0.57+AM26*0.43</f>
        <v>51.842500000000001</v>
      </c>
      <c r="AO26" s="305">
        <v>400</v>
      </c>
      <c r="AP26" s="305">
        <v>320</v>
      </c>
      <c r="AQ26" s="305">
        <f t="shared" si="23"/>
        <v>0.55555555555555558</v>
      </c>
      <c r="AR26" s="305">
        <f t="shared" si="24"/>
        <v>0.44444444444444442</v>
      </c>
      <c r="AV26" s="3">
        <f t="shared" si="19"/>
        <v>2006</v>
      </c>
      <c r="AW26" s="343">
        <v>38961</v>
      </c>
      <c r="AX26" s="121">
        <f t="shared" si="25"/>
        <v>4.9205655247417077</v>
      </c>
      <c r="AY26" s="122">
        <v>4.9205655247417077</v>
      </c>
      <c r="BA26" s="3">
        <f t="shared" si="13"/>
        <v>2005</v>
      </c>
      <c r="BB26" s="343">
        <v>38564</v>
      </c>
      <c r="BC26" s="3">
        <f t="shared" si="14"/>
        <v>5.2411220135000001</v>
      </c>
      <c r="BD26" s="3">
        <v>5.3334084109999997</v>
      </c>
      <c r="BE26" s="3">
        <v>5.1488356160000004</v>
      </c>
      <c r="BG26" s="3">
        <f t="shared" si="15"/>
        <v>2009</v>
      </c>
      <c r="BH26" s="318">
        <v>39965</v>
      </c>
      <c r="BI26" s="3">
        <f t="shared" si="16"/>
        <v>10.84</v>
      </c>
      <c r="BJ26" s="3">
        <v>10.952500000000001</v>
      </c>
      <c r="BK26" s="3">
        <v>10.727499999999999</v>
      </c>
      <c r="BL26" s="412">
        <f t="shared" si="5"/>
        <v>2015</v>
      </c>
      <c r="BM26" s="427">
        <v>42339</v>
      </c>
      <c r="BN26" s="412">
        <f t="shared" si="6"/>
        <v>2.1495967741935482</v>
      </c>
      <c r="BO26" s="458">
        <v>2.1637096774193543</v>
      </c>
      <c r="BP26" s="458">
        <v>2.1354838709677426</v>
      </c>
      <c r="BQ26" s="469">
        <f t="shared" si="7"/>
        <v>2018</v>
      </c>
      <c r="BR26" s="473">
        <v>43435</v>
      </c>
      <c r="BS26" s="469">
        <f t="shared" si="8"/>
        <v>2.8347500000000001</v>
      </c>
      <c r="BT26" s="474">
        <v>2.4485000000000001</v>
      </c>
      <c r="BU26" s="474">
        <v>3.2210000000000001</v>
      </c>
      <c r="CH26" s="3">
        <v>2015</v>
      </c>
      <c r="CI26" s="344">
        <v>4.88</v>
      </c>
      <c r="CJ26" s="344">
        <v>4.97</v>
      </c>
    </row>
    <row r="27" spans="3:88">
      <c r="C27" s="3">
        <f t="shared" si="32"/>
        <v>2011</v>
      </c>
      <c r="D27" s="177">
        <f t="array" ref="D27">SUM((AL$18:AL$387)*(AO$18:AO$387)*($AJ$18:$AJ$387=$C27))/SUM((AO$18:AO$387)*($AJ$18:$AJ$387=$C27))</f>
        <v>58.269169381107488</v>
      </c>
      <c r="E27" s="177">
        <f t="array" ref="E27">SUM((AM$18:AM$387)*(AP$18:AP$387)*($AJ$18:$AJ$387=$C27))/SUM((AP$18:AP$387)*($AJ$18:$AJ$387=$C27))</f>
        <v>47.480977130977131</v>
      </c>
      <c r="F27" s="177">
        <f t="array" ref="F27">(SUM((AN$18:AN$387)*(AO$18:AO$387)*($AJ$18:$AJ$387=$C27))+SUM((AN$18:AN$387)*(AP$18:AP$387)*($AJ$18:$AJ$387=$C27)))/(SUM((AO$18:AO$387)*($AJ$18:$AJ$387=$C27))+SUM((AP$18:AP$387)*($AJ$18:$AJ$387=$C27)))</f>
        <v>53.634548630136983</v>
      </c>
      <c r="G27" s="177"/>
      <c r="H27" s="177"/>
      <c r="I27" s="243">
        <f t="shared" si="27"/>
        <v>3.91</v>
      </c>
      <c r="J27" s="177">
        <f t="shared" si="28"/>
        <v>4.395833333333333</v>
      </c>
      <c r="K27" s="177">
        <f t="array" ref="K27">(SUM((AX$18:AX$387)*(AO$18:AO$387)*($AJ$18:$AJ$387=$C27))+SUM((AX$18:AX$387)*(AP$18:AP$387)*($AJ$18:$AJ$387=$C27)))/(SUM((AO$18:AO$387)*($AJ$18:$AJ$387=$C27))+SUM((AP$18:AP$387)*($AJ$18:$AJ$387=$C27)))</f>
        <v>7.0821436233211914</v>
      </c>
      <c r="L27" s="243">
        <f t="shared" si="31"/>
        <v>10.419479166666667</v>
      </c>
      <c r="M27" s="243"/>
      <c r="N27" s="639"/>
      <c r="O27" s="178">
        <v>6.0000000000000001E-3</v>
      </c>
      <c r="P27" s="178">
        <v>6.0000000000000001E-3</v>
      </c>
      <c r="Q27" s="178">
        <v>1.7999999999999999E-2</v>
      </c>
      <c r="R27" s="178">
        <v>1.9E-2</v>
      </c>
      <c r="S27" s="178"/>
      <c r="T27" s="641"/>
      <c r="U27" s="319">
        <f t="shared" si="29"/>
        <v>5.8997058877646564</v>
      </c>
      <c r="V27" s="319">
        <f>V26*(1+Q27)</f>
        <v>3.1150800000000003</v>
      </c>
      <c r="W27" s="319">
        <f>W26*(1+Q27)</f>
        <v>0.78386</v>
      </c>
      <c r="X27" s="319">
        <f>X26*(1+R27)</f>
        <v>0.78462999999999994</v>
      </c>
      <c r="Y27" s="319"/>
      <c r="Z27" s="319"/>
      <c r="AA27" s="319"/>
      <c r="AC27" s="3">
        <f t="shared" si="30"/>
        <v>2015</v>
      </c>
      <c r="AE27" s="3">
        <v>2018</v>
      </c>
      <c r="AF27" s="762">
        <v>24</v>
      </c>
      <c r="AG27" s="762">
        <f t="shared" si="12"/>
        <v>38.679108446550309</v>
      </c>
      <c r="AH27" s="762">
        <f t="shared" ref="AH27:AH49" si="33">+AF27/(1-AH$15)</f>
        <v>31.824751700635172</v>
      </c>
      <c r="AJ27" s="3">
        <f t="shared" si="20"/>
        <v>2006</v>
      </c>
      <c r="AK27" s="345">
        <f t="shared" si="21"/>
        <v>38991</v>
      </c>
      <c r="AL27" s="122">
        <v>49.75</v>
      </c>
      <c r="AM27" s="122">
        <v>42</v>
      </c>
      <c r="AN27" s="319">
        <f t="shared" ref="AN27:AN91" si="34">AL27*0.57+AM27*0.43</f>
        <v>46.417499999999997</v>
      </c>
      <c r="AO27" s="305">
        <v>416</v>
      </c>
      <c r="AP27" s="305">
        <v>328</v>
      </c>
      <c r="AQ27" s="305">
        <f t="shared" si="23"/>
        <v>0.55913978494623651</v>
      </c>
      <c r="AR27" s="305">
        <f t="shared" si="24"/>
        <v>0.44086021505376344</v>
      </c>
      <c r="AV27" s="3">
        <f t="shared" si="19"/>
        <v>2006</v>
      </c>
      <c r="AW27" s="343">
        <v>38991</v>
      </c>
      <c r="AX27" s="121">
        <f t="shared" si="25"/>
        <v>4.9712044589450795</v>
      </c>
      <c r="AY27" s="122">
        <v>4.9712044589450795</v>
      </c>
      <c r="BA27" s="3">
        <f t="shared" si="13"/>
        <v>2005</v>
      </c>
      <c r="BB27" s="343">
        <v>38595</v>
      </c>
      <c r="BC27" s="3">
        <f t="shared" si="14"/>
        <v>5.2561220135000006</v>
      </c>
      <c r="BD27" s="3">
        <v>5.3484084110000003</v>
      </c>
      <c r="BE27" s="3">
        <v>5.1638356160000001</v>
      </c>
      <c r="BG27" s="3">
        <f t="shared" si="15"/>
        <v>2009</v>
      </c>
      <c r="BH27" s="318">
        <v>39995</v>
      </c>
      <c r="BI27" s="3">
        <f t="shared" si="16"/>
        <v>10.99925</v>
      </c>
      <c r="BJ27" s="3">
        <v>11.0505</v>
      </c>
      <c r="BK27" s="3">
        <v>10.948</v>
      </c>
      <c r="BL27" s="412">
        <f t="shared" si="5"/>
        <v>2016</v>
      </c>
      <c r="BM27" s="427">
        <v>42370</v>
      </c>
      <c r="BN27" s="412">
        <f t="shared" si="6"/>
        <v>2.271854838709678</v>
      </c>
      <c r="BO27" s="458">
        <v>2.2696774193548386</v>
      </c>
      <c r="BP27" s="458">
        <v>2.2740322580645169</v>
      </c>
      <c r="BQ27" s="469">
        <f t="shared" si="7"/>
        <v>2019</v>
      </c>
      <c r="BR27" s="473">
        <v>43466</v>
      </c>
      <c r="BS27" s="469">
        <f t="shared" si="8"/>
        <v>2.8815</v>
      </c>
      <c r="BT27" s="474">
        <v>2.5590000000000002</v>
      </c>
      <c r="BU27" s="474">
        <v>3.2040000000000002</v>
      </c>
      <c r="CH27" s="3">
        <v>2016</v>
      </c>
      <c r="CI27" s="344">
        <v>5.0999999999999996</v>
      </c>
      <c r="CJ27" s="344">
        <v>5.2</v>
      </c>
    </row>
    <row r="28" spans="3:88">
      <c r="C28" s="3">
        <f t="shared" si="32"/>
        <v>2012</v>
      </c>
      <c r="D28" s="177">
        <f t="array" ref="D28">SUM((AL$18:AL$387)*(AO$18:AO$387)*($AJ$18:$AJ$387=$C28))/SUM((AO$18:AO$387)*($AJ$18:$AJ$387=$C28))</f>
        <v>55.031872964169381</v>
      </c>
      <c r="E28" s="177">
        <f t="array" ref="E28">SUM((AM$18:AM$387)*(AP$18:AP$387)*($AJ$18:$AJ$387=$C28))/SUM((AP$18:AP$387)*($AJ$18:$AJ$387=$C28))</f>
        <v>45.94305268595042</v>
      </c>
      <c r="F28" s="177">
        <f t="array" ref="F28">(SUM((AN$18:AN$387)*(AO$18:AO$387)*($AJ$18:$AJ$387=$C28))+SUM((AN$18:AN$387)*(AP$18:AP$387)*($AJ$18:$AJ$387=$C28)))/(SUM((AO$18:AO$387)*($AJ$18:$AJ$387=$C28))+SUM((AP$18:AP$387)*($AJ$18:$AJ$387=$C28)))</f>
        <v>51.146028415300542</v>
      </c>
      <c r="G28" s="177"/>
      <c r="H28" s="177"/>
      <c r="I28" s="243">
        <f t="shared" si="27"/>
        <v>4.4000000000000004</v>
      </c>
      <c r="J28" s="177">
        <f t="shared" si="28"/>
        <v>4.4341666666666661</v>
      </c>
      <c r="K28" s="177">
        <f t="array" ref="K28">(SUM((AX$18:AX$387)*(AO$18:AO$387)*($AJ$18:$AJ$387=$C28))+SUM((AX$18:AX$387)*(AP$18:AP$387)*($AJ$18:$AJ$387=$C28)))/(SUM((AO$18:AO$387)*($AJ$18:$AJ$387=$C28))+SUM((AP$18:AP$387)*($AJ$18:$AJ$387=$C28)))</f>
        <v>6.7024699037828679</v>
      </c>
      <c r="L28" s="243">
        <f t="shared" si="31"/>
        <v>10.428681771666666</v>
      </c>
      <c r="M28" s="243"/>
      <c r="N28" s="639"/>
      <c r="O28" s="178">
        <v>1.2999999999999999E-2</v>
      </c>
      <c r="P28" s="178">
        <v>1.2E-2</v>
      </c>
      <c r="Q28" s="178">
        <v>1.7999999999999999E-2</v>
      </c>
      <c r="R28" s="178">
        <v>0.02</v>
      </c>
      <c r="S28" s="178"/>
      <c r="T28" s="641"/>
      <c r="U28" s="319">
        <f t="shared" si="29"/>
        <v>6.0059005937444203</v>
      </c>
      <c r="V28" s="319">
        <f t="shared" ref="V28:V54" si="35">V27*(1+Q28)</f>
        <v>3.1711514400000005</v>
      </c>
      <c r="W28" s="319">
        <f t="shared" ref="W28:W62" si="36">W27*(1+Q28)</f>
        <v>0.79796948000000001</v>
      </c>
      <c r="X28" s="319">
        <f t="shared" ref="X28:X54" si="37">X27*(1+R28)</f>
        <v>0.8003226</v>
      </c>
      <c r="Y28" s="319"/>
      <c r="Z28" s="319"/>
      <c r="AA28" s="319"/>
      <c r="AC28" s="3">
        <f t="shared" si="30"/>
        <v>2016</v>
      </c>
      <c r="AE28" s="3">
        <v>2019</v>
      </c>
      <c r="AF28" s="762">
        <v>25</v>
      </c>
      <c r="AG28" s="762">
        <f t="shared" si="12"/>
        <v>40.290737965156573</v>
      </c>
      <c r="AH28" s="762">
        <f t="shared" si="33"/>
        <v>33.150783021494966</v>
      </c>
      <c r="AJ28" s="3">
        <f t="shared" si="20"/>
        <v>2006</v>
      </c>
      <c r="AK28" s="345">
        <f t="shared" si="21"/>
        <v>39022</v>
      </c>
      <c r="AL28" s="122">
        <v>63</v>
      </c>
      <c r="AM28" s="122">
        <v>52.92</v>
      </c>
      <c r="AN28" s="319">
        <f t="shared" si="34"/>
        <v>58.665599999999998</v>
      </c>
      <c r="AO28" s="305">
        <v>400</v>
      </c>
      <c r="AP28" s="305">
        <v>320</v>
      </c>
      <c r="AQ28" s="305">
        <f t="shared" si="23"/>
        <v>0.55555555555555558</v>
      </c>
      <c r="AR28" s="305">
        <f t="shared" si="24"/>
        <v>0.44444444444444442</v>
      </c>
      <c r="AV28" s="3">
        <f t="shared" si="19"/>
        <v>2006</v>
      </c>
      <c r="AW28" s="343">
        <v>39022</v>
      </c>
      <c r="AX28" s="121">
        <f t="shared" si="25"/>
        <v>6.8752623708537257</v>
      </c>
      <c r="AY28" s="122">
        <v>6.8752623708537257</v>
      </c>
      <c r="BA28" s="3">
        <f t="shared" si="13"/>
        <v>2005</v>
      </c>
      <c r="BB28" s="343">
        <v>38625</v>
      </c>
      <c r="BC28" s="3">
        <f t="shared" si="14"/>
        <v>5.2391220134999994</v>
      </c>
      <c r="BD28" s="3">
        <v>5.331408411</v>
      </c>
      <c r="BE28" s="3">
        <v>5.1468356159999997</v>
      </c>
      <c r="BG28" s="3">
        <f t="shared" si="15"/>
        <v>2009</v>
      </c>
      <c r="BH28" s="318">
        <v>40026</v>
      </c>
      <c r="BI28" s="3">
        <f t="shared" si="16"/>
        <v>11.112500000000001</v>
      </c>
      <c r="BJ28" s="3">
        <v>11.145</v>
      </c>
      <c r="BK28" s="3">
        <v>11.08</v>
      </c>
      <c r="BL28" s="412">
        <f t="shared" si="5"/>
        <v>2016</v>
      </c>
      <c r="BM28" s="427">
        <v>42401</v>
      </c>
      <c r="BN28" s="412">
        <f t="shared" si="6"/>
        <v>1.6898275862068965</v>
      </c>
      <c r="BO28" s="458">
        <v>1.7268965517241381</v>
      </c>
      <c r="BP28" s="458">
        <v>1.6527586206896552</v>
      </c>
      <c r="BQ28" s="469">
        <f t="shared" si="7"/>
        <v>2019</v>
      </c>
      <c r="BR28" s="473">
        <v>43497</v>
      </c>
      <c r="BS28" s="469">
        <f t="shared" si="8"/>
        <v>2.5324999999999998</v>
      </c>
      <c r="BT28" s="474">
        <v>2.4449999999999998</v>
      </c>
      <c r="BU28" s="474">
        <v>2.62</v>
      </c>
      <c r="CH28" s="3">
        <v>2017</v>
      </c>
      <c r="CI28" s="344">
        <v>5.22</v>
      </c>
      <c r="CJ28" s="344">
        <v>5.32</v>
      </c>
    </row>
    <row r="29" spans="3:88">
      <c r="C29" s="3">
        <f t="shared" si="32"/>
        <v>2013</v>
      </c>
      <c r="D29" s="177">
        <f t="array" ref="D29">SUM((AL$18:AL$387)*(AO$18:AO$387)*($AJ$18:$AJ$387=$C29))/SUM((AO$18:AO$387)*($AJ$18:$AJ$387=$C29))</f>
        <v>54.365325732899016</v>
      </c>
      <c r="E29" s="177">
        <f t="array" ref="E29">SUM((AM$18:AM$387)*(AP$18:AP$387)*($AJ$18:$AJ$387=$C29))/SUM((AP$18:AP$387)*($AJ$18:$AJ$387=$C29))</f>
        <v>45.07450623700624</v>
      </c>
      <c r="F29" s="177">
        <f t="array" ref="F29">(SUM((AN$18:AN$387)*(AO$18:AO$387)*($AJ$18:$AJ$387=$C29))+SUM((AN$18:AN$387)*(AP$18:AP$387)*($AJ$18:$AJ$387=$C29)))/(SUM((AO$18:AO$387)*($AJ$18:$AJ$387=$C29))+SUM((AP$18:AP$387)*($AJ$18:$AJ$387=$C29)))</f>
        <v>50.379454999999993</v>
      </c>
      <c r="G29" s="177"/>
      <c r="H29" s="177"/>
      <c r="I29" s="243">
        <f t="shared" si="27"/>
        <v>4.6399999999999997</v>
      </c>
      <c r="J29" s="177">
        <f t="shared" si="28"/>
        <v>4.5629166666666672</v>
      </c>
      <c r="K29" s="177">
        <f t="array" ref="K29">(SUM((AX$18:AX$387)*(AO$18:AO$387)*($AJ$18:$AJ$387=$C29))+SUM((AX$18:AX$387)*(AP$18:AP$387)*($AJ$18:$AJ$387=$C29)))/(SUM((AO$18:AO$387)*($AJ$18:$AJ$387=$C29))+SUM((AP$18:AP$387)*($AJ$18:$AJ$387=$C29)))</f>
        <v>6.6994948806584134</v>
      </c>
      <c r="L29" s="243">
        <f t="shared" si="31"/>
        <v>10.632848438333333</v>
      </c>
      <c r="M29" s="243"/>
      <c r="N29" s="639"/>
      <c r="O29" s="178">
        <v>1.9E-2</v>
      </c>
      <c r="P29" s="178">
        <v>0.02</v>
      </c>
      <c r="Q29" s="178">
        <v>1.7999999999999999E-2</v>
      </c>
      <c r="R29" s="178">
        <v>0.02</v>
      </c>
      <c r="S29" s="178"/>
      <c r="T29" s="641"/>
      <c r="U29" s="319">
        <f t="shared" si="29"/>
        <v>6.1140068044318197</v>
      </c>
      <c r="V29" s="319">
        <f t="shared" si="35"/>
        <v>3.2282321659200006</v>
      </c>
      <c r="W29" s="319">
        <f t="shared" si="36"/>
        <v>0.81233293064000001</v>
      </c>
      <c r="X29" s="319">
        <f t="shared" si="37"/>
        <v>0.81632905200000005</v>
      </c>
      <c r="Y29" s="319"/>
      <c r="Z29" s="319"/>
      <c r="AA29" s="319"/>
      <c r="AC29" s="3">
        <f t="shared" si="30"/>
        <v>2017</v>
      </c>
      <c r="AE29" s="3">
        <v>2020</v>
      </c>
      <c r="AF29" s="762">
        <v>25</v>
      </c>
      <c r="AG29" s="762">
        <f t="shared" si="12"/>
        <v>40.290737965156573</v>
      </c>
      <c r="AH29" s="762">
        <f t="shared" si="33"/>
        <v>33.150783021494966</v>
      </c>
      <c r="AJ29" s="3">
        <f t="shared" si="20"/>
        <v>2006</v>
      </c>
      <c r="AK29" s="345">
        <f t="shared" si="21"/>
        <v>39052</v>
      </c>
      <c r="AL29" s="122">
        <v>75.599999999999994</v>
      </c>
      <c r="AM29" s="122">
        <v>66.959999999999994</v>
      </c>
      <c r="AN29" s="319">
        <f t="shared" si="34"/>
        <v>71.884799999999984</v>
      </c>
      <c r="AO29" s="305">
        <v>400</v>
      </c>
      <c r="AP29" s="305">
        <v>344</v>
      </c>
      <c r="AQ29" s="305">
        <f t="shared" si="23"/>
        <v>0.5376344086021505</v>
      </c>
      <c r="AR29" s="305">
        <f t="shared" si="24"/>
        <v>0.46236559139784944</v>
      </c>
      <c r="AV29" s="3">
        <f t="shared" si="19"/>
        <v>2006</v>
      </c>
      <c r="AW29" s="343">
        <v>39052</v>
      </c>
      <c r="AX29" s="121">
        <f t="shared" si="25"/>
        <v>8.5881498096791731</v>
      </c>
      <c r="AY29" s="122">
        <v>8.5881498096791731</v>
      </c>
      <c r="BA29" s="3">
        <f t="shared" si="13"/>
        <v>2005</v>
      </c>
      <c r="BB29" s="343">
        <v>38656</v>
      </c>
      <c r="BC29" s="3">
        <f t="shared" si="14"/>
        <v>5.2591220135000007</v>
      </c>
      <c r="BD29" s="3">
        <v>5.3514084110000004</v>
      </c>
      <c r="BE29" s="3">
        <v>5.1668356160000002</v>
      </c>
      <c r="BG29" s="3">
        <f t="shared" si="15"/>
        <v>2009</v>
      </c>
      <c r="BH29" s="318">
        <v>40057</v>
      </c>
      <c r="BI29" s="3">
        <f t="shared" si="16"/>
        <v>11.055</v>
      </c>
      <c r="BJ29" s="3">
        <v>11.14</v>
      </c>
      <c r="BK29" s="3">
        <v>10.97</v>
      </c>
      <c r="BL29" s="412">
        <f t="shared" si="5"/>
        <v>2016</v>
      </c>
      <c r="BM29" s="427">
        <v>42430</v>
      </c>
      <c r="BN29" s="412">
        <f t="shared" si="6"/>
        <v>1.4091129032258063</v>
      </c>
      <c r="BO29" s="458">
        <v>1.425806451612903</v>
      </c>
      <c r="BP29" s="458">
        <v>1.3924193548387096</v>
      </c>
      <c r="BQ29" s="469">
        <f t="shared" si="7"/>
        <v>2019</v>
      </c>
      <c r="BR29" s="473">
        <v>43525</v>
      </c>
      <c r="BS29" s="469">
        <f t="shared" si="8"/>
        <v>2.0255000000000001</v>
      </c>
      <c r="BT29" s="474">
        <v>2.0179999999999998</v>
      </c>
      <c r="BU29" s="474">
        <v>2.0329999999999999</v>
      </c>
      <c r="CH29" s="3">
        <v>2018</v>
      </c>
      <c r="CI29" s="344">
        <v>5.34</v>
      </c>
      <c r="CJ29" s="344">
        <v>5.44</v>
      </c>
    </row>
    <row r="30" spans="3:88">
      <c r="C30" s="3">
        <f t="shared" si="32"/>
        <v>2014</v>
      </c>
      <c r="D30" s="177">
        <f t="array" ref="D30">SUM((AL$18:AL$387)*(AO$18:AO$387)*($AJ$18:$AJ$387=$C30))/SUM((AO$18:AO$387)*($AJ$18:$AJ$387=$C30))</f>
        <v>55.048241042345268</v>
      </c>
      <c r="E30" s="177">
        <f t="array" ref="E30">SUM((AM$18:AM$387)*(AP$18:AP$387)*($AJ$18:$AJ$387=$C30))/SUM((AP$18:AP$387)*($AJ$18:$AJ$387=$C30))</f>
        <v>45.659729729729733</v>
      </c>
      <c r="F30" s="177">
        <f t="array" ref="F30">(SUM((AN$18:AN$387)*(AO$18:AO$387)*($AJ$18:$AJ$387=$C30))+SUM((AN$18:AN$387)*(AP$18:AP$387)*($AJ$18:$AJ$387=$C30)))/(SUM((AO$18:AO$387)*($AJ$18:$AJ$387=$C30))+SUM((AP$18:AP$387)*($AJ$18:$AJ$387=$C30)))</f>
        <v>51.016862739726022</v>
      </c>
      <c r="G30" s="177"/>
      <c r="H30" s="177"/>
      <c r="I30" s="243">
        <f t="shared" si="27"/>
        <v>4.45</v>
      </c>
      <c r="J30" s="177">
        <f t="shared" si="28"/>
        <v>4.7508333333333326</v>
      </c>
      <c r="K30" s="177">
        <f t="array" ref="K30">(SUM((AX$18:AX$387)*(AO$18:AO$387)*($AJ$18:$AJ$387=$C30))+SUM((AX$18:AX$387)*(AP$18:AP$387)*($AJ$18:$AJ$387=$C30)))/(SUM((AO$18:AO$387)*($AJ$18:$AJ$387=$C30))+SUM((AP$18:AP$387)*($AJ$18:$AJ$387=$C30)))</f>
        <v>6.9140085811973453</v>
      </c>
      <c r="L30" s="243">
        <f t="shared" si="31"/>
        <v>10.346954939583332</v>
      </c>
      <c r="M30" s="243"/>
      <c r="N30" s="639"/>
      <c r="O30" s="178">
        <v>1.7999999999999999E-2</v>
      </c>
      <c r="P30" s="178">
        <v>2.4E-2</v>
      </c>
      <c r="Q30" s="178">
        <v>1.7999999999999999E-2</v>
      </c>
      <c r="R30" s="178">
        <v>0.02</v>
      </c>
      <c r="S30" s="178"/>
      <c r="T30" s="641"/>
      <c r="U30" s="319">
        <f t="shared" si="29"/>
        <v>6.2240589269115922</v>
      </c>
      <c r="V30" s="319">
        <f t="shared" si="35"/>
        <v>3.2863403449065607</v>
      </c>
      <c r="W30" s="319">
        <f t="shared" si="36"/>
        <v>0.82695492339151999</v>
      </c>
      <c r="X30" s="319">
        <f t="shared" si="37"/>
        <v>0.83265563304000012</v>
      </c>
      <c r="Y30" s="319"/>
      <c r="Z30" s="319"/>
      <c r="AA30" s="319"/>
      <c r="AC30" s="3">
        <f t="shared" si="30"/>
        <v>2018</v>
      </c>
      <c r="AE30" s="3">
        <v>2021</v>
      </c>
      <c r="AF30" s="762">
        <v>26</v>
      </c>
      <c r="AG30" s="762">
        <f t="shared" si="12"/>
        <v>41.902367483762831</v>
      </c>
      <c r="AH30" s="762">
        <f t="shared" si="33"/>
        <v>34.476814342354771</v>
      </c>
      <c r="AJ30" s="3">
        <f t="shared" si="20"/>
        <v>2007</v>
      </c>
      <c r="AK30" s="345">
        <f t="shared" si="21"/>
        <v>39083</v>
      </c>
      <c r="AL30" s="122">
        <v>80.459999999999994</v>
      </c>
      <c r="AM30" s="122">
        <v>72.484999999999999</v>
      </c>
      <c r="AN30" s="319">
        <f t="shared" si="34"/>
        <v>77.030749999999998</v>
      </c>
      <c r="AO30" s="305">
        <v>416</v>
      </c>
      <c r="AP30" s="305">
        <v>328</v>
      </c>
      <c r="AQ30" s="305">
        <f t="shared" si="23"/>
        <v>0.55913978494623651</v>
      </c>
      <c r="AR30" s="305">
        <f t="shared" si="24"/>
        <v>0.44086021505376344</v>
      </c>
      <c r="AV30" s="3">
        <f>+YEAR(AW30)</f>
        <v>2007</v>
      </c>
      <c r="AW30" s="343">
        <v>39083</v>
      </c>
      <c r="AX30" s="121">
        <f t="shared" si="25"/>
        <v>9.2117903752039147</v>
      </c>
      <c r="AY30" s="122">
        <v>9.2117903752039147</v>
      </c>
      <c r="BA30" s="3">
        <f t="shared" si="13"/>
        <v>2005</v>
      </c>
      <c r="BB30" s="343">
        <v>38686</v>
      </c>
      <c r="BC30" s="3">
        <f t="shared" si="14"/>
        <v>5.421599133</v>
      </c>
      <c r="BD30" s="3">
        <v>5.5163626499999996</v>
      </c>
      <c r="BE30" s="3">
        <v>5.3268356160000003</v>
      </c>
      <c r="BG30" s="3">
        <f t="shared" si="15"/>
        <v>2009</v>
      </c>
      <c r="BH30" s="318">
        <v>40087</v>
      </c>
      <c r="BI30" s="3">
        <f t="shared" si="16"/>
        <v>11.12125</v>
      </c>
      <c r="BJ30" s="3">
        <v>11.115</v>
      </c>
      <c r="BK30" s="3">
        <v>11.1275</v>
      </c>
      <c r="BL30" s="412">
        <f t="shared" si="5"/>
        <v>2016</v>
      </c>
      <c r="BM30" s="427">
        <v>42461</v>
      </c>
      <c r="BN30" s="412">
        <f t="shared" si="6"/>
        <v>1.4209999999999998</v>
      </c>
      <c r="BO30" s="458">
        <v>1.5316666666666667</v>
      </c>
      <c r="BP30" s="458">
        <v>1.3103333333333331</v>
      </c>
      <c r="BQ30" s="469">
        <f t="shared" si="7"/>
        <v>2019</v>
      </c>
      <c r="BR30" s="473">
        <v>43556</v>
      </c>
      <c r="BS30" s="469">
        <f t="shared" si="8"/>
        <v>1.5285</v>
      </c>
      <c r="BT30" s="474">
        <v>1.5985</v>
      </c>
      <c r="BU30" s="474">
        <v>1.4584999999999999</v>
      </c>
      <c r="CH30" s="3">
        <v>2019</v>
      </c>
      <c r="CI30" s="344">
        <v>5.46</v>
      </c>
      <c r="CJ30" s="344">
        <v>5.57</v>
      </c>
    </row>
    <row r="31" spans="3:88">
      <c r="C31" s="3">
        <f t="shared" si="32"/>
        <v>2015</v>
      </c>
      <c r="D31" s="177">
        <f t="array" ref="D31">SUM((AL$18:AL$387)*(AO$18:AO$387)*($AJ$18:$AJ$387=$C31))/SUM((AO$18:AO$387)*($AJ$18:$AJ$387=$C31))</f>
        <v>59.510325732899027</v>
      </c>
      <c r="E31" s="177">
        <f t="array" ref="E31">SUM((AM$18:AM$387)*(AP$18:AP$387)*($AJ$18:$AJ$387=$C31))/SUM((AP$18:AP$387)*($AJ$18:$AJ$387=$C31))</f>
        <v>49.937941787941796</v>
      </c>
      <c r="F31" s="177">
        <f t="array" ref="F31">(SUM((AN$18:AN$387)*(AO$18:AO$387)*($AJ$18:$AJ$387=$C31))+SUM((AN$18:AN$387)*(AP$18:AP$387)*($AJ$18:$AJ$387=$C31)))/(SUM((AO$18:AO$387)*($AJ$18:$AJ$387=$C31))+SUM((AP$18:AP$387)*($AJ$18:$AJ$387=$C31)))</f>
        <v>55.392994520547944</v>
      </c>
      <c r="G31" s="243">
        <f t="shared" ref="G31:G58" si="38">AVERAGEIF($BL$15:$BL$387,$C31,$BN$15:$BN$387)</f>
        <v>2.3686730190732201</v>
      </c>
      <c r="H31" s="243"/>
      <c r="I31" s="243">
        <f t="shared" si="27"/>
        <v>4.88</v>
      </c>
      <c r="J31" s="177">
        <f t="shared" si="28"/>
        <v>4.8512499999999994</v>
      </c>
      <c r="K31" s="177">
        <f t="array" ref="K31">(SUM((AX$18:AX$387)*(AO$18:AO$387)*($AJ$18:$AJ$387=$C31))+SUM((AX$18:AX$387)*(AP$18:AP$387)*($AJ$18:$AJ$387=$C31)))/(SUM((AO$18:AO$387)*($AJ$18:$AJ$387=$C31))+SUM((AP$18:AP$387)*($AJ$18:$AJ$387=$C31)))</f>
        <v>7.3164011858738007</v>
      </c>
      <c r="L31" s="243">
        <f t="shared" si="31"/>
        <v>9.3330180370833329</v>
      </c>
      <c r="M31" s="243"/>
      <c r="N31" s="639"/>
      <c r="O31" s="178">
        <v>2.3E-2</v>
      </c>
      <c r="P31" s="178">
        <v>1.9E-2</v>
      </c>
      <c r="Q31" s="178">
        <v>1.7999999999999999E-2</v>
      </c>
      <c r="R31" s="178">
        <v>0.02</v>
      </c>
      <c r="S31" s="178"/>
      <c r="T31" s="641"/>
      <c r="U31" s="319">
        <f t="shared" si="29"/>
        <v>6.3360919875960011</v>
      </c>
      <c r="V31" s="319">
        <f t="shared" si="35"/>
        <v>3.3454944711148786</v>
      </c>
      <c r="W31" s="319">
        <f t="shared" si="36"/>
        <v>0.84184011201256737</v>
      </c>
      <c r="X31" s="319">
        <f t="shared" si="37"/>
        <v>0.84930874570080017</v>
      </c>
      <c r="Y31" s="319">
        <v>1.1100000000000001</v>
      </c>
      <c r="Z31" s="319">
        <v>0.85</v>
      </c>
      <c r="AA31" s="319">
        <v>0.85</v>
      </c>
      <c r="AC31" s="3">
        <f t="shared" si="30"/>
        <v>2019</v>
      </c>
      <c r="AE31" s="3">
        <v>2022</v>
      </c>
      <c r="AF31" s="762">
        <v>26</v>
      </c>
      <c r="AG31" s="762">
        <f t="shared" si="12"/>
        <v>41.902367483762831</v>
      </c>
      <c r="AH31" s="762">
        <f t="shared" si="33"/>
        <v>34.476814342354771</v>
      </c>
      <c r="AJ31" s="3">
        <f t="shared" si="20"/>
        <v>2007</v>
      </c>
      <c r="AK31" s="345">
        <f>EOMONTH(AK30,0)+1</f>
        <v>39114</v>
      </c>
      <c r="AL31" s="122">
        <v>75.989999999999995</v>
      </c>
      <c r="AM31" s="122">
        <v>68.495000000000005</v>
      </c>
      <c r="AN31" s="319">
        <f t="shared" si="34"/>
        <v>72.767150000000001</v>
      </c>
      <c r="AO31" s="305">
        <v>384</v>
      </c>
      <c r="AP31" s="305">
        <v>288</v>
      </c>
      <c r="AQ31" s="305">
        <f t="shared" si="23"/>
        <v>0.5714285714285714</v>
      </c>
      <c r="AR31" s="305">
        <f t="shared" si="24"/>
        <v>0.42857142857142855</v>
      </c>
      <c r="AV31" s="3">
        <f t="shared" ref="AV31:AV95" si="39">+YEAR(AW31)</f>
        <v>2007</v>
      </c>
      <c r="AW31" s="343">
        <f>EOMONTH(AW30,0)+1</f>
        <v>39114</v>
      </c>
      <c r="AX31" s="121">
        <f t="shared" si="25"/>
        <v>9.2542727025557365</v>
      </c>
      <c r="AY31" s="122">
        <v>9.2542727025557365</v>
      </c>
      <c r="BA31" s="3">
        <f t="shared" si="13"/>
        <v>2005</v>
      </c>
      <c r="BB31" s="343">
        <v>38717</v>
      </c>
      <c r="BC31" s="3">
        <f t="shared" si="14"/>
        <v>5.586599133</v>
      </c>
      <c r="BD31" s="3">
        <v>5.6813626499999996</v>
      </c>
      <c r="BE31" s="3">
        <v>5.4918356160000004</v>
      </c>
      <c r="BG31" s="3">
        <f t="shared" si="15"/>
        <v>2009</v>
      </c>
      <c r="BH31" s="318">
        <v>40118</v>
      </c>
      <c r="BI31" s="3">
        <f t="shared" si="16"/>
        <v>12.0275</v>
      </c>
      <c r="BJ31" s="3">
        <v>11.585000000000001</v>
      </c>
      <c r="BK31" s="3">
        <v>12.47</v>
      </c>
      <c r="BL31" s="412">
        <f t="shared" si="5"/>
        <v>2016</v>
      </c>
      <c r="BM31" s="427">
        <v>42491</v>
      </c>
      <c r="BN31" s="412">
        <f t="shared" si="6"/>
        <v>1.4932258064516128</v>
      </c>
      <c r="BO31" s="458">
        <v>1.6372580645161288</v>
      </c>
      <c r="BP31" s="458">
        <v>1.3491935483870967</v>
      </c>
      <c r="BQ31" s="469">
        <f t="shared" si="7"/>
        <v>2019</v>
      </c>
      <c r="BR31" s="473">
        <v>43586</v>
      </c>
      <c r="BS31" s="469">
        <f t="shared" si="8"/>
        <v>1.508</v>
      </c>
      <c r="BT31" s="474">
        <v>1.5905</v>
      </c>
      <c r="BU31" s="474">
        <v>1.4255</v>
      </c>
      <c r="CH31" s="3">
        <v>2020</v>
      </c>
      <c r="CI31" s="344">
        <v>5.59</v>
      </c>
      <c r="CJ31" s="344">
        <v>5.7</v>
      </c>
    </row>
    <row r="32" spans="3:88">
      <c r="C32" s="3">
        <f t="shared" si="32"/>
        <v>2016</v>
      </c>
      <c r="D32" s="177">
        <f t="array" ref="D32">SUM((AL$18:AL$387)*(AO$18:AO$387)*($AJ$18:$AJ$387=$C32))/SUM((AO$18:AO$387)*($AJ$18:$AJ$387=$C32))</f>
        <v>65.509415584415578</v>
      </c>
      <c r="E32" s="177">
        <f t="array" ref="E32">SUM((AM$18:AM$387)*(AP$18:AP$387)*($AJ$18:$AJ$387=$C32))/SUM((AP$18:AP$387)*($AJ$18:$AJ$387=$C32))</f>
        <v>53.69304979253112</v>
      </c>
      <c r="F32" s="177">
        <f t="array" ref="F32">(SUM((AN$18:AN$387)*(AO$18:AO$387)*($AJ$18:$AJ$387=$C32))+SUM((AN$18:AN$387)*(AP$18:AP$387)*($AJ$18:$AJ$387=$C32)))/(SUM((AO$18:AO$387)*($AJ$18:$AJ$387=$C32))+SUM((AP$18:AP$387)*($AJ$18:$AJ$387=$C32)))</f>
        <v>60.441771311475406</v>
      </c>
      <c r="G32" s="243">
        <f t="shared" si="38"/>
        <v>2.2680550766283525</v>
      </c>
      <c r="H32" s="243"/>
      <c r="I32" s="243">
        <f t="shared" si="27"/>
        <v>5.0999999999999996</v>
      </c>
      <c r="J32" s="177">
        <f t="shared" si="28"/>
        <v>5.003333333333333</v>
      </c>
      <c r="K32" s="177">
        <f t="array" ref="K32">(SUM((AX$18:AX$387)*(AO$18:AO$387)*($AJ$18:$AJ$387=$C32))+SUM((AX$18:AX$387)*(AP$18:AP$387)*($AJ$18:$AJ$387=$C32)))/(SUM((AO$18:AO$387)*($AJ$18:$AJ$387=$C32))+SUM((AP$18:AP$387)*($AJ$18:$AJ$387=$C32)))</f>
        <v>7.9211828417083421</v>
      </c>
      <c r="L32" s="243">
        <f t="shared" si="31"/>
        <v>8.9541666666666657</v>
      </c>
      <c r="M32" s="243"/>
      <c r="N32" s="639"/>
      <c r="O32" s="178">
        <v>2.5999999999999999E-2</v>
      </c>
      <c r="P32" s="178">
        <v>2.5000000000000001E-2</v>
      </c>
      <c r="Q32" s="178">
        <v>1.7999999999999999E-2</v>
      </c>
      <c r="R32" s="178">
        <v>0.02</v>
      </c>
      <c r="S32" s="178"/>
      <c r="T32" s="641"/>
      <c r="U32" s="319">
        <f t="shared" si="29"/>
        <v>6.4501416433727297</v>
      </c>
      <c r="V32" s="319">
        <f t="shared" si="35"/>
        <v>3.4057133715949464</v>
      </c>
      <c r="W32" s="319">
        <f t="shared" si="36"/>
        <v>0.85699323402879357</v>
      </c>
      <c r="X32" s="319">
        <f t="shared" si="37"/>
        <v>0.86629492061481617</v>
      </c>
      <c r="Y32" s="319">
        <v>1.1390234818202254</v>
      </c>
      <c r="Z32" s="319">
        <v>0.87222518878125355</v>
      </c>
      <c r="AA32" s="319">
        <v>0.87222518878125355</v>
      </c>
      <c r="AC32" s="3">
        <f t="shared" si="30"/>
        <v>2020</v>
      </c>
      <c r="AE32" s="3">
        <v>2023</v>
      </c>
      <c r="AF32" s="762">
        <v>27</v>
      </c>
      <c r="AG32" s="762">
        <f t="shared" si="12"/>
        <v>43.513997002369095</v>
      </c>
      <c r="AH32" s="762">
        <f t="shared" si="33"/>
        <v>35.802845663214569</v>
      </c>
      <c r="AJ32" s="3">
        <f t="shared" si="20"/>
        <v>2007</v>
      </c>
      <c r="AK32" s="345">
        <f t="shared" ref="AK32:AK41" si="40">EOMONTH(AK31,0)+1</f>
        <v>39142</v>
      </c>
      <c r="AL32" s="122">
        <v>67.05</v>
      </c>
      <c r="AM32" s="122">
        <v>58.52</v>
      </c>
      <c r="AN32" s="319">
        <f t="shared" si="34"/>
        <v>63.382099999999994</v>
      </c>
      <c r="AO32" s="305">
        <v>432</v>
      </c>
      <c r="AP32" s="305">
        <v>312</v>
      </c>
      <c r="AQ32" s="305">
        <f t="shared" si="23"/>
        <v>0.58064516129032262</v>
      </c>
      <c r="AR32" s="305">
        <f t="shared" si="24"/>
        <v>0.41935483870967744</v>
      </c>
      <c r="AV32" s="3">
        <f t="shared" si="39"/>
        <v>2007</v>
      </c>
      <c r="AW32" s="343">
        <f t="shared" ref="AW32:AW96" si="41">EOMONTH(AW31,0)+1</f>
        <v>39142</v>
      </c>
      <c r="AX32" s="121">
        <f t="shared" si="25"/>
        <v>9.0996370309951047</v>
      </c>
      <c r="AY32" s="122">
        <v>9.0996370309951047</v>
      </c>
      <c r="BA32" s="3">
        <f t="shared" si="13"/>
        <v>2006</v>
      </c>
      <c r="BB32" s="343">
        <v>38748</v>
      </c>
      <c r="BC32" s="3">
        <f t="shared" si="14"/>
        <v>5.7839892920000002</v>
      </c>
      <c r="BD32" s="3">
        <v>5.8454580360000001</v>
      </c>
      <c r="BE32" s="3">
        <v>5.7225205480000003</v>
      </c>
      <c r="BG32" s="3">
        <f t="shared" si="15"/>
        <v>2009</v>
      </c>
      <c r="BH32" s="318">
        <v>40148</v>
      </c>
      <c r="BI32" s="3">
        <f t="shared" si="16"/>
        <v>12.3825</v>
      </c>
      <c r="BJ32" s="3">
        <v>11.94</v>
      </c>
      <c r="BK32" s="3">
        <v>12.824999999999999</v>
      </c>
      <c r="BL32" s="412">
        <f t="shared" si="5"/>
        <v>2016</v>
      </c>
      <c r="BM32" s="427">
        <v>42522</v>
      </c>
      <c r="BN32" s="412">
        <f t="shared" si="6"/>
        <v>2.0781666666666667</v>
      </c>
      <c r="BO32" s="458">
        <v>2.2161666666666666</v>
      </c>
      <c r="BP32" s="458">
        <v>1.9401666666666668</v>
      </c>
      <c r="BQ32" s="469">
        <f t="shared" si="7"/>
        <v>2019</v>
      </c>
      <c r="BR32" s="473">
        <v>43617</v>
      </c>
      <c r="BS32" s="469">
        <f t="shared" si="8"/>
        <v>1.50485</v>
      </c>
      <c r="BT32" s="474">
        <v>1.5967</v>
      </c>
      <c r="BU32" s="474">
        <v>1.413</v>
      </c>
      <c r="CH32" s="3">
        <v>2021</v>
      </c>
      <c r="CI32" s="344">
        <v>5.68</v>
      </c>
      <c r="CJ32" s="344">
        <v>5.79</v>
      </c>
    </row>
    <row r="33" spans="3:88">
      <c r="C33" s="3">
        <f t="shared" si="32"/>
        <v>2017</v>
      </c>
      <c r="D33" s="177">
        <f t="array" ref="D33">SUM((AL$18:AL$387)*(AO$18:AO$387)*($AJ$18:$AJ$387=$C33))/SUM((AO$18:AO$387)*($AJ$18:$AJ$387=$C33))</f>
        <v>72.198039215686279</v>
      </c>
      <c r="E33" s="177">
        <f t="array" ref="E33">SUM((AM$18:AM$387)*(AP$18:AP$387)*($AJ$18:$AJ$387=$C33))/SUM((AP$18:AP$387)*($AJ$18:$AJ$387=$C33))</f>
        <v>60.206853002070403</v>
      </c>
      <c r="F33" s="177">
        <f t="array" ref="F33">(SUM((AN$18:AN$387)*(AO$18:AO$387)*($AJ$18:$AJ$387=$C33))+SUM((AN$18:AN$387)*(AP$18:AP$387)*($AJ$18:$AJ$387=$C33)))/(SUM((AO$18:AO$387)*($AJ$18:$AJ$387=$C33))+SUM((AP$18:AP$387)*($AJ$18:$AJ$387=$C33)))</f>
        <v>67.035628493150682</v>
      </c>
      <c r="G33" s="243">
        <f t="shared" si="38"/>
        <v>3.0318916666666667</v>
      </c>
      <c r="H33" s="243"/>
      <c r="I33" s="243">
        <f t="shared" si="27"/>
        <v>5.22</v>
      </c>
      <c r="J33" s="177">
        <f t="shared" si="28"/>
        <v>5.1620833333333334</v>
      </c>
      <c r="K33" s="177">
        <f t="array" ref="K33">(SUM((AX$18:AX$387)*(AO$18:AO$387)*($AJ$18:$AJ$387=$C33))+SUM((AX$18:AX$387)*(AP$18:AP$387)*($AJ$18:$AJ$387=$C33)))/(SUM((AO$18:AO$387)*($AJ$18:$AJ$387=$C33))+SUM((AP$18:AP$387)*($AJ$18:$AJ$387=$C33)))</f>
        <v>8.5467545643478058</v>
      </c>
      <c r="L33" s="243">
        <f t="shared" si="31"/>
        <v>9.6420833333333338</v>
      </c>
      <c r="M33" s="243"/>
      <c r="N33" s="639"/>
      <c r="O33" s="178">
        <v>2.4E-2</v>
      </c>
      <c r="P33" s="178">
        <v>2.4E-2</v>
      </c>
      <c r="Q33" s="178">
        <v>1.7999999999999999E-2</v>
      </c>
      <c r="R33" s="178">
        <v>1.9E-2</v>
      </c>
      <c r="S33" s="178"/>
      <c r="T33" s="641"/>
      <c r="U33" s="319">
        <f t="shared" si="29"/>
        <v>6.5662441929534392</v>
      </c>
      <c r="V33" s="319">
        <f t="shared" si="35"/>
        <v>3.4670162122836556</v>
      </c>
      <c r="W33" s="319">
        <f t="shared" si="36"/>
        <v>0.87241911224131186</v>
      </c>
      <c r="X33" s="319">
        <f t="shared" si="37"/>
        <v>0.88275452410649757</v>
      </c>
      <c r="Y33" s="319">
        <v>1.1679956801767024</v>
      </c>
      <c r="Z33" s="319">
        <v>0.89441110644161892</v>
      </c>
      <c r="AA33" s="319">
        <v>0.89441110644161892</v>
      </c>
      <c r="AC33" s="3">
        <f t="shared" si="30"/>
        <v>2021</v>
      </c>
      <c r="AE33" s="3">
        <v>2024</v>
      </c>
      <c r="AF33" s="762">
        <v>27</v>
      </c>
      <c r="AG33" s="762">
        <f t="shared" si="12"/>
        <v>43.513997002369095</v>
      </c>
      <c r="AH33" s="762">
        <f t="shared" si="33"/>
        <v>35.802845663214569</v>
      </c>
      <c r="AJ33" s="3">
        <f t="shared" si="20"/>
        <v>2007</v>
      </c>
      <c r="AK33" s="345">
        <f t="shared" si="40"/>
        <v>39173</v>
      </c>
      <c r="AL33" s="122">
        <v>58.5</v>
      </c>
      <c r="AM33" s="122">
        <v>42.9</v>
      </c>
      <c r="AN33" s="319">
        <f t="shared" si="34"/>
        <v>51.792000000000002</v>
      </c>
      <c r="AO33" s="305">
        <v>400</v>
      </c>
      <c r="AP33" s="305">
        <v>320</v>
      </c>
      <c r="AQ33" s="305">
        <f t="shared" si="23"/>
        <v>0.55555555555555558</v>
      </c>
      <c r="AR33" s="305">
        <f t="shared" si="24"/>
        <v>0.44444444444444442</v>
      </c>
      <c r="AV33" s="3">
        <f t="shared" si="39"/>
        <v>2007</v>
      </c>
      <c r="AW33" s="343">
        <f t="shared" si="41"/>
        <v>39173</v>
      </c>
      <c r="AX33" s="121">
        <f t="shared" si="25"/>
        <v>7.1942196846112019</v>
      </c>
      <c r="AY33" s="122">
        <v>7.1942196846112019</v>
      </c>
      <c r="BA33" s="3">
        <f t="shared" si="13"/>
        <v>2006</v>
      </c>
      <c r="BB33" s="343">
        <v>38776</v>
      </c>
      <c r="BC33" s="3">
        <f t="shared" si="14"/>
        <v>5.7339892920000004</v>
      </c>
      <c r="BD33" s="3">
        <v>5.7954580360000003</v>
      </c>
      <c r="BE33" s="3">
        <v>5.6725205479999996</v>
      </c>
      <c r="BG33" s="3">
        <f t="shared" si="15"/>
        <v>2010</v>
      </c>
      <c r="BH33" s="318">
        <v>40179</v>
      </c>
      <c r="BI33" s="3">
        <f t="shared" si="16"/>
        <v>12.602499999999999</v>
      </c>
      <c r="BJ33" s="3">
        <v>12.16</v>
      </c>
      <c r="BK33" s="3">
        <v>13.045</v>
      </c>
      <c r="BL33" s="412">
        <f t="shared" si="5"/>
        <v>2016</v>
      </c>
      <c r="BM33" s="427">
        <v>42552</v>
      </c>
      <c r="BN33" s="412">
        <f t="shared" si="6"/>
        <v>2.3968548387096771</v>
      </c>
      <c r="BO33" s="458">
        <v>2.4861290322580643</v>
      </c>
      <c r="BP33" s="458">
        <v>2.3075806451612904</v>
      </c>
      <c r="BQ33" s="469">
        <f t="shared" si="7"/>
        <v>2019</v>
      </c>
      <c r="BR33" s="473">
        <v>43647</v>
      </c>
      <c r="BS33" s="469">
        <f t="shared" si="8"/>
        <v>1.7918499999999999</v>
      </c>
      <c r="BT33" s="474">
        <v>1.7386999999999999</v>
      </c>
      <c r="BU33" s="474">
        <v>1.845</v>
      </c>
      <c r="CH33" s="3">
        <v>2022</v>
      </c>
      <c r="CI33" s="344">
        <v>5.72</v>
      </c>
      <c r="CJ33" s="344">
        <v>5.83</v>
      </c>
    </row>
    <row r="34" spans="3:88">
      <c r="C34" s="3">
        <f t="shared" si="32"/>
        <v>2018</v>
      </c>
      <c r="D34" s="177">
        <f t="array" ref="D34">SUM((AL$18:AL$387)*(AO$18:AO$387)*($AJ$18:$AJ$387=$C34))/SUM((AO$18:AO$387)*($AJ$18:$AJ$387=$C34))</f>
        <v>78.589869706840389</v>
      </c>
      <c r="E34" s="177">
        <f t="array" ref="E34">SUM((AM$18:AM$387)*(AP$18:AP$387)*($AJ$18:$AJ$387=$C34))/SUM((AP$18:AP$387)*($AJ$18:$AJ$387=$C34))</f>
        <v>64.369480249480247</v>
      </c>
      <c r="F34" s="177">
        <f t="array" ref="F34">(SUM((AN$18:AN$387)*(AO$18:AO$387)*($AJ$18:$AJ$387=$C34))+SUM((AN$18:AN$387)*(AP$18:AP$387)*($AJ$18:$AJ$387=$C34)))/(SUM((AO$18:AO$387)*($AJ$18:$AJ$387=$C34))+SUM((AP$18:AP$387)*($AJ$18:$AJ$387=$C34)))</f>
        <v>72.472873150684933</v>
      </c>
      <c r="G34" s="243">
        <f t="shared" si="38"/>
        <v>2.745204166666666</v>
      </c>
      <c r="H34" s="243">
        <f t="shared" ref="H34:H56" si="42">AVERAGEIF($BQ$15:$BQ$291,$C34,$BS$15:$BS$291)</f>
        <v>2.2091508096518182</v>
      </c>
      <c r="I34" s="243">
        <f t="shared" si="27"/>
        <v>5.34</v>
      </c>
      <c r="J34" s="177">
        <f t="shared" si="28"/>
        <v>5.333333333333333</v>
      </c>
      <c r="K34" s="177">
        <f t="array" ref="K34">(SUM((AX$18:AX$387)*(AO$18:AO$387)*($AJ$18:$AJ$387=$C34))+SUM((AX$18:AX$387)*(AP$18:AP$387)*($AJ$18:$AJ$387=$C34)))/(SUM((AO$18:AO$387)*($AJ$18:$AJ$387=$C34))+SUM((AP$18:AP$387)*($AJ$18:$AJ$387=$C34)))</f>
        <v>9.1071488375904099</v>
      </c>
      <c r="L34" s="243">
        <f t="shared" si="31"/>
        <v>11.30625</v>
      </c>
      <c r="M34" s="243"/>
      <c r="N34" s="639"/>
      <c r="O34" s="178">
        <v>2.3E-2</v>
      </c>
      <c r="P34" s="178">
        <v>2.4E-2</v>
      </c>
      <c r="Q34" s="178">
        <v>1.9E-2</v>
      </c>
      <c r="R34" s="178">
        <v>1.9E-2</v>
      </c>
      <c r="S34" s="178"/>
      <c r="T34" s="641"/>
      <c r="U34" s="319">
        <f t="shared" si="29"/>
        <v>6.6910028326195539</v>
      </c>
      <c r="V34" s="319">
        <f t="shared" si="35"/>
        <v>3.532889520317045</v>
      </c>
      <c r="W34" s="319">
        <f t="shared" si="36"/>
        <v>0.88899507537389666</v>
      </c>
      <c r="X34" s="319">
        <f t="shared" si="37"/>
        <v>0.89952686006452098</v>
      </c>
      <c r="Y34" s="319">
        <v>1.1974836718320334</v>
      </c>
      <c r="Z34" s="319">
        <v>0.91699200095245803</v>
      </c>
      <c r="AA34" s="319">
        <v>0.91699200095245803</v>
      </c>
      <c r="AC34" s="3">
        <f t="shared" si="30"/>
        <v>2022</v>
      </c>
      <c r="AE34" s="3">
        <v>2025</v>
      </c>
      <c r="AF34" s="762">
        <v>28</v>
      </c>
      <c r="AG34" s="762">
        <f t="shared" si="12"/>
        <v>45.125626520975359</v>
      </c>
      <c r="AH34" s="762">
        <f t="shared" si="33"/>
        <v>37.128876984074367</v>
      </c>
      <c r="AJ34" s="3">
        <f t="shared" si="20"/>
        <v>2007</v>
      </c>
      <c r="AK34" s="345">
        <f t="shared" si="40"/>
        <v>39203</v>
      </c>
      <c r="AL34" s="122">
        <v>48</v>
      </c>
      <c r="AM34" s="122">
        <v>32.89</v>
      </c>
      <c r="AN34" s="319">
        <f t="shared" si="34"/>
        <v>41.502699999999997</v>
      </c>
      <c r="AO34" s="305">
        <v>416</v>
      </c>
      <c r="AP34" s="305">
        <v>328</v>
      </c>
      <c r="AQ34" s="305">
        <f t="shared" si="23"/>
        <v>0.55913978494623651</v>
      </c>
      <c r="AR34" s="305">
        <f t="shared" si="24"/>
        <v>0.44086021505376344</v>
      </c>
      <c r="AV34" s="3">
        <f t="shared" si="39"/>
        <v>2007</v>
      </c>
      <c r="AW34" s="343">
        <f t="shared" si="41"/>
        <v>39203</v>
      </c>
      <c r="AX34" s="121">
        <f t="shared" si="25"/>
        <v>7.0412833061446438</v>
      </c>
      <c r="AY34" s="122">
        <v>7.0412833061446438</v>
      </c>
      <c r="BA34" s="3">
        <f t="shared" si="13"/>
        <v>2006</v>
      </c>
      <c r="BB34" s="343">
        <v>38807</v>
      </c>
      <c r="BC34" s="3">
        <f t="shared" si="14"/>
        <v>5.5589892919999997</v>
      </c>
      <c r="BD34" s="3">
        <v>5.6204580359999996</v>
      </c>
      <c r="BE34" s="3">
        <v>5.4975205479999998</v>
      </c>
      <c r="BG34" s="3">
        <f t="shared" si="15"/>
        <v>2010</v>
      </c>
      <c r="BH34" s="318">
        <v>40210</v>
      </c>
      <c r="BI34" s="3">
        <f t="shared" si="16"/>
        <v>12.537500000000001</v>
      </c>
      <c r="BJ34" s="3">
        <v>12.095000000000001</v>
      </c>
      <c r="BK34" s="3">
        <v>12.98</v>
      </c>
      <c r="BL34" s="412">
        <f t="shared" si="5"/>
        <v>2016</v>
      </c>
      <c r="BM34" s="427">
        <v>42583</v>
      </c>
      <c r="BN34" s="412">
        <f t="shared" si="6"/>
        <v>2.5364516129032255</v>
      </c>
      <c r="BO34" s="458">
        <v>2.5683870967741931</v>
      </c>
      <c r="BP34" s="458">
        <v>2.5045161290322584</v>
      </c>
      <c r="BQ34" s="469">
        <f t="shared" si="7"/>
        <v>2019</v>
      </c>
      <c r="BR34" s="473">
        <v>43678</v>
      </c>
      <c r="BS34" s="469">
        <f t="shared" si="8"/>
        <v>1.7826500000000001</v>
      </c>
      <c r="BT34" s="474">
        <v>1.7658</v>
      </c>
      <c r="BU34" s="474">
        <v>1.7995000000000001</v>
      </c>
      <c r="CH34" s="3">
        <v>2023</v>
      </c>
      <c r="CI34" s="344">
        <v>5.85</v>
      </c>
      <c r="CJ34" s="344">
        <v>5.97</v>
      </c>
    </row>
    <row r="35" spans="3:88">
      <c r="C35" s="3">
        <f t="shared" si="32"/>
        <v>2019</v>
      </c>
      <c r="D35" s="177">
        <f t="array" ref="D35">SUM((AL$18:AL$387)*(AO$18:AO$387)*($AJ$18:$AJ$387=$C35))/SUM((AO$18:AO$387)*($AJ$18:$AJ$387=$C35))</f>
        <v>84.90358306188925</v>
      </c>
      <c r="E35" s="177">
        <f t="array" ref="E35">SUM((AM$18:AM$387)*(AP$18:AP$387)*($AJ$18:$AJ$387=$C35))/SUM((AP$18:AP$387)*($AJ$18:$AJ$387=$C35))</f>
        <v>69.085634095634092</v>
      </c>
      <c r="F35" s="177">
        <f t="array" ref="F35">(SUM((AN$18:AN$387)*(AO$18:AO$387)*($AJ$18:$AJ$387=$C35))+SUM((AN$18:AN$387)*(AP$18:AP$387)*($AJ$18:$AJ$387=$C35)))/(SUM((AO$18:AO$387)*($AJ$18:$AJ$387=$C35))+SUM((AP$18:AP$387)*($AJ$18:$AJ$387=$C35)))</f>
        <v>78.125856164383563</v>
      </c>
      <c r="G35" s="243">
        <f t="shared" si="38"/>
        <v>2.6163124999999998</v>
      </c>
      <c r="H35" s="243">
        <f t="shared" si="42"/>
        <v>1.9742583333333332</v>
      </c>
      <c r="I35" s="243">
        <f t="shared" si="27"/>
        <v>5.46</v>
      </c>
      <c r="J35" s="177">
        <f t="shared" si="28"/>
        <v>5.5149999999999997</v>
      </c>
      <c r="K35" s="177">
        <f t="array" ref="K35">(SUM((AX$18:AX$387)*(AO$18:AO$387)*($AJ$18:$AJ$387=$C35))+SUM((AX$18:AX$387)*(AP$18:AP$387)*($AJ$18:$AJ$387=$C35)))/(SUM((AO$18:AO$387)*($AJ$18:$AJ$387=$C35))+SUM((AP$18:AP$387)*($AJ$18:$AJ$387=$C35)))</f>
        <v>9.7289597532905745</v>
      </c>
      <c r="L35" s="243">
        <f t="shared" si="31"/>
        <v>11.752083333333331</v>
      </c>
      <c r="M35" s="243"/>
      <c r="N35" s="639"/>
      <c r="O35" s="178">
        <v>2.3E-2</v>
      </c>
      <c r="P35" s="178">
        <v>2.4E-2</v>
      </c>
      <c r="Q35" s="178">
        <v>1.9E-2</v>
      </c>
      <c r="R35" s="178">
        <v>1.9E-2</v>
      </c>
      <c r="S35" s="178"/>
      <c r="T35" s="641"/>
      <c r="U35" s="319">
        <f t="shared" si="29"/>
        <v>6.8181318864393248</v>
      </c>
      <c r="V35" s="319">
        <f t="shared" si="35"/>
        <v>3.6000144212030687</v>
      </c>
      <c r="W35" s="319">
        <f t="shared" si="36"/>
        <v>0.90588598180600066</v>
      </c>
      <c r="X35" s="319">
        <f t="shared" si="37"/>
        <v>0.91661787040574683</v>
      </c>
      <c r="Y35" s="319">
        <v>1.2269144627008759</v>
      </c>
      <c r="Z35" s="319">
        <v>0.93952909305922927</v>
      </c>
      <c r="AA35" s="319">
        <v>0.93952909305922927</v>
      </c>
      <c r="AC35" s="3">
        <f t="shared" si="30"/>
        <v>2023</v>
      </c>
      <c r="AE35" s="3">
        <v>2026</v>
      </c>
      <c r="AF35" s="762">
        <v>28</v>
      </c>
      <c r="AG35" s="762">
        <f t="shared" si="12"/>
        <v>45.125626520975359</v>
      </c>
      <c r="AH35" s="762">
        <f t="shared" si="33"/>
        <v>37.128876984074367</v>
      </c>
      <c r="AJ35" s="3">
        <f t="shared" si="20"/>
        <v>2007</v>
      </c>
      <c r="AK35" s="345">
        <f t="shared" si="40"/>
        <v>39234</v>
      </c>
      <c r="AL35" s="122">
        <v>44.5</v>
      </c>
      <c r="AM35" s="122">
        <v>31.46</v>
      </c>
      <c r="AN35" s="319">
        <f t="shared" si="34"/>
        <v>38.892800000000001</v>
      </c>
      <c r="AO35" s="305">
        <v>416</v>
      </c>
      <c r="AP35" s="305">
        <v>304</v>
      </c>
      <c r="AQ35" s="305">
        <f t="shared" si="23"/>
        <v>0.57777777777777772</v>
      </c>
      <c r="AR35" s="305">
        <f t="shared" si="24"/>
        <v>0.42222222222222222</v>
      </c>
      <c r="AV35" s="3">
        <f t="shared" si="39"/>
        <v>2007</v>
      </c>
      <c r="AW35" s="343">
        <f t="shared" si="41"/>
        <v>39234</v>
      </c>
      <c r="AX35" s="121">
        <f t="shared" si="25"/>
        <v>7.1265538336052208</v>
      </c>
      <c r="AY35" s="122">
        <v>7.1265538336052208</v>
      </c>
      <c r="BA35" s="3">
        <f t="shared" si="13"/>
        <v>2006</v>
      </c>
      <c r="BB35" s="343">
        <v>38837</v>
      </c>
      <c r="BC35" s="3">
        <f t="shared" si="14"/>
        <v>4.8926438289999998</v>
      </c>
      <c r="BD35" s="3">
        <v>4.9677671099999996</v>
      </c>
      <c r="BE35" s="3">
        <v>4.8175205480000001</v>
      </c>
      <c r="BG35" s="3">
        <f t="shared" si="15"/>
        <v>2010</v>
      </c>
      <c r="BH35" s="318">
        <v>40238</v>
      </c>
      <c r="BI35" s="3">
        <f t="shared" si="16"/>
        <v>12.287500000000001</v>
      </c>
      <c r="BJ35" s="3">
        <v>11.845000000000001</v>
      </c>
      <c r="BK35" s="3">
        <v>12.73</v>
      </c>
      <c r="BL35" s="412">
        <f t="shared" si="5"/>
        <v>2016</v>
      </c>
      <c r="BM35" s="427">
        <v>42614</v>
      </c>
      <c r="BN35" s="412">
        <f t="shared" si="6"/>
        <v>2.6564166666666669</v>
      </c>
      <c r="BO35" s="458">
        <v>2.6613333333333338</v>
      </c>
      <c r="BP35" s="458">
        <v>2.6514999999999995</v>
      </c>
      <c r="BQ35" s="469">
        <f t="shared" si="7"/>
        <v>2019</v>
      </c>
      <c r="BR35" s="473">
        <v>43709</v>
      </c>
      <c r="BS35" s="469">
        <f t="shared" si="8"/>
        <v>1.7725</v>
      </c>
      <c r="BT35" s="474">
        <v>1.76</v>
      </c>
      <c r="BU35" s="474">
        <v>1.7849999999999999</v>
      </c>
    </row>
    <row r="36" spans="3:88">
      <c r="C36" s="3">
        <f t="shared" si="32"/>
        <v>2020</v>
      </c>
      <c r="D36" s="177">
        <f t="array" ref="D36">SUM((AL$18:AL$387)*(AO$18:AO$387)*($AJ$18:$AJ$387=$C36))/SUM((AO$18:AO$387)*($AJ$18:$AJ$387=$C36))</f>
        <v>85.778798701298697</v>
      </c>
      <c r="E36" s="177">
        <f t="array" ref="E36">SUM((AM$18:AM$387)*(AP$18:AP$387)*($AJ$18:$AJ$387=$C36))/SUM((AP$18:AP$387)*($AJ$18:$AJ$387=$C36))</f>
        <v>72.797489626556015</v>
      </c>
      <c r="F36" s="177">
        <f t="array" ref="F36">(SUM((AN$18:AN$387)*(AO$18:AO$387)*($AJ$18:$AJ$387=$C36))+SUM((AN$18:AN$387)*(AP$18:AP$387)*($AJ$18:$AJ$387=$C36)))/(SUM((AO$18:AO$387)*($AJ$18:$AJ$387=$C36))+SUM((AP$18:AP$387)*($AJ$18:$AJ$387=$C36)))</f>
        <v>80.228144808743139</v>
      </c>
      <c r="G36" s="243">
        <f t="shared" si="38"/>
        <v>2.6944208333333339</v>
      </c>
      <c r="H36" s="243">
        <f t="shared" si="42"/>
        <v>1.8849916666666668</v>
      </c>
      <c r="I36" s="243">
        <f t="shared" si="27"/>
        <v>5.59</v>
      </c>
      <c r="J36" s="177">
        <f t="shared" si="28"/>
        <v>5.7024999999999997</v>
      </c>
      <c r="K36" s="177">
        <f t="array" ref="K36">(SUM((AX$18:AX$387)*(AO$18:AO$387)*($AJ$18:$AJ$387=$C36))+SUM((AX$18:AX$387)*(AP$18:AP$387)*($AJ$18:$AJ$387=$C36)))/(SUM((AO$18:AO$387)*($AJ$18:$AJ$387=$C36))+SUM((AP$18:AP$387)*($AJ$18:$AJ$387=$C36)))</f>
        <v>10.107309478601163</v>
      </c>
      <c r="L36" s="243">
        <f t="shared" si="31"/>
        <v>11.473750000000003</v>
      </c>
      <c r="M36" s="243"/>
      <c r="N36" s="639"/>
      <c r="O36" s="178">
        <v>2.3E-2</v>
      </c>
      <c r="P36" s="178">
        <v>2.3E-2</v>
      </c>
      <c r="Q36" s="178">
        <v>1.9E-2</v>
      </c>
      <c r="R36" s="178">
        <v>1.9E-2</v>
      </c>
      <c r="S36" s="178"/>
      <c r="T36" s="641"/>
      <c r="U36" s="319">
        <f t="shared" si="29"/>
        <v>6.9476763922816716</v>
      </c>
      <c r="V36" s="319">
        <f t="shared" si="35"/>
        <v>3.6684146952059264</v>
      </c>
      <c r="W36" s="319">
        <f t="shared" si="36"/>
        <v>0.92309781546031455</v>
      </c>
      <c r="X36" s="319">
        <f t="shared" si="37"/>
        <v>0.93403360994345597</v>
      </c>
      <c r="Y36" s="319">
        <v>1.2554480395092353</v>
      </c>
      <c r="Z36" s="319">
        <v>0.961379129353919</v>
      </c>
      <c r="AA36" s="319">
        <v>0.961379129353919</v>
      </c>
      <c r="AC36" s="3">
        <f t="shared" si="30"/>
        <v>2024</v>
      </c>
      <c r="AE36" s="3">
        <v>2027</v>
      </c>
      <c r="AF36" s="762">
        <v>29</v>
      </c>
      <c r="AG36" s="762">
        <f t="shared" si="12"/>
        <v>46.737256039581624</v>
      </c>
      <c r="AH36" s="762">
        <f t="shared" si="33"/>
        <v>38.454908304934165</v>
      </c>
      <c r="AJ36" s="3">
        <f t="shared" si="20"/>
        <v>2007</v>
      </c>
      <c r="AK36" s="345">
        <f t="shared" si="40"/>
        <v>39264</v>
      </c>
      <c r="AL36" s="122">
        <v>71.55</v>
      </c>
      <c r="AM36" s="122">
        <v>55.8</v>
      </c>
      <c r="AN36" s="319">
        <f t="shared" si="34"/>
        <v>64.777500000000003</v>
      </c>
      <c r="AO36" s="305">
        <v>400</v>
      </c>
      <c r="AP36" s="305">
        <v>344</v>
      </c>
      <c r="AQ36" s="305">
        <f t="shared" si="23"/>
        <v>0.5376344086021505</v>
      </c>
      <c r="AR36" s="305">
        <f t="shared" si="24"/>
        <v>0.46236559139784944</v>
      </c>
      <c r="AV36" s="3">
        <f t="shared" si="39"/>
        <v>2007</v>
      </c>
      <c r="AW36" s="343">
        <f t="shared" si="41"/>
        <v>39264</v>
      </c>
      <c r="AX36" s="121">
        <f t="shared" si="25"/>
        <v>7.2903996737357257</v>
      </c>
      <c r="AY36" s="122">
        <v>7.2903996737357257</v>
      </c>
      <c r="BA36" s="3">
        <f t="shared" si="13"/>
        <v>2006</v>
      </c>
      <c r="BB36" s="343">
        <v>38868</v>
      </c>
      <c r="BC36" s="3">
        <f t="shared" si="14"/>
        <v>4.7426438290000004</v>
      </c>
      <c r="BD36" s="3">
        <v>4.8177671100000001</v>
      </c>
      <c r="BE36" s="3">
        <v>4.6675205479999997</v>
      </c>
      <c r="BG36" s="3">
        <f t="shared" si="15"/>
        <v>2010</v>
      </c>
      <c r="BH36" s="318">
        <v>40269</v>
      </c>
      <c r="BI36" s="3">
        <f t="shared" si="16"/>
        <v>10.01</v>
      </c>
      <c r="BJ36" s="3">
        <v>10.065</v>
      </c>
      <c r="BK36" s="3">
        <v>9.9550000000000001</v>
      </c>
      <c r="BL36" s="412">
        <f t="shared" si="5"/>
        <v>2016</v>
      </c>
      <c r="BM36" s="427">
        <v>42644</v>
      </c>
      <c r="BN36" s="412">
        <f t="shared" si="6"/>
        <v>2.665</v>
      </c>
      <c r="BO36" s="458">
        <v>2.68</v>
      </c>
      <c r="BP36" s="458">
        <v>2.65</v>
      </c>
      <c r="BQ36" s="469">
        <f t="shared" si="7"/>
        <v>2019</v>
      </c>
      <c r="BR36" s="473">
        <v>43739</v>
      </c>
      <c r="BS36" s="469">
        <f t="shared" si="8"/>
        <v>1.80375</v>
      </c>
      <c r="BT36" s="474">
        <v>1.7524999999999999</v>
      </c>
      <c r="BU36" s="474">
        <v>1.855</v>
      </c>
      <c r="BX36" s="347"/>
      <c r="CH36" s="3" t="s">
        <v>171</v>
      </c>
    </row>
    <row r="37" spans="3:88">
      <c r="C37" s="3">
        <f t="shared" si="32"/>
        <v>2021</v>
      </c>
      <c r="D37" s="177">
        <f t="array" ref="D37">SUM((AL$18:AL$387)*(AO$18:AO$387)*($AJ$18:$AJ$387=$C37))/SUM((AO$18:AO$387)*($AJ$18:$AJ$387=$C37))</f>
        <v>85.96977198697067</v>
      </c>
      <c r="E37" s="177">
        <f t="array" ref="E37">SUM((AM$18:AM$387)*(AP$18:AP$387)*($AJ$18:$AJ$387=$C37))/SUM((AP$18:AP$387)*($AJ$18:$AJ$387=$C37))</f>
        <v>74.402765072765064</v>
      </c>
      <c r="F37" s="177">
        <f t="array" ref="F37">(SUM((AN$18:AN$387)*(AO$18:AO$387)*($AJ$18:$AJ$387=$C37))+SUM((AN$18:AN$387)*(AP$18:AP$387)*($AJ$18:$AJ$387=$C37)))/(SUM((AO$18:AO$387)*($AJ$18:$AJ$387=$C37))+SUM((AP$18:AP$387)*($AJ$18:$AJ$387=$C37)))</f>
        <v>81.014897260273969</v>
      </c>
      <c r="G37" s="243">
        <f t="shared" si="38"/>
        <v>2.8767624999999999</v>
      </c>
      <c r="H37" s="243">
        <f t="shared" si="42"/>
        <v>1.9506749999999997</v>
      </c>
      <c r="I37" s="243">
        <f t="shared" si="27"/>
        <v>5.68</v>
      </c>
      <c r="J37" s="177">
        <f t="shared" si="28"/>
        <v>5.8954166666666659</v>
      </c>
      <c r="K37" s="177">
        <f t="array" ref="K37">(SUM((AX$18:AX$387)*(AO$18:AO$387)*($AJ$18:$AJ$387=$C37))+SUM((AX$18:AX$387)*(AP$18:AP$387)*($AJ$18:$AJ$387=$C37)))/(SUM((AO$18:AO$387)*($AJ$18:$AJ$387=$C37))+SUM((AP$18:AP$387)*($AJ$18:$AJ$387=$C37)))</f>
        <v>10.286225465001079</v>
      </c>
      <c r="L37" s="243">
        <f t="shared" si="31"/>
        <v>11.692083333333334</v>
      </c>
      <c r="M37" s="243"/>
      <c r="N37" s="639"/>
      <c r="O37" s="178">
        <v>2.3E-2</v>
      </c>
      <c r="P37" s="178">
        <v>2.1999999999999999E-2</v>
      </c>
      <c r="Q37" s="178">
        <v>1.9E-2</v>
      </c>
      <c r="R37" s="178">
        <v>1.7999999999999999E-2</v>
      </c>
      <c r="S37" s="178"/>
      <c r="T37" s="641"/>
      <c r="U37" s="319">
        <f t="shared" si="29"/>
        <v>7.0796822437350224</v>
      </c>
      <c r="V37" s="319">
        <f t="shared" si="35"/>
        <v>3.7381145744148387</v>
      </c>
      <c r="W37" s="319">
        <f t="shared" si="36"/>
        <v>0.94063667395406048</v>
      </c>
      <c r="X37" s="319">
        <f t="shared" si="37"/>
        <v>0.95084621492243815</v>
      </c>
      <c r="Y37" s="319">
        <v>1.2834505366016622</v>
      </c>
      <c r="Z37" s="319">
        <v>0.98282248298325492</v>
      </c>
      <c r="AA37" s="319">
        <v>0.98282248298325492</v>
      </c>
      <c r="AC37" s="3">
        <f t="shared" si="30"/>
        <v>2025</v>
      </c>
      <c r="AE37" s="3">
        <v>2028</v>
      </c>
      <c r="AF37" s="762">
        <v>29</v>
      </c>
      <c r="AG37" s="762">
        <f t="shared" si="12"/>
        <v>46.737256039581624</v>
      </c>
      <c r="AH37" s="762">
        <f t="shared" si="33"/>
        <v>38.454908304934165</v>
      </c>
      <c r="AJ37" s="3">
        <f t="shared" si="20"/>
        <v>2007</v>
      </c>
      <c r="AK37" s="345">
        <f t="shared" si="40"/>
        <v>39295</v>
      </c>
      <c r="AL37" s="122">
        <v>84.27</v>
      </c>
      <c r="AM37" s="122">
        <v>65.72</v>
      </c>
      <c r="AN37" s="319">
        <f t="shared" si="34"/>
        <v>76.293499999999995</v>
      </c>
      <c r="AO37" s="305">
        <v>432</v>
      </c>
      <c r="AP37" s="305">
        <v>312</v>
      </c>
      <c r="AQ37" s="305">
        <f t="shared" si="23"/>
        <v>0.58064516129032262</v>
      </c>
      <c r="AR37" s="305">
        <f t="shared" si="24"/>
        <v>0.41935483870967744</v>
      </c>
      <c r="AV37" s="3">
        <f t="shared" si="39"/>
        <v>2007</v>
      </c>
      <c r="AW37" s="343">
        <f t="shared" si="41"/>
        <v>39295</v>
      </c>
      <c r="AX37" s="121">
        <f t="shared" si="25"/>
        <v>7.3821615008156618</v>
      </c>
      <c r="AY37" s="122">
        <v>7.3821615008156618</v>
      </c>
      <c r="BA37" s="3">
        <f t="shared" si="13"/>
        <v>2006</v>
      </c>
      <c r="BB37" s="343">
        <v>38898</v>
      </c>
      <c r="BC37" s="3">
        <f t="shared" si="14"/>
        <v>4.7476438289999994</v>
      </c>
      <c r="BD37" s="3">
        <v>4.82276711</v>
      </c>
      <c r="BE37" s="3">
        <v>4.6725205479999996</v>
      </c>
      <c r="BG37" s="3">
        <f t="shared" si="15"/>
        <v>2010</v>
      </c>
      <c r="BH37" s="318">
        <v>40299</v>
      </c>
      <c r="BI37" s="3">
        <f t="shared" si="16"/>
        <v>9.8449999999999989</v>
      </c>
      <c r="BJ37" s="3">
        <v>9.9</v>
      </c>
      <c r="BK37" s="3">
        <v>9.7899999999999991</v>
      </c>
      <c r="BL37" s="412">
        <f t="shared" si="5"/>
        <v>2016</v>
      </c>
      <c r="BM37" s="427">
        <v>42675</v>
      </c>
      <c r="BN37" s="412">
        <f t="shared" si="6"/>
        <v>3.0488999999999997</v>
      </c>
      <c r="BO37" s="458">
        <v>3.0278</v>
      </c>
      <c r="BP37" s="458">
        <v>3.07</v>
      </c>
      <c r="BQ37" s="469">
        <f t="shared" si="7"/>
        <v>2019</v>
      </c>
      <c r="BR37" s="473">
        <v>43770</v>
      </c>
      <c r="BS37" s="469">
        <f t="shared" si="8"/>
        <v>2.0677500000000002</v>
      </c>
      <c r="BT37" s="474">
        <v>1.9715</v>
      </c>
      <c r="BU37" s="474">
        <v>2.1640000000000001</v>
      </c>
      <c r="BX37" s="347"/>
      <c r="CH37" s="3" t="s">
        <v>168</v>
      </c>
    </row>
    <row r="38" spans="3:88">
      <c r="C38" s="3">
        <f t="shared" si="32"/>
        <v>2022</v>
      </c>
      <c r="D38" s="177">
        <f t="array" ref="D38">SUM((AL$18:AL$387)*(AO$18:AO$387)*($AJ$18:$AJ$387=$C38))/SUM((AO$18:AO$387)*($AJ$18:$AJ$387=$C38))</f>
        <v>85.168078175895758</v>
      </c>
      <c r="E38" s="177">
        <f t="array" ref="E38">SUM((AM$18:AM$387)*(AP$18:AP$387)*($AJ$18:$AJ$387=$C38))/SUM((AP$18:AP$387)*($AJ$18:$AJ$387=$C38))</f>
        <v>75.580145530145515</v>
      </c>
      <c r="F38" s="177">
        <f t="array" ref="F38">(SUM((AN$18:AN$387)*(AO$18:AO$387)*($AJ$18:$AJ$387=$C38))+SUM((AN$18:AN$387)*(AP$18:AP$387)*($AJ$18:$AJ$387=$C38)))/(SUM((AO$18:AO$387)*($AJ$18:$AJ$387=$C38))+SUM((AP$18:AP$387)*($AJ$18:$AJ$387=$C38)))</f>
        <v>81.061868493150669</v>
      </c>
      <c r="G38" s="243">
        <f t="shared" si="38"/>
        <v>3.0098541666666665</v>
      </c>
      <c r="H38" s="243">
        <f t="shared" si="42"/>
        <v>2.431295833333333</v>
      </c>
      <c r="I38" s="243">
        <f t="shared" si="27"/>
        <v>5.72</v>
      </c>
      <c r="J38" s="177">
        <f t="shared" si="28"/>
        <v>6.1033333333333344</v>
      </c>
      <c r="K38" s="177">
        <f t="array" ref="K38">(SUM((AX$18:AX$387)*(AO$18:AO$387)*($AJ$18:$AJ$387=$C38))+SUM((AX$18:AX$387)*(AP$18:AP$387)*($AJ$18:$AJ$387=$C38)))/(SUM((AO$18:AO$387)*($AJ$18:$AJ$387=$C38))+SUM((AP$18:AP$387)*($AJ$18:$AJ$387=$C38)))</f>
        <v>10.481890917487915</v>
      </c>
      <c r="L38" s="243">
        <f t="shared" si="31"/>
        <v>11.912916666666668</v>
      </c>
      <c r="M38" s="243"/>
      <c r="N38" s="639"/>
      <c r="O38" s="178">
        <v>2.1999999999999999E-2</v>
      </c>
      <c r="P38" s="178">
        <v>2.1999999999999999E-2</v>
      </c>
      <c r="Q38" s="178">
        <v>1.9E-2</v>
      </c>
      <c r="R38" s="178">
        <v>1.7999999999999999E-2</v>
      </c>
      <c r="S38" s="178"/>
      <c r="T38" s="641"/>
      <c r="U38" s="319">
        <f t="shared" si="29"/>
        <v>7.2141962063659868</v>
      </c>
      <c r="V38" s="319">
        <f t="shared" si="35"/>
        <v>3.8091387513287205</v>
      </c>
      <c r="W38" s="319">
        <f t="shared" si="36"/>
        <v>0.9585087707591875</v>
      </c>
      <c r="X38" s="319">
        <f t="shared" si="37"/>
        <v>0.96796144679104201</v>
      </c>
      <c r="Y38" s="319">
        <v>1.3117597482561225</v>
      </c>
      <c r="Z38" s="319">
        <v>1.0045007081240578</v>
      </c>
      <c r="AA38" s="319">
        <v>1.0045007081240578</v>
      </c>
      <c r="AC38" s="3">
        <f t="shared" si="30"/>
        <v>2026</v>
      </c>
      <c r="AE38" s="3">
        <v>2029</v>
      </c>
      <c r="AF38" s="762">
        <v>30</v>
      </c>
      <c r="AG38" s="762">
        <f t="shared" si="12"/>
        <v>48.348885558187888</v>
      </c>
      <c r="AH38" s="762">
        <f t="shared" si="33"/>
        <v>39.780939625793962</v>
      </c>
      <c r="AJ38" s="3">
        <f t="shared" si="20"/>
        <v>2007</v>
      </c>
      <c r="AK38" s="345">
        <f t="shared" si="40"/>
        <v>39326</v>
      </c>
      <c r="AL38" s="122">
        <v>82.68</v>
      </c>
      <c r="AM38" s="122">
        <v>64.48</v>
      </c>
      <c r="AN38" s="319">
        <f t="shared" si="34"/>
        <v>74.853999999999999</v>
      </c>
      <c r="AO38" s="305">
        <v>384</v>
      </c>
      <c r="AP38" s="305">
        <v>336</v>
      </c>
      <c r="AQ38" s="305">
        <f t="shared" si="23"/>
        <v>0.53333333333333333</v>
      </c>
      <c r="AR38" s="305">
        <f t="shared" si="24"/>
        <v>0.46666666666666667</v>
      </c>
      <c r="AV38" s="3">
        <f t="shared" si="39"/>
        <v>2007</v>
      </c>
      <c r="AW38" s="343">
        <f t="shared" si="41"/>
        <v>39326</v>
      </c>
      <c r="AX38" s="121">
        <f t="shared" si="25"/>
        <v>7.473923327895597</v>
      </c>
      <c r="AY38" s="122">
        <v>7.473923327895597</v>
      </c>
      <c r="BA38" s="3">
        <f t="shared" si="13"/>
        <v>2006</v>
      </c>
      <c r="BB38" s="343">
        <v>38929</v>
      </c>
      <c r="BC38" s="3">
        <f t="shared" si="14"/>
        <v>4.7676438289999998</v>
      </c>
      <c r="BD38" s="3">
        <v>4.8427671099999996</v>
      </c>
      <c r="BE38" s="3">
        <v>4.6925205480000001</v>
      </c>
      <c r="BG38" s="3">
        <f t="shared" si="15"/>
        <v>2010</v>
      </c>
      <c r="BH38" s="318">
        <v>40330</v>
      </c>
      <c r="BI38" s="3">
        <f t="shared" si="16"/>
        <v>9.9250000000000007</v>
      </c>
      <c r="BJ38" s="3">
        <v>9.98</v>
      </c>
      <c r="BK38" s="3">
        <v>9.8699999999999992</v>
      </c>
      <c r="BL38" s="412">
        <f t="shared" si="5"/>
        <v>2016</v>
      </c>
      <c r="BM38" s="427">
        <v>42705</v>
      </c>
      <c r="BN38" s="412">
        <f t="shared" si="6"/>
        <v>3.5498500000000002</v>
      </c>
      <c r="BO38" s="458">
        <v>3.4497</v>
      </c>
      <c r="BP38" s="458">
        <v>3.65</v>
      </c>
      <c r="BQ38" s="469">
        <f t="shared" si="7"/>
        <v>2019</v>
      </c>
      <c r="BR38" s="473">
        <v>43800</v>
      </c>
      <c r="BS38" s="469">
        <f t="shared" si="8"/>
        <v>2.4917500000000001</v>
      </c>
      <c r="BT38" s="474">
        <v>2.1455000000000002</v>
      </c>
      <c r="BU38" s="474">
        <v>2.8380000000000001</v>
      </c>
      <c r="BX38" s="347"/>
      <c r="CH38" s="3" t="s">
        <v>169</v>
      </c>
    </row>
    <row r="39" spans="3:88">
      <c r="C39" s="3">
        <f t="shared" si="32"/>
        <v>2023</v>
      </c>
      <c r="D39" s="177">
        <f t="array" ref="D39">SUM((AL$18:AL$387)*(AO$18:AO$387)*($AJ$18:$AJ$387=$C39))/SUM((AO$18:AO$387)*($AJ$18:$AJ$387=$C39))</f>
        <v>87.361633986928112</v>
      </c>
      <c r="E39" s="177">
        <f t="array" ref="E39">SUM((AM$18:AM$387)*(AP$18:AP$387)*($AJ$18:$AJ$387=$C39))/SUM((AP$18:AP$387)*($AJ$18:$AJ$387=$C39))</f>
        <v>77.669503105590053</v>
      </c>
      <c r="F39" s="177">
        <f t="array" ref="F39">(SUM((AN$18:AN$387)*(AO$18:AO$387)*($AJ$18:$AJ$387=$C39))+SUM((AN$18:AN$387)*(AP$18:AP$387)*($AJ$18:$AJ$387=$C39)))/(SUM((AO$18:AO$387)*($AJ$18:$AJ$387=$C39))+SUM((AP$18:AP$387)*($AJ$18:$AJ$387=$C39)))</f>
        <v>83.203268493150688</v>
      </c>
      <c r="G39" s="243">
        <f t="shared" si="38"/>
        <v>3.4771000000000001</v>
      </c>
      <c r="H39" s="243">
        <f t="shared" si="42"/>
        <v>2.9371999999999994</v>
      </c>
      <c r="I39" s="243">
        <f t="shared" si="27"/>
        <v>5.85</v>
      </c>
      <c r="J39" s="177">
        <f t="shared" si="28"/>
        <v>6.3149999999999986</v>
      </c>
      <c r="K39" s="177">
        <f t="array" ref="K39">(SUM((AX$18:AX$387)*(AO$18:AO$387)*($AJ$18:$AJ$387=$C39))+SUM((AX$18:AX$387)*(AP$18:AP$387)*($AJ$18:$AJ$387=$C39)))/(SUM((AO$18:AO$387)*($AJ$18:$AJ$387=$C39))+SUM((AP$18:AP$387)*($AJ$18:$AJ$387=$C39)))</f>
        <v>10.679539654517416</v>
      </c>
      <c r="L39" s="243">
        <f t="shared" si="31"/>
        <v>12.139166666666668</v>
      </c>
      <c r="M39" s="243"/>
      <c r="N39" s="639"/>
      <c r="O39" s="178">
        <v>2.1999999999999999E-2</v>
      </c>
      <c r="P39" s="178">
        <v>2.1999999999999999E-2</v>
      </c>
      <c r="Q39" s="178">
        <v>1.9E-2</v>
      </c>
      <c r="R39" s="178">
        <v>1.9E-2</v>
      </c>
      <c r="S39" s="178"/>
      <c r="T39" s="641"/>
      <c r="U39" s="319">
        <f t="shared" si="29"/>
        <v>7.35126593428694</v>
      </c>
      <c r="V39" s="319">
        <f t="shared" si="35"/>
        <v>3.8815123876039657</v>
      </c>
      <c r="W39" s="319">
        <f t="shared" si="36"/>
        <v>0.97672043740361192</v>
      </c>
      <c r="X39" s="319">
        <f t="shared" si="37"/>
        <v>0.98635271428007176</v>
      </c>
      <c r="Y39" s="319">
        <v>1.3408534982838876</v>
      </c>
      <c r="Z39" s="319">
        <v>1.026779705893067</v>
      </c>
      <c r="AA39" s="319">
        <v>1.026779705893067</v>
      </c>
      <c r="AC39" s="3">
        <f t="shared" si="30"/>
        <v>2027</v>
      </c>
      <c r="AE39" s="3">
        <v>2030</v>
      </c>
      <c r="AF39" s="762">
        <v>31</v>
      </c>
      <c r="AG39" s="762">
        <f t="shared" si="12"/>
        <v>49.960515076794145</v>
      </c>
      <c r="AH39" s="762">
        <f t="shared" si="33"/>
        <v>41.10697094665376</v>
      </c>
      <c r="AJ39" s="3">
        <f t="shared" si="20"/>
        <v>2007</v>
      </c>
      <c r="AK39" s="345">
        <f t="shared" si="40"/>
        <v>39356</v>
      </c>
      <c r="AL39" s="122">
        <v>59.8</v>
      </c>
      <c r="AM39" s="122">
        <v>54.365000000000002</v>
      </c>
      <c r="AN39" s="319">
        <f t="shared" si="34"/>
        <v>57.462949999999999</v>
      </c>
      <c r="AO39" s="305">
        <v>432</v>
      </c>
      <c r="AP39" s="305">
        <v>312</v>
      </c>
      <c r="AQ39" s="305">
        <f t="shared" si="23"/>
        <v>0.58064516129032262</v>
      </c>
      <c r="AR39" s="305">
        <f t="shared" si="24"/>
        <v>0.41935483870967744</v>
      </c>
      <c r="AV39" s="3">
        <f t="shared" si="39"/>
        <v>2007</v>
      </c>
      <c r="AW39" s="343">
        <f t="shared" si="41"/>
        <v>39356</v>
      </c>
      <c r="AX39" s="121">
        <f t="shared" si="25"/>
        <v>7.6119059271343117</v>
      </c>
      <c r="AY39" s="122">
        <v>7.6119059271343117</v>
      </c>
      <c r="BA39" s="3">
        <f t="shared" si="13"/>
        <v>2006</v>
      </c>
      <c r="BB39" s="343">
        <v>38960</v>
      </c>
      <c r="BC39" s="3">
        <f t="shared" si="14"/>
        <v>4.7856438289999996</v>
      </c>
      <c r="BD39" s="3">
        <v>4.8607671100000003</v>
      </c>
      <c r="BE39" s="3">
        <v>4.7105205479999999</v>
      </c>
      <c r="BG39" s="3">
        <f t="shared" si="15"/>
        <v>2010</v>
      </c>
      <c r="BH39" s="318">
        <v>40360</v>
      </c>
      <c r="BI39" s="3">
        <f t="shared" si="16"/>
        <v>10.02</v>
      </c>
      <c r="BJ39" s="3">
        <v>10.074999999999999</v>
      </c>
      <c r="BK39" s="3">
        <v>9.9649999999999999</v>
      </c>
      <c r="BL39" s="412">
        <f t="shared" si="5"/>
        <v>2017</v>
      </c>
      <c r="BM39" s="427">
        <v>42736</v>
      </c>
      <c r="BN39" s="412">
        <f t="shared" si="6"/>
        <v>3.5389499999999998</v>
      </c>
      <c r="BO39" s="458">
        <v>3.5049000000000001</v>
      </c>
      <c r="BP39" s="458">
        <v>3.573</v>
      </c>
      <c r="BQ39" s="469">
        <f t="shared" si="7"/>
        <v>2020</v>
      </c>
      <c r="BR39" s="473">
        <v>43831</v>
      </c>
      <c r="BS39" s="469">
        <f t="shared" si="8"/>
        <v>2.4710000000000001</v>
      </c>
      <c r="BT39" s="474">
        <v>2.2360000000000002</v>
      </c>
      <c r="BU39" s="474">
        <v>2.706</v>
      </c>
      <c r="CH39" s="3" t="s">
        <v>170</v>
      </c>
    </row>
    <row r="40" spans="3:88">
      <c r="C40" s="3">
        <f t="shared" si="32"/>
        <v>2024</v>
      </c>
      <c r="D40" s="177">
        <f t="array" ref="D40">SUM((AL$18:AL$387)*(AO$18:AO$387)*($AJ$18:$AJ$387=$C40))/SUM((AO$18:AO$387)*($AJ$18:$AJ$387=$C40))</f>
        <v>87.465941558441557</v>
      </c>
      <c r="E40" s="177">
        <f t="array" ref="E40">SUM((AM$18:AM$387)*(AP$18:AP$387)*($AJ$18:$AJ$387=$C40))/SUM((AP$18:AP$387)*($AJ$18:$AJ$387=$C40))</f>
        <v>78.932676348547716</v>
      </c>
      <c r="F40" s="177">
        <f t="array" ref="F40">(SUM((AN$18:AN$387)*(AO$18:AO$387)*($AJ$18:$AJ$387=$C40))+SUM((AN$18:AN$387)*(AP$18:AP$387)*($AJ$18:$AJ$387=$C40)))/(SUM((AO$18:AO$387)*($AJ$18:$AJ$387=$C40))+SUM((AP$18:AP$387)*($AJ$18:$AJ$387=$C40)))</f>
        <v>83.801019398907087</v>
      </c>
      <c r="G40" s="243">
        <f t="shared" si="38"/>
        <v>3.9537833333333325</v>
      </c>
      <c r="H40" s="243">
        <f t="shared" si="42"/>
        <v>3.4675625000000001</v>
      </c>
      <c r="I40" s="249">
        <f t="shared" ref="I40:I73" si="43">I39*(1+$CH$40)</f>
        <v>5.996249999999999</v>
      </c>
      <c r="J40" s="177">
        <f t="shared" si="28"/>
        <v>6.5370833333333325</v>
      </c>
      <c r="K40" s="177">
        <f t="array" ref="K40">(SUM((AX$18:AX$387)*(AO$18:AO$387)*($AJ$18:$AJ$387=$C40))+SUM((AX$18:AX$387)*(AP$18:AP$387)*($AJ$18:$AJ$387=$C40)))/(SUM((AO$18:AO$387)*($AJ$18:$AJ$387=$C40))+SUM((AP$18:AP$387)*($AJ$18:$AJ$387=$C40)))</f>
        <v>10.883589278444866</v>
      </c>
      <c r="L40" s="243">
        <f t="shared" si="31"/>
        <v>12.371250000000002</v>
      </c>
      <c r="M40" s="243"/>
      <c r="N40" s="639"/>
      <c r="O40" s="178">
        <v>2.1999999999999999E-2</v>
      </c>
      <c r="P40" s="178">
        <v>2.1999999999999999E-2</v>
      </c>
      <c r="Q40" s="178">
        <v>1.9E-2</v>
      </c>
      <c r="R40" s="178">
        <v>1.9E-2</v>
      </c>
      <c r="S40" s="178"/>
      <c r="T40" s="641"/>
      <c r="U40" s="319">
        <f t="shared" si="29"/>
        <v>7.4909399870383915</v>
      </c>
      <c r="V40" s="319">
        <f t="shared" si="35"/>
        <v>3.9552611229684405</v>
      </c>
      <c r="W40" s="319">
        <f t="shared" si="36"/>
        <v>0.99527812571428043</v>
      </c>
      <c r="X40" s="319">
        <f t="shared" si="37"/>
        <v>1.0050934158513931</v>
      </c>
      <c r="Y40" s="319">
        <v>1.3709529466223729</v>
      </c>
      <c r="Z40" s="319">
        <v>1.0498288329991143</v>
      </c>
      <c r="AA40" s="319">
        <v>1.0498288329991143</v>
      </c>
      <c r="AC40" s="3">
        <f t="shared" si="30"/>
        <v>2028</v>
      </c>
      <c r="AE40" s="3">
        <v>2031</v>
      </c>
      <c r="AF40" s="762">
        <v>31</v>
      </c>
      <c r="AG40" s="762">
        <f t="shared" si="12"/>
        <v>49.960515076794145</v>
      </c>
      <c r="AH40" s="762">
        <f t="shared" si="33"/>
        <v>41.10697094665376</v>
      </c>
      <c r="AJ40" s="3">
        <f t="shared" si="20"/>
        <v>2007</v>
      </c>
      <c r="AK40" s="345">
        <f t="shared" si="40"/>
        <v>39387</v>
      </c>
      <c r="AL40" s="122">
        <v>74.002499999999998</v>
      </c>
      <c r="AM40" s="122">
        <v>64.19</v>
      </c>
      <c r="AN40" s="319">
        <f t="shared" si="34"/>
        <v>69.783124999999998</v>
      </c>
      <c r="AO40" s="305">
        <v>400</v>
      </c>
      <c r="AP40" s="305">
        <v>320</v>
      </c>
      <c r="AQ40" s="305">
        <f t="shared" si="23"/>
        <v>0.55555555555555558</v>
      </c>
      <c r="AR40" s="305">
        <f t="shared" si="24"/>
        <v>0.44444444444444442</v>
      </c>
      <c r="AV40" s="3">
        <f t="shared" si="39"/>
        <v>2007</v>
      </c>
      <c r="AW40" s="343">
        <f t="shared" si="41"/>
        <v>39387</v>
      </c>
      <c r="AX40" s="121">
        <f t="shared" si="25"/>
        <v>8.4234883088635115</v>
      </c>
      <c r="AY40" s="122">
        <v>8.4234883088635115</v>
      </c>
      <c r="BA40" s="3">
        <f t="shared" si="13"/>
        <v>2006</v>
      </c>
      <c r="BB40" s="343">
        <v>38990</v>
      </c>
      <c r="BC40" s="3">
        <f t="shared" si="14"/>
        <v>4.7606438290000002</v>
      </c>
      <c r="BD40" s="3">
        <v>4.8357671099999999</v>
      </c>
      <c r="BE40" s="3">
        <v>4.6855205480000004</v>
      </c>
      <c r="BG40" s="3">
        <f t="shared" si="15"/>
        <v>2010</v>
      </c>
      <c r="BH40" s="318">
        <v>40391</v>
      </c>
      <c r="BI40" s="3">
        <f t="shared" si="16"/>
        <v>10.09</v>
      </c>
      <c r="BJ40" s="3">
        <v>10.145</v>
      </c>
      <c r="BK40" s="3">
        <v>10.035</v>
      </c>
      <c r="BL40" s="412">
        <f t="shared" si="5"/>
        <v>2017</v>
      </c>
      <c r="BM40" s="427">
        <v>42767</v>
      </c>
      <c r="BN40" s="412">
        <f t="shared" si="6"/>
        <v>3.4752000000000001</v>
      </c>
      <c r="BO40" s="458">
        <v>3.4973999999999998</v>
      </c>
      <c r="BP40" s="458">
        <v>3.4529999999999998</v>
      </c>
      <c r="BQ40" s="469">
        <f t="shared" si="7"/>
        <v>2020</v>
      </c>
      <c r="BR40" s="473">
        <v>43862</v>
      </c>
      <c r="BS40" s="469">
        <f t="shared" si="8"/>
        <v>2.2885</v>
      </c>
      <c r="BT40" s="474">
        <v>2.1785000000000001</v>
      </c>
      <c r="BU40" s="474">
        <v>2.3984999999999999</v>
      </c>
      <c r="CH40" s="230">
        <v>2.5000000000000001E-2</v>
      </c>
    </row>
    <row r="41" spans="3:88">
      <c r="C41" s="3">
        <f t="shared" si="32"/>
        <v>2025</v>
      </c>
      <c r="D41" s="177">
        <f t="array" ref="D41">SUM((AL$18:AL$387)*(AO$18:AO$387)*($AJ$18:$AJ$387=$C41))/SUM((AO$18:AO$387)*($AJ$18:$AJ$387=$C41))</f>
        <v>88.983257328990234</v>
      </c>
      <c r="E41" s="177">
        <f t="array" ref="E41">SUM((AM$18:AM$387)*(AP$18:AP$387)*($AJ$18:$AJ$387=$C41))/SUM((AP$18:AP$387)*($AJ$18:$AJ$387=$C41))</f>
        <v>81.403617463617465</v>
      </c>
      <c r="F41" s="177">
        <f t="array" ref="F41">(SUM((AN$18:AN$387)*(AO$18:AO$387)*($AJ$18:$AJ$387=$C41))+SUM((AN$18:AN$387)*(AP$18:AP$387)*($AJ$18:$AJ$387=$C41)))/(SUM((AO$18:AO$387)*($AJ$18:$AJ$387=$C41))+SUM((AP$18:AP$387)*($AJ$18:$AJ$387=$C41)))</f>
        <v>85.729098904109577</v>
      </c>
      <c r="G41" s="243">
        <f t="shared" si="38"/>
        <v>4.1086708333333339</v>
      </c>
      <c r="H41" s="243">
        <f t="shared" si="42"/>
        <v>3.8251624999999998</v>
      </c>
      <c r="I41" s="249">
        <f t="shared" si="43"/>
        <v>6.146156249999998</v>
      </c>
      <c r="J41" s="177">
        <f t="shared" si="28"/>
        <v>6.765416666666666</v>
      </c>
      <c r="K41" s="177">
        <f t="array" ref="K41">(SUM((AX$18:AX$387)*(AO$18:AO$387)*($AJ$18:$AJ$387=$C41))+SUM((AX$18:AX$387)*(AP$18:AP$387)*($AJ$18:$AJ$387=$C41)))/(SUM((AO$18:AO$387)*($AJ$18:$AJ$387=$C41))+SUM((AP$18:AP$387)*($AJ$18:$AJ$387=$C41)))</f>
        <v>11.090126110825569</v>
      </c>
      <c r="L41" s="243">
        <f t="shared" si="31"/>
        <v>12.592916666666667</v>
      </c>
      <c r="M41" s="243"/>
      <c r="N41" s="639"/>
      <c r="O41" s="178">
        <v>2.1999999999999999E-2</v>
      </c>
      <c r="P41" s="178">
        <v>2.1999999999999999E-2</v>
      </c>
      <c r="Q41" s="178">
        <v>1.9E-2</v>
      </c>
      <c r="R41" s="178">
        <v>1.9E-2</v>
      </c>
      <c r="S41" s="178"/>
      <c r="T41" s="641"/>
      <c r="U41" s="319">
        <f t="shared" si="29"/>
        <v>7.63326784679212</v>
      </c>
      <c r="V41" s="319">
        <f t="shared" si="35"/>
        <v>4.0304110843048404</v>
      </c>
      <c r="W41" s="319">
        <f t="shared" si="36"/>
        <v>1.0141884101028518</v>
      </c>
      <c r="X41" s="319">
        <f t="shared" si="37"/>
        <v>1.0241901907525695</v>
      </c>
      <c r="Y41" s="319">
        <v>1.4021626326399876</v>
      </c>
      <c r="Z41" s="319">
        <v>1.0737281421117022</v>
      </c>
      <c r="AA41" s="319">
        <v>1.0737281421117022</v>
      </c>
      <c r="AC41" s="3">
        <f t="shared" si="30"/>
        <v>2029</v>
      </c>
      <c r="AE41" s="3">
        <v>2032</v>
      </c>
      <c r="AF41" s="762">
        <v>32</v>
      </c>
      <c r="AG41" s="762">
        <f t="shared" si="12"/>
        <v>51.57214459540041</v>
      </c>
      <c r="AH41" s="762">
        <f t="shared" si="33"/>
        <v>42.433002267513558</v>
      </c>
      <c r="AJ41" s="3">
        <f t="shared" si="20"/>
        <v>2007</v>
      </c>
      <c r="AK41" s="345">
        <f t="shared" si="40"/>
        <v>39417</v>
      </c>
      <c r="AL41" s="122">
        <v>90.447500000000005</v>
      </c>
      <c r="AM41" s="122">
        <v>77.944999999999993</v>
      </c>
      <c r="AN41" s="319">
        <f t="shared" si="34"/>
        <v>85.071424999999991</v>
      </c>
      <c r="AO41" s="305">
        <v>400</v>
      </c>
      <c r="AP41" s="305">
        <v>344</v>
      </c>
      <c r="AQ41" s="305">
        <f t="shared" si="23"/>
        <v>0.5376344086021505</v>
      </c>
      <c r="AR41" s="305">
        <f t="shared" si="24"/>
        <v>0.46236559139784944</v>
      </c>
      <c r="AV41" s="3">
        <f t="shared" si="39"/>
        <v>2007</v>
      </c>
      <c r="AW41" s="343">
        <f t="shared" si="41"/>
        <v>39417</v>
      </c>
      <c r="AX41" s="121">
        <f t="shared" si="25"/>
        <v>9.2972648178357797</v>
      </c>
      <c r="AY41" s="122">
        <v>9.2972648178357797</v>
      </c>
      <c r="BA41" s="3">
        <f t="shared" si="13"/>
        <v>2006</v>
      </c>
      <c r="BB41" s="343">
        <v>39021</v>
      </c>
      <c r="BC41" s="3">
        <f t="shared" si="14"/>
        <v>4.7806438290000006</v>
      </c>
      <c r="BD41" s="3">
        <v>4.8557671100000004</v>
      </c>
      <c r="BE41" s="3">
        <v>4.705520548</v>
      </c>
      <c r="BG41" s="3">
        <f t="shared" si="15"/>
        <v>2010</v>
      </c>
      <c r="BH41" s="318">
        <v>40422</v>
      </c>
      <c r="BI41" s="3">
        <f t="shared" si="16"/>
        <v>10.115</v>
      </c>
      <c r="BJ41" s="3">
        <v>10.17</v>
      </c>
      <c r="BK41" s="3">
        <v>10.06</v>
      </c>
      <c r="BL41" s="412">
        <f t="shared" si="5"/>
        <v>2017</v>
      </c>
      <c r="BM41" s="427">
        <v>42795</v>
      </c>
      <c r="BN41" s="412">
        <f t="shared" si="6"/>
        <v>3.1306500000000002</v>
      </c>
      <c r="BO41" s="458">
        <v>3.2363</v>
      </c>
      <c r="BP41" s="458">
        <v>3.0249999999999999</v>
      </c>
      <c r="BQ41" s="469">
        <f t="shared" si="7"/>
        <v>2020</v>
      </c>
      <c r="BR41" s="473">
        <v>43891</v>
      </c>
      <c r="BS41" s="469">
        <f t="shared" si="8"/>
        <v>1.9978500000000001</v>
      </c>
      <c r="BT41" s="474">
        <v>2.0122</v>
      </c>
      <c r="BU41" s="474">
        <v>1.9835</v>
      </c>
    </row>
    <row r="42" spans="3:88">
      <c r="C42" s="3">
        <f t="shared" si="32"/>
        <v>2026</v>
      </c>
      <c r="D42" s="177">
        <f t="array" ref="D42">SUM((AL$18:AL$387)*(AO$18:AO$387)*($AJ$18:$AJ$387=$C42))/SUM((AO$18:AO$387)*($AJ$18:$AJ$387=$C42))</f>
        <v>90.695830618892501</v>
      </c>
      <c r="E42" s="177">
        <f t="array" ref="E42">SUM((AM$18:AM$387)*(AP$18:AP$387)*($AJ$18:$AJ$387=$C42))/SUM((AP$18:AP$387)*($AJ$18:$AJ$387=$C42))</f>
        <v>82.942245322245327</v>
      </c>
      <c r="F42" s="177">
        <f t="array" ref="F42">(SUM((AN$18:AN$387)*(AO$18:AO$387)*($AJ$18:$AJ$387=$C42))+SUM((AN$18:AN$387)*(AP$18:AP$387)*($AJ$18:$AJ$387=$C42)))/(SUM((AO$18:AO$387)*($AJ$18:$AJ$387=$C42))+SUM((AP$18:AP$387)*($AJ$18:$AJ$387=$C42)))</f>
        <v>87.357894794520547</v>
      </c>
      <c r="G42" s="243">
        <f t="shared" si="38"/>
        <v>4.1864999999999997</v>
      </c>
      <c r="H42" s="243">
        <f t="shared" si="42"/>
        <v>4.0344208333333329</v>
      </c>
      <c r="I42" s="249">
        <f t="shared" si="43"/>
        <v>6.2998101562499977</v>
      </c>
      <c r="J42" s="177">
        <f t="shared" si="28"/>
        <v>7.0025000000000004</v>
      </c>
      <c r="K42" s="177">
        <f t="array" ref="K42">(SUM((AX$18:AX$387)*(AO$18:AO$387)*($AJ$18:$AJ$387=$C42))+SUM((AX$18:AX$387)*(AP$18:AP$387)*($AJ$18:$AJ$387=$C42)))/(SUM((AO$18:AO$387)*($AJ$18:$AJ$387=$C42))+SUM((AP$18:AP$387)*($AJ$18:$AJ$387=$C42)))</f>
        <v>11.299115883408938</v>
      </c>
      <c r="L42" s="243">
        <f t="shared" si="31"/>
        <v>12.819166666666668</v>
      </c>
      <c r="M42" s="243"/>
      <c r="N42" s="639"/>
      <c r="O42" s="178">
        <v>2.1999999999999999E-2</v>
      </c>
      <c r="P42" s="178">
        <v>2.1999999999999999E-2</v>
      </c>
      <c r="Q42" s="178">
        <v>0.02</v>
      </c>
      <c r="R42" s="178">
        <v>1.9E-2</v>
      </c>
      <c r="S42" s="178"/>
      <c r="T42" s="641"/>
      <c r="U42" s="319">
        <f t="shared" si="29"/>
        <v>7.7859332037279625</v>
      </c>
      <c r="V42" s="319">
        <f t="shared" si="35"/>
        <v>4.1110193059909372</v>
      </c>
      <c r="W42" s="319">
        <f t="shared" si="36"/>
        <v>1.0344721783049089</v>
      </c>
      <c r="X42" s="319">
        <f t="shared" si="37"/>
        <v>1.0436498043768683</v>
      </c>
      <c r="Y42" s="319">
        <v>1.4335840474923813</v>
      </c>
      <c r="Z42" s="319">
        <v>1.0977895859175892</v>
      </c>
      <c r="AA42" s="319">
        <v>1.0977895859175892</v>
      </c>
      <c r="AC42" s="3">
        <f t="shared" si="30"/>
        <v>2030</v>
      </c>
      <c r="AE42" s="3">
        <v>2033</v>
      </c>
      <c r="AF42" s="762">
        <v>33</v>
      </c>
      <c r="AG42" s="762">
        <f t="shared" si="12"/>
        <v>53.183774114006674</v>
      </c>
      <c r="AH42" s="762">
        <f t="shared" si="33"/>
        <v>43.759033588373356</v>
      </c>
      <c r="AJ42" s="3">
        <f t="shared" si="20"/>
        <v>2008</v>
      </c>
      <c r="AK42" s="345">
        <f>EOMONTH(AK41,0)+1</f>
        <v>39448</v>
      </c>
      <c r="AL42" s="122">
        <v>86.4</v>
      </c>
      <c r="AM42" s="122">
        <v>76.504999999999995</v>
      </c>
      <c r="AN42" s="319">
        <f t="shared" si="34"/>
        <v>82.145150000000001</v>
      </c>
      <c r="AO42" s="305">
        <v>416</v>
      </c>
      <c r="AP42" s="305">
        <v>328</v>
      </c>
      <c r="AQ42" s="305">
        <f t="shared" si="23"/>
        <v>0.55913978494623651</v>
      </c>
      <c r="AR42" s="305">
        <f t="shared" si="24"/>
        <v>0.44086021505376344</v>
      </c>
      <c r="AV42" s="3">
        <f t="shared" si="39"/>
        <v>2008</v>
      </c>
      <c r="AW42" s="343">
        <f t="shared" si="41"/>
        <v>39448</v>
      </c>
      <c r="AX42" s="121">
        <f t="shared" si="25"/>
        <v>9.8274442631865142</v>
      </c>
      <c r="AY42" s="122">
        <v>9.8274442631865142</v>
      </c>
      <c r="BA42" s="3">
        <f t="shared" si="13"/>
        <v>2006</v>
      </c>
      <c r="BB42" s="343">
        <v>39051</v>
      </c>
      <c r="BC42" s="3">
        <f t="shared" si="14"/>
        <v>4.9481209484999997</v>
      </c>
      <c r="BD42" s="3">
        <v>5.0257213490000003</v>
      </c>
      <c r="BE42" s="3">
        <v>4.870520548</v>
      </c>
      <c r="BG42" s="3">
        <f t="shared" si="15"/>
        <v>2010</v>
      </c>
      <c r="BH42" s="318">
        <v>40452</v>
      </c>
      <c r="BI42" s="3">
        <f t="shared" si="16"/>
        <v>10.205</v>
      </c>
      <c r="BJ42" s="3">
        <v>10.26</v>
      </c>
      <c r="BK42" s="3">
        <v>10.15</v>
      </c>
      <c r="BL42" s="412">
        <f t="shared" si="5"/>
        <v>2017</v>
      </c>
      <c r="BM42" s="427">
        <v>42826</v>
      </c>
      <c r="BN42" s="412">
        <f t="shared" si="6"/>
        <v>2.7704</v>
      </c>
      <c r="BO42" s="458">
        <v>2.9582999999999999</v>
      </c>
      <c r="BP42" s="458">
        <v>2.5825</v>
      </c>
      <c r="BQ42" s="469">
        <f t="shared" si="7"/>
        <v>2020</v>
      </c>
      <c r="BR42" s="473">
        <v>43922</v>
      </c>
      <c r="BS42" s="469">
        <f t="shared" si="8"/>
        <v>1.5547499999999999</v>
      </c>
      <c r="BT42" s="474">
        <v>1.6435</v>
      </c>
      <c r="BU42" s="474">
        <v>1.466</v>
      </c>
    </row>
    <row r="43" spans="3:88">
      <c r="C43" s="3">
        <f t="shared" si="32"/>
        <v>2027</v>
      </c>
      <c r="D43" s="177">
        <f t="array" ref="D43">SUM((AL$18:AL$387)*(AO$18:AO$387)*($AJ$18:$AJ$387=$C43))/SUM((AO$18:AO$387)*($AJ$18:$AJ$387=$C43))</f>
        <v>92.386319218241056</v>
      </c>
      <c r="E43" s="177">
        <f t="array" ref="E43">SUM((AM$18:AM$387)*(AP$18:AP$387)*($AJ$18:$AJ$387=$C43))/SUM((AP$18:AP$387)*($AJ$18:$AJ$387=$C43))</f>
        <v>84.557920997920988</v>
      </c>
      <c r="F43" s="177">
        <f t="array" ref="F43">(SUM((AN$18:AN$387)*(AO$18:AO$387)*($AJ$18:$AJ$387=$C43))+SUM((AN$18:AN$387)*(AP$18:AP$387)*($AJ$18:$AJ$387=$C43)))/(SUM((AO$18:AO$387)*($AJ$18:$AJ$387=$C43))+SUM((AP$18:AP$387)*($AJ$18:$AJ$387=$C43)))</f>
        <v>89.017453424657518</v>
      </c>
      <c r="G43" s="243">
        <f t="shared" si="38"/>
        <v>4.4573125000000005</v>
      </c>
      <c r="H43" s="243">
        <f t="shared" si="42"/>
        <v>3.9925249999999992</v>
      </c>
      <c r="I43" s="249">
        <f t="shared" si="43"/>
        <v>6.4573054101562475</v>
      </c>
      <c r="J43" s="177">
        <f t="shared" si="28"/>
        <v>7.2479166666666659</v>
      </c>
      <c r="K43" s="177">
        <f t="array" ref="K43">(SUM((AX$18:AX$387)*(AO$18:AO$387)*($AJ$18:$AJ$387=$C43))+SUM((AX$18:AX$387)*(AP$18:AP$387)*($AJ$18:$AJ$387=$C43)))/(SUM((AO$18:AO$387)*($AJ$18:$AJ$387=$C43))+SUM((AP$18:AP$387)*($AJ$18:$AJ$387=$C43)))</f>
        <v>11.51262158558478</v>
      </c>
      <c r="L43" s="243">
        <f t="shared" si="31"/>
        <v>13.063749999999999</v>
      </c>
      <c r="M43" s="243"/>
      <c r="N43" s="639"/>
      <c r="O43" s="178">
        <v>2.1999999999999999E-2</v>
      </c>
      <c r="P43" s="178">
        <v>2.1999999999999999E-2</v>
      </c>
      <c r="Q43" s="178">
        <v>0.02</v>
      </c>
      <c r="R43" s="178">
        <v>1.9E-2</v>
      </c>
      <c r="S43" s="178"/>
      <c r="T43" s="641"/>
      <c r="U43" s="319">
        <f t="shared" si="29"/>
        <v>7.9416518678025216</v>
      </c>
      <c r="V43" s="319">
        <f t="shared" si="35"/>
        <v>4.1932396921107564</v>
      </c>
      <c r="W43" s="319">
        <f t="shared" si="36"/>
        <v>1.0551616218710071</v>
      </c>
      <c r="X43" s="319">
        <f t="shared" si="37"/>
        <v>1.0634791506600287</v>
      </c>
      <c r="Y43" s="319">
        <v>1.4649463685254571</v>
      </c>
      <c r="Z43" s="319">
        <v>1.1218057776996744</v>
      </c>
      <c r="AA43" s="319">
        <v>1.1218057776996744</v>
      </c>
      <c r="AC43" s="3">
        <f t="shared" si="30"/>
        <v>2031</v>
      </c>
      <c r="AE43" s="3">
        <v>2034</v>
      </c>
      <c r="AF43" s="762">
        <v>33</v>
      </c>
      <c r="AG43" s="762">
        <f t="shared" si="12"/>
        <v>53.183774114006674</v>
      </c>
      <c r="AH43" s="762">
        <f t="shared" si="33"/>
        <v>43.759033588373356</v>
      </c>
      <c r="AJ43" s="3">
        <f t="shared" si="20"/>
        <v>2008</v>
      </c>
      <c r="AK43" s="345">
        <f t="shared" ref="AK43:AK107" si="44">EOMONTH(AK42,0)+1</f>
        <v>39479</v>
      </c>
      <c r="AL43" s="122">
        <v>81.599999999999994</v>
      </c>
      <c r="AM43" s="122">
        <v>73.644999999999996</v>
      </c>
      <c r="AN43" s="319">
        <f t="shared" si="34"/>
        <v>78.179349999999999</v>
      </c>
      <c r="AO43" s="305">
        <v>400</v>
      </c>
      <c r="AP43" s="305">
        <v>296</v>
      </c>
      <c r="AQ43" s="305">
        <f t="shared" si="23"/>
        <v>0.57471264367816088</v>
      </c>
      <c r="AR43" s="305">
        <f t="shared" si="24"/>
        <v>0.42528735632183906</v>
      </c>
      <c r="AV43" s="3">
        <f t="shared" si="39"/>
        <v>2008</v>
      </c>
      <c r="AW43" s="343">
        <f t="shared" si="41"/>
        <v>39479</v>
      </c>
      <c r="AX43" s="121">
        <f t="shared" si="25"/>
        <v>9.832542142468732</v>
      </c>
      <c r="AY43" s="122">
        <v>9.832542142468732</v>
      </c>
      <c r="BA43" s="3">
        <f t="shared" si="13"/>
        <v>2006</v>
      </c>
      <c r="BB43" s="343">
        <v>39082</v>
      </c>
      <c r="BC43" s="3">
        <f t="shared" si="14"/>
        <v>5.1131209485000007</v>
      </c>
      <c r="BD43" s="3">
        <v>5.1907213490000004</v>
      </c>
      <c r="BE43" s="3">
        <v>5.035520548</v>
      </c>
      <c r="BG43" s="3">
        <f t="shared" si="15"/>
        <v>2010</v>
      </c>
      <c r="BH43" s="318">
        <v>40483</v>
      </c>
      <c r="BI43" s="3">
        <f t="shared" si="16"/>
        <v>10.9925</v>
      </c>
      <c r="BJ43" s="3">
        <v>10.535</v>
      </c>
      <c r="BK43" s="3">
        <v>11.45</v>
      </c>
      <c r="BL43" s="412">
        <f t="shared" si="5"/>
        <v>2017</v>
      </c>
      <c r="BM43" s="427">
        <v>42856</v>
      </c>
      <c r="BN43" s="412">
        <f t="shared" si="6"/>
        <v>2.6408500000000004</v>
      </c>
      <c r="BO43" s="458">
        <v>2.9077000000000002</v>
      </c>
      <c r="BP43" s="458">
        <v>2.3740000000000001</v>
      </c>
      <c r="BQ43" s="469">
        <f t="shared" si="7"/>
        <v>2020</v>
      </c>
      <c r="BR43" s="473">
        <v>43952</v>
      </c>
      <c r="BS43" s="469">
        <f t="shared" si="8"/>
        <v>1.52</v>
      </c>
      <c r="BT43" s="474">
        <v>1.625</v>
      </c>
      <c r="BU43" s="474">
        <v>1.415</v>
      </c>
      <c r="CH43" s="3" t="s">
        <v>176</v>
      </c>
    </row>
    <row r="44" spans="3:88">
      <c r="C44" s="3">
        <f t="shared" si="32"/>
        <v>2028</v>
      </c>
      <c r="D44" s="177">
        <f t="array" ref="D44">SUM((AL$18:AL$387)*(AO$18:AO$387)*($AJ$18:$AJ$387=$C44))/SUM((AO$18:AO$387)*($AJ$18:$AJ$387=$C44))</f>
        <v>94.137035830618885</v>
      </c>
      <c r="E44" s="177">
        <f t="array" ref="E44">SUM((AM$18:AM$387)*(AP$18:AP$387)*($AJ$18:$AJ$387=$C44))/SUM((AP$18:AP$387)*($AJ$18:$AJ$387=$C44))</f>
        <v>86.209256198347092</v>
      </c>
      <c r="F44" s="177">
        <f t="array" ref="F44">(SUM((AN$18:AN$387)*(AO$18:AO$387)*($AJ$18:$AJ$387=$C44))+SUM((AN$18:AN$387)*(AP$18:AP$387)*($AJ$18:$AJ$387=$C44)))/(SUM((AO$18:AO$387)*($AJ$18:$AJ$387=$C44))+SUM((AP$18:AP$387)*($AJ$18:$AJ$387=$C44)))</f>
        <v>90.723929234972672</v>
      </c>
      <c r="G44" s="243">
        <f t="shared" si="38"/>
        <v>4.6136041666666676</v>
      </c>
      <c r="H44" s="243">
        <f t="shared" si="42"/>
        <v>3.9325250000000005</v>
      </c>
      <c r="I44" s="249">
        <f t="shared" si="43"/>
        <v>6.6187380454101534</v>
      </c>
      <c r="J44" s="177">
        <f t="shared" si="28"/>
        <v>7.5008333333333326</v>
      </c>
      <c r="K44" s="177">
        <f t="array" ref="K44">(SUM((AX$18:AX$387)*(AO$18:AO$387)*($AJ$18:$AJ$387=$C44))+SUM((AX$18:AX$387)*(AP$18:AP$387)*($AJ$18:$AJ$387=$C44)))/(SUM((AO$18:AO$387)*($AJ$18:$AJ$387=$C44))+SUM((AP$18:AP$387)*($AJ$18:$AJ$387=$C44)))</f>
        <v>11.7332358254813</v>
      </c>
      <c r="L44" s="243">
        <f t="shared" si="31"/>
        <v>13.311666666666667</v>
      </c>
      <c r="M44" s="243"/>
      <c r="N44" s="639"/>
      <c r="O44" s="178">
        <v>2.1999999999999999E-2</v>
      </c>
      <c r="P44" s="178">
        <v>2.1000000000000001E-2</v>
      </c>
      <c r="Q44" s="178">
        <v>2.1000000000000001E-2</v>
      </c>
      <c r="R44" s="178">
        <v>1.9E-2</v>
      </c>
      <c r="S44" s="178"/>
      <c r="T44" s="641"/>
      <c r="U44" s="319">
        <f t="shared" si="29"/>
        <v>8.1084265570263732</v>
      </c>
      <c r="V44" s="319">
        <f t="shared" si="35"/>
        <v>4.2812977256450822</v>
      </c>
      <c r="W44" s="319">
        <f t="shared" si="36"/>
        <v>1.0773200159302982</v>
      </c>
      <c r="X44" s="319">
        <f t="shared" si="37"/>
        <v>1.0836852545225693</v>
      </c>
      <c r="Y44" s="319">
        <v>1.4965465421812867</v>
      </c>
      <c r="Z44" s="319">
        <v>1.1460041088775619</v>
      </c>
      <c r="AA44" s="319">
        <v>1.1460041088775619</v>
      </c>
      <c r="AC44" s="3">
        <f t="shared" si="30"/>
        <v>2032</v>
      </c>
      <c r="AE44" s="3">
        <v>2035</v>
      </c>
      <c r="AF44" s="762">
        <v>34</v>
      </c>
      <c r="AG44" s="762">
        <f t="shared" si="12"/>
        <v>54.795403632612938</v>
      </c>
      <c r="AH44" s="762">
        <f t="shared" si="33"/>
        <v>45.085064909233161</v>
      </c>
      <c r="AJ44" s="3">
        <f t="shared" si="20"/>
        <v>2008</v>
      </c>
      <c r="AK44" s="345">
        <f t="shared" si="44"/>
        <v>39508</v>
      </c>
      <c r="AL44" s="122">
        <v>72.8</v>
      </c>
      <c r="AM44" s="122">
        <v>64.349999999999994</v>
      </c>
      <c r="AN44" s="319">
        <f t="shared" si="34"/>
        <v>69.166499999999985</v>
      </c>
      <c r="AO44" s="305">
        <v>416</v>
      </c>
      <c r="AP44" s="305">
        <v>328</v>
      </c>
      <c r="AQ44" s="305">
        <f t="shared" si="23"/>
        <v>0.55913978494623651</v>
      </c>
      <c r="AR44" s="305">
        <f t="shared" si="24"/>
        <v>0.44086021505376344</v>
      </c>
      <c r="AV44" s="3">
        <f t="shared" si="39"/>
        <v>2008</v>
      </c>
      <c r="AW44" s="343">
        <f t="shared" si="41"/>
        <v>39508</v>
      </c>
      <c r="AX44" s="121">
        <f t="shared" si="25"/>
        <v>9.5694915715062514</v>
      </c>
      <c r="AY44" s="122">
        <v>9.5694915715062514</v>
      </c>
      <c r="BA44" s="3">
        <f t="shared" si="13"/>
        <v>2007</v>
      </c>
      <c r="BB44" s="343">
        <v>39113</v>
      </c>
      <c r="BC44" s="3">
        <f t="shared" si="14"/>
        <v>5.2448921345000006</v>
      </c>
      <c r="BD44" s="3">
        <v>5.3016472830000003</v>
      </c>
      <c r="BE44" s="3">
        <v>5.188136986</v>
      </c>
      <c r="BG44" s="3">
        <f t="shared" si="15"/>
        <v>2010</v>
      </c>
      <c r="BH44" s="318">
        <v>40513</v>
      </c>
      <c r="BI44" s="3">
        <f t="shared" si="16"/>
        <v>11.4125</v>
      </c>
      <c r="BJ44" s="3">
        <v>10.955</v>
      </c>
      <c r="BK44" s="3">
        <v>11.87</v>
      </c>
      <c r="BL44" s="412">
        <f t="shared" si="5"/>
        <v>2017</v>
      </c>
      <c r="BM44" s="427">
        <v>42887</v>
      </c>
      <c r="BN44" s="412">
        <f t="shared" si="6"/>
        <v>2.6609500000000001</v>
      </c>
      <c r="BO44" s="458">
        <v>2.9464000000000001</v>
      </c>
      <c r="BP44" s="458">
        <v>2.3755000000000002</v>
      </c>
      <c r="BQ44" s="469">
        <f t="shared" si="7"/>
        <v>2020</v>
      </c>
      <c r="BR44" s="473">
        <v>43983</v>
      </c>
      <c r="BS44" s="469">
        <f t="shared" si="8"/>
        <v>1.55335</v>
      </c>
      <c r="BT44" s="474">
        <v>1.6601999999999999</v>
      </c>
      <c r="BU44" s="474">
        <v>1.4464999999999999</v>
      </c>
      <c r="CH44" s="3" t="s">
        <v>177</v>
      </c>
    </row>
    <row r="45" spans="3:88">
      <c r="C45" s="3">
        <f t="shared" si="32"/>
        <v>2029</v>
      </c>
      <c r="D45" s="177">
        <f t="array" ref="D45">SUM((AL$18:AL$387)*(AO$18:AO$387)*($AJ$18:$AJ$387=$C45))/SUM((AO$18:AO$387)*($AJ$18:$AJ$387=$C45))</f>
        <v>95.943843648208457</v>
      </c>
      <c r="E45" s="177">
        <f t="array" ref="E45">SUM((AM$18:AM$387)*(AP$18:AP$387)*($AJ$18:$AJ$387=$C45))/SUM((AP$18:AP$387)*($AJ$18:$AJ$387=$C45))</f>
        <v>87.8204365904366</v>
      </c>
      <c r="F45" s="177">
        <f t="array" ref="F45">(SUM((AN$18:AN$387)*(AO$18:AO$387)*($AJ$18:$AJ$387=$C45))+SUM((AN$18:AN$387)*(AP$18:AP$387)*($AJ$18:$AJ$387=$C45)))/(SUM((AO$18:AO$387)*($AJ$18:$AJ$387=$C45))+SUM((AP$18:AP$387)*($AJ$18:$AJ$387=$C45)))</f>
        <v>92.43199589041096</v>
      </c>
      <c r="G45" s="243">
        <f t="shared" si="38"/>
        <v>4.7541666666666673</v>
      </c>
      <c r="H45" s="243">
        <f t="shared" si="42"/>
        <v>4.2515375000000004</v>
      </c>
      <c r="I45" s="249">
        <f t="shared" si="43"/>
        <v>6.7842064965454068</v>
      </c>
      <c r="J45" s="177">
        <f t="shared" si="28"/>
        <v>7.7633333333333328</v>
      </c>
      <c r="K45" s="177">
        <f t="array" ref="K45">(SUM((AX$18:AX$387)*(AO$18:AO$387)*($AJ$18:$AJ$387=$C45))+SUM((AX$18:AX$387)*(AP$18:AP$387)*($AJ$18:$AJ$387=$C45)))/(SUM((AO$18:AO$387)*($AJ$18:$AJ$387=$C45))+SUM((AP$18:AP$387)*($AJ$18:$AJ$387=$C45)))</f>
        <v>11.952938687642925</v>
      </c>
      <c r="L45" s="243">
        <f t="shared" si="31"/>
        <v>13.565833333333336</v>
      </c>
      <c r="M45" s="243"/>
      <c r="N45" s="639"/>
      <c r="O45" s="178">
        <v>2.1999999999999999E-2</v>
      </c>
      <c r="P45" s="178">
        <v>2.1000000000000001E-2</v>
      </c>
      <c r="Q45" s="178">
        <v>2.1000000000000001E-2</v>
      </c>
      <c r="R45" s="178">
        <v>1.7999999999999999E-2</v>
      </c>
      <c r="S45" s="178"/>
      <c r="T45" s="641"/>
      <c r="U45" s="319">
        <f t="shared" si="29"/>
        <v>8.2787035147239258</v>
      </c>
      <c r="V45" s="319">
        <f t="shared" si="35"/>
        <v>4.3712049778836288</v>
      </c>
      <c r="W45" s="319">
        <f t="shared" si="36"/>
        <v>1.0999437362648343</v>
      </c>
      <c r="X45" s="319">
        <f t="shared" si="37"/>
        <v>1.1031915891039754</v>
      </c>
      <c r="Y45" s="319">
        <v>1.5286401492284176</v>
      </c>
      <c r="Z45" s="319">
        <v>1.1705802944541936</v>
      </c>
      <c r="AA45" s="319">
        <v>1.1705802944541936</v>
      </c>
      <c r="AC45" s="3">
        <f t="shared" si="30"/>
        <v>2033</v>
      </c>
      <c r="AE45" s="3">
        <v>2036</v>
      </c>
      <c r="AF45" s="762">
        <v>35</v>
      </c>
      <c r="AG45" s="762">
        <f t="shared" si="12"/>
        <v>56.407033151219196</v>
      </c>
      <c r="AH45" s="762">
        <f t="shared" si="33"/>
        <v>46.411096230092959</v>
      </c>
      <c r="AJ45" s="3">
        <f t="shared" si="20"/>
        <v>2008</v>
      </c>
      <c r="AK45" s="345">
        <f t="shared" si="44"/>
        <v>39539</v>
      </c>
      <c r="AL45" s="122">
        <v>55.29</v>
      </c>
      <c r="AM45" s="122">
        <v>41.7</v>
      </c>
      <c r="AN45" s="319">
        <f t="shared" si="34"/>
        <v>49.446299999999994</v>
      </c>
      <c r="AO45" s="305">
        <v>416</v>
      </c>
      <c r="AP45" s="305">
        <v>304</v>
      </c>
      <c r="AQ45" s="305">
        <f t="shared" si="23"/>
        <v>0.57777777777777772</v>
      </c>
      <c r="AR45" s="305">
        <f t="shared" si="24"/>
        <v>0.42222222222222222</v>
      </c>
      <c r="AV45" s="3">
        <f t="shared" si="39"/>
        <v>2008</v>
      </c>
      <c r="AW45" s="343">
        <f t="shared" si="41"/>
        <v>39539</v>
      </c>
      <c r="AX45" s="121">
        <f t="shared" si="25"/>
        <v>6.96467917346384</v>
      </c>
      <c r="AY45" s="122">
        <v>6.96467917346384</v>
      </c>
      <c r="BA45" s="3">
        <f t="shared" si="13"/>
        <v>2007</v>
      </c>
      <c r="BB45" s="343">
        <v>39141</v>
      </c>
      <c r="BC45" s="3">
        <f t="shared" si="14"/>
        <v>5.1958921344999993</v>
      </c>
      <c r="BD45" s="3">
        <v>5.2526472829999999</v>
      </c>
      <c r="BE45" s="3">
        <v>5.1391369859999996</v>
      </c>
      <c r="BG45" s="3">
        <f t="shared" si="15"/>
        <v>2011</v>
      </c>
      <c r="BH45" s="318">
        <v>40544</v>
      </c>
      <c r="BI45" s="3">
        <f t="shared" si="16"/>
        <v>11.647500000000001</v>
      </c>
      <c r="BJ45" s="3">
        <v>11.2</v>
      </c>
      <c r="BK45" s="3">
        <v>12.095000000000001</v>
      </c>
      <c r="BL45" s="412">
        <f t="shared" si="5"/>
        <v>2017</v>
      </c>
      <c r="BM45" s="427">
        <v>42917</v>
      </c>
      <c r="BN45" s="412">
        <f t="shared" si="6"/>
        <v>2.8418999999999999</v>
      </c>
      <c r="BO45" s="458">
        <v>3.0232999999999999</v>
      </c>
      <c r="BP45" s="458">
        <v>2.6604999999999999</v>
      </c>
      <c r="BQ45" s="469">
        <f t="shared" si="7"/>
        <v>2020</v>
      </c>
      <c r="BR45" s="473">
        <v>44013</v>
      </c>
      <c r="BS45" s="469">
        <f t="shared" si="8"/>
        <v>1.6975</v>
      </c>
      <c r="BT45" s="474">
        <v>1.71</v>
      </c>
      <c r="BU45" s="474">
        <v>1.6850000000000001</v>
      </c>
      <c r="CH45" s="3" t="s">
        <v>178</v>
      </c>
    </row>
    <row r="46" spans="3:88">
      <c r="C46" s="3">
        <f t="shared" si="32"/>
        <v>2030</v>
      </c>
      <c r="D46" s="177">
        <f t="array" ref="D46">SUM((AL$18:AL$387)*(AO$18:AO$387)*($AJ$18:$AJ$387=$C46))/SUM((AO$18:AO$387)*($AJ$18:$AJ$387=$C46))</f>
        <v>97.846775244299678</v>
      </c>
      <c r="E46" s="177">
        <f t="array" ref="E46">SUM((AM$18:AM$387)*(AP$18:AP$387)*($AJ$18:$AJ$387=$C46))/SUM((AP$18:AP$387)*($AJ$18:$AJ$387=$C46))</f>
        <v>89.549085239085244</v>
      </c>
      <c r="F46" s="177">
        <f t="array" ref="F46">(SUM((AN$18:AN$387)*(AO$18:AO$387)*($AJ$18:$AJ$387=$C46))+SUM((AN$18:AN$387)*(AP$18:AP$387)*($AJ$18:$AJ$387=$C46)))/(SUM((AO$18:AO$387)*($AJ$18:$AJ$387=$C46))+SUM((AP$18:AP$387)*($AJ$18:$AJ$387=$C46)))</f>
        <v>94.281371506849311</v>
      </c>
      <c r="G46" s="243">
        <f t="shared" si="38"/>
        <v>5.052529166666667</v>
      </c>
      <c r="H46" s="243">
        <f t="shared" si="42"/>
        <v>4.8100083333333341</v>
      </c>
      <c r="I46" s="249">
        <f t="shared" si="43"/>
        <v>6.9538116589590411</v>
      </c>
      <c r="J46" s="177">
        <f t="shared" si="28"/>
        <v>8.0354166666666647</v>
      </c>
      <c r="K46" s="177">
        <f t="array" ref="K46">(SUM((AX$18:AX$387)*(AO$18:AO$387)*($AJ$18:$AJ$387=$C46))+SUM((AX$18:AX$387)*(AP$18:AP$387)*($AJ$18:$AJ$387=$C46)))/(SUM((AO$18:AO$387)*($AJ$18:$AJ$387=$C46))+SUM((AP$18:AP$387)*($AJ$18:$AJ$387=$C46)))</f>
        <v>12.192776449380618</v>
      </c>
      <c r="L46" s="243">
        <f t="shared" si="31"/>
        <v>13.822083333333332</v>
      </c>
      <c r="M46" s="243"/>
      <c r="N46" s="639"/>
      <c r="O46" s="178">
        <v>2.1999999999999999E-2</v>
      </c>
      <c r="P46" s="178">
        <v>2.1000000000000001E-2</v>
      </c>
      <c r="Q46" s="178">
        <v>2.1000000000000001E-2</v>
      </c>
      <c r="R46" s="178">
        <v>1.7999999999999999E-2</v>
      </c>
      <c r="S46" s="178"/>
      <c r="T46" s="641"/>
      <c r="U46" s="319">
        <f t="shared" si="29"/>
        <v>8.4525562885331276</v>
      </c>
      <c r="V46" s="319">
        <f t="shared" si="35"/>
        <v>4.463000282419185</v>
      </c>
      <c r="W46" s="319">
        <f t="shared" si="36"/>
        <v>1.1230425547263958</v>
      </c>
      <c r="X46" s="319">
        <f t="shared" si="37"/>
        <v>1.123049037707847</v>
      </c>
      <c r="Y46" s="319">
        <v>1.5607569013547813</v>
      </c>
      <c r="Z46" s="319">
        <v>1.1951742037401478</v>
      </c>
      <c r="AA46" s="319">
        <v>1.1951742037401478</v>
      </c>
      <c r="AC46" s="3">
        <f t="shared" si="30"/>
        <v>2034</v>
      </c>
      <c r="AE46" s="3">
        <v>2037</v>
      </c>
      <c r="AF46" s="762">
        <v>35</v>
      </c>
      <c r="AG46" s="762">
        <f t="shared" si="12"/>
        <v>56.407033151219196</v>
      </c>
      <c r="AH46" s="762">
        <f t="shared" si="33"/>
        <v>46.411096230092959</v>
      </c>
      <c r="AJ46" s="3">
        <f t="shared" si="20"/>
        <v>2008</v>
      </c>
      <c r="AK46" s="345">
        <f t="shared" si="44"/>
        <v>39569</v>
      </c>
      <c r="AL46" s="122">
        <v>46.56</v>
      </c>
      <c r="AM46" s="122">
        <v>31.97</v>
      </c>
      <c r="AN46" s="319">
        <f t="shared" si="34"/>
        <v>40.286299999999997</v>
      </c>
      <c r="AO46" s="305">
        <v>416</v>
      </c>
      <c r="AP46" s="305">
        <v>328</v>
      </c>
      <c r="AQ46" s="305">
        <f t="shared" si="23"/>
        <v>0.55913978494623651</v>
      </c>
      <c r="AR46" s="305">
        <f t="shared" si="24"/>
        <v>0.44086021505376344</v>
      </c>
      <c r="AV46" s="3">
        <f t="shared" si="39"/>
        <v>2008</v>
      </c>
      <c r="AW46" s="343">
        <f t="shared" si="41"/>
        <v>39569</v>
      </c>
      <c r="AX46" s="121">
        <f t="shared" si="25"/>
        <v>6.7556661228928769</v>
      </c>
      <c r="AY46" s="122">
        <v>6.7556661228928769</v>
      </c>
      <c r="BA46" s="3">
        <f t="shared" si="13"/>
        <v>2007</v>
      </c>
      <c r="BB46" s="343">
        <v>39172</v>
      </c>
      <c r="BC46" s="3">
        <f t="shared" si="14"/>
        <v>5.0058921344999998</v>
      </c>
      <c r="BD46" s="3">
        <v>5.0626472830000004</v>
      </c>
      <c r="BE46" s="3">
        <v>4.9491369860000001</v>
      </c>
      <c r="BG46" s="3">
        <f t="shared" si="15"/>
        <v>2011</v>
      </c>
      <c r="BH46" s="318">
        <v>40575</v>
      </c>
      <c r="BI46" s="3">
        <f t="shared" si="16"/>
        <v>11.637499999999999</v>
      </c>
      <c r="BJ46" s="3">
        <v>11.19</v>
      </c>
      <c r="BK46" s="3">
        <v>12.085000000000001</v>
      </c>
      <c r="BL46" s="412">
        <f t="shared" si="5"/>
        <v>2017</v>
      </c>
      <c r="BM46" s="427">
        <v>42948</v>
      </c>
      <c r="BN46" s="412">
        <f t="shared" si="6"/>
        <v>2.8873500000000001</v>
      </c>
      <c r="BO46" s="458">
        <v>3.0337000000000001</v>
      </c>
      <c r="BP46" s="458">
        <v>2.7410000000000001</v>
      </c>
      <c r="BQ46" s="469">
        <f t="shared" si="7"/>
        <v>2020</v>
      </c>
      <c r="BR46" s="473">
        <v>44044</v>
      </c>
      <c r="BS46" s="469">
        <f t="shared" si="8"/>
        <v>1.7156</v>
      </c>
      <c r="BT46" s="474">
        <v>1.7161999999999999</v>
      </c>
      <c r="BU46" s="474">
        <v>1.7150000000000001</v>
      </c>
      <c r="CH46" s="3" t="s">
        <v>179</v>
      </c>
      <c r="CI46" s="178">
        <v>2.0199999999999999E-2</v>
      </c>
    </row>
    <row r="47" spans="3:88">
      <c r="C47" s="3">
        <f t="shared" si="32"/>
        <v>2031</v>
      </c>
      <c r="D47" s="177">
        <f t="array" ref="D47">SUM((AL$18:AL$387)*(AO$18:AO$387)*($AJ$18:$AJ$387=$C47))/SUM((AO$18:AO$387)*($AJ$18:$AJ$387=$C47))</f>
        <v>99.815504885993491</v>
      </c>
      <c r="E47" s="177">
        <f t="array" ref="E47">SUM((AM$18:AM$387)*(AP$18:AP$387)*($AJ$18:$AJ$387=$C47))/SUM((AP$18:AP$387)*($AJ$18:$AJ$387=$C47))</f>
        <v>91.314677754677746</v>
      </c>
      <c r="F47" s="177">
        <f t="array" ref="F47">(SUM((AN$18:AN$387)*(AO$18:AO$387)*($AJ$18:$AJ$387=$C47))+SUM((AN$18:AN$387)*(AP$18:AP$387)*($AJ$18:$AJ$387=$C47)))/(SUM((AO$18:AO$387)*($AJ$18:$AJ$387=$C47))+SUM((AP$18:AP$387)*($AJ$18:$AJ$387=$C47)))</f>
        <v>96.165856438356158</v>
      </c>
      <c r="G47" s="243">
        <f t="shared" si="38"/>
        <v>5.1898791666666666</v>
      </c>
      <c r="H47" s="243">
        <f t="shared" si="42"/>
        <v>5.1210458333333335</v>
      </c>
      <c r="I47" s="249">
        <f t="shared" si="43"/>
        <v>7.1276569504330167</v>
      </c>
      <c r="J47" s="177">
        <f t="shared" si="28"/>
        <v>8.3158333333333321</v>
      </c>
      <c r="K47" s="177">
        <f t="array" ref="K47">(SUM((AX$18:AX$387)*(AO$18:AO$387)*($AJ$18:$AJ$387=$C47))+SUM((AX$18:AX$387)*(AP$18:AP$387)*($AJ$18:$AJ$387=$C47)))/(SUM((AO$18:AO$387)*($AJ$18:$AJ$387=$C47))+SUM((AP$18:AP$387)*($AJ$18:$AJ$387=$C47)))</f>
        <v>12.434327471004936</v>
      </c>
      <c r="L47" s="243">
        <f t="shared" si="31"/>
        <v>14.084999999999999</v>
      </c>
      <c r="M47" s="243"/>
      <c r="N47" s="639"/>
      <c r="O47" s="178">
        <v>2.1999999999999999E-2</v>
      </c>
      <c r="P47" s="178">
        <v>2.1000000000000001E-2</v>
      </c>
      <c r="Q47" s="178">
        <v>2.1000000000000001E-2</v>
      </c>
      <c r="R47" s="178">
        <v>1.7999999999999999E-2</v>
      </c>
      <c r="S47" s="178"/>
      <c r="T47" s="641"/>
      <c r="U47" s="319">
        <f t="shared" si="29"/>
        <v>8.6300599705923222</v>
      </c>
      <c r="V47" s="319">
        <f t="shared" si="35"/>
        <v>4.5567232883499873</v>
      </c>
      <c r="W47" s="319">
        <f t="shared" si="36"/>
        <v>1.1466264483756501</v>
      </c>
      <c r="X47" s="319">
        <f t="shared" si="37"/>
        <v>1.1432639203865882</v>
      </c>
      <c r="Y47" s="319">
        <v>1.5935251628391218</v>
      </c>
      <c r="Z47" s="319">
        <v>1.2202670165885168</v>
      </c>
      <c r="AA47" s="319">
        <v>1.2202670165885168</v>
      </c>
      <c r="AC47" s="3">
        <f t="shared" si="30"/>
        <v>2035</v>
      </c>
      <c r="AE47" s="3">
        <v>2038</v>
      </c>
      <c r="AF47" s="762">
        <v>36</v>
      </c>
      <c r="AG47" s="762">
        <f t="shared" si="12"/>
        <v>58.01866266982546</v>
      </c>
      <c r="AH47" s="762">
        <f t="shared" si="33"/>
        <v>47.737127550952756</v>
      </c>
      <c r="AJ47" s="3">
        <f t="shared" si="20"/>
        <v>2008</v>
      </c>
      <c r="AK47" s="345">
        <f t="shared" si="44"/>
        <v>39600</v>
      </c>
      <c r="AL47" s="122">
        <v>43.65</v>
      </c>
      <c r="AM47" s="122">
        <v>30.58</v>
      </c>
      <c r="AN47" s="319">
        <f t="shared" si="34"/>
        <v>38.029899999999998</v>
      </c>
      <c r="AO47" s="305">
        <v>400</v>
      </c>
      <c r="AP47" s="305">
        <v>320</v>
      </c>
      <c r="AQ47" s="305">
        <f t="shared" si="23"/>
        <v>0.55555555555555558</v>
      </c>
      <c r="AR47" s="305">
        <f t="shared" si="24"/>
        <v>0.44444444444444442</v>
      </c>
      <c r="AV47" s="3">
        <f t="shared" si="39"/>
        <v>2008</v>
      </c>
      <c r="AW47" s="343">
        <f t="shared" si="41"/>
        <v>39600</v>
      </c>
      <c r="AX47" s="121">
        <f t="shared" si="25"/>
        <v>6.8423300706905925</v>
      </c>
      <c r="AY47" s="122">
        <v>6.8423300706905925</v>
      </c>
      <c r="BA47" s="3">
        <f t="shared" si="13"/>
        <v>2007</v>
      </c>
      <c r="BB47" s="343">
        <v>39202</v>
      </c>
      <c r="BC47" s="3">
        <f t="shared" si="14"/>
        <v>4.4895466709999994</v>
      </c>
      <c r="BD47" s="3">
        <v>4.5599563559999998</v>
      </c>
      <c r="BE47" s="3">
        <v>4.4191369859999998</v>
      </c>
      <c r="BG47" s="3">
        <f t="shared" si="15"/>
        <v>2011</v>
      </c>
      <c r="BH47" s="318">
        <v>40603</v>
      </c>
      <c r="BI47" s="3">
        <f t="shared" si="16"/>
        <v>11.4025</v>
      </c>
      <c r="BJ47" s="3">
        <v>10.955</v>
      </c>
      <c r="BK47" s="3">
        <v>11.85</v>
      </c>
      <c r="BL47" s="412">
        <f t="shared" si="5"/>
        <v>2017</v>
      </c>
      <c r="BM47" s="427">
        <v>42979</v>
      </c>
      <c r="BN47" s="412">
        <f t="shared" si="6"/>
        <v>2.8809</v>
      </c>
      <c r="BO47" s="458">
        <v>3.0247999999999999</v>
      </c>
      <c r="BP47" s="458">
        <v>2.7370000000000001</v>
      </c>
      <c r="BQ47" s="469">
        <f t="shared" si="7"/>
        <v>2020</v>
      </c>
      <c r="BR47" s="473">
        <v>44075</v>
      </c>
      <c r="BS47" s="469">
        <f t="shared" si="8"/>
        <v>1.7141</v>
      </c>
      <c r="BT47" s="474">
        <v>1.7146999999999999</v>
      </c>
      <c r="BU47" s="474">
        <v>1.7135</v>
      </c>
      <c r="CH47" s="3" t="s">
        <v>180</v>
      </c>
      <c r="CI47" s="178">
        <v>2.9399999999999999E-2</v>
      </c>
    </row>
    <row r="48" spans="3:88">
      <c r="C48" s="3">
        <f t="shared" si="32"/>
        <v>2032</v>
      </c>
      <c r="D48" s="177">
        <f t="array" ref="D48">SUM((AL$18:AL$387)*(AO$18:AO$387)*($AJ$18:$AJ$387=$C48))/SUM((AO$18:AO$387)*($AJ$18:$AJ$387=$C48))</f>
        <v>101.9521103896104</v>
      </c>
      <c r="E48" s="177">
        <f t="array" ref="E48">SUM((AM$18:AM$387)*(AP$18:AP$387)*($AJ$18:$AJ$387=$C48))/SUM((AP$18:AP$387)*($AJ$18:$AJ$387=$C48))</f>
        <v>93.232323651452305</v>
      </c>
      <c r="F48" s="177">
        <f t="array" ref="F48">(SUM((AN$18:AN$387)*(AO$18:AO$387)*($AJ$18:$AJ$387=$C48))+SUM((AN$18:AN$387)*(AP$18:AP$387)*($AJ$18:$AJ$387=$C48)))/(SUM((AO$18:AO$387)*($AJ$18:$AJ$387=$C48))+SUM((AP$18:AP$387)*($AJ$18:$AJ$387=$C48)))</f>
        <v>98.202721857923493</v>
      </c>
      <c r="G48" s="243">
        <f t="shared" si="38"/>
        <v>5.3326874999999996</v>
      </c>
      <c r="H48" s="243">
        <f t="shared" si="42"/>
        <v>5.4231541666666665</v>
      </c>
      <c r="I48" s="249">
        <f t="shared" si="43"/>
        <v>7.3058483741938414</v>
      </c>
      <c r="J48" s="177">
        <f t="shared" si="28"/>
        <v>8.6074999999999999</v>
      </c>
      <c r="K48" s="177">
        <f t="array" ref="K48">(SUM((AX$18:AX$387)*(AO$18:AO$387)*($AJ$18:$AJ$387=$C48))+SUM((AX$18:AX$387)*(AP$18:AP$387)*($AJ$18:$AJ$387=$C48)))/(SUM((AO$18:AO$387)*($AJ$18:$AJ$387=$C48))+SUM((AP$18:AP$387)*($AJ$18:$AJ$387=$C48)))</f>
        <v>12.698146444521699</v>
      </c>
      <c r="L48" s="243">
        <f t="shared" si="31"/>
        <v>14.351666666666667</v>
      </c>
      <c r="M48" s="243"/>
      <c r="N48" s="639"/>
      <c r="O48" s="178">
        <v>2.1999999999999999E-2</v>
      </c>
      <c r="P48" s="178">
        <v>2.1000000000000001E-2</v>
      </c>
      <c r="Q48" s="178">
        <v>2.1000000000000001E-2</v>
      </c>
      <c r="R48" s="178">
        <v>1.7999999999999999E-2</v>
      </c>
      <c r="S48" s="178"/>
      <c r="T48" s="641"/>
      <c r="U48" s="319">
        <f t="shared" ref="U48:U56" si="45">U47*(1+Q48)</f>
        <v>8.8112912299747599</v>
      </c>
      <c r="V48" s="319">
        <f t="shared" si="35"/>
        <v>4.6524144774053369</v>
      </c>
      <c r="W48" s="319">
        <f t="shared" si="36"/>
        <v>1.1707056037915387</v>
      </c>
      <c r="X48" s="319">
        <f t="shared" si="37"/>
        <v>1.1638426709535468</v>
      </c>
      <c r="Y48" s="319">
        <v>1.6267336732773778</v>
      </c>
      <c r="Z48" s="319">
        <v>1.2456969570142082</v>
      </c>
      <c r="AA48" s="319">
        <v>1.2456969570142082</v>
      </c>
      <c r="AC48" s="3">
        <f t="shared" si="30"/>
        <v>2036</v>
      </c>
      <c r="AE48" s="3">
        <v>2039</v>
      </c>
      <c r="AF48" s="762">
        <v>37</v>
      </c>
      <c r="AG48" s="762">
        <f t="shared" si="12"/>
        <v>59.630292188431724</v>
      </c>
      <c r="AH48" s="762">
        <f t="shared" si="33"/>
        <v>49.063158871812554</v>
      </c>
      <c r="AJ48" s="3">
        <f t="shared" si="20"/>
        <v>2008</v>
      </c>
      <c r="AK48" s="345">
        <f t="shared" si="44"/>
        <v>39630</v>
      </c>
      <c r="AL48" s="122">
        <v>71.099999999999994</v>
      </c>
      <c r="AM48" s="122">
        <v>55.8</v>
      </c>
      <c r="AN48" s="319">
        <f t="shared" si="34"/>
        <v>64.520999999999987</v>
      </c>
      <c r="AO48" s="305">
        <v>416</v>
      </c>
      <c r="AP48" s="305">
        <v>328</v>
      </c>
      <c r="AQ48" s="305">
        <f t="shared" si="23"/>
        <v>0.55913978494623651</v>
      </c>
      <c r="AR48" s="305">
        <f t="shared" si="24"/>
        <v>0.44086021505376344</v>
      </c>
      <c r="AV48" s="3">
        <f t="shared" si="39"/>
        <v>2008</v>
      </c>
      <c r="AW48" s="343">
        <f t="shared" si="41"/>
        <v>39630</v>
      </c>
      <c r="AX48" s="121">
        <f t="shared" si="25"/>
        <v>7.0220473083197392</v>
      </c>
      <c r="AY48" s="122">
        <v>7.0220473083197392</v>
      </c>
      <c r="BA48" s="3">
        <f t="shared" si="13"/>
        <v>2007</v>
      </c>
      <c r="BB48" s="343">
        <v>39233</v>
      </c>
      <c r="BC48" s="3">
        <f t="shared" si="14"/>
        <v>4.3295466709999992</v>
      </c>
      <c r="BD48" s="3">
        <v>4.3999563559999997</v>
      </c>
      <c r="BE48" s="3">
        <v>4.2591369859999997</v>
      </c>
      <c r="BG48" s="3">
        <f t="shared" si="15"/>
        <v>2011</v>
      </c>
      <c r="BH48" s="318">
        <v>40634</v>
      </c>
      <c r="BI48" s="3">
        <f t="shared" si="16"/>
        <v>9.6462500000000002</v>
      </c>
      <c r="BJ48" s="3">
        <v>9.6974999999999998</v>
      </c>
      <c r="BK48" s="3">
        <v>9.5950000000000006</v>
      </c>
      <c r="BL48" s="412">
        <f t="shared" si="5"/>
        <v>2017</v>
      </c>
      <c r="BM48" s="427">
        <v>43009</v>
      </c>
      <c r="BN48" s="412">
        <f t="shared" si="6"/>
        <v>2.9229000000000003</v>
      </c>
      <c r="BO48" s="458">
        <v>3.0268000000000002</v>
      </c>
      <c r="BP48" s="458">
        <v>2.819</v>
      </c>
      <c r="BQ48" s="469">
        <f t="shared" si="7"/>
        <v>2020</v>
      </c>
      <c r="BR48" s="473">
        <v>44105</v>
      </c>
      <c r="BS48" s="469">
        <f t="shared" si="8"/>
        <v>1.7273999999999998</v>
      </c>
      <c r="BT48" s="474">
        <v>1.7367999999999999</v>
      </c>
      <c r="BU48" s="474">
        <v>1.718</v>
      </c>
      <c r="CH48" s="3" t="s">
        <v>181</v>
      </c>
      <c r="CI48" s="178">
        <v>3.4799999999999998E-2</v>
      </c>
    </row>
    <row r="49" spans="3:87">
      <c r="C49" s="3">
        <f t="shared" si="32"/>
        <v>2033</v>
      </c>
      <c r="D49" s="177">
        <f t="array" ref="D49">SUM((AL$18:AL$387)*(AO$18:AO$387)*($AJ$18:$AJ$387=$C49))/SUM((AO$18:AO$387)*($AJ$18:$AJ$387=$C49))</f>
        <v>104.04475570032574</v>
      </c>
      <c r="E49" s="177">
        <f t="array" ref="E49">SUM((AM$18:AM$387)*(AP$18:AP$387)*($AJ$18:$AJ$387=$C49))/SUM((AP$18:AP$387)*($AJ$18:$AJ$387=$C49))</f>
        <v>95.224490644490658</v>
      </c>
      <c r="F49" s="177">
        <f t="array" ref="F49">(SUM((AN$18:AN$387)*(AO$18:AO$387)*($AJ$18:$AJ$387=$C49))+SUM((AN$18:AN$387)*(AP$18:AP$387)*($AJ$18:$AJ$387=$C49)))/(SUM((AO$18:AO$387)*($AJ$18:$AJ$387=$C49))+SUM((AP$18:AP$387)*($AJ$18:$AJ$387=$C49)))</f>
        <v>100.24910465753423</v>
      </c>
      <c r="G49" s="243">
        <f t="shared" si="38"/>
        <v>5.5168416666666671</v>
      </c>
      <c r="H49" s="243">
        <f t="shared" si="42"/>
        <v>5.7402833333333332</v>
      </c>
      <c r="I49" s="249">
        <f t="shared" si="43"/>
        <v>7.4884945835486869</v>
      </c>
      <c r="J49" s="177">
        <f t="shared" si="28"/>
        <v>8.9100000000000019</v>
      </c>
      <c r="K49" s="177">
        <f t="array" ref="K49">(SUM((AX$18:AX$387)*(AO$18:AO$387)*($AJ$18:$AJ$387=$C49))+SUM((AX$18:AX$387)*(AP$18:AP$387)*($AJ$18:$AJ$387=$C49)))/(SUM((AO$18:AO$387)*($AJ$18:$AJ$387=$C49))+SUM((AP$18:AP$387)*($AJ$18:$AJ$387=$C49)))</f>
        <v>12.962411897472569</v>
      </c>
      <c r="L49" s="243">
        <f t="shared" si="31"/>
        <v>14.610833333333332</v>
      </c>
      <c r="M49" s="243"/>
      <c r="N49" s="639"/>
      <c r="O49" s="178">
        <v>2.1999999999999999E-2</v>
      </c>
      <c r="P49" s="178">
        <v>2.1000000000000001E-2</v>
      </c>
      <c r="Q49" s="178">
        <f>Q48</f>
        <v>2.1000000000000001E-2</v>
      </c>
      <c r="R49" s="178">
        <v>1.9E-2</v>
      </c>
      <c r="S49" s="178"/>
      <c r="T49" s="641"/>
      <c r="U49" s="319">
        <f t="shared" si="45"/>
        <v>8.9963283458042298</v>
      </c>
      <c r="V49" s="319">
        <f t="shared" si="35"/>
        <v>4.7501151814308482</v>
      </c>
      <c r="W49" s="319">
        <f t="shared" si="36"/>
        <v>1.1952904214711608</v>
      </c>
      <c r="X49" s="319">
        <f t="shared" si="37"/>
        <v>1.1859556817016641</v>
      </c>
      <c r="Y49" s="319">
        <v>1.6606577113778709</v>
      </c>
      <c r="Z49" s="319">
        <v>1.2716748240280993</v>
      </c>
      <c r="AA49" s="319">
        <v>1.2716748240280993</v>
      </c>
      <c r="AC49" s="3">
        <f t="shared" si="30"/>
        <v>2037</v>
      </c>
      <c r="AE49" s="3">
        <v>2040</v>
      </c>
      <c r="AF49" s="762">
        <v>37</v>
      </c>
      <c r="AG49" s="762">
        <f t="shared" si="12"/>
        <v>59.630292188431724</v>
      </c>
      <c r="AH49" s="762">
        <f t="shared" si="33"/>
        <v>49.063158871812554</v>
      </c>
      <c r="AJ49" s="3">
        <f t="shared" si="20"/>
        <v>2008</v>
      </c>
      <c r="AK49" s="345">
        <f t="shared" si="44"/>
        <v>39661</v>
      </c>
      <c r="AL49" s="122">
        <v>83.74</v>
      </c>
      <c r="AM49" s="122">
        <v>65.72</v>
      </c>
      <c r="AN49" s="319">
        <f t="shared" si="34"/>
        <v>75.991399999999999</v>
      </c>
      <c r="AO49" s="305">
        <v>416</v>
      </c>
      <c r="AP49" s="305">
        <v>328</v>
      </c>
      <c r="AQ49" s="305">
        <f t="shared" si="23"/>
        <v>0.55913978494623651</v>
      </c>
      <c r="AR49" s="305">
        <f t="shared" si="24"/>
        <v>0.44086021505376344</v>
      </c>
      <c r="AV49" s="3">
        <f t="shared" si="39"/>
        <v>2008</v>
      </c>
      <c r="AW49" s="343">
        <f t="shared" si="41"/>
        <v>39661</v>
      </c>
      <c r="AX49" s="121">
        <f t="shared" si="25"/>
        <v>7.1036133768352361</v>
      </c>
      <c r="AY49" s="122">
        <v>7.1036133768352361</v>
      </c>
      <c r="BA49" s="3">
        <f t="shared" si="13"/>
        <v>2007</v>
      </c>
      <c r="BB49" s="343">
        <v>39263</v>
      </c>
      <c r="BC49" s="3">
        <f t="shared" si="14"/>
        <v>4.3315466709999999</v>
      </c>
      <c r="BD49" s="3">
        <v>4.4019563560000003</v>
      </c>
      <c r="BE49" s="3">
        <v>4.2611369860000003</v>
      </c>
      <c r="BG49" s="3">
        <f t="shared" si="15"/>
        <v>2011</v>
      </c>
      <c r="BH49" s="318">
        <v>40664</v>
      </c>
      <c r="BI49" s="3">
        <f t="shared" si="16"/>
        <v>9.5862499999999997</v>
      </c>
      <c r="BJ49" s="3">
        <v>9.6374999999999993</v>
      </c>
      <c r="BK49" s="3">
        <v>9.5350000000000001</v>
      </c>
      <c r="BL49" s="412">
        <f t="shared" si="5"/>
        <v>2017</v>
      </c>
      <c r="BM49" s="427">
        <v>43040</v>
      </c>
      <c r="BN49" s="412">
        <f t="shared" si="6"/>
        <v>3.2003500000000003</v>
      </c>
      <c r="BO49" s="458">
        <v>3.1837</v>
      </c>
      <c r="BP49" s="458">
        <v>3.2170000000000001</v>
      </c>
      <c r="BQ49" s="469">
        <f t="shared" si="7"/>
        <v>2020</v>
      </c>
      <c r="BR49" s="473">
        <v>44136</v>
      </c>
      <c r="BS49" s="469">
        <f t="shared" si="8"/>
        <v>2.0680000000000001</v>
      </c>
      <c r="BT49" s="474">
        <v>1.9179999999999999</v>
      </c>
      <c r="BU49" s="474">
        <v>2.218</v>
      </c>
    </row>
    <row r="50" spans="3:87">
      <c r="C50" s="3">
        <f t="shared" si="32"/>
        <v>2034</v>
      </c>
      <c r="D50" s="177">
        <f t="array" ref="D50">SUM((AL$18:AL$387)*(AO$18:AO$387)*($AJ$18:$AJ$387=$C50))/SUM((AO$18:AO$387)*($AJ$18:$AJ$387=$C50))</f>
        <v>106.19401960784313</v>
      </c>
      <c r="E50" s="177">
        <f t="array" ref="E50">SUM((AM$18:AM$387)*(AP$18:AP$387)*($AJ$18:$AJ$387=$C50))/SUM((AP$18:AP$387)*($AJ$18:$AJ$387=$C50))</f>
        <v>97.271739130434781</v>
      </c>
      <c r="F50" s="177">
        <f t="array" ref="F50">(SUM((AN$18:AN$387)*(AO$18:AO$387)*($AJ$18:$AJ$387=$C50))+SUM((AN$18:AN$387)*(AP$18:AP$387)*($AJ$18:$AJ$387=$C50)))/(SUM((AO$18:AO$387)*($AJ$18:$AJ$387=$C50))+SUM((AP$18:AP$387)*($AJ$18:$AJ$387=$C50)))</f>
        <v>102.3546008219178</v>
      </c>
      <c r="G50" s="243">
        <f t="shared" si="38"/>
        <v>5.688295833333334</v>
      </c>
      <c r="H50" s="243">
        <f t="shared" si="42"/>
        <v>6.0488291666666667</v>
      </c>
      <c r="I50" s="249">
        <f t="shared" si="43"/>
        <v>7.6757069481374032</v>
      </c>
      <c r="J50" s="177">
        <f t="shared" si="28"/>
        <v>9.2114285714285717</v>
      </c>
      <c r="K50" s="177">
        <f t="array" ref="K50">(SUM((AX$18:AX$387)*(AO$18:AO$387)*($AJ$18:$AJ$387=$C50))+SUM((AX$18:AX$387)*(AP$18:AP$387)*($AJ$18:$AJ$387=$C50)))/(SUM((AO$18:AO$387)*($AJ$18:$AJ$387=$C50))+SUM((AP$18:AP$387)*($AJ$18:$AJ$387=$C50)))</f>
        <v>13.232278263201412</v>
      </c>
      <c r="L50" s="243">
        <f t="shared" si="31"/>
        <v>14.875000000000002</v>
      </c>
      <c r="M50" s="243"/>
      <c r="N50" s="639"/>
      <c r="O50" s="178">
        <v>2.1999999999999999E-2</v>
      </c>
      <c r="P50" s="178">
        <v>2.1000000000000001E-2</v>
      </c>
      <c r="Q50" s="178">
        <f t="shared" ref="Q50:Q51" si="46">Q49</f>
        <v>2.1000000000000001E-2</v>
      </c>
      <c r="R50" s="178">
        <v>1.7999999999999999E-2</v>
      </c>
      <c r="S50" s="178"/>
      <c r="T50" s="641"/>
      <c r="U50" s="319">
        <f t="shared" si="45"/>
        <v>9.1852512410661173</v>
      </c>
      <c r="V50" s="319">
        <f t="shared" si="35"/>
        <v>4.8498676002408958</v>
      </c>
      <c r="W50" s="319">
        <f t="shared" si="36"/>
        <v>1.220391520322055</v>
      </c>
      <c r="X50" s="319">
        <f t="shared" si="37"/>
        <v>1.2073028839722941</v>
      </c>
      <c r="Y50" s="319">
        <v>1.6953423361778306</v>
      </c>
      <c r="Z50" s="319">
        <v>1.2982351222983386</v>
      </c>
      <c r="AA50" s="319">
        <v>1.2982351222983386</v>
      </c>
      <c r="AC50" s="3">
        <f t="shared" si="30"/>
        <v>2038</v>
      </c>
      <c r="AJ50" s="3">
        <f t="shared" si="20"/>
        <v>2008</v>
      </c>
      <c r="AK50" s="345">
        <f t="shared" si="44"/>
        <v>39692</v>
      </c>
      <c r="AL50" s="122">
        <v>82.16</v>
      </c>
      <c r="AM50" s="122">
        <v>64.48</v>
      </c>
      <c r="AN50" s="319">
        <f t="shared" si="34"/>
        <v>74.557599999999994</v>
      </c>
      <c r="AO50" s="305">
        <v>400</v>
      </c>
      <c r="AP50" s="305">
        <v>320</v>
      </c>
      <c r="AQ50" s="305">
        <f t="shared" si="23"/>
        <v>0.55555555555555558</v>
      </c>
      <c r="AR50" s="305">
        <f t="shared" si="24"/>
        <v>0.44444444444444442</v>
      </c>
      <c r="AV50" s="3">
        <f t="shared" si="39"/>
        <v>2008</v>
      </c>
      <c r="AW50" s="343">
        <f t="shared" si="41"/>
        <v>39692</v>
      </c>
      <c r="AX50" s="121">
        <f t="shared" si="25"/>
        <v>7.2004730831973891</v>
      </c>
      <c r="AY50" s="122">
        <v>7.2004730831973891</v>
      </c>
      <c r="BA50" s="3">
        <f t="shared" si="13"/>
        <v>2007</v>
      </c>
      <c r="BB50" s="343">
        <v>39294</v>
      </c>
      <c r="BC50" s="3">
        <f t="shared" si="14"/>
        <v>4.3415466709999997</v>
      </c>
      <c r="BD50" s="3">
        <v>4.4119563560000001</v>
      </c>
      <c r="BE50" s="3">
        <v>4.2711369860000001</v>
      </c>
      <c r="BG50" s="3">
        <f t="shared" si="15"/>
        <v>2011</v>
      </c>
      <c r="BH50" s="318">
        <v>40695</v>
      </c>
      <c r="BI50" s="3">
        <f t="shared" si="16"/>
        <v>9.6712500000000006</v>
      </c>
      <c r="BJ50" s="3">
        <v>9.7225000000000001</v>
      </c>
      <c r="BK50" s="3">
        <v>9.6199999999999992</v>
      </c>
      <c r="BL50" s="412">
        <f t="shared" si="5"/>
        <v>2017</v>
      </c>
      <c r="BM50" s="427">
        <v>43070</v>
      </c>
      <c r="BN50" s="412">
        <f t="shared" si="6"/>
        <v>3.4322999999999997</v>
      </c>
      <c r="BO50" s="458">
        <v>3.3275999999999999</v>
      </c>
      <c r="BP50" s="458">
        <v>3.5369999999999999</v>
      </c>
      <c r="BQ50" s="469">
        <f t="shared" si="7"/>
        <v>2020</v>
      </c>
      <c r="BR50" s="473">
        <v>44166</v>
      </c>
      <c r="BS50" s="469">
        <f t="shared" si="8"/>
        <v>2.3118499999999997</v>
      </c>
      <c r="BT50" s="474">
        <v>2.0636999999999999</v>
      </c>
      <c r="BU50" s="474">
        <v>2.56</v>
      </c>
      <c r="CH50" s="3">
        <v>2004</v>
      </c>
      <c r="CI50" s="178">
        <f>CI46</f>
        <v>2.0199999999999999E-2</v>
      </c>
    </row>
    <row r="51" spans="3:87">
      <c r="C51" s="3">
        <f t="shared" si="32"/>
        <v>2035</v>
      </c>
      <c r="D51" s="177">
        <f t="array" ref="D51">SUM((AL$18:AL$387)*(AO$18:AO$387)*($AJ$18:$AJ$387=$C51))/SUM((AO$18:AO$387)*($AJ$18:$AJ$387=$C51))</f>
        <v>108.47397394136806</v>
      </c>
      <c r="E51" s="177">
        <f t="array" ref="E51">SUM((AM$18:AM$387)*(AP$18:AP$387)*($AJ$18:$AJ$387=$C51))/SUM((AP$18:AP$387)*($AJ$18:$AJ$387=$C51))</f>
        <v>99.289002079002088</v>
      </c>
      <c r="F51" s="177">
        <f t="array" ref="F51">(SUM((AN$18:AN$387)*(AO$18:AO$387)*($AJ$18:$AJ$387=$C51))+SUM((AN$18:AN$387)*(AP$18:AP$387)*($AJ$18:$AJ$387=$C51)))/(SUM((AO$18:AO$387)*($AJ$18:$AJ$387=$C51))+SUM((AP$18:AP$387)*($AJ$18:$AJ$387=$C51)))</f>
        <v>104.5032106849315</v>
      </c>
      <c r="G51" s="243">
        <f t="shared" si="38"/>
        <v>5.846000000000001</v>
      </c>
      <c r="H51" s="243">
        <f t="shared" si="42"/>
        <v>5.7299374999999992</v>
      </c>
      <c r="I51" s="249">
        <f t="shared" si="43"/>
        <v>7.8675996218408377</v>
      </c>
      <c r="J51" s="249">
        <f t="shared" ref="J51:J67" si="47">J50*(1+$CI$48)</f>
        <v>9.5319862857142859</v>
      </c>
      <c r="K51" s="177">
        <f t="array" ref="K51">(SUM((AX$18:AX$387)*(AO$18:AO$387)*($AJ$18:$AJ$387=$C51))+SUM((AX$18:AX$387)*(AP$18:AP$387)*($AJ$18:$AJ$387=$C51)))/(SUM((AO$18:AO$387)*($AJ$18:$AJ$387=$C51))+SUM((AP$18:AP$387)*($AJ$18:$AJ$387=$C51)))</f>
        <v>13.511483757551378</v>
      </c>
      <c r="L51" s="243">
        <f t="shared" si="31"/>
        <v>15.140833333333333</v>
      </c>
      <c r="M51" s="243"/>
      <c r="N51" s="639"/>
      <c r="O51" s="178">
        <v>2.1999999999999999E-2</v>
      </c>
      <c r="P51" s="178">
        <v>2.1000000000000001E-2</v>
      </c>
      <c r="Q51" s="178">
        <f t="shared" si="46"/>
        <v>2.1000000000000001E-2</v>
      </c>
      <c r="R51" s="178">
        <v>1.7999999999999999E-2</v>
      </c>
      <c r="S51" s="178"/>
      <c r="T51" s="641"/>
      <c r="U51" s="319">
        <f t="shared" si="45"/>
        <v>9.3781415171285047</v>
      </c>
      <c r="V51" s="319">
        <f t="shared" si="35"/>
        <v>4.9517148198459537</v>
      </c>
      <c r="W51" s="319">
        <f t="shared" si="36"/>
        <v>1.246019742248818</v>
      </c>
      <c r="X51" s="319">
        <f t="shared" si="37"/>
        <v>1.2290343358837954</v>
      </c>
      <c r="Y51" s="319">
        <v>1.730529504666237</v>
      </c>
      <c r="Z51" s="319">
        <v>1.3251802513209923</v>
      </c>
      <c r="AA51" s="319">
        <v>1.3251802513209923</v>
      </c>
      <c r="AC51" s="3">
        <f t="shared" si="30"/>
        <v>2039</v>
      </c>
      <c r="AJ51" s="3">
        <f t="shared" si="20"/>
        <v>2008</v>
      </c>
      <c r="AK51" s="345">
        <f t="shared" si="44"/>
        <v>39722</v>
      </c>
      <c r="AL51" s="122">
        <v>57.914999999999999</v>
      </c>
      <c r="AM51" s="122">
        <v>51.252499999999998</v>
      </c>
      <c r="AN51" s="319">
        <f t="shared" si="34"/>
        <v>55.050124999999994</v>
      </c>
      <c r="AO51" s="305">
        <v>432</v>
      </c>
      <c r="AP51" s="305">
        <v>312</v>
      </c>
      <c r="AQ51" s="305">
        <f t="shared" si="23"/>
        <v>0.58064516129032262</v>
      </c>
      <c r="AR51" s="305">
        <f t="shared" si="24"/>
        <v>0.41935483870967744</v>
      </c>
      <c r="AV51" s="3">
        <f t="shared" si="39"/>
        <v>2008</v>
      </c>
      <c r="AW51" s="343">
        <f t="shared" si="41"/>
        <v>39722</v>
      </c>
      <c r="AX51" s="121">
        <f t="shared" si="25"/>
        <v>7.3196275149537806</v>
      </c>
      <c r="AY51" s="122">
        <v>7.3196275149537806</v>
      </c>
      <c r="BA51" s="3">
        <f t="shared" si="13"/>
        <v>2007</v>
      </c>
      <c r="BB51" s="343">
        <v>39325</v>
      </c>
      <c r="BC51" s="3">
        <f t="shared" si="14"/>
        <v>4.3644602705000004</v>
      </c>
      <c r="BD51" s="3">
        <v>4.435607665</v>
      </c>
      <c r="BE51" s="3">
        <v>4.2933128759999999</v>
      </c>
      <c r="BG51" s="3">
        <f t="shared" si="15"/>
        <v>2011</v>
      </c>
      <c r="BH51" s="318">
        <v>40725</v>
      </c>
      <c r="BI51" s="3">
        <f t="shared" si="16"/>
        <v>9.7712500000000002</v>
      </c>
      <c r="BJ51" s="3">
        <v>9.8224999999999998</v>
      </c>
      <c r="BK51" s="3">
        <v>9.7200000000000006</v>
      </c>
      <c r="BL51" s="412">
        <f t="shared" si="5"/>
        <v>2018</v>
      </c>
      <c r="BM51" s="427">
        <v>43101</v>
      </c>
      <c r="BN51" s="412">
        <f t="shared" si="6"/>
        <v>3.4073500000000001</v>
      </c>
      <c r="BO51" s="458">
        <v>3.3912</v>
      </c>
      <c r="BP51" s="458">
        <v>3.4235000000000002</v>
      </c>
      <c r="BQ51" s="469">
        <f t="shared" si="7"/>
        <v>2021</v>
      </c>
      <c r="BR51" s="473">
        <v>44197</v>
      </c>
      <c r="BS51" s="469">
        <f t="shared" si="8"/>
        <v>2.3321000000000001</v>
      </c>
      <c r="BT51" s="474">
        <v>2.1802000000000001</v>
      </c>
      <c r="BU51" s="474">
        <v>2.484</v>
      </c>
    </row>
    <row r="52" spans="3:87">
      <c r="C52" s="3">
        <f t="shared" si="32"/>
        <v>2036</v>
      </c>
      <c r="D52" s="177">
        <f t="array" ref="D52">SUM((AL$18:AL$387)*(AO$18:AO$387)*($AJ$18:$AJ$387=$C52))/SUM((AO$18:AO$387)*($AJ$18:$AJ$387=$C52))</f>
        <v>109.10291827956989</v>
      </c>
      <c r="E52" s="177">
        <f t="array" ref="E52">SUM((AM$18:AM$387)*(AP$18:AP$387)*($AJ$18:$AJ$387=$C52))/SUM((AP$18:AP$387)*($AJ$18:$AJ$387=$C52))</f>
        <v>100.69096214689264</v>
      </c>
      <c r="F52" s="177">
        <f t="array" ref="F52">(SUM((AN$18:AN$387)*(AO$18:AO$387)*($AJ$18:$AJ$387=$C52))+SUM((AN$18:AN$387)*(AP$18:AP$387)*($AJ$18:$AJ$387=$C52)))/(SUM((AO$18:AO$387)*($AJ$18:$AJ$387=$C52))+SUM((AP$18:AP$387)*($AJ$18:$AJ$387=$C52)))</f>
        <v>105.48007397435897</v>
      </c>
      <c r="G52" s="243">
        <f t="shared" si="38"/>
        <v>6.0717541666666675</v>
      </c>
      <c r="H52" s="243">
        <f t="shared" si="42"/>
        <v>5.7778666666666672</v>
      </c>
      <c r="I52" s="249">
        <f t="shared" si="43"/>
        <v>8.0642896123868582</v>
      </c>
      <c r="J52" s="249">
        <f t="shared" si="47"/>
        <v>9.8636994084571423</v>
      </c>
      <c r="K52" s="177">
        <f t="array" ref="K52">(SUM((AX$18:AX$387)*(AO$18:AO$387)*($AJ$18:$AJ$387=$C52))+SUM((AX$18:AX$387)*(AP$18:AP$387)*($AJ$18:$AJ$387=$C52)))/(SUM((AO$18:AO$387)*($AJ$18:$AJ$387=$C52))+SUM((AP$18:AP$387)*($AJ$18:$AJ$387=$C52)))</f>
        <v>13.672603805022238</v>
      </c>
      <c r="L52" s="243">
        <f t="shared" si="31"/>
        <v>15.413750000000002</v>
      </c>
      <c r="M52" s="243"/>
      <c r="N52" s="639"/>
      <c r="O52" s="178">
        <v>2.1999999999999999E-2</v>
      </c>
      <c r="P52" s="178">
        <v>2.1000000000000001E-2</v>
      </c>
      <c r="Q52" s="178">
        <f t="shared" ref="Q52" si="48">Q51</f>
        <v>2.1000000000000001E-2</v>
      </c>
      <c r="R52" s="178">
        <v>1.7999999999999999E-2</v>
      </c>
      <c r="S52" s="178"/>
      <c r="T52" s="641"/>
      <c r="U52" s="319">
        <f t="shared" si="45"/>
        <v>9.5750824889882029</v>
      </c>
      <c r="V52" s="319">
        <f t="shared" si="35"/>
        <v>5.0557008310627181</v>
      </c>
      <c r="W52" s="319">
        <f t="shared" si="36"/>
        <v>1.2721861568360431</v>
      </c>
      <c r="X52" s="319">
        <f t="shared" si="37"/>
        <v>1.2511569539297038</v>
      </c>
      <c r="Y52" s="319">
        <v>1.7664344168351047</v>
      </c>
      <c r="Z52" s="319">
        <v>1.352675003882738</v>
      </c>
      <c r="AA52" s="319">
        <v>1.352675003882738</v>
      </c>
      <c r="AC52" s="3">
        <f t="shared" si="30"/>
        <v>2040</v>
      </c>
      <c r="AJ52" s="3">
        <f t="shared" si="20"/>
        <v>2008</v>
      </c>
      <c r="AK52" s="345">
        <f t="shared" si="44"/>
        <v>39753</v>
      </c>
      <c r="AL52" s="122">
        <v>70.784999999999997</v>
      </c>
      <c r="AM52" s="122">
        <v>60.515000000000001</v>
      </c>
      <c r="AN52" s="319">
        <f t="shared" si="34"/>
        <v>66.368899999999996</v>
      </c>
      <c r="AO52" s="305">
        <v>384</v>
      </c>
      <c r="AP52" s="305">
        <v>336</v>
      </c>
      <c r="AQ52" s="305">
        <f t="shared" si="23"/>
        <v>0.53333333333333333</v>
      </c>
      <c r="AR52" s="305">
        <f t="shared" si="24"/>
        <v>0.46666666666666667</v>
      </c>
      <c r="AV52" s="3">
        <f t="shared" si="39"/>
        <v>2008</v>
      </c>
      <c r="AW52" s="343">
        <f t="shared" si="41"/>
        <v>39753</v>
      </c>
      <c r="AX52" s="121">
        <f t="shared" si="25"/>
        <v>8.2083238172920048</v>
      </c>
      <c r="AY52" s="122">
        <v>8.2083238172920048</v>
      </c>
      <c r="BA52" s="3">
        <f t="shared" si="13"/>
        <v>2007</v>
      </c>
      <c r="BB52" s="343">
        <v>39355</v>
      </c>
      <c r="BC52" s="3">
        <f t="shared" si="14"/>
        <v>4.3359193375</v>
      </c>
      <c r="BD52" s="3">
        <v>4.407558538</v>
      </c>
      <c r="BE52" s="3">
        <v>4.2642801370000001</v>
      </c>
      <c r="BG52" s="3">
        <f t="shared" si="15"/>
        <v>2011</v>
      </c>
      <c r="BH52" s="318">
        <v>40756</v>
      </c>
      <c r="BI52" s="3">
        <f t="shared" si="16"/>
        <v>9.8462500000000013</v>
      </c>
      <c r="BJ52" s="3">
        <v>9.8975000000000009</v>
      </c>
      <c r="BK52" s="3">
        <v>9.7949999999999999</v>
      </c>
      <c r="BL52" s="412">
        <f t="shared" si="5"/>
        <v>2018</v>
      </c>
      <c r="BM52" s="427">
        <v>43132</v>
      </c>
      <c r="BN52" s="412">
        <f t="shared" si="6"/>
        <v>3.3311999999999999</v>
      </c>
      <c r="BO52" s="458">
        <v>3.3538999999999999</v>
      </c>
      <c r="BP52" s="458">
        <v>3.3085</v>
      </c>
      <c r="BQ52" s="469">
        <f t="shared" si="7"/>
        <v>2021</v>
      </c>
      <c r="BR52" s="473">
        <v>44228</v>
      </c>
      <c r="BS52" s="469">
        <f t="shared" si="8"/>
        <v>2.2283499999999998</v>
      </c>
      <c r="BT52" s="474">
        <v>2.1377000000000002</v>
      </c>
      <c r="BU52" s="474">
        <v>2.319</v>
      </c>
    </row>
    <row r="53" spans="3:87">
      <c r="C53" s="3">
        <f t="shared" si="32"/>
        <v>2037</v>
      </c>
      <c r="D53" s="177">
        <f t="shared" ref="D53:D67" si="49">D52*(1+$Q49)</f>
        <v>111.39407956344085</v>
      </c>
      <c r="E53" s="177">
        <f t="shared" ref="E53:E67" si="50">E52*(1+$Q49)</f>
        <v>102.80547235197739</v>
      </c>
      <c r="F53" s="177">
        <f t="shared" ref="F53:F67" si="51">F52*(1+$Q49)</f>
        <v>107.6951555278205</v>
      </c>
      <c r="G53" s="243">
        <f t="shared" si="38"/>
        <v>6.240054166666666</v>
      </c>
      <c r="H53" s="243">
        <f t="shared" si="42"/>
        <v>6.1182749999999997</v>
      </c>
      <c r="I53" s="249">
        <f t="shared" si="43"/>
        <v>8.2658968526965282</v>
      </c>
      <c r="J53" s="249">
        <f t="shared" si="47"/>
        <v>10.20695614787145</v>
      </c>
      <c r="K53" s="177">
        <f t="shared" ref="K53:K67" si="52">K52*(1+$Q49)</f>
        <v>13.959728484927703</v>
      </c>
      <c r="L53" s="243">
        <f t="shared" si="31"/>
        <v>15.707083333333335</v>
      </c>
      <c r="M53" s="243"/>
      <c r="N53" s="639"/>
      <c r="O53" s="178">
        <v>2.1999999999999999E-2</v>
      </c>
      <c r="P53" s="178">
        <v>2.1000000000000001E-2</v>
      </c>
      <c r="Q53" s="178">
        <f t="shared" ref="Q53" si="53">Q52</f>
        <v>2.1000000000000001E-2</v>
      </c>
      <c r="R53" s="178">
        <v>1.7999999999999999E-2</v>
      </c>
      <c r="S53" s="178"/>
      <c r="T53" s="641"/>
      <c r="U53" s="319">
        <f>U52*(1+Q53)</f>
        <v>9.7761592212569539</v>
      </c>
      <c r="V53" s="319">
        <f t="shared" si="35"/>
        <v>5.1618705485150347</v>
      </c>
      <c r="W53" s="319">
        <f t="shared" si="36"/>
        <v>1.2989020661295998</v>
      </c>
      <c r="X53" s="319">
        <f t="shared" si="37"/>
        <v>1.2736777791004386</v>
      </c>
      <c r="Y53" s="319">
        <v>1.8033030507073435</v>
      </c>
      <c r="Z53" s="319">
        <v>1.3809077415326505</v>
      </c>
      <c r="AA53" s="319">
        <v>1.3809077415326505</v>
      </c>
      <c r="AC53" s="3">
        <f t="shared" si="30"/>
        <v>2041</v>
      </c>
      <c r="AJ53" s="3">
        <f t="shared" si="20"/>
        <v>2008</v>
      </c>
      <c r="AK53" s="345">
        <f t="shared" si="44"/>
        <v>39783</v>
      </c>
      <c r="AL53" s="122">
        <v>85.8</v>
      </c>
      <c r="AM53" s="122">
        <v>73.482500000000002</v>
      </c>
      <c r="AN53" s="319">
        <f t="shared" si="34"/>
        <v>80.503474999999995</v>
      </c>
      <c r="AO53" s="305">
        <v>416</v>
      </c>
      <c r="AP53" s="305">
        <v>328</v>
      </c>
      <c r="AQ53" s="305">
        <f t="shared" si="23"/>
        <v>0.55913978494623651</v>
      </c>
      <c r="AR53" s="305">
        <f t="shared" si="24"/>
        <v>0.44086021505376344</v>
      </c>
      <c r="AV53" s="3">
        <f t="shared" si="39"/>
        <v>2008</v>
      </c>
      <c r="AW53" s="343">
        <f t="shared" si="41"/>
        <v>39783</v>
      </c>
      <c r="AX53" s="121">
        <f t="shared" si="25"/>
        <v>9.0364912996193567</v>
      </c>
      <c r="AY53" s="122">
        <v>9.0364912996193567</v>
      </c>
      <c r="BA53" s="3">
        <f t="shared" si="13"/>
        <v>2007</v>
      </c>
      <c r="BB53" s="343">
        <v>39386</v>
      </c>
      <c r="BC53" s="3">
        <f t="shared" si="14"/>
        <v>4.3729029374999993</v>
      </c>
      <c r="BD53" s="3">
        <v>4.4424798479999996</v>
      </c>
      <c r="BE53" s="3">
        <v>4.3033260269999998</v>
      </c>
      <c r="BG53" s="3">
        <f t="shared" si="15"/>
        <v>2011</v>
      </c>
      <c r="BH53" s="318">
        <v>40787</v>
      </c>
      <c r="BI53" s="3">
        <f t="shared" si="16"/>
        <v>9.8712499999999999</v>
      </c>
      <c r="BJ53" s="3">
        <v>9.9224999999999994</v>
      </c>
      <c r="BK53" s="3">
        <v>9.82</v>
      </c>
      <c r="BL53" s="412">
        <f t="shared" si="5"/>
        <v>2018</v>
      </c>
      <c r="BM53" s="427">
        <v>43160</v>
      </c>
      <c r="BN53" s="412">
        <f t="shared" si="6"/>
        <v>3.2502500000000003</v>
      </c>
      <c r="BO53" s="458">
        <v>3.2745000000000002</v>
      </c>
      <c r="BP53" s="458">
        <v>3.226</v>
      </c>
      <c r="BQ53" s="469">
        <f t="shared" si="7"/>
        <v>2021</v>
      </c>
      <c r="BR53" s="473">
        <v>44256</v>
      </c>
      <c r="BS53" s="469">
        <f t="shared" si="8"/>
        <v>2.0396000000000001</v>
      </c>
      <c r="BT53" s="474">
        <v>2.0451999999999999</v>
      </c>
      <c r="BU53" s="474">
        <v>2.0339999999999998</v>
      </c>
    </row>
    <row r="54" spans="3:87">
      <c r="C54" s="3">
        <f t="shared" si="32"/>
        <v>2038</v>
      </c>
      <c r="D54" s="177">
        <f t="shared" si="49"/>
        <v>113.73335523427311</v>
      </c>
      <c r="E54" s="177">
        <f t="shared" si="50"/>
        <v>104.96438727136891</v>
      </c>
      <c r="F54" s="177">
        <f t="shared" si="51"/>
        <v>109.95675379390472</v>
      </c>
      <c r="G54" s="243">
        <f t="shared" si="38"/>
        <v>6.5604041666666673</v>
      </c>
      <c r="H54" s="243">
        <f t="shared" si="42"/>
        <v>6.6118625</v>
      </c>
      <c r="I54" s="249">
        <f t="shared" si="43"/>
        <v>8.4725442740139414</v>
      </c>
      <c r="J54" s="249">
        <f t="shared" si="47"/>
        <v>10.562158221817375</v>
      </c>
      <c r="K54" s="177">
        <f t="shared" si="52"/>
        <v>14.252882783111184</v>
      </c>
      <c r="L54" s="243">
        <f t="shared" si="31"/>
        <v>15.973571428571429</v>
      </c>
      <c r="M54" s="243"/>
      <c r="N54" s="639"/>
      <c r="O54" s="178">
        <v>2.1999999999999999E-2</v>
      </c>
      <c r="P54" s="178">
        <v>2.1999999999999999E-2</v>
      </c>
      <c r="Q54" s="178">
        <f t="shared" ref="Q54" si="54">Q53</f>
        <v>2.1000000000000001E-2</v>
      </c>
      <c r="R54" s="178">
        <v>1.7999999999999999E-2</v>
      </c>
      <c r="S54" s="178"/>
      <c r="T54" s="641"/>
      <c r="U54" s="319">
        <f t="shared" si="45"/>
        <v>9.9814585649033489</v>
      </c>
      <c r="V54" s="319">
        <f t="shared" si="35"/>
        <v>5.2702698300338495</v>
      </c>
      <c r="W54" s="319">
        <f t="shared" si="36"/>
        <v>1.3261790095183212</v>
      </c>
      <c r="X54" s="319">
        <f t="shared" si="37"/>
        <v>1.2966039791242465</v>
      </c>
      <c r="Y54" s="319">
        <v>1.8413139188621417</v>
      </c>
      <c r="Z54" s="319">
        <v>1.410015163092631</v>
      </c>
      <c r="AA54" s="319">
        <v>1.410015163092631</v>
      </c>
      <c r="AC54" s="3">
        <f t="shared" si="30"/>
        <v>2042</v>
      </c>
      <c r="AJ54" s="3">
        <f t="shared" si="20"/>
        <v>2009</v>
      </c>
      <c r="AK54" s="345">
        <f t="shared" si="44"/>
        <v>39814</v>
      </c>
      <c r="AL54" s="122">
        <v>83.4</v>
      </c>
      <c r="AM54" s="122">
        <v>73.754999999999995</v>
      </c>
      <c r="AN54" s="319">
        <f t="shared" si="34"/>
        <v>79.252649999999988</v>
      </c>
      <c r="AO54" s="305">
        <v>416</v>
      </c>
      <c r="AP54" s="305">
        <v>328</v>
      </c>
      <c r="AQ54" s="305">
        <f t="shared" si="23"/>
        <v>0.55913978494623651</v>
      </c>
      <c r="AR54" s="305">
        <f t="shared" si="24"/>
        <v>0.44086021505376344</v>
      </c>
      <c r="AV54" s="3">
        <f t="shared" si="39"/>
        <v>2009</v>
      </c>
      <c r="AW54" s="343">
        <f t="shared" si="41"/>
        <v>39814</v>
      </c>
      <c r="AX54" s="121">
        <f t="shared" si="25"/>
        <v>9.5853629690048958</v>
      </c>
      <c r="AY54" s="122">
        <v>9.5853629690048958</v>
      </c>
      <c r="BA54" s="3">
        <f t="shared" si="13"/>
        <v>2007</v>
      </c>
      <c r="BB54" s="343">
        <v>39416</v>
      </c>
      <c r="BC54" s="3">
        <f t="shared" si="14"/>
        <v>4.5446511740000002</v>
      </c>
      <c r="BD54" s="3">
        <v>4.6161204299999996</v>
      </c>
      <c r="BE54" s="3">
        <v>4.4731819179999999</v>
      </c>
      <c r="BG54" s="3">
        <f t="shared" si="15"/>
        <v>2011</v>
      </c>
      <c r="BH54" s="318">
        <v>40817</v>
      </c>
      <c r="BI54" s="3">
        <f t="shared" si="16"/>
        <v>9.9662499999999987</v>
      </c>
      <c r="BJ54" s="3">
        <v>10.0175</v>
      </c>
      <c r="BK54" s="3">
        <v>9.9149999999999991</v>
      </c>
      <c r="BL54" s="412">
        <f t="shared" si="5"/>
        <v>2018</v>
      </c>
      <c r="BM54" s="427">
        <v>43191</v>
      </c>
      <c r="BN54" s="412">
        <f t="shared" si="6"/>
        <v>2.36775</v>
      </c>
      <c r="BO54" s="458">
        <v>2.5819999999999999</v>
      </c>
      <c r="BP54" s="458">
        <v>2.1535000000000002</v>
      </c>
      <c r="BQ54" s="469">
        <f t="shared" si="7"/>
        <v>2021</v>
      </c>
      <c r="BR54" s="473">
        <v>44287</v>
      </c>
      <c r="BS54" s="469">
        <f t="shared" si="8"/>
        <v>1.6171000000000002</v>
      </c>
      <c r="BT54" s="474">
        <v>1.7352000000000001</v>
      </c>
      <c r="BU54" s="474">
        <v>1.4990000000000001</v>
      </c>
    </row>
    <row r="55" spans="3:87">
      <c r="C55" s="3">
        <f t="shared" si="32"/>
        <v>2039</v>
      </c>
      <c r="D55" s="177">
        <f t="shared" si="49"/>
        <v>116.12175569419283</v>
      </c>
      <c r="E55" s="177">
        <f t="shared" si="50"/>
        <v>107.16863940406765</v>
      </c>
      <c r="F55" s="177">
        <f t="shared" si="51"/>
        <v>112.26584562357671</v>
      </c>
      <c r="G55" s="243">
        <f t="shared" si="38"/>
        <v>6.7722499999999988</v>
      </c>
      <c r="H55" s="243">
        <f t="shared" si="42"/>
        <v>7.0919124999999994</v>
      </c>
      <c r="I55" s="249">
        <f t="shared" si="43"/>
        <v>8.6843578808642885</v>
      </c>
      <c r="J55" s="249">
        <f t="shared" si="47"/>
        <v>10.929721327936619</v>
      </c>
      <c r="K55" s="177">
        <f t="shared" si="52"/>
        <v>14.552193321556517</v>
      </c>
      <c r="L55" s="243"/>
      <c r="M55" s="243"/>
      <c r="N55" s="639"/>
      <c r="O55" s="178">
        <v>2.3E-2</v>
      </c>
      <c r="P55" s="178">
        <v>2.1999999999999999E-2</v>
      </c>
      <c r="Q55" s="178">
        <f t="shared" ref="Q55" si="55">Q54</f>
        <v>2.1000000000000001E-2</v>
      </c>
      <c r="R55" s="178">
        <v>1.7999999999999999E-2</v>
      </c>
      <c r="S55" s="178"/>
      <c r="T55" s="641"/>
      <c r="U55" s="319">
        <f t="shared" si="45"/>
        <v>10.191069194766317</v>
      </c>
      <c r="V55" s="319">
        <f t="shared" ref="V55:V62" si="56">V54*(1+Q55)</f>
        <v>5.3809454964645598</v>
      </c>
      <c r="W55" s="319">
        <f t="shared" si="36"/>
        <v>1.3540287687182058</v>
      </c>
      <c r="X55" s="319">
        <f t="shared" ref="X55:X62" si="57">X54*(1+R55)</f>
        <v>1.3199428507484829</v>
      </c>
      <c r="Y55" s="319">
        <v>1.8803404620364608</v>
      </c>
      <c r="Z55" s="319">
        <v>1.4399003538117043</v>
      </c>
      <c r="AA55" s="319">
        <v>1.4399003538117043</v>
      </c>
      <c r="AC55" s="3">
        <f t="shared" si="30"/>
        <v>2043</v>
      </c>
      <c r="AJ55" s="3">
        <f t="shared" si="20"/>
        <v>2009</v>
      </c>
      <c r="AK55" s="345">
        <f t="shared" si="44"/>
        <v>39845</v>
      </c>
      <c r="AL55" s="122">
        <v>78.599999999999994</v>
      </c>
      <c r="AM55" s="122">
        <v>70.894999999999996</v>
      </c>
      <c r="AN55" s="319">
        <f t="shared" si="34"/>
        <v>75.286849999999987</v>
      </c>
      <c r="AO55" s="305">
        <v>384</v>
      </c>
      <c r="AP55" s="305">
        <v>288</v>
      </c>
      <c r="AQ55" s="305">
        <f t="shared" si="23"/>
        <v>0.5714285714285714</v>
      </c>
      <c r="AR55" s="305">
        <f t="shared" si="24"/>
        <v>0.42857142857142855</v>
      </c>
      <c r="AV55" s="3">
        <f t="shared" si="39"/>
        <v>2009</v>
      </c>
      <c r="AW55" s="343">
        <f t="shared" si="41"/>
        <v>39845</v>
      </c>
      <c r="AX55" s="121">
        <f t="shared" si="25"/>
        <v>9.5853629690048958</v>
      </c>
      <c r="AY55" s="122">
        <v>9.5853629690048958</v>
      </c>
      <c r="BA55" s="3">
        <f t="shared" si="13"/>
        <v>2007</v>
      </c>
      <c r="BB55" s="343">
        <v>39447</v>
      </c>
      <c r="BC55" s="3">
        <f t="shared" si="14"/>
        <v>4.7338404599999997</v>
      </c>
      <c r="BD55" s="3">
        <v>4.8000231119999999</v>
      </c>
      <c r="BE55" s="3">
        <v>4.6676578080000004</v>
      </c>
      <c r="BG55" s="3">
        <f t="shared" si="15"/>
        <v>2011</v>
      </c>
      <c r="BH55" s="318">
        <v>40848</v>
      </c>
      <c r="BI55" s="3">
        <f t="shared" si="16"/>
        <v>10.78125</v>
      </c>
      <c r="BJ55" s="3">
        <v>10.3325</v>
      </c>
      <c r="BK55" s="3">
        <v>11.23</v>
      </c>
      <c r="BL55" s="412">
        <f t="shared" si="5"/>
        <v>2018</v>
      </c>
      <c r="BM55" s="427">
        <v>43221</v>
      </c>
      <c r="BN55" s="412">
        <f t="shared" si="6"/>
        <v>2.3014000000000001</v>
      </c>
      <c r="BO55" s="458">
        <v>2.5383</v>
      </c>
      <c r="BP55" s="458">
        <v>2.0644999999999998</v>
      </c>
      <c r="BQ55" s="469">
        <f t="shared" si="7"/>
        <v>2021</v>
      </c>
      <c r="BR55" s="473">
        <v>44317</v>
      </c>
      <c r="BS55" s="469">
        <f t="shared" si="8"/>
        <v>1.5720000000000001</v>
      </c>
      <c r="BT55" s="474">
        <v>1.6995</v>
      </c>
      <c r="BU55" s="474">
        <v>1.4444999999999999</v>
      </c>
    </row>
    <row r="56" spans="3:87">
      <c r="C56" s="3">
        <f t="shared" si="32"/>
        <v>2040</v>
      </c>
      <c r="D56" s="177">
        <f t="shared" si="49"/>
        <v>118.56031256377086</v>
      </c>
      <c r="E56" s="177">
        <f t="shared" si="50"/>
        <v>109.41918083155306</v>
      </c>
      <c r="F56" s="177">
        <f t="shared" si="51"/>
        <v>114.62342838167181</v>
      </c>
      <c r="G56" s="243">
        <f t="shared" si="38"/>
        <v>7.075779166666667</v>
      </c>
      <c r="H56" s="243">
        <f t="shared" si="42"/>
        <v>7.3225625000000001</v>
      </c>
      <c r="I56" s="249">
        <f t="shared" si="43"/>
        <v>8.9014668278858942</v>
      </c>
      <c r="J56" s="249">
        <f t="shared" si="47"/>
        <v>11.310075630148813</v>
      </c>
      <c r="K56" s="177">
        <f t="shared" si="52"/>
        <v>14.857789381309203</v>
      </c>
      <c r="L56" s="243"/>
      <c r="M56" s="243"/>
      <c r="N56" s="639"/>
      <c r="O56" s="178">
        <v>2.3E-2</v>
      </c>
      <c r="P56" s="178">
        <v>2.1999999999999999E-2</v>
      </c>
      <c r="Q56" s="178">
        <f t="shared" ref="Q56" si="58">Q55</f>
        <v>2.1000000000000001E-2</v>
      </c>
      <c r="R56" s="178">
        <v>1.7999999999999999E-2</v>
      </c>
      <c r="S56" s="178"/>
      <c r="T56" s="641"/>
      <c r="U56" s="319">
        <f t="shared" si="45"/>
        <v>10.405081647856409</v>
      </c>
      <c r="V56" s="319">
        <f t="shared" si="56"/>
        <v>5.4939453518903152</v>
      </c>
      <c r="W56" s="319">
        <f t="shared" si="36"/>
        <v>1.3824633728612881</v>
      </c>
      <c r="X56" s="319">
        <f t="shared" si="57"/>
        <v>1.3437018220619557</v>
      </c>
      <c r="Y56" s="319">
        <v>1.9203752935028859</v>
      </c>
      <c r="Z56" s="319">
        <v>1.4705576571868948</v>
      </c>
      <c r="AA56" s="319">
        <v>1.4705576571868948</v>
      </c>
      <c r="AC56" s="3">
        <f t="shared" si="30"/>
        <v>2044</v>
      </c>
      <c r="AJ56" s="3">
        <f t="shared" si="20"/>
        <v>2009</v>
      </c>
      <c r="AK56" s="345">
        <f t="shared" si="44"/>
        <v>39873</v>
      </c>
      <c r="AL56" s="122">
        <v>69.8</v>
      </c>
      <c r="AM56" s="122">
        <v>61.6</v>
      </c>
      <c r="AN56" s="319">
        <f t="shared" si="34"/>
        <v>66.274000000000001</v>
      </c>
      <c r="AO56" s="305">
        <v>416</v>
      </c>
      <c r="AP56" s="305">
        <v>328</v>
      </c>
      <c r="AQ56" s="305">
        <f t="shared" si="23"/>
        <v>0.55913978494623651</v>
      </c>
      <c r="AR56" s="305">
        <f t="shared" si="24"/>
        <v>0.44086021505376344</v>
      </c>
      <c r="AV56" s="3">
        <f t="shared" si="39"/>
        <v>2009</v>
      </c>
      <c r="AW56" s="343">
        <f t="shared" si="41"/>
        <v>39873</v>
      </c>
      <c r="AX56" s="121">
        <f t="shared" si="25"/>
        <v>9.3044018488308868</v>
      </c>
      <c r="AY56" s="122">
        <v>9.3044018488308868</v>
      </c>
      <c r="BA56" s="3">
        <f t="shared" si="13"/>
        <v>2008</v>
      </c>
      <c r="BB56" s="343">
        <v>39478</v>
      </c>
      <c r="BC56" s="3">
        <f t="shared" si="14"/>
        <v>4.7721493929999994</v>
      </c>
      <c r="BD56" s="3">
        <v>4.8182237179999996</v>
      </c>
      <c r="BE56" s="3">
        <v>4.7260750680000001</v>
      </c>
      <c r="BG56" s="3">
        <f t="shared" si="15"/>
        <v>2011</v>
      </c>
      <c r="BH56" s="318">
        <v>40878</v>
      </c>
      <c r="BI56" s="3">
        <f t="shared" si="16"/>
        <v>11.206250000000001</v>
      </c>
      <c r="BJ56" s="3">
        <v>10.7575</v>
      </c>
      <c r="BK56" s="3">
        <v>11.654999999999999</v>
      </c>
      <c r="BL56" s="412">
        <f t="shared" si="5"/>
        <v>2018</v>
      </c>
      <c r="BM56" s="427">
        <v>43252</v>
      </c>
      <c r="BN56" s="412">
        <f t="shared" si="6"/>
        <v>2.3048500000000001</v>
      </c>
      <c r="BO56" s="458">
        <v>2.5592000000000001</v>
      </c>
      <c r="BP56" s="458">
        <v>2.0505</v>
      </c>
      <c r="BQ56" s="469">
        <f t="shared" si="7"/>
        <v>2021</v>
      </c>
      <c r="BR56" s="473">
        <v>44348</v>
      </c>
      <c r="BS56" s="469">
        <f t="shared" si="8"/>
        <v>1.6049</v>
      </c>
      <c r="BT56" s="474">
        <v>1.7318</v>
      </c>
      <c r="BU56" s="474">
        <v>1.478</v>
      </c>
    </row>
    <row r="57" spans="3:87">
      <c r="C57" s="3">
        <f t="shared" si="32"/>
        <v>2041</v>
      </c>
      <c r="D57" s="177">
        <f t="shared" si="49"/>
        <v>121.05007912761005</v>
      </c>
      <c r="E57" s="177">
        <f t="shared" si="50"/>
        <v>111.71698362901567</v>
      </c>
      <c r="F57" s="177">
        <f t="shared" si="51"/>
        <v>117.03052037768691</v>
      </c>
      <c r="G57" s="243">
        <f t="shared" si="38"/>
        <v>7.2385291666666687</v>
      </c>
      <c r="H57" s="249">
        <f t="shared" ref="H57:H67" si="59">H56*(1+$P$54)</f>
        <v>7.4836588750000006</v>
      </c>
      <c r="I57" s="249">
        <f t="shared" si="43"/>
        <v>9.1240034985830416</v>
      </c>
      <c r="J57" s="249">
        <f t="shared" si="47"/>
        <v>11.703666262077991</v>
      </c>
      <c r="K57" s="177">
        <f t="shared" si="52"/>
        <v>15.169802958316696</v>
      </c>
      <c r="L57" s="243"/>
      <c r="M57" s="243"/>
      <c r="N57" s="639"/>
      <c r="O57" s="178">
        <v>2.3E-2</v>
      </c>
      <c r="P57" s="178">
        <v>2.1999999999999999E-2</v>
      </c>
      <c r="Q57" s="178">
        <f t="shared" ref="Q57" si="60">Q56</f>
        <v>2.1000000000000001E-2</v>
      </c>
      <c r="R57" s="178">
        <v>1.7999999999999999E-2</v>
      </c>
      <c r="S57" s="178"/>
      <c r="T57" s="641"/>
      <c r="U57" s="319"/>
      <c r="V57" s="319">
        <f t="shared" si="56"/>
        <v>5.6093182042800116</v>
      </c>
      <c r="W57" s="319">
        <f t="shared" si="36"/>
        <v>1.411495103691375</v>
      </c>
      <c r="X57" s="319">
        <f t="shared" si="57"/>
        <v>1.3678884548590708</v>
      </c>
      <c r="Y57" s="319">
        <v>1.9616503565022387</v>
      </c>
      <c r="Z57" s="319">
        <v>1.5021646874116246</v>
      </c>
      <c r="AA57" s="319">
        <v>1.5021646874116246</v>
      </c>
      <c r="AC57" s="3">
        <f t="shared" si="30"/>
        <v>2045</v>
      </c>
      <c r="AJ57" s="3">
        <f t="shared" si="20"/>
        <v>2009</v>
      </c>
      <c r="AK57" s="345">
        <f t="shared" si="44"/>
        <v>39904</v>
      </c>
      <c r="AL57" s="122">
        <v>52.29</v>
      </c>
      <c r="AM57" s="122">
        <v>38.950000000000003</v>
      </c>
      <c r="AN57" s="319">
        <f t="shared" si="34"/>
        <v>46.553799999999995</v>
      </c>
      <c r="AO57" s="305">
        <v>416</v>
      </c>
      <c r="AP57" s="305">
        <v>304</v>
      </c>
      <c r="AQ57" s="305">
        <f t="shared" si="23"/>
        <v>0.57777777777777772</v>
      </c>
      <c r="AR57" s="305">
        <f t="shared" si="24"/>
        <v>0.42222222222222222</v>
      </c>
      <c r="AV57" s="3">
        <f t="shared" si="39"/>
        <v>2009</v>
      </c>
      <c r="AW57" s="343">
        <f t="shared" si="41"/>
        <v>39904</v>
      </c>
      <c r="AX57" s="121">
        <f t="shared" si="25"/>
        <v>6.837707993474714</v>
      </c>
      <c r="AY57" s="122">
        <v>6.837707993474714</v>
      </c>
      <c r="BA57" s="3">
        <f t="shared" si="13"/>
        <v>2008</v>
      </c>
      <c r="BB57" s="343">
        <v>39507</v>
      </c>
      <c r="BC57" s="3">
        <f t="shared" si="14"/>
        <v>4.6831726289999995</v>
      </c>
      <c r="BD57" s="3">
        <v>4.7338942990000001</v>
      </c>
      <c r="BE57" s="3">
        <v>4.6324509589999998</v>
      </c>
      <c r="BG57" s="3">
        <f t="shared" si="15"/>
        <v>2012</v>
      </c>
      <c r="BH57" s="318">
        <v>40909</v>
      </c>
      <c r="BI57" s="3">
        <f t="shared" si="16"/>
        <v>11.445452605</v>
      </c>
      <c r="BJ57" s="3">
        <v>11.025905209999999</v>
      </c>
      <c r="BK57" s="3">
        <v>11.865</v>
      </c>
      <c r="BL57" s="412">
        <f t="shared" si="5"/>
        <v>2018</v>
      </c>
      <c r="BM57" s="427">
        <v>43282</v>
      </c>
      <c r="BN57" s="412">
        <f t="shared" si="6"/>
        <v>2.4473000000000003</v>
      </c>
      <c r="BO57" s="458">
        <v>2.6351</v>
      </c>
      <c r="BP57" s="458">
        <v>2.2595000000000001</v>
      </c>
      <c r="BQ57" s="469">
        <f t="shared" si="7"/>
        <v>2021</v>
      </c>
      <c r="BR57" s="473">
        <v>44378</v>
      </c>
      <c r="BS57" s="469">
        <f t="shared" si="8"/>
        <v>1.7172499999999999</v>
      </c>
      <c r="BT57" s="474">
        <v>1.776</v>
      </c>
      <c r="BU57" s="474">
        <v>1.6585000000000001</v>
      </c>
    </row>
    <row r="58" spans="3:87">
      <c r="C58" s="3">
        <f t="shared" si="32"/>
        <v>2042</v>
      </c>
      <c r="D58" s="177">
        <f t="shared" si="49"/>
        <v>123.59213078928985</v>
      </c>
      <c r="E58" s="177">
        <f t="shared" si="50"/>
        <v>114.06304028522499</v>
      </c>
      <c r="F58" s="177">
        <f t="shared" si="51"/>
        <v>119.48816130561832</v>
      </c>
      <c r="G58" s="243">
        <f t="shared" si="38"/>
        <v>7.4050000000000002</v>
      </c>
      <c r="H58" s="249">
        <f t="shared" si="59"/>
        <v>7.6482993702500011</v>
      </c>
      <c r="I58" s="249">
        <f t="shared" si="43"/>
        <v>9.3521035860476172</v>
      </c>
      <c r="J58" s="249">
        <f t="shared" si="47"/>
        <v>12.110953847998305</v>
      </c>
      <c r="K58" s="177">
        <f t="shared" si="52"/>
        <v>15.488368820441345</v>
      </c>
      <c r="L58" s="243"/>
      <c r="M58" s="243"/>
      <c r="N58" s="639"/>
      <c r="O58" s="178">
        <v>2.3E-2</v>
      </c>
      <c r="P58" s="178">
        <v>2.1999999999999999E-2</v>
      </c>
      <c r="Q58" s="178">
        <f t="shared" ref="Q58" si="61">Q57</f>
        <v>2.1000000000000001E-2</v>
      </c>
      <c r="R58" s="178">
        <v>1.7999999999999999E-2</v>
      </c>
      <c r="S58" s="178"/>
      <c r="T58" s="641"/>
      <c r="U58" s="319"/>
      <c r="V58" s="319">
        <f t="shared" si="56"/>
        <v>5.7271138865698914</v>
      </c>
      <c r="W58" s="319">
        <f t="shared" si="36"/>
        <v>1.4411365008688937</v>
      </c>
      <c r="X58" s="319">
        <f t="shared" si="57"/>
        <v>1.3925104470465341</v>
      </c>
      <c r="Y58" s="319">
        <v>2.0038320171796222</v>
      </c>
      <c r="Z58" s="319">
        <v>1.5344659591015128</v>
      </c>
      <c r="AA58" s="319">
        <v>1.5344659591015128</v>
      </c>
      <c r="AC58" s="3">
        <f t="shared" si="30"/>
        <v>2046</v>
      </c>
      <c r="AJ58" s="3">
        <f t="shared" si="20"/>
        <v>2009</v>
      </c>
      <c r="AK58" s="345">
        <f t="shared" si="44"/>
        <v>39934</v>
      </c>
      <c r="AL58" s="122">
        <v>43.56</v>
      </c>
      <c r="AM58" s="122">
        <v>29.22</v>
      </c>
      <c r="AN58" s="319">
        <f t="shared" si="34"/>
        <v>37.393799999999999</v>
      </c>
      <c r="AO58" s="305">
        <v>400</v>
      </c>
      <c r="AP58" s="305">
        <v>344</v>
      </c>
      <c r="AQ58" s="305">
        <f t="shared" si="23"/>
        <v>0.5376344086021505</v>
      </c>
      <c r="AR58" s="305">
        <f t="shared" si="24"/>
        <v>0.46236559139784944</v>
      </c>
      <c r="AV58" s="3">
        <f t="shared" si="39"/>
        <v>2009</v>
      </c>
      <c r="AW58" s="343">
        <f t="shared" si="41"/>
        <v>39934</v>
      </c>
      <c r="AX58" s="121">
        <f t="shared" si="25"/>
        <v>6.6337928221859714</v>
      </c>
      <c r="AY58" s="122">
        <v>6.6337928221859714</v>
      </c>
      <c r="BA58" s="3">
        <f t="shared" si="13"/>
        <v>2008</v>
      </c>
      <c r="BB58" s="343">
        <v>39538</v>
      </c>
      <c r="BC58" s="3">
        <f t="shared" si="14"/>
        <v>4.4767958649999997</v>
      </c>
      <c r="BD58" s="3">
        <v>4.5331648810000003</v>
      </c>
      <c r="BE58" s="3">
        <v>4.420426849</v>
      </c>
      <c r="BG58" s="3">
        <f t="shared" si="15"/>
        <v>2012</v>
      </c>
      <c r="BH58" s="318">
        <v>40940</v>
      </c>
      <c r="BI58" s="3">
        <f t="shared" si="16"/>
        <v>11.435452605</v>
      </c>
      <c r="BJ58" s="3">
        <v>11.01590521</v>
      </c>
      <c r="BK58" s="3">
        <v>11.855</v>
      </c>
      <c r="BL58" s="412">
        <f t="shared" si="5"/>
        <v>2018</v>
      </c>
      <c r="BM58" s="427">
        <v>43313</v>
      </c>
      <c r="BN58" s="412">
        <f t="shared" si="6"/>
        <v>2.4517500000000001</v>
      </c>
      <c r="BO58" s="458">
        <v>2.6495000000000002</v>
      </c>
      <c r="BP58" s="458">
        <v>2.254</v>
      </c>
      <c r="BQ58" s="469">
        <f t="shared" si="7"/>
        <v>2021</v>
      </c>
      <c r="BR58" s="473">
        <v>44409</v>
      </c>
      <c r="BS58" s="469">
        <f t="shared" si="8"/>
        <v>1.7458999999999998</v>
      </c>
      <c r="BT58" s="474">
        <v>1.7952999999999999</v>
      </c>
      <c r="BU58" s="474">
        <v>1.6964999999999999</v>
      </c>
    </row>
    <row r="59" spans="3:87">
      <c r="C59" s="3">
        <f t="shared" si="32"/>
        <v>2043</v>
      </c>
      <c r="D59" s="177">
        <f t="shared" si="49"/>
        <v>126.18756553586493</v>
      </c>
      <c r="E59" s="177">
        <f t="shared" si="50"/>
        <v>116.45836413121469</v>
      </c>
      <c r="F59" s="177">
        <f t="shared" si="51"/>
        <v>121.9974126930363</v>
      </c>
      <c r="G59" s="249">
        <f t="shared" ref="G59:G67" si="62">G58*(1+$O$54)</f>
        <v>7.5679100000000004</v>
      </c>
      <c r="H59" s="249">
        <f t="shared" si="59"/>
        <v>7.8165619563955016</v>
      </c>
      <c r="I59" s="249">
        <f t="shared" si="43"/>
        <v>9.5859061756988062</v>
      </c>
      <c r="J59" s="249">
        <f t="shared" si="47"/>
        <v>12.532415041908646</v>
      </c>
      <c r="K59" s="177">
        <f t="shared" si="52"/>
        <v>15.813624565670612</v>
      </c>
      <c r="L59" s="243"/>
      <c r="M59" s="243"/>
      <c r="N59" s="639"/>
      <c r="O59" s="178">
        <v>2.1999999999999999E-2</v>
      </c>
      <c r="P59" s="178">
        <v>2.1999999999999999E-2</v>
      </c>
      <c r="Q59" s="178">
        <f t="shared" ref="Q59" si="63">Q58</f>
        <v>2.1000000000000001E-2</v>
      </c>
      <c r="R59" s="178">
        <v>1.7999999999999999E-2</v>
      </c>
      <c r="S59" s="178"/>
      <c r="T59" s="641"/>
      <c r="U59" s="319"/>
      <c r="V59" s="319">
        <f t="shared" si="56"/>
        <v>5.8473832781878583</v>
      </c>
      <c r="W59" s="319">
        <f t="shared" si="36"/>
        <v>1.4714003673871403</v>
      </c>
      <c r="X59" s="319">
        <f t="shared" si="57"/>
        <v>1.4175756350933717</v>
      </c>
      <c r="Y59" s="319">
        <v>2.0468358206182615</v>
      </c>
      <c r="Z59" s="319">
        <v>1.5673967995725431</v>
      </c>
      <c r="AA59" s="319">
        <v>1.5673967995725431</v>
      </c>
      <c r="AC59" s="3">
        <f t="shared" si="30"/>
        <v>2047</v>
      </c>
      <c r="AJ59" s="3">
        <f t="shared" si="20"/>
        <v>2009</v>
      </c>
      <c r="AK59" s="345">
        <f t="shared" si="44"/>
        <v>39965</v>
      </c>
      <c r="AL59" s="122">
        <v>40.65</v>
      </c>
      <c r="AM59" s="122">
        <v>27.83</v>
      </c>
      <c r="AN59" s="319">
        <f t="shared" si="34"/>
        <v>35.1374</v>
      </c>
      <c r="AO59" s="305">
        <v>416</v>
      </c>
      <c r="AP59" s="305">
        <v>304</v>
      </c>
      <c r="AQ59" s="305">
        <f t="shared" si="23"/>
        <v>0.57777777777777772</v>
      </c>
      <c r="AR59" s="305">
        <f t="shared" si="24"/>
        <v>0.42222222222222222</v>
      </c>
      <c r="AV59" s="3">
        <f t="shared" si="39"/>
        <v>2009</v>
      </c>
      <c r="AW59" s="343">
        <f t="shared" si="41"/>
        <v>39965</v>
      </c>
      <c r="AX59" s="121">
        <f t="shared" si="25"/>
        <v>6.7153588907014683</v>
      </c>
      <c r="AY59" s="122">
        <v>6.7153588907014683</v>
      </c>
      <c r="BA59" s="3">
        <f t="shared" si="13"/>
        <v>2008</v>
      </c>
      <c r="BB59" s="343">
        <v>39568</v>
      </c>
      <c r="BC59" s="3">
        <f t="shared" si="14"/>
        <v>4.08065547</v>
      </c>
      <c r="BD59" s="3">
        <v>4.1545668310000003</v>
      </c>
      <c r="BE59" s="3">
        <v>4.0067441090000004</v>
      </c>
      <c r="BG59" s="3">
        <f t="shared" si="15"/>
        <v>2012</v>
      </c>
      <c r="BH59" s="318">
        <v>40969</v>
      </c>
      <c r="BI59" s="3">
        <f t="shared" si="16"/>
        <v>11.205452605</v>
      </c>
      <c r="BJ59" s="3">
        <v>10.785905209999999</v>
      </c>
      <c r="BK59" s="3">
        <v>11.625</v>
      </c>
      <c r="BL59" s="412">
        <f t="shared" si="5"/>
        <v>2018</v>
      </c>
      <c r="BM59" s="427">
        <v>43344</v>
      </c>
      <c r="BN59" s="412">
        <f t="shared" si="6"/>
        <v>2.4714999999999998</v>
      </c>
      <c r="BO59" s="458">
        <v>2.6455000000000002</v>
      </c>
      <c r="BP59" s="458">
        <v>2.2974999999999999</v>
      </c>
      <c r="BQ59" s="469">
        <f t="shared" si="7"/>
        <v>2021</v>
      </c>
      <c r="BR59" s="473">
        <v>44440</v>
      </c>
      <c r="BS59" s="469">
        <f t="shared" si="8"/>
        <v>1.7490999999999999</v>
      </c>
      <c r="BT59" s="474">
        <v>1.7971999999999999</v>
      </c>
      <c r="BU59" s="474">
        <v>1.7010000000000001</v>
      </c>
    </row>
    <row r="60" spans="3:87">
      <c r="C60" s="3">
        <f t="shared" si="32"/>
        <v>2044</v>
      </c>
      <c r="D60" s="177">
        <f t="shared" si="49"/>
        <v>128.83750441211808</v>
      </c>
      <c r="E60" s="177">
        <f t="shared" si="50"/>
        <v>118.9039897779702</v>
      </c>
      <c r="F60" s="177">
        <f t="shared" si="51"/>
        <v>124.55935835959005</v>
      </c>
      <c r="G60" s="249">
        <f t="shared" si="62"/>
        <v>7.7344040200000004</v>
      </c>
      <c r="H60" s="249">
        <f t="shared" si="59"/>
        <v>7.9885263194362031</v>
      </c>
      <c r="I60" s="249">
        <f t="shared" si="43"/>
        <v>9.825553830091275</v>
      </c>
      <c r="J60" s="249">
        <f t="shared" si="47"/>
        <v>12.968543085367067</v>
      </c>
      <c r="K60" s="177">
        <f t="shared" si="52"/>
        <v>16.145710681549694</v>
      </c>
      <c r="L60" s="243"/>
      <c r="M60" s="243"/>
      <c r="N60" s="639"/>
      <c r="O60" s="178">
        <v>2.1999999999999999E-2</v>
      </c>
      <c r="P60" s="178">
        <v>2.1999999999999999E-2</v>
      </c>
      <c r="Q60" s="178">
        <f t="shared" ref="Q60" si="64">Q59</f>
        <v>2.1000000000000001E-2</v>
      </c>
      <c r="R60" s="178">
        <v>1.7999999999999999E-2</v>
      </c>
      <c r="S60" s="178"/>
      <c r="T60" s="641"/>
      <c r="U60" s="319"/>
      <c r="V60" s="319">
        <f t="shared" si="56"/>
        <v>5.970178327029803</v>
      </c>
      <c r="W60" s="319">
        <f t="shared" si="36"/>
        <v>1.5022997751022702</v>
      </c>
      <c r="X60" s="319">
        <f t="shared" si="57"/>
        <v>1.4430919965250524</v>
      </c>
      <c r="Y60" s="319">
        <v>2.0909596981572163</v>
      </c>
      <c r="Z60" s="319">
        <v>1.6011853544447157</v>
      </c>
      <c r="AA60" s="319">
        <v>1.6011853544447157</v>
      </c>
      <c r="AC60" s="3">
        <f t="shared" si="30"/>
        <v>2048</v>
      </c>
      <c r="AJ60" s="3">
        <f t="shared" si="20"/>
        <v>2009</v>
      </c>
      <c r="AK60" s="345">
        <f t="shared" si="44"/>
        <v>39995</v>
      </c>
      <c r="AL60" s="122">
        <v>68.099999999999994</v>
      </c>
      <c r="AM60" s="122">
        <v>53.05</v>
      </c>
      <c r="AN60" s="319">
        <f t="shared" si="34"/>
        <v>61.628499999999988</v>
      </c>
      <c r="AO60" s="305">
        <v>416</v>
      </c>
      <c r="AP60" s="305">
        <v>328</v>
      </c>
      <c r="AQ60" s="305">
        <f t="shared" si="23"/>
        <v>0.55913978494623651</v>
      </c>
      <c r="AR60" s="305">
        <f t="shared" si="24"/>
        <v>0.44086021505376344</v>
      </c>
      <c r="AV60" s="3">
        <f t="shared" si="39"/>
        <v>2009</v>
      </c>
      <c r="AW60" s="343">
        <f t="shared" si="41"/>
        <v>39995</v>
      </c>
      <c r="AX60" s="121">
        <f t="shared" si="25"/>
        <v>6.8193556280587275</v>
      </c>
      <c r="AY60" s="122">
        <v>6.8193556280587275</v>
      </c>
      <c r="BA60" s="3">
        <f t="shared" si="13"/>
        <v>2008</v>
      </c>
      <c r="BB60" s="343">
        <v>39599</v>
      </c>
      <c r="BC60" s="3">
        <f t="shared" si="14"/>
        <v>4.0389790699999999</v>
      </c>
      <c r="BD60" s="3">
        <v>4.1133281400000001</v>
      </c>
      <c r="BE60" s="3">
        <v>3.9646300000000001</v>
      </c>
      <c r="BG60" s="3">
        <f t="shared" si="15"/>
        <v>2012</v>
      </c>
      <c r="BH60" s="318">
        <v>41000</v>
      </c>
      <c r="BI60" s="3">
        <f t="shared" si="16"/>
        <v>9.7192026049999996</v>
      </c>
      <c r="BJ60" s="3">
        <v>9.7984052100000003</v>
      </c>
      <c r="BK60" s="3">
        <v>9.64</v>
      </c>
      <c r="BL60" s="412">
        <f t="shared" si="5"/>
        <v>2018</v>
      </c>
      <c r="BM60" s="427">
        <v>43374</v>
      </c>
      <c r="BN60" s="412">
        <f t="shared" si="6"/>
        <v>2.5008999999999997</v>
      </c>
      <c r="BO60" s="458">
        <v>2.6722999999999999</v>
      </c>
      <c r="BP60" s="458">
        <v>2.3294999999999999</v>
      </c>
      <c r="BQ60" s="469">
        <f t="shared" si="7"/>
        <v>2021</v>
      </c>
      <c r="BR60" s="473">
        <v>44470</v>
      </c>
      <c r="BS60" s="469">
        <f t="shared" si="8"/>
        <v>1.7728999999999999</v>
      </c>
      <c r="BT60" s="474">
        <v>1.8072999999999999</v>
      </c>
      <c r="BU60" s="474">
        <v>1.7384999999999999</v>
      </c>
    </row>
    <row r="61" spans="3:87">
      <c r="C61" s="3">
        <f t="shared" si="32"/>
        <v>2045</v>
      </c>
      <c r="D61" s="177">
        <f t="shared" si="49"/>
        <v>131.54309200477255</v>
      </c>
      <c r="E61" s="177">
        <f t="shared" si="50"/>
        <v>121.40097356330756</v>
      </c>
      <c r="F61" s="177">
        <f t="shared" si="51"/>
        <v>127.17510488514142</v>
      </c>
      <c r="G61" s="249">
        <f t="shared" si="62"/>
        <v>7.9045609084400006</v>
      </c>
      <c r="H61" s="249">
        <f t="shared" si="59"/>
        <v>8.164273898463799</v>
      </c>
      <c r="I61" s="249">
        <f t="shared" si="43"/>
        <v>10.071192675843555</v>
      </c>
      <c r="J61" s="249">
        <f t="shared" si="47"/>
        <v>13.41984838473784</v>
      </c>
      <c r="K61" s="177">
        <f t="shared" si="52"/>
        <v>16.484770605862238</v>
      </c>
      <c r="L61" s="243"/>
      <c r="M61" s="243"/>
      <c r="N61" s="639"/>
      <c r="O61" s="178">
        <v>2.1999999999999999E-2</v>
      </c>
      <c r="P61" s="178">
        <v>2.1999999999999999E-2</v>
      </c>
      <c r="Q61" s="178">
        <f t="shared" ref="Q61" si="65">Q60</f>
        <v>2.1000000000000001E-2</v>
      </c>
      <c r="R61" s="178">
        <v>1.7999999999999999E-2</v>
      </c>
      <c r="S61" s="178"/>
      <c r="T61" s="641"/>
      <c r="U61" s="319"/>
      <c r="V61" s="319">
        <f t="shared" si="56"/>
        <v>6.0955520718974281</v>
      </c>
      <c r="W61" s="319">
        <f t="shared" si="36"/>
        <v>1.5338480703794177</v>
      </c>
      <c r="X61" s="319">
        <f t="shared" si="57"/>
        <v>1.4690676524625033</v>
      </c>
      <c r="Y61" s="319">
        <v>2.1361590832077506</v>
      </c>
      <c r="Z61" s="319">
        <v>1.6357974961500799</v>
      </c>
      <c r="AA61" s="319">
        <v>1.6357974961500799</v>
      </c>
      <c r="AC61" s="3">
        <f t="shared" si="30"/>
        <v>2049</v>
      </c>
      <c r="AJ61" s="3">
        <f t="shared" si="20"/>
        <v>2009</v>
      </c>
      <c r="AK61" s="345">
        <f t="shared" si="44"/>
        <v>40026</v>
      </c>
      <c r="AL61" s="122">
        <v>80.739999999999995</v>
      </c>
      <c r="AM61" s="122">
        <v>62.97</v>
      </c>
      <c r="AN61" s="319">
        <f t="shared" si="34"/>
        <v>73.098899999999986</v>
      </c>
      <c r="AO61" s="305">
        <v>416</v>
      </c>
      <c r="AP61" s="305">
        <v>328</v>
      </c>
      <c r="AQ61" s="305">
        <f t="shared" si="23"/>
        <v>0.55913978494623651</v>
      </c>
      <c r="AR61" s="305">
        <f t="shared" si="24"/>
        <v>0.44086021505376344</v>
      </c>
      <c r="AV61" s="3">
        <f t="shared" si="39"/>
        <v>2009</v>
      </c>
      <c r="AW61" s="343">
        <f t="shared" si="41"/>
        <v>40026</v>
      </c>
      <c r="AX61" s="121">
        <f t="shared" si="25"/>
        <v>6.9111174551386618</v>
      </c>
      <c r="AY61" s="122">
        <v>6.9111174551386618</v>
      </c>
      <c r="BA61" s="3">
        <f t="shared" si="13"/>
        <v>2008</v>
      </c>
      <c r="BB61" s="343">
        <v>39629</v>
      </c>
      <c r="BC61" s="3">
        <f t="shared" si="14"/>
        <v>4.0555826694999997</v>
      </c>
      <c r="BD61" s="3">
        <v>4.1303694489999998</v>
      </c>
      <c r="BE61" s="3">
        <v>3.98079589</v>
      </c>
      <c r="BG61" s="3">
        <f t="shared" si="15"/>
        <v>2012</v>
      </c>
      <c r="BH61" s="318">
        <v>41030</v>
      </c>
      <c r="BI61" s="3">
        <f t="shared" si="16"/>
        <v>9.6742026050000014</v>
      </c>
      <c r="BJ61" s="3">
        <v>9.7534052100000004</v>
      </c>
      <c r="BK61" s="3">
        <v>9.5950000000000006</v>
      </c>
      <c r="BL61" s="412">
        <f t="shared" si="5"/>
        <v>2018</v>
      </c>
      <c r="BM61" s="427">
        <v>43405</v>
      </c>
      <c r="BN61" s="412">
        <f t="shared" si="6"/>
        <v>2.9172500000000001</v>
      </c>
      <c r="BO61" s="458">
        <v>2.863</v>
      </c>
      <c r="BP61" s="458">
        <v>2.9714999999999998</v>
      </c>
      <c r="BQ61" s="469">
        <f t="shared" si="7"/>
        <v>2021</v>
      </c>
      <c r="BR61" s="473">
        <v>44501</v>
      </c>
      <c r="BS61" s="469">
        <f t="shared" si="8"/>
        <v>2.39005</v>
      </c>
      <c r="BT61" s="474">
        <v>2.4327999999999999</v>
      </c>
      <c r="BU61" s="474">
        <v>2.3473000000000002</v>
      </c>
    </row>
    <row r="62" spans="3:87">
      <c r="C62" s="3">
        <f t="shared" si="32"/>
        <v>2046</v>
      </c>
      <c r="D62" s="177">
        <f t="shared" si="49"/>
        <v>134.30549693687277</v>
      </c>
      <c r="E62" s="177">
        <f t="shared" si="50"/>
        <v>123.95039400813701</v>
      </c>
      <c r="F62" s="177">
        <f t="shared" si="51"/>
        <v>129.84578208772939</v>
      </c>
      <c r="G62" s="249">
        <f t="shared" si="62"/>
        <v>8.0784612484256808</v>
      </c>
      <c r="H62" s="249">
        <f t="shared" si="59"/>
        <v>8.3438879242300033</v>
      </c>
      <c r="I62" s="249">
        <f t="shared" si="43"/>
        <v>10.322972492739643</v>
      </c>
      <c r="J62" s="249">
        <f t="shared" si="47"/>
        <v>13.886859108526716</v>
      </c>
      <c r="K62" s="177">
        <f t="shared" si="52"/>
        <v>16.830950788585344</v>
      </c>
      <c r="L62" s="243"/>
      <c r="M62" s="243"/>
      <c r="N62" s="639"/>
      <c r="O62" s="178">
        <v>2.1999999999999999E-2</v>
      </c>
      <c r="P62" s="178">
        <v>2.1999999999999999E-2</v>
      </c>
      <c r="Q62" s="178">
        <f t="shared" ref="Q62" si="66">Q61</f>
        <v>2.1000000000000001E-2</v>
      </c>
      <c r="R62" s="178">
        <v>1.7999999999999999E-2</v>
      </c>
      <c r="S62" s="178"/>
      <c r="T62" s="641"/>
      <c r="U62" s="319"/>
      <c r="V62" s="319">
        <f t="shared" si="56"/>
        <v>6.2235586654072739</v>
      </c>
      <c r="W62" s="319">
        <f t="shared" si="36"/>
        <v>1.5660588798573853</v>
      </c>
      <c r="X62" s="319">
        <f t="shared" si="57"/>
        <v>1.4955108702068283</v>
      </c>
      <c r="Y62" s="319">
        <v>2.1823355241100773</v>
      </c>
      <c r="Z62" s="319">
        <v>1.6711578337779878</v>
      </c>
      <c r="AA62" s="319">
        <v>1.6711578337779878</v>
      </c>
      <c r="AC62" s="3">
        <f t="shared" si="30"/>
        <v>2050</v>
      </c>
      <c r="AJ62" s="3">
        <f t="shared" si="20"/>
        <v>2009</v>
      </c>
      <c r="AK62" s="345">
        <f t="shared" si="44"/>
        <v>40057</v>
      </c>
      <c r="AL62" s="122">
        <v>79.16</v>
      </c>
      <c r="AM62" s="122">
        <v>61.73</v>
      </c>
      <c r="AN62" s="319">
        <f t="shared" si="34"/>
        <v>71.665099999999995</v>
      </c>
      <c r="AO62" s="305">
        <v>400</v>
      </c>
      <c r="AP62" s="305">
        <v>320</v>
      </c>
      <c r="AQ62" s="305">
        <f t="shared" si="23"/>
        <v>0.55555555555555558</v>
      </c>
      <c r="AR62" s="305">
        <f t="shared" si="24"/>
        <v>0.44444444444444442</v>
      </c>
      <c r="AV62" s="3">
        <f t="shared" si="39"/>
        <v>2009</v>
      </c>
      <c r="AW62" s="343">
        <f t="shared" si="41"/>
        <v>40057</v>
      </c>
      <c r="AX62" s="121">
        <f t="shared" si="25"/>
        <v>7.0283686786296897</v>
      </c>
      <c r="AY62" s="122">
        <v>7.0283686786296897</v>
      </c>
      <c r="BA62" s="3">
        <f t="shared" si="13"/>
        <v>2008</v>
      </c>
      <c r="BB62" s="343">
        <v>39660</v>
      </c>
      <c r="BC62" s="3">
        <f t="shared" si="14"/>
        <v>4.0952517359999998</v>
      </c>
      <c r="BD62" s="3">
        <v>4.1703303219999999</v>
      </c>
      <c r="BE62" s="3">
        <v>4.0201731499999998</v>
      </c>
      <c r="BG62" s="3">
        <f t="shared" si="15"/>
        <v>2012</v>
      </c>
      <c r="BH62" s="318">
        <v>41061</v>
      </c>
      <c r="BI62" s="3">
        <f t="shared" si="16"/>
        <v>9.7542026049999997</v>
      </c>
      <c r="BJ62" s="3">
        <v>9.8334052100000005</v>
      </c>
      <c r="BK62" s="3">
        <v>9.6750000000000007</v>
      </c>
      <c r="BL62" s="412">
        <f t="shared" si="5"/>
        <v>2018</v>
      </c>
      <c r="BM62" s="427">
        <v>43435</v>
      </c>
      <c r="BN62" s="412">
        <f t="shared" si="6"/>
        <v>3.19095</v>
      </c>
      <c r="BO62" s="458">
        <v>3.0173999999999999</v>
      </c>
      <c r="BP62" s="458">
        <v>3.3645</v>
      </c>
      <c r="BQ62" s="469">
        <f t="shared" si="7"/>
        <v>2021</v>
      </c>
      <c r="BR62" s="473">
        <v>44531</v>
      </c>
      <c r="BS62" s="469">
        <f t="shared" si="8"/>
        <v>2.6388499999999997</v>
      </c>
      <c r="BT62" s="474">
        <v>2.6084000000000001</v>
      </c>
      <c r="BU62" s="474">
        <v>2.6692999999999998</v>
      </c>
    </row>
    <row r="63" spans="3:87">
      <c r="C63" s="3">
        <f t="shared" si="32"/>
        <v>2047</v>
      </c>
      <c r="D63" s="177">
        <f t="shared" si="49"/>
        <v>137.12591237254708</v>
      </c>
      <c r="E63" s="177">
        <f t="shared" si="50"/>
        <v>126.55335228230787</v>
      </c>
      <c r="F63" s="177">
        <f t="shared" si="51"/>
        <v>132.57254351157169</v>
      </c>
      <c r="G63" s="249">
        <f t="shared" si="62"/>
        <v>8.2561873958910468</v>
      </c>
      <c r="H63" s="249">
        <f t="shared" si="59"/>
        <v>8.5274534585630644</v>
      </c>
      <c r="I63" s="249">
        <f t="shared" si="43"/>
        <v>10.581046805058133</v>
      </c>
      <c r="J63" s="249">
        <f t="shared" si="47"/>
        <v>14.370121805503445</v>
      </c>
      <c r="K63" s="177">
        <f t="shared" si="52"/>
        <v>17.184400755145635</v>
      </c>
      <c r="L63" s="243"/>
      <c r="M63" s="243"/>
      <c r="N63" s="639"/>
      <c r="O63" s="178">
        <v>2.1999999999999999E-2</v>
      </c>
      <c r="P63" s="178">
        <v>2.1999999999999999E-2</v>
      </c>
      <c r="Q63" s="178">
        <f t="shared" ref="Q63" si="67">Q62</f>
        <v>2.1000000000000001E-2</v>
      </c>
      <c r="R63" s="178">
        <v>1.7999999999999999E-2</v>
      </c>
      <c r="S63" s="178"/>
      <c r="T63" s="641"/>
      <c r="U63" s="319"/>
      <c r="V63" s="319"/>
      <c r="W63" s="319"/>
      <c r="X63" s="319"/>
      <c r="Y63" s="319"/>
      <c r="Z63" s="319"/>
      <c r="AA63" s="319"/>
      <c r="AC63" s="3">
        <f t="shared" si="30"/>
        <v>2051</v>
      </c>
      <c r="AJ63" s="3">
        <f t="shared" si="20"/>
        <v>2009</v>
      </c>
      <c r="AK63" s="345">
        <f t="shared" si="44"/>
        <v>40087</v>
      </c>
      <c r="AL63" s="122">
        <v>54.914999999999999</v>
      </c>
      <c r="AM63" s="122">
        <v>48.502499999999998</v>
      </c>
      <c r="AN63" s="319">
        <f t="shared" si="34"/>
        <v>52.157624999999996</v>
      </c>
      <c r="AO63" s="305">
        <v>432</v>
      </c>
      <c r="AP63" s="305">
        <v>312</v>
      </c>
      <c r="AQ63" s="305">
        <f t="shared" si="23"/>
        <v>0.58064516129032262</v>
      </c>
      <c r="AR63" s="305">
        <f t="shared" si="24"/>
        <v>0.41935483870967744</v>
      </c>
      <c r="AV63" s="3">
        <f t="shared" si="39"/>
        <v>2009</v>
      </c>
      <c r="AW63" s="343">
        <f t="shared" si="41"/>
        <v>40087</v>
      </c>
      <c r="AX63" s="121">
        <f t="shared" si="25"/>
        <v>7.1802854812398049</v>
      </c>
      <c r="AY63" s="122">
        <v>7.1802854812398049</v>
      </c>
      <c r="BA63" s="3">
        <f t="shared" si="13"/>
        <v>2008</v>
      </c>
      <c r="BB63" s="343">
        <v>39691</v>
      </c>
      <c r="BC63" s="3">
        <f t="shared" si="14"/>
        <v>4.1132553359999999</v>
      </c>
      <c r="BD63" s="3">
        <v>4.1887716309999998</v>
      </c>
      <c r="BE63" s="3">
        <v>4.037739041</v>
      </c>
      <c r="BG63" s="3">
        <f t="shared" si="15"/>
        <v>2012</v>
      </c>
      <c r="BH63" s="318">
        <v>41091</v>
      </c>
      <c r="BI63" s="3">
        <f t="shared" si="16"/>
        <v>9.8542026050000011</v>
      </c>
      <c r="BJ63" s="3">
        <v>9.9334052100000001</v>
      </c>
      <c r="BK63" s="3">
        <v>9.7750000000000004</v>
      </c>
      <c r="BL63" s="412">
        <f t="shared" si="5"/>
        <v>2019</v>
      </c>
      <c r="BM63" s="427">
        <v>43466</v>
      </c>
      <c r="BN63" s="412">
        <f t="shared" si="6"/>
        <v>3.1271500000000003</v>
      </c>
      <c r="BO63" s="458">
        <v>3.1008</v>
      </c>
      <c r="BP63" s="458">
        <v>3.1535000000000002</v>
      </c>
      <c r="BQ63" s="469">
        <f t="shared" si="7"/>
        <v>2022</v>
      </c>
      <c r="BR63" s="473">
        <v>44562</v>
      </c>
      <c r="BS63" s="469">
        <f t="shared" si="8"/>
        <v>2.6552499999999997</v>
      </c>
      <c r="BT63" s="474">
        <v>2.6781999999999999</v>
      </c>
      <c r="BU63" s="474">
        <v>2.6322999999999999</v>
      </c>
    </row>
    <row r="64" spans="3:87">
      <c r="C64" s="3">
        <f t="shared" si="32"/>
        <v>2048</v>
      </c>
      <c r="D64" s="177">
        <f t="shared" si="49"/>
        <v>140.00555653237055</v>
      </c>
      <c r="E64" s="177">
        <f t="shared" si="50"/>
        <v>129.21097268023632</v>
      </c>
      <c r="F64" s="177">
        <f t="shared" si="51"/>
        <v>135.3565669253147</v>
      </c>
      <c r="G64" s="249">
        <f t="shared" si="62"/>
        <v>8.4378235186006503</v>
      </c>
      <c r="H64" s="249">
        <f t="shared" si="59"/>
        <v>8.7150574346514524</v>
      </c>
      <c r="I64" s="249">
        <f t="shared" si="43"/>
        <v>10.845572975184584</v>
      </c>
      <c r="J64" s="249">
        <f t="shared" si="47"/>
        <v>14.870202044334963</v>
      </c>
      <c r="K64" s="177">
        <f t="shared" si="52"/>
        <v>17.545273171003693</v>
      </c>
      <c r="L64" s="243"/>
      <c r="M64" s="243"/>
      <c r="R64" s="178">
        <v>1.7999999999999999E-2</v>
      </c>
      <c r="AJ64" s="3">
        <f t="shared" si="20"/>
        <v>2009</v>
      </c>
      <c r="AK64" s="345">
        <f>EOMONTH(AK63,0)+1</f>
        <v>40118</v>
      </c>
      <c r="AL64" s="122">
        <v>67.784999999999997</v>
      </c>
      <c r="AM64" s="122">
        <v>57.765000000000001</v>
      </c>
      <c r="AN64" s="319">
        <f t="shared" si="34"/>
        <v>63.476399999999998</v>
      </c>
      <c r="AO64" s="305">
        <v>384</v>
      </c>
      <c r="AP64" s="305">
        <v>336</v>
      </c>
      <c r="AQ64" s="305">
        <f t="shared" si="23"/>
        <v>0.53333333333333333</v>
      </c>
      <c r="AR64" s="305">
        <f t="shared" si="24"/>
        <v>0.46666666666666667</v>
      </c>
      <c r="AV64" s="3">
        <f t="shared" si="39"/>
        <v>2009</v>
      </c>
      <c r="AW64" s="343">
        <f t="shared" si="41"/>
        <v>40118</v>
      </c>
      <c r="AX64" s="121">
        <f t="shared" si="25"/>
        <v>8.0129051114736267</v>
      </c>
      <c r="AY64" s="122">
        <v>8.0129051114736267</v>
      </c>
      <c r="BA64" s="3">
        <f t="shared" si="13"/>
        <v>2008</v>
      </c>
      <c r="BB64" s="343">
        <v>39721</v>
      </c>
      <c r="BC64" s="3">
        <f t="shared" si="14"/>
        <v>4.1018589360000002</v>
      </c>
      <c r="BD64" s="3">
        <v>4.177812941</v>
      </c>
      <c r="BE64" s="3">
        <v>4.0259049310000004</v>
      </c>
      <c r="BG64" s="3">
        <f t="shared" si="15"/>
        <v>2012</v>
      </c>
      <c r="BH64" s="318">
        <v>41122</v>
      </c>
      <c r="BI64" s="3">
        <f t="shared" si="16"/>
        <v>9.9292026050000004</v>
      </c>
      <c r="BJ64" s="3">
        <v>10.008405209999999</v>
      </c>
      <c r="BK64" s="3">
        <v>9.85</v>
      </c>
      <c r="BL64" s="412">
        <f t="shared" si="5"/>
        <v>2019</v>
      </c>
      <c r="BM64" s="427">
        <v>43497</v>
      </c>
      <c r="BN64" s="412">
        <f t="shared" si="6"/>
        <v>3.0002500000000003</v>
      </c>
      <c r="BO64" s="458">
        <v>3.0665</v>
      </c>
      <c r="BP64" s="458">
        <v>2.9340000000000002</v>
      </c>
      <c r="BQ64" s="469">
        <f t="shared" si="7"/>
        <v>2022</v>
      </c>
      <c r="BR64" s="473">
        <v>44593</v>
      </c>
      <c r="BS64" s="469">
        <f t="shared" si="8"/>
        <v>2.6064499999999997</v>
      </c>
      <c r="BT64" s="474">
        <v>2.6631</v>
      </c>
      <c r="BU64" s="474">
        <v>2.5497999999999998</v>
      </c>
    </row>
    <row r="65" spans="1:73">
      <c r="C65" s="3">
        <f t="shared" si="32"/>
        <v>2049</v>
      </c>
      <c r="D65" s="177">
        <f t="shared" si="49"/>
        <v>142.94567321955032</v>
      </c>
      <c r="E65" s="177">
        <f t="shared" si="50"/>
        <v>131.92440310652128</v>
      </c>
      <c r="F65" s="177">
        <f t="shared" si="51"/>
        <v>138.19905483074629</v>
      </c>
      <c r="G65" s="249">
        <f t="shared" si="62"/>
        <v>8.6234556360098651</v>
      </c>
      <c r="H65" s="249">
        <f t="shared" si="59"/>
        <v>8.9067886982137843</v>
      </c>
      <c r="I65" s="249">
        <f t="shared" si="43"/>
        <v>11.116712299564199</v>
      </c>
      <c r="J65" s="249">
        <f t="shared" si="47"/>
        <v>15.387685075477819</v>
      </c>
      <c r="K65" s="177">
        <f t="shared" si="52"/>
        <v>17.913723907594768</v>
      </c>
      <c r="L65" s="243"/>
      <c r="M65" s="243"/>
      <c r="R65" s="178">
        <v>1.7999999999999999E-2</v>
      </c>
      <c r="AJ65" s="3">
        <f t="shared" si="20"/>
        <v>2009</v>
      </c>
      <c r="AK65" s="345">
        <f t="shared" si="44"/>
        <v>40148</v>
      </c>
      <c r="AL65" s="122">
        <v>82.8</v>
      </c>
      <c r="AM65" s="122">
        <v>70.732500000000002</v>
      </c>
      <c r="AN65" s="319">
        <f t="shared" si="34"/>
        <v>77.610974999999996</v>
      </c>
      <c r="AO65" s="305">
        <v>416</v>
      </c>
      <c r="AP65" s="305">
        <v>328</v>
      </c>
      <c r="AQ65" s="305">
        <f t="shared" si="23"/>
        <v>0.55913978494623651</v>
      </c>
      <c r="AR65" s="305">
        <f t="shared" si="24"/>
        <v>0.44086021505376344</v>
      </c>
      <c r="AV65" s="3">
        <f t="shared" si="39"/>
        <v>2009</v>
      </c>
      <c r="AW65" s="343">
        <f t="shared" si="41"/>
        <v>40148</v>
      </c>
      <c r="AX65" s="121">
        <f t="shared" si="25"/>
        <v>8.7900938009787932</v>
      </c>
      <c r="AY65" s="122">
        <v>8.7900938009787932</v>
      </c>
      <c r="BA65" s="3">
        <f t="shared" si="13"/>
        <v>2008</v>
      </c>
      <c r="BB65" s="343">
        <v>39752</v>
      </c>
      <c r="BC65" s="3">
        <f t="shared" si="14"/>
        <v>4.1679125360000002</v>
      </c>
      <c r="BD65" s="3">
        <v>4.2320042500000001</v>
      </c>
      <c r="BE65" s="3">
        <v>4.1038208220000003</v>
      </c>
      <c r="BG65" s="3">
        <f t="shared" si="15"/>
        <v>2012</v>
      </c>
      <c r="BH65" s="318">
        <v>41153</v>
      </c>
      <c r="BI65" s="3">
        <f t="shared" si="16"/>
        <v>9.949202605</v>
      </c>
      <c r="BJ65" s="3">
        <v>10.028405210000001</v>
      </c>
      <c r="BK65" s="3">
        <v>9.8699999999999992</v>
      </c>
      <c r="BL65" s="412">
        <f t="shared" si="5"/>
        <v>2019</v>
      </c>
      <c r="BM65" s="427">
        <v>43525</v>
      </c>
      <c r="BN65" s="412">
        <f t="shared" si="6"/>
        <v>2.9384999999999999</v>
      </c>
      <c r="BO65" s="458">
        <v>3</v>
      </c>
      <c r="BP65" s="458">
        <v>2.8769999999999998</v>
      </c>
      <c r="BQ65" s="469">
        <f t="shared" si="7"/>
        <v>2022</v>
      </c>
      <c r="BR65" s="473">
        <v>44621</v>
      </c>
      <c r="BS65" s="469">
        <f t="shared" si="8"/>
        <v>2.4379499999999998</v>
      </c>
      <c r="BT65" s="474">
        <v>2.5613000000000001</v>
      </c>
      <c r="BU65" s="474">
        <v>2.3146</v>
      </c>
    </row>
    <row r="66" spans="1:73">
      <c r="C66" s="3">
        <f t="shared" si="32"/>
        <v>2050</v>
      </c>
      <c r="D66" s="177">
        <f t="shared" si="49"/>
        <v>145.94753235716087</v>
      </c>
      <c r="E66" s="177">
        <f t="shared" si="50"/>
        <v>134.69481557175823</v>
      </c>
      <c r="F66" s="177">
        <f t="shared" si="51"/>
        <v>141.10123498219195</v>
      </c>
      <c r="G66" s="249">
        <f t="shared" si="62"/>
        <v>8.813171660002082</v>
      </c>
      <c r="H66" s="249">
        <f t="shared" si="59"/>
        <v>9.1027380495744872</v>
      </c>
      <c r="I66" s="249">
        <f t="shared" si="43"/>
        <v>11.394630107053302</v>
      </c>
      <c r="J66" s="249">
        <f t="shared" si="47"/>
        <v>15.923176516104446</v>
      </c>
      <c r="K66" s="177">
        <f t="shared" si="52"/>
        <v>18.289912109654257</v>
      </c>
      <c r="L66" s="243"/>
      <c r="M66" s="243"/>
      <c r="R66" s="178">
        <v>1.7999999999999999E-2</v>
      </c>
      <c r="AJ66" s="3">
        <f t="shared" si="20"/>
        <v>2010</v>
      </c>
      <c r="AK66" s="345">
        <f t="shared" si="44"/>
        <v>40179</v>
      </c>
      <c r="AL66" s="122">
        <v>78.900000000000006</v>
      </c>
      <c r="AM66" s="122">
        <v>70.004999999999995</v>
      </c>
      <c r="AN66" s="319">
        <f t="shared" si="34"/>
        <v>75.075149999999994</v>
      </c>
      <c r="AO66" s="305">
        <v>400</v>
      </c>
      <c r="AP66" s="305">
        <v>344</v>
      </c>
      <c r="AQ66" s="305">
        <f t="shared" si="23"/>
        <v>0.5376344086021505</v>
      </c>
      <c r="AR66" s="305">
        <f t="shared" si="24"/>
        <v>0.46236559139784944</v>
      </c>
      <c r="AV66" s="3">
        <f t="shared" si="39"/>
        <v>2010</v>
      </c>
      <c r="AW66" s="343">
        <f t="shared" si="41"/>
        <v>40179</v>
      </c>
      <c r="AX66" s="121">
        <f t="shared" si="25"/>
        <v>9.3525598151169103</v>
      </c>
      <c r="AY66" s="122">
        <v>9.3525598151169103</v>
      </c>
      <c r="BA66" s="3">
        <f t="shared" si="13"/>
        <v>2008</v>
      </c>
      <c r="BB66" s="343">
        <v>39782</v>
      </c>
      <c r="BC66" s="3">
        <f t="shared" si="14"/>
        <v>4.2817435604999998</v>
      </c>
      <c r="BD66" s="3">
        <v>4.3469390389999996</v>
      </c>
      <c r="BE66" s="3">
        <v>4.2165480820000001</v>
      </c>
      <c r="BG66" s="3">
        <f t="shared" si="15"/>
        <v>2012</v>
      </c>
      <c r="BH66" s="318">
        <v>41183</v>
      </c>
      <c r="BI66" s="3">
        <f t="shared" si="16"/>
        <v>10.039202605</v>
      </c>
      <c r="BJ66" s="3">
        <v>10.118405210000001</v>
      </c>
      <c r="BK66" s="3">
        <v>9.9600000000000009</v>
      </c>
      <c r="BL66" s="412">
        <f t="shared" si="5"/>
        <v>2019</v>
      </c>
      <c r="BM66" s="427">
        <v>43556</v>
      </c>
      <c r="BN66" s="412">
        <f t="shared" ref="BN66:BN130" si="68">AVERAGE(BO66:BP66)</f>
        <v>2.2579000000000002</v>
      </c>
      <c r="BO66" s="458">
        <v>2.4077999999999999</v>
      </c>
      <c r="BP66" s="458">
        <v>2.1080000000000001</v>
      </c>
      <c r="BQ66" s="469">
        <f t="shared" si="7"/>
        <v>2022</v>
      </c>
      <c r="BR66" s="473">
        <v>44652</v>
      </c>
      <c r="BS66" s="469">
        <f t="shared" si="8"/>
        <v>2.1803499999999998</v>
      </c>
      <c r="BT66" s="474">
        <v>2.3506</v>
      </c>
      <c r="BU66" s="474">
        <v>2.0101</v>
      </c>
    </row>
    <row r="67" spans="1:73">
      <c r="C67" s="3">
        <f t="shared" si="32"/>
        <v>2051</v>
      </c>
      <c r="D67" s="177">
        <f t="shared" si="49"/>
        <v>149.01243053666124</v>
      </c>
      <c r="E67" s="177">
        <f t="shared" si="50"/>
        <v>137.52340669876514</v>
      </c>
      <c r="F67" s="177">
        <f t="shared" si="51"/>
        <v>144.06436091681798</v>
      </c>
      <c r="G67" s="249">
        <f t="shared" si="62"/>
        <v>9.0070614365221271</v>
      </c>
      <c r="H67" s="249">
        <f t="shared" si="59"/>
        <v>9.302998286665126</v>
      </c>
      <c r="I67" s="249">
        <f t="shared" si="43"/>
        <v>11.679495859729634</v>
      </c>
      <c r="J67" s="249">
        <f t="shared" si="47"/>
        <v>16.47730305886488</v>
      </c>
      <c r="K67" s="177">
        <f t="shared" si="52"/>
        <v>18.674000263956994</v>
      </c>
      <c r="L67" s="243"/>
      <c r="M67" s="243"/>
      <c r="AJ67" s="3">
        <f t="shared" si="20"/>
        <v>2010</v>
      </c>
      <c r="AK67" s="345">
        <f t="shared" si="44"/>
        <v>40210</v>
      </c>
      <c r="AL67" s="122">
        <v>74.099999999999994</v>
      </c>
      <c r="AM67" s="122">
        <v>67.144999999999996</v>
      </c>
      <c r="AN67" s="319">
        <f t="shared" si="34"/>
        <v>71.109349999999992</v>
      </c>
      <c r="AO67" s="305">
        <v>384</v>
      </c>
      <c r="AP67" s="305">
        <v>288</v>
      </c>
      <c r="AQ67" s="305">
        <f t="shared" si="23"/>
        <v>0.5714285714285714</v>
      </c>
      <c r="AR67" s="305">
        <f t="shared" si="24"/>
        <v>0.42857142857142855</v>
      </c>
      <c r="AV67" s="3">
        <f t="shared" si="39"/>
        <v>2010</v>
      </c>
      <c r="AW67" s="343">
        <f t="shared" si="41"/>
        <v>40210</v>
      </c>
      <c r="AX67" s="121">
        <f t="shared" si="25"/>
        <v>9.3474619358346906</v>
      </c>
      <c r="AY67" s="122">
        <v>9.3474619358346906</v>
      </c>
      <c r="BA67" s="3">
        <f t="shared" si="13"/>
        <v>2008</v>
      </c>
      <c r="BB67" s="343">
        <v>39813</v>
      </c>
      <c r="BC67" s="3">
        <f t="shared" si="14"/>
        <v>4.4699728465000002</v>
      </c>
      <c r="BD67" s="3">
        <v>4.5208317210000004</v>
      </c>
      <c r="BE67" s="3">
        <v>4.4191139719999999</v>
      </c>
      <c r="BG67" s="3">
        <f t="shared" si="15"/>
        <v>2012</v>
      </c>
      <c r="BH67" s="318">
        <v>41214</v>
      </c>
      <c r="BI67" s="3">
        <f t="shared" si="16"/>
        <v>10.859202605</v>
      </c>
      <c r="BJ67" s="3">
        <v>10.438405210000001</v>
      </c>
      <c r="BK67" s="3">
        <v>11.28</v>
      </c>
      <c r="BL67" s="412">
        <f t="shared" si="5"/>
        <v>2019</v>
      </c>
      <c r="BM67" s="427">
        <v>43586</v>
      </c>
      <c r="BN67" s="412">
        <f t="shared" si="68"/>
        <v>2.2261500000000001</v>
      </c>
      <c r="BO67" s="458">
        <v>2.3948</v>
      </c>
      <c r="BP67" s="458">
        <v>2.0575000000000001</v>
      </c>
      <c r="BQ67" s="469">
        <f t="shared" si="7"/>
        <v>2022</v>
      </c>
      <c r="BR67" s="473">
        <v>44682</v>
      </c>
      <c r="BS67" s="469">
        <f t="shared" si="8"/>
        <v>2.1608999999999998</v>
      </c>
      <c r="BT67" s="474">
        <v>2.3266</v>
      </c>
      <c r="BU67" s="474">
        <v>1.9952000000000001</v>
      </c>
    </row>
    <row r="68" spans="1:73">
      <c r="C68" s="3">
        <f t="shared" si="32"/>
        <v>2052</v>
      </c>
      <c r="I68" s="249">
        <f t="shared" si="43"/>
        <v>11.971483256222875</v>
      </c>
      <c r="AJ68" s="3">
        <f t="shared" si="20"/>
        <v>2010</v>
      </c>
      <c r="AK68" s="345">
        <f t="shared" si="44"/>
        <v>40238</v>
      </c>
      <c r="AL68" s="122">
        <v>65.3</v>
      </c>
      <c r="AM68" s="122">
        <v>57.85</v>
      </c>
      <c r="AN68" s="319">
        <f t="shared" si="34"/>
        <v>62.096499999999992</v>
      </c>
      <c r="AO68" s="305">
        <v>432</v>
      </c>
      <c r="AP68" s="305">
        <v>312</v>
      </c>
      <c r="AQ68" s="305">
        <f t="shared" si="23"/>
        <v>0.58064516129032262</v>
      </c>
      <c r="AR68" s="305">
        <f t="shared" si="24"/>
        <v>0.41935483870967744</v>
      </c>
      <c r="AV68" s="3">
        <f t="shared" si="39"/>
        <v>2010</v>
      </c>
      <c r="AW68" s="343">
        <f t="shared" si="41"/>
        <v>40238</v>
      </c>
      <c r="AX68" s="121">
        <f t="shared" si="25"/>
        <v>9.0868923327895601</v>
      </c>
      <c r="AY68" s="122">
        <v>9.0868923327895601</v>
      </c>
      <c r="BA68" s="3">
        <f t="shared" si="13"/>
        <v>2009</v>
      </c>
      <c r="BB68" s="343">
        <v>39844</v>
      </c>
      <c r="BC68" s="3">
        <f t="shared" si="14"/>
        <v>4.6798249885000001</v>
      </c>
      <c r="BD68" s="3">
        <v>4.7038701139999999</v>
      </c>
      <c r="BE68" s="3">
        <v>4.6557798630000002</v>
      </c>
      <c r="BG68" s="3">
        <f t="shared" si="15"/>
        <v>2012</v>
      </c>
      <c r="BH68" s="318">
        <v>41244</v>
      </c>
      <c r="BI68" s="3">
        <f t="shared" si="16"/>
        <v>11.279202605</v>
      </c>
      <c r="BJ68" s="3">
        <v>10.858405210000001</v>
      </c>
      <c r="BK68" s="3">
        <v>11.7</v>
      </c>
      <c r="BL68" s="412">
        <f t="shared" si="5"/>
        <v>2019</v>
      </c>
      <c r="BM68" s="427">
        <v>43617</v>
      </c>
      <c r="BN68" s="412">
        <f t="shared" si="68"/>
        <v>2.2423000000000002</v>
      </c>
      <c r="BO68" s="458">
        <v>2.4296000000000002</v>
      </c>
      <c r="BP68" s="458">
        <v>2.0550000000000002</v>
      </c>
      <c r="BQ68" s="469">
        <f t="shared" si="7"/>
        <v>2022</v>
      </c>
      <c r="BR68" s="473">
        <v>44713</v>
      </c>
      <c r="BS68" s="469">
        <f t="shared" si="8"/>
        <v>2.1897000000000002</v>
      </c>
      <c r="BT68" s="474">
        <v>2.3489</v>
      </c>
      <c r="BU68" s="474">
        <v>2.0305</v>
      </c>
    </row>
    <row r="69" spans="1:73">
      <c r="C69" s="3">
        <f t="shared" si="32"/>
        <v>2053</v>
      </c>
      <c r="I69" s="249">
        <f t="shared" si="43"/>
        <v>12.270770337628447</v>
      </c>
      <c r="AK69" s="345"/>
      <c r="AL69" s="122"/>
      <c r="AM69" s="122"/>
      <c r="AN69" s="319"/>
      <c r="AO69" s="305"/>
      <c r="AP69" s="305"/>
      <c r="AQ69" s="305"/>
      <c r="AR69" s="305"/>
      <c r="AW69" s="343"/>
      <c r="AX69" s="121"/>
      <c r="AY69" s="122"/>
      <c r="BB69" s="343"/>
      <c r="BH69" s="318"/>
      <c r="BL69" s="412"/>
      <c r="BM69" s="427"/>
      <c r="BO69" s="458"/>
      <c r="BP69" s="458"/>
      <c r="BQ69" s="469"/>
      <c r="BR69" s="473"/>
      <c r="BS69" s="469"/>
      <c r="BT69" s="474"/>
      <c r="BU69" s="474"/>
    </row>
    <row r="70" spans="1:73">
      <c r="C70" s="348" t="s">
        <v>93</v>
      </c>
      <c r="I70" s="249">
        <f t="shared" si="43"/>
        <v>12.577539596069157</v>
      </c>
      <c r="AJ70" s="3">
        <f t="shared" si="20"/>
        <v>2010</v>
      </c>
      <c r="AK70" s="345">
        <f>EOMONTH(AK68,0)+1</f>
        <v>40269</v>
      </c>
      <c r="AL70" s="122">
        <v>47.79</v>
      </c>
      <c r="AM70" s="122">
        <v>35.200000000000003</v>
      </c>
      <c r="AN70" s="319">
        <f t="shared" si="34"/>
        <v>42.376300000000001</v>
      </c>
      <c r="AO70" s="305">
        <v>416</v>
      </c>
      <c r="AP70" s="305">
        <v>304</v>
      </c>
      <c r="AQ70" s="305">
        <f t="shared" si="23"/>
        <v>0.57777777777777772</v>
      </c>
      <c r="AR70" s="305">
        <f t="shared" si="24"/>
        <v>0.42222222222222222</v>
      </c>
      <c r="AV70" s="3">
        <f t="shared" si="39"/>
        <v>2010</v>
      </c>
      <c r="AW70" s="343">
        <f>EOMONTH(AW68,0)+1</f>
        <v>40269</v>
      </c>
      <c r="AX70" s="121">
        <f t="shared" si="25"/>
        <v>6.5046465470364323</v>
      </c>
      <c r="AY70" s="122">
        <v>6.5046465470364323</v>
      </c>
      <c r="BA70" s="3">
        <f t="shared" si="13"/>
        <v>2009</v>
      </c>
      <c r="BB70" s="343">
        <v>39872</v>
      </c>
      <c r="BC70" s="3">
        <f t="shared" si="14"/>
        <v>4.492517146</v>
      </c>
      <c r="BD70" s="3">
        <v>4.5330771690000002</v>
      </c>
      <c r="BE70" s="3">
        <v>4.4519571229999997</v>
      </c>
      <c r="BG70" s="3">
        <f t="shared" si="15"/>
        <v>2013</v>
      </c>
      <c r="BH70" s="318">
        <v>41275</v>
      </c>
      <c r="BI70" s="3">
        <f t="shared" si="16"/>
        <v>11.530452605000001</v>
      </c>
      <c r="BJ70" s="3">
        <v>11.11090521</v>
      </c>
      <c r="BK70" s="3">
        <v>11.95</v>
      </c>
      <c r="BL70" s="412">
        <f t="shared" si="5"/>
        <v>2019</v>
      </c>
      <c r="BM70" s="427">
        <v>43647</v>
      </c>
      <c r="BN70" s="412">
        <f t="shared" si="68"/>
        <v>2.3722000000000003</v>
      </c>
      <c r="BO70" s="458">
        <v>2.5204</v>
      </c>
      <c r="BP70" s="458">
        <v>2.2240000000000002</v>
      </c>
      <c r="BQ70" s="469">
        <f t="shared" si="7"/>
        <v>2022</v>
      </c>
      <c r="BR70" s="473">
        <v>44743</v>
      </c>
      <c r="BS70" s="469">
        <f t="shared" si="8"/>
        <v>2.2890999999999999</v>
      </c>
      <c r="BT70" s="474">
        <v>2.4018999999999999</v>
      </c>
      <c r="BU70" s="474">
        <v>2.1762999999999999</v>
      </c>
    </row>
    <row r="71" spans="1:73">
      <c r="C71" s="3" t="s">
        <v>94</v>
      </c>
      <c r="I71" s="249">
        <f t="shared" si="43"/>
        <v>12.891978085970884</v>
      </c>
      <c r="AJ71" s="3">
        <f t="shared" si="20"/>
        <v>2010</v>
      </c>
      <c r="AK71" s="345">
        <f t="shared" si="44"/>
        <v>40299</v>
      </c>
      <c r="AL71" s="122">
        <v>39.06</v>
      </c>
      <c r="AM71" s="122">
        <v>25.47</v>
      </c>
      <c r="AN71" s="319">
        <f t="shared" si="34"/>
        <v>33.216299999999997</v>
      </c>
      <c r="AO71" s="305">
        <v>400</v>
      </c>
      <c r="AP71" s="305">
        <v>344</v>
      </c>
      <c r="AQ71" s="305">
        <f t="shared" si="23"/>
        <v>0.5376344086021505</v>
      </c>
      <c r="AR71" s="305">
        <f t="shared" si="24"/>
        <v>0.46236559139784944</v>
      </c>
      <c r="AV71" s="3">
        <f t="shared" si="39"/>
        <v>2010</v>
      </c>
      <c r="AW71" s="343">
        <f t="shared" si="41"/>
        <v>40299</v>
      </c>
      <c r="AX71" s="121">
        <f t="shared" si="25"/>
        <v>6.3007313757476888</v>
      </c>
      <c r="AY71" s="122">
        <v>6.3007313757476888</v>
      </c>
      <c r="BA71" s="3">
        <f t="shared" si="13"/>
        <v>2009</v>
      </c>
      <c r="BB71" s="343">
        <v>39903</v>
      </c>
      <c r="BC71" s="3">
        <f t="shared" si="14"/>
        <v>4.2755303820000004</v>
      </c>
      <c r="BD71" s="3">
        <v>4.3313377500000003</v>
      </c>
      <c r="BE71" s="3">
        <v>4.2197230140000004</v>
      </c>
      <c r="BG71" s="3">
        <f t="shared" si="15"/>
        <v>2013</v>
      </c>
      <c r="BH71" s="318">
        <v>41306</v>
      </c>
      <c r="BI71" s="3">
        <f t="shared" si="16"/>
        <v>11.520452604999999</v>
      </c>
      <c r="BJ71" s="3">
        <v>11.100905210000001</v>
      </c>
      <c r="BK71" s="3">
        <v>11.94</v>
      </c>
      <c r="BL71" s="412">
        <f t="shared" si="5"/>
        <v>2019</v>
      </c>
      <c r="BM71" s="427">
        <v>43678</v>
      </c>
      <c r="BN71" s="412">
        <f t="shared" si="68"/>
        <v>2.3959000000000001</v>
      </c>
      <c r="BO71" s="458">
        <v>2.5453000000000001</v>
      </c>
      <c r="BP71" s="458">
        <v>2.2465000000000002</v>
      </c>
      <c r="BQ71" s="469">
        <f t="shared" si="7"/>
        <v>2022</v>
      </c>
      <c r="BR71" s="473">
        <v>44774</v>
      </c>
      <c r="BS71" s="469">
        <f t="shared" si="8"/>
        <v>2.3220000000000001</v>
      </c>
      <c r="BT71" s="474">
        <v>2.4363000000000001</v>
      </c>
      <c r="BU71" s="474">
        <v>2.2077</v>
      </c>
    </row>
    <row r="72" spans="1:73">
      <c r="I72" s="249">
        <f t="shared" si="43"/>
        <v>13.214277538120154</v>
      </c>
      <c r="AJ72" s="3">
        <f t="shared" si="20"/>
        <v>2010</v>
      </c>
      <c r="AK72" s="345">
        <f t="shared" si="44"/>
        <v>40330</v>
      </c>
      <c r="AL72" s="122">
        <v>36.15</v>
      </c>
      <c r="AM72" s="122">
        <v>24.08</v>
      </c>
      <c r="AN72" s="319">
        <f t="shared" si="34"/>
        <v>30.959899999999994</v>
      </c>
      <c r="AO72" s="305">
        <v>416</v>
      </c>
      <c r="AP72" s="305">
        <v>304</v>
      </c>
      <c r="AQ72" s="305">
        <f t="shared" si="23"/>
        <v>0.57777777777777772</v>
      </c>
      <c r="AR72" s="305">
        <f t="shared" si="24"/>
        <v>0.42222222222222222</v>
      </c>
      <c r="AV72" s="3">
        <f t="shared" si="39"/>
        <v>2010</v>
      </c>
      <c r="AW72" s="343">
        <f t="shared" si="41"/>
        <v>40330</v>
      </c>
      <c r="AX72" s="121">
        <f t="shared" si="25"/>
        <v>6.4026889613920606</v>
      </c>
      <c r="AY72" s="122">
        <v>6.4026889613920606</v>
      </c>
      <c r="BA72" s="3">
        <f t="shared" si="13"/>
        <v>2009</v>
      </c>
      <c r="BB72" s="343">
        <v>39933</v>
      </c>
      <c r="BC72" s="3">
        <f t="shared" si="14"/>
        <v>3.9749150684999996</v>
      </c>
      <c r="BD72" s="3">
        <v>4.0536412329999996</v>
      </c>
      <c r="BE72" s="3">
        <v>3.8961889040000002</v>
      </c>
      <c r="BG72" s="3">
        <f t="shared" si="15"/>
        <v>2013</v>
      </c>
      <c r="BH72" s="318">
        <v>41334</v>
      </c>
      <c r="BI72" s="3">
        <f t="shared" si="16"/>
        <v>11.290452605</v>
      </c>
      <c r="BJ72" s="3">
        <v>10.87090521</v>
      </c>
      <c r="BK72" s="3">
        <v>11.71</v>
      </c>
      <c r="BL72" s="412">
        <f t="shared" si="5"/>
        <v>2019</v>
      </c>
      <c r="BM72" s="427">
        <v>43709</v>
      </c>
      <c r="BN72" s="412">
        <f t="shared" si="68"/>
        <v>2.4176500000000001</v>
      </c>
      <c r="BO72" s="458">
        <v>2.5432999999999999</v>
      </c>
      <c r="BP72" s="458">
        <v>2.2919999999999998</v>
      </c>
      <c r="BQ72" s="469">
        <f t="shared" si="7"/>
        <v>2022</v>
      </c>
      <c r="BR72" s="473">
        <v>44805</v>
      </c>
      <c r="BS72" s="469">
        <f t="shared" si="8"/>
        <v>2.3235999999999999</v>
      </c>
      <c r="BT72" s="474">
        <v>2.4558</v>
      </c>
      <c r="BU72" s="474">
        <v>2.1913999999999998</v>
      </c>
    </row>
    <row r="73" spans="1:73">
      <c r="C73" s="3" t="s">
        <v>297</v>
      </c>
      <c r="I73" s="249">
        <f t="shared" si="43"/>
        <v>13.544634476573156</v>
      </c>
      <c r="AJ73" s="3">
        <f t="shared" si="20"/>
        <v>2010</v>
      </c>
      <c r="AK73" s="345">
        <f t="shared" si="44"/>
        <v>40360</v>
      </c>
      <c r="AL73" s="122">
        <v>63.6</v>
      </c>
      <c r="AM73" s="122">
        <v>49.3</v>
      </c>
      <c r="AN73" s="319">
        <f t="shared" si="34"/>
        <v>57.450999999999993</v>
      </c>
      <c r="AO73" s="305">
        <v>416</v>
      </c>
      <c r="AP73" s="305">
        <v>328</v>
      </c>
      <c r="AQ73" s="305">
        <f t="shared" si="23"/>
        <v>0.55913978494623651</v>
      </c>
      <c r="AR73" s="305">
        <f t="shared" si="24"/>
        <v>0.44086021505376344</v>
      </c>
      <c r="AV73" s="3">
        <f t="shared" si="39"/>
        <v>2010</v>
      </c>
      <c r="AW73" s="343">
        <f t="shared" si="41"/>
        <v>40360</v>
      </c>
      <c r="AX73" s="121">
        <f t="shared" si="25"/>
        <v>6.5270772158781947</v>
      </c>
      <c r="AY73" s="122">
        <v>6.5270772158781947</v>
      </c>
      <c r="BA73" s="3">
        <f t="shared" si="13"/>
        <v>2009</v>
      </c>
      <c r="BB73" s="343">
        <v>39964</v>
      </c>
      <c r="BC73" s="3">
        <f t="shared" si="14"/>
        <v>3.956934135</v>
      </c>
      <c r="BD73" s="3">
        <v>4.0359521059999999</v>
      </c>
      <c r="BE73" s="3">
        <v>3.8779161640000002</v>
      </c>
      <c r="BG73" s="3">
        <f t="shared" si="15"/>
        <v>2013</v>
      </c>
      <c r="BH73" s="318">
        <v>41365</v>
      </c>
      <c r="BI73" s="3">
        <f t="shared" si="16"/>
        <v>9.954202604999999</v>
      </c>
      <c r="BJ73" s="3">
        <v>10.03340521</v>
      </c>
      <c r="BK73" s="3">
        <v>9.875</v>
      </c>
      <c r="BL73" s="412">
        <f t="shared" si="5"/>
        <v>2019</v>
      </c>
      <c r="BM73" s="427">
        <v>43739</v>
      </c>
      <c r="BN73" s="412">
        <f t="shared" si="68"/>
        <v>2.4350499999999999</v>
      </c>
      <c r="BO73" s="458">
        <v>2.5680999999999998</v>
      </c>
      <c r="BP73" s="458">
        <v>2.302</v>
      </c>
      <c r="BQ73" s="469">
        <f t="shared" si="7"/>
        <v>2022</v>
      </c>
      <c r="BR73" s="473">
        <v>44835</v>
      </c>
      <c r="BS73" s="469">
        <f t="shared" si="8"/>
        <v>2.3323999999999998</v>
      </c>
      <c r="BT73" s="474">
        <v>2.4731999999999998</v>
      </c>
      <c r="BU73" s="474">
        <v>2.1916000000000002</v>
      </c>
    </row>
    <row r="74" spans="1:73">
      <c r="AJ74" s="3">
        <f t="shared" si="20"/>
        <v>2010</v>
      </c>
      <c r="AK74" s="345">
        <f t="shared" si="44"/>
        <v>40391</v>
      </c>
      <c r="AL74" s="122">
        <v>76.239999999999995</v>
      </c>
      <c r="AM74" s="122">
        <v>59.22</v>
      </c>
      <c r="AN74" s="319">
        <f t="shared" si="34"/>
        <v>68.921399999999991</v>
      </c>
      <c r="AO74" s="305">
        <v>416</v>
      </c>
      <c r="AP74" s="305">
        <v>328</v>
      </c>
      <c r="AQ74" s="305">
        <f t="shared" si="23"/>
        <v>0.55913978494623651</v>
      </c>
      <c r="AR74" s="305">
        <f t="shared" si="24"/>
        <v>0.44086021505376344</v>
      </c>
      <c r="AV74" s="3">
        <f t="shared" si="39"/>
        <v>2010</v>
      </c>
      <c r="AW74" s="343">
        <f t="shared" si="41"/>
        <v>40391</v>
      </c>
      <c r="AX74" s="121">
        <f t="shared" si="25"/>
        <v>6.6188390429581299</v>
      </c>
      <c r="AY74" s="122">
        <v>6.6188390429581299</v>
      </c>
      <c r="BA74" s="3">
        <f t="shared" si="13"/>
        <v>2009</v>
      </c>
      <c r="BB74" s="343">
        <v>39994</v>
      </c>
      <c r="BC74" s="3">
        <f t="shared" si="14"/>
        <v>4.0061877350000001</v>
      </c>
      <c r="BD74" s="3">
        <v>4.0856434149999998</v>
      </c>
      <c r="BE74" s="3">
        <v>3.926732055</v>
      </c>
      <c r="BG74" s="3">
        <f t="shared" si="15"/>
        <v>2013</v>
      </c>
      <c r="BH74" s="318">
        <v>41395</v>
      </c>
      <c r="BI74" s="3">
        <f t="shared" si="16"/>
        <v>9.9242026050000014</v>
      </c>
      <c r="BJ74" s="3">
        <v>10.00340521</v>
      </c>
      <c r="BK74" s="3">
        <v>9.8450000000000006</v>
      </c>
      <c r="BL74" s="412">
        <f t="shared" si="5"/>
        <v>2019</v>
      </c>
      <c r="BM74" s="427">
        <v>43770</v>
      </c>
      <c r="BN74" s="412">
        <f t="shared" si="68"/>
        <v>2.8553999999999999</v>
      </c>
      <c r="BO74" s="458">
        <v>2.8212999999999999</v>
      </c>
      <c r="BP74" s="458">
        <v>2.8895</v>
      </c>
      <c r="BQ74" s="469">
        <f t="shared" si="7"/>
        <v>2022</v>
      </c>
      <c r="BR74" s="473">
        <v>44866</v>
      </c>
      <c r="BS74" s="469">
        <f t="shared" si="8"/>
        <v>2.7121000000000004</v>
      </c>
      <c r="BT74" s="474">
        <v>2.9477000000000002</v>
      </c>
      <c r="BU74" s="474">
        <v>2.4765000000000001</v>
      </c>
    </row>
    <row r="75" spans="1:73">
      <c r="C75" s="348" t="s">
        <v>339</v>
      </c>
      <c r="AJ75" s="3">
        <f t="shared" si="20"/>
        <v>2010</v>
      </c>
      <c r="AK75" s="345">
        <f t="shared" si="44"/>
        <v>40422</v>
      </c>
      <c r="AL75" s="122">
        <v>74.66</v>
      </c>
      <c r="AM75" s="122">
        <v>57.98</v>
      </c>
      <c r="AN75" s="319">
        <f t="shared" si="34"/>
        <v>67.4876</v>
      </c>
      <c r="AO75" s="305">
        <v>400</v>
      </c>
      <c r="AP75" s="305">
        <v>320</v>
      </c>
      <c r="AQ75" s="305">
        <f t="shared" si="23"/>
        <v>0.55555555555555558</v>
      </c>
      <c r="AR75" s="305">
        <f t="shared" si="24"/>
        <v>0.44444444444444442</v>
      </c>
      <c r="AV75" s="3">
        <f t="shared" si="39"/>
        <v>2010</v>
      </c>
      <c r="AW75" s="343">
        <f t="shared" si="41"/>
        <v>40422</v>
      </c>
      <c r="AX75" s="121">
        <f t="shared" si="25"/>
        <v>6.7106008700380642</v>
      </c>
      <c r="AY75" s="122">
        <v>6.7106008700380642</v>
      </c>
      <c r="BA75" s="3">
        <f t="shared" si="13"/>
        <v>2009</v>
      </c>
      <c r="BB75" s="343">
        <v>40025</v>
      </c>
      <c r="BC75" s="3">
        <f t="shared" si="14"/>
        <v>4.0525413349999999</v>
      </c>
      <c r="BD75" s="3">
        <v>4.1324347250000004</v>
      </c>
      <c r="BE75" s="3">
        <v>3.9726479449999998</v>
      </c>
      <c r="BG75" s="3">
        <f t="shared" si="15"/>
        <v>2013</v>
      </c>
      <c r="BH75" s="318">
        <v>41426</v>
      </c>
      <c r="BI75" s="3">
        <f t="shared" si="16"/>
        <v>10.004202605</v>
      </c>
      <c r="BJ75" s="3">
        <v>10.08340521</v>
      </c>
      <c r="BK75" s="3">
        <v>9.9250000000000007</v>
      </c>
      <c r="BL75" s="412">
        <f t="shared" si="5"/>
        <v>2019</v>
      </c>
      <c r="BM75" s="427">
        <v>43800</v>
      </c>
      <c r="BN75" s="412">
        <f t="shared" si="68"/>
        <v>3.1273</v>
      </c>
      <c r="BO75" s="458">
        <v>2.9775999999999998</v>
      </c>
      <c r="BP75" s="458">
        <v>3.2770000000000001</v>
      </c>
      <c r="BQ75" s="469">
        <f t="shared" si="7"/>
        <v>2022</v>
      </c>
      <c r="BR75" s="473">
        <v>44896</v>
      </c>
      <c r="BS75" s="469">
        <f t="shared" si="8"/>
        <v>2.9657499999999999</v>
      </c>
      <c r="BT75" s="474">
        <v>3.153</v>
      </c>
      <c r="BU75" s="474">
        <v>2.7785000000000002</v>
      </c>
    </row>
    <row r="76" spans="1:73">
      <c r="AJ76" s="3">
        <f t="shared" si="20"/>
        <v>2010</v>
      </c>
      <c r="AK76" s="345">
        <f t="shared" si="44"/>
        <v>40452</v>
      </c>
      <c r="AL76" s="122">
        <v>50.414999999999999</v>
      </c>
      <c r="AM76" s="122">
        <v>44.752499999999998</v>
      </c>
      <c r="AN76" s="319">
        <f t="shared" si="34"/>
        <v>47.980125000000001</v>
      </c>
      <c r="AO76" s="305">
        <v>416</v>
      </c>
      <c r="AP76" s="305">
        <v>328</v>
      </c>
      <c r="AQ76" s="305">
        <f t="shared" si="23"/>
        <v>0.55913978494623651</v>
      </c>
      <c r="AR76" s="305">
        <f t="shared" si="24"/>
        <v>0.44086021505376344</v>
      </c>
      <c r="AV76" s="3">
        <f t="shared" si="39"/>
        <v>2010</v>
      </c>
      <c r="AW76" s="343">
        <f t="shared" si="41"/>
        <v>40452</v>
      </c>
      <c r="AX76" s="121">
        <f t="shared" si="25"/>
        <v>6.8574197933659589</v>
      </c>
      <c r="AY76" s="122">
        <v>6.8574197933659589</v>
      </c>
      <c r="BA76" s="3">
        <f t="shared" si="13"/>
        <v>2009</v>
      </c>
      <c r="BB76" s="343">
        <v>40056</v>
      </c>
      <c r="BC76" s="3">
        <f t="shared" si="14"/>
        <v>4.0610949349999999</v>
      </c>
      <c r="BD76" s="3">
        <v>4.1414260340000002</v>
      </c>
      <c r="BE76" s="3">
        <v>3.9807638359999999</v>
      </c>
      <c r="BG76" s="3">
        <f t="shared" si="15"/>
        <v>2013</v>
      </c>
      <c r="BH76" s="318">
        <v>41456</v>
      </c>
      <c r="BI76" s="3">
        <f t="shared" si="16"/>
        <v>10.104202605000001</v>
      </c>
      <c r="BJ76" s="3">
        <v>10.18340521</v>
      </c>
      <c r="BK76" s="3">
        <v>10.025</v>
      </c>
      <c r="BL76" s="412">
        <f t="shared" si="5"/>
        <v>2020</v>
      </c>
      <c r="BM76" s="427">
        <v>43831</v>
      </c>
      <c r="BN76" s="412">
        <f t="shared" si="68"/>
        <v>3.1695000000000002</v>
      </c>
      <c r="BO76" s="458">
        <v>3.0720000000000001</v>
      </c>
      <c r="BP76" s="458">
        <v>3.2669999999999999</v>
      </c>
      <c r="BQ76" s="469">
        <f t="shared" si="7"/>
        <v>2023</v>
      </c>
      <c r="BR76" s="473">
        <v>44927</v>
      </c>
      <c r="BS76" s="469">
        <f t="shared" si="8"/>
        <v>2.9783999999999997</v>
      </c>
      <c r="BT76" s="474">
        <v>3.1760999999999999</v>
      </c>
      <c r="BU76" s="474">
        <v>2.7806999999999999</v>
      </c>
    </row>
    <row r="77" spans="1:73">
      <c r="A77" s="722"/>
      <c r="B77" s="722"/>
      <c r="C77" s="722"/>
      <c r="D77" s="722"/>
      <c r="E77" s="722"/>
      <c r="F77" s="722"/>
      <c r="I77" s="722"/>
      <c r="J77" s="722"/>
      <c r="K77" s="722"/>
      <c r="L77" s="722"/>
      <c r="M77" s="722"/>
      <c r="AJ77" s="3">
        <f t="shared" si="20"/>
        <v>2010</v>
      </c>
      <c r="AK77" s="345">
        <f t="shared" si="44"/>
        <v>40483</v>
      </c>
      <c r="AL77" s="122">
        <v>63.284999999999997</v>
      </c>
      <c r="AM77" s="122">
        <v>54.015000000000001</v>
      </c>
      <c r="AN77" s="319">
        <f t="shared" si="34"/>
        <v>59.298899999999996</v>
      </c>
      <c r="AO77" s="305">
        <v>400</v>
      </c>
      <c r="AP77" s="305">
        <v>320</v>
      </c>
      <c r="AQ77" s="305">
        <f t="shared" si="23"/>
        <v>0.55555555555555558</v>
      </c>
      <c r="AR77" s="305">
        <f t="shared" si="24"/>
        <v>0.44444444444444442</v>
      </c>
      <c r="AV77" s="3">
        <f t="shared" si="39"/>
        <v>2010</v>
      </c>
      <c r="AW77" s="343">
        <f t="shared" si="41"/>
        <v>40483</v>
      </c>
      <c r="AX77" s="121">
        <f t="shared" si="25"/>
        <v>7.6594521479064719</v>
      </c>
      <c r="AY77" s="122">
        <v>7.6594521479064719</v>
      </c>
      <c r="BA77" s="3">
        <f t="shared" si="13"/>
        <v>2009</v>
      </c>
      <c r="BB77" s="343">
        <v>40086</v>
      </c>
      <c r="BC77" s="3">
        <f t="shared" si="14"/>
        <v>4.0644640014999993</v>
      </c>
      <c r="BD77" s="3">
        <v>4.1450869069999996</v>
      </c>
      <c r="BE77" s="3">
        <v>3.9838410959999999</v>
      </c>
      <c r="BG77" s="3">
        <f t="shared" si="15"/>
        <v>2013</v>
      </c>
      <c r="BH77" s="318">
        <v>41487</v>
      </c>
      <c r="BI77" s="3">
        <f t="shared" si="16"/>
        <v>10.179202605</v>
      </c>
      <c r="BJ77" s="3">
        <v>10.258405209999999</v>
      </c>
      <c r="BK77" s="3">
        <v>10.1</v>
      </c>
      <c r="BL77" s="412">
        <f t="shared" si="5"/>
        <v>2020</v>
      </c>
      <c r="BM77" s="427">
        <v>43862</v>
      </c>
      <c r="BN77" s="412">
        <f t="shared" si="68"/>
        <v>3.0281000000000002</v>
      </c>
      <c r="BO77" s="458">
        <v>3.0407000000000002</v>
      </c>
      <c r="BP77" s="458">
        <v>3.0154999999999998</v>
      </c>
      <c r="BQ77" s="469">
        <f t="shared" si="7"/>
        <v>2023</v>
      </c>
      <c r="BR77" s="473">
        <v>44958</v>
      </c>
      <c r="BS77" s="469">
        <f t="shared" si="8"/>
        <v>2.9845999999999999</v>
      </c>
      <c r="BT77" s="474">
        <v>3.1884999999999999</v>
      </c>
      <c r="BU77" s="474">
        <v>2.7806999999999999</v>
      </c>
    </row>
    <row r="78" spans="1:73">
      <c r="E78" t="s">
        <v>329</v>
      </c>
      <c r="G78" s="3" t="s">
        <v>337</v>
      </c>
      <c r="AJ78" s="3">
        <f t="shared" si="20"/>
        <v>2010</v>
      </c>
      <c r="AK78" s="345">
        <f t="shared" si="44"/>
        <v>40513</v>
      </c>
      <c r="AL78" s="122">
        <v>78.3</v>
      </c>
      <c r="AM78" s="122">
        <v>66.982500000000002</v>
      </c>
      <c r="AN78" s="319">
        <f t="shared" si="34"/>
        <v>73.433474999999987</v>
      </c>
      <c r="AO78" s="305">
        <v>416</v>
      </c>
      <c r="AP78" s="305">
        <v>328</v>
      </c>
      <c r="AQ78" s="305">
        <f t="shared" si="23"/>
        <v>0.55913978494623651</v>
      </c>
      <c r="AR78" s="305">
        <f t="shared" si="24"/>
        <v>0.44086021505376344</v>
      </c>
      <c r="AV78" s="3">
        <f t="shared" si="39"/>
        <v>2010</v>
      </c>
      <c r="AW78" s="343">
        <f t="shared" si="41"/>
        <v>40513</v>
      </c>
      <c r="AX78" s="121">
        <f t="shared" si="25"/>
        <v>8.4570323545405106</v>
      </c>
      <c r="AY78" s="122">
        <v>8.4570323545405106</v>
      </c>
      <c r="BA78" s="3">
        <f t="shared" si="13"/>
        <v>2009</v>
      </c>
      <c r="BB78" s="343">
        <v>40117</v>
      </c>
      <c r="BC78" s="3">
        <f t="shared" si="14"/>
        <v>4.1817176009999999</v>
      </c>
      <c r="BD78" s="3">
        <v>4.2408782159999996</v>
      </c>
      <c r="BE78" s="3">
        <v>4.1225569860000002</v>
      </c>
      <c r="BG78" s="3">
        <f t="shared" si="15"/>
        <v>2013</v>
      </c>
      <c r="BH78" s="318">
        <v>41518</v>
      </c>
      <c r="BI78" s="3">
        <f t="shared" si="16"/>
        <v>10.199202605</v>
      </c>
      <c r="BJ78" s="3">
        <v>10.278405210000001</v>
      </c>
      <c r="BK78" s="3">
        <v>10.119999999999999</v>
      </c>
      <c r="BL78" s="412">
        <f t="shared" si="5"/>
        <v>2020</v>
      </c>
      <c r="BM78" s="427">
        <v>43891</v>
      </c>
      <c r="BN78" s="412">
        <f t="shared" si="68"/>
        <v>2.9733499999999999</v>
      </c>
      <c r="BO78" s="458">
        <v>2.9762</v>
      </c>
      <c r="BP78" s="458">
        <v>2.9704999999999999</v>
      </c>
      <c r="BQ78" s="469">
        <f t="shared" si="7"/>
        <v>2023</v>
      </c>
      <c r="BR78" s="473">
        <v>44986</v>
      </c>
      <c r="BS78" s="469">
        <f t="shared" si="8"/>
        <v>2.8363</v>
      </c>
      <c r="BT78" s="474">
        <v>3.0773000000000001</v>
      </c>
      <c r="BU78" s="474">
        <v>2.5952999999999999</v>
      </c>
    </row>
    <row r="79" spans="1:73">
      <c r="E79" t="s">
        <v>335</v>
      </c>
      <c r="F79" s="3" t="s">
        <v>308</v>
      </c>
      <c r="G79" s="3" t="s">
        <v>336</v>
      </c>
      <c r="AJ79" s="3">
        <f t="shared" si="20"/>
        <v>2011</v>
      </c>
      <c r="AK79" s="345">
        <f t="shared" si="44"/>
        <v>40544</v>
      </c>
      <c r="AL79" s="122">
        <v>74.900000000000006</v>
      </c>
      <c r="AM79" s="122">
        <v>66.504999999999995</v>
      </c>
      <c r="AN79" s="319">
        <f t="shared" si="34"/>
        <v>71.290149999999997</v>
      </c>
      <c r="AO79" s="305">
        <v>400</v>
      </c>
      <c r="AP79" s="305">
        <v>344</v>
      </c>
      <c r="AQ79" s="305">
        <f t="shared" si="23"/>
        <v>0.5376344086021505</v>
      </c>
      <c r="AR79" s="305">
        <f t="shared" si="24"/>
        <v>0.46236559139784944</v>
      </c>
      <c r="AV79" s="3">
        <f t="shared" si="39"/>
        <v>2011</v>
      </c>
      <c r="AW79" s="343">
        <f t="shared" si="41"/>
        <v>40544</v>
      </c>
      <c r="AX79" s="121">
        <f t="shared" si="25"/>
        <v>8.9090443175638931</v>
      </c>
      <c r="AY79" s="122">
        <v>8.9090443175638931</v>
      </c>
      <c r="BA79" s="3">
        <f t="shared" si="13"/>
        <v>2009</v>
      </c>
      <c r="BB79" s="343">
        <v>40147</v>
      </c>
      <c r="BC79" s="3">
        <f t="shared" si="14"/>
        <v>4.26736571</v>
      </c>
      <c r="BD79" s="3">
        <v>4.3228585429999997</v>
      </c>
      <c r="BE79" s="3">
        <v>4.2118728770000002</v>
      </c>
      <c r="BG79" s="3">
        <f t="shared" si="15"/>
        <v>2013</v>
      </c>
      <c r="BH79" s="318">
        <v>41548</v>
      </c>
      <c r="BI79" s="3">
        <f t="shared" si="16"/>
        <v>10.279202605</v>
      </c>
      <c r="BJ79" s="3">
        <v>10.358405210000001</v>
      </c>
      <c r="BK79" s="3">
        <v>10.199999999999999</v>
      </c>
      <c r="BL79" s="412">
        <f t="shared" si="5"/>
        <v>2020</v>
      </c>
      <c r="BM79" s="427">
        <v>43922</v>
      </c>
      <c r="BN79" s="412">
        <f t="shared" si="68"/>
        <v>2.3262499999999999</v>
      </c>
      <c r="BO79" s="458">
        <v>2.5070000000000001</v>
      </c>
      <c r="BP79" s="458">
        <v>2.1455000000000002</v>
      </c>
      <c r="BQ79" s="469">
        <f t="shared" si="7"/>
        <v>2023</v>
      </c>
      <c r="BR79" s="473">
        <v>45017</v>
      </c>
      <c r="BS79" s="469">
        <f t="shared" si="8"/>
        <v>2.7435499999999999</v>
      </c>
      <c r="BT79" s="474">
        <v>2.9660000000000002</v>
      </c>
      <c r="BU79" s="474">
        <v>2.5211000000000001</v>
      </c>
    </row>
    <row r="80" spans="1:73">
      <c r="B80" s="720" t="s">
        <v>328</v>
      </c>
      <c r="D80" s="720"/>
      <c r="E80" s="721">
        <v>0.158</v>
      </c>
      <c r="F80" s="549">
        <v>0.14499999999999999</v>
      </c>
      <c r="G80" s="308">
        <v>4.6699999999999998E-2</v>
      </c>
      <c r="I80"/>
      <c r="J80"/>
      <c r="AJ80" s="3">
        <f t="shared" si="20"/>
        <v>2011</v>
      </c>
      <c r="AK80" s="345">
        <f t="shared" si="44"/>
        <v>40575</v>
      </c>
      <c r="AL80" s="122">
        <v>70.099999999999994</v>
      </c>
      <c r="AM80" s="122">
        <v>63.645000000000003</v>
      </c>
      <c r="AN80" s="319">
        <f t="shared" si="34"/>
        <v>67.324349999999995</v>
      </c>
      <c r="AO80" s="305">
        <v>384</v>
      </c>
      <c r="AP80" s="305">
        <v>288</v>
      </c>
      <c r="AQ80" s="305">
        <f t="shared" si="23"/>
        <v>0.5714285714285714</v>
      </c>
      <c r="AR80" s="305">
        <f t="shared" si="24"/>
        <v>0.42857142857142855</v>
      </c>
      <c r="AV80" s="3">
        <f t="shared" si="39"/>
        <v>2011</v>
      </c>
      <c r="AW80" s="343">
        <f t="shared" si="41"/>
        <v>40575</v>
      </c>
      <c r="AX80" s="121">
        <f t="shared" si="25"/>
        <v>8.9090443175638931</v>
      </c>
      <c r="AY80" s="122">
        <v>8.9090443175638931</v>
      </c>
      <c r="BA80" s="3">
        <f t="shared" si="13"/>
        <v>2009</v>
      </c>
      <c r="BB80" s="343">
        <v>40178</v>
      </c>
      <c r="BC80" s="3">
        <f t="shared" si="14"/>
        <v>4.4666852339999998</v>
      </c>
      <c r="BD80" s="3">
        <v>4.5022203310000002</v>
      </c>
      <c r="BE80" s="3">
        <v>4.4311501370000004</v>
      </c>
      <c r="BG80" s="3">
        <f t="shared" si="15"/>
        <v>2013</v>
      </c>
      <c r="BH80" s="318">
        <v>41579</v>
      </c>
      <c r="BI80" s="3">
        <f t="shared" si="16"/>
        <v>11.094202605</v>
      </c>
      <c r="BJ80" s="3">
        <v>10.67340521</v>
      </c>
      <c r="BK80" s="3">
        <v>11.515000000000001</v>
      </c>
      <c r="BL80" s="412">
        <f t="shared" ref="BL80:BL94" si="69">YEAR(BM80)</f>
        <v>2020</v>
      </c>
      <c r="BM80" s="427">
        <v>43952</v>
      </c>
      <c r="BN80" s="412">
        <f t="shared" si="68"/>
        <v>2.2905499999999996</v>
      </c>
      <c r="BO80" s="458">
        <v>2.4950999999999999</v>
      </c>
      <c r="BP80" s="458">
        <v>2.0859999999999999</v>
      </c>
      <c r="BQ80" s="469">
        <f t="shared" ref="BQ80:BQ94" si="70">YEAR(BR80)</f>
        <v>2023</v>
      </c>
      <c r="BR80" s="473">
        <v>45047</v>
      </c>
      <c r="BS80" s="469">
        <f t="shared" ref="BS80:BS143" si="71">AVERAGE(BT80:BU80)</f>
        <v>2.7497499999999997</v>
      </c>
      <c r="BT80" s="474">
        <v>2.9537</v>
      </c>
      <c r="BU80" s="474">
        <v>2.5457999999999998</v>
      </c>
    </row>
    <row r="81" spans="2:73">
      <c r="B81" s="720" t="s">
        <v>330</v>
      </c>
      <c r="D81" s="720"/>
      <c r="E81" s="721">
        <v>0.11799999999999999</v>
      </c>
      <c r="F81" s="549">
        <v>0.34100000000000003</v>
      </c>
      <c r="G81" s="143"/>
      <c r="H81" s="758"/>
      <c r="I81"/>
      <c r="J81"/>
      <c r="AJ81" s="3">
        <f t="shared" si="20"/>
        <v>2011</v>
      </c>
      <c r="AK81" s="345">
        <f t="shared" si="44"/>
        <v>40603</v>
      </c>
      <c r="AL81" s="122">
        <v>61.3</v>
      </c>
      <c r="AM81" s="122">
        <v>54.35</v>
      </c>
      <c r="AN81" s="319">
        <f t="shared" si="34"/>
        <v>58.311499999999995</v>
      </c>
      <c r="AO81" s="305">
        <v>432</v>
      </c>
      <c r="AP81" s="305">
        <v>312</v>
      </c>
      <c r="AQ81" s="305">
        <f t="shared" si="23"/>
        <v>0.58064516129032262</v>
      </c>
      <c r="AR81" s="305">
        <f t="shared" si="24"/>
        <v>0.41935483870967744</v>
      </c>
      <c r="AV81" s="3">
        <f t="shared" si="39"/>
        <v>2011</v>
      </c>
      <c r="AW81" s="343">
        <f t="shared" si="41"/>
        <v>40603</v>
      </c>
      <c r="AX81" s="121">
        <f t="shared" si="25"/>
        <v>8.6586704730831965</v>
      </c>
      <c r="AY81" s="122">
        <v>8.6586704730831965</v>
      </c>
      <c r="BA81" s="3">
        <f t="shared" ref="BA81:BA144" si="72">YEAR(BB81)</f>
        <v>2010</v>
      </c>
      <c r="BB81" s="343">
        <v>40209</v>
      </c>
      <c r="BC81" s="3">
        <f t="shared" ref="BC81:BC144" si="73">AVERAGE(BD81:BE81)</f>
        <v>4.8608995054999999</v>
      </c>
      <c r="BD81" s="3">
        <v>4.8311829839999998</v>
      </c>
      <c r="BE81" s="3">
        <v>4.8906160270000001</v>
      </c>
      <c r="BG81" s="3">
        <f t="shared" ref="BG81:BG144" si="74">YEAR(BH81)</f>
        <v>2013</v>
      </c>
      <c r="BH81" s="318">
        <v>41609</v>
      </c>
      <c r="BI81" s="3">
        <f t="shared" ref="BI81:BI144" si="75">AVERAGE(BJ81:BK81)</f>
        <v>11.514202605000001</v>
      </c>
      <c r="BJ81" s="3">
        <v>11.09340521</v>
      </c>
      <c r="BK81" s="3">
        <v>11.935</v>
      </c>
      <c r="BL81" s="412">
        <f t="shared" si="69"/>
        <v>2020</v>
      </c>
      <c r="BM81" s="427">
        <v>43983</v>
      </c>
      <c r="BN81" s="412">
        <f t="shared" si="68"/>
        <v>2.3186999999999998</v>
      </c>
      <c r="BO81" s="458">
        <v>2.5318999999999998</v>
      </c>
      <c r="BP81" s="458">
        <v>2.1055000000000001</v>
      </c>
      <c r="BQ81" s="469">
        <f t="shared" si="70"/>
        <v>2023</v>
      </c>
      <c r="BR81" s="473">
        <v>45078</v>
      </c>
      <c r="BS81" s="469">
        <f t="shared" si="71"/>
        <v>2.7744499999999999</v>
      </c>
      <c r="BT81" s="474">
        <v>2.9660000000000002</v>
      </c>
      <c r="BU81" s="474">
        <v>2.5829</v>
      </c>
    </row>
    <row r="82" spans="2:73">
      <c r="B82" s="720" t="s">
        <v>331</v>
      </c>
      <c r="D82" s="720"/>
      <c r="E82" s="721">
        <v>0.379</v>
      </c>
      <c r="F82" s="549">
        <v>0.39100000000000001</v>
      </c>
      <c r="G82" s="143"/>
      <c r="H82" s="758"/>
      <c r="I82"/>
      <c r="J82"/>
      <c r="AJ82" s="3">
        <f t="shared" si="20"/>
        <v>2011</v>
      </c>
      <c r="AK82" s="345">
        <f t="shared" si="44"/>
        <v>40634</v>
      </c>
      <c r="AL82" s="122">
        <v>43.79</v>
      </c>
      <c r="AM82" s="122">
        <v>31.7</v>
      </c>
      <c r="AN82" s="319">
        <f t="shared" si="34"/>
        <v>38.591299999999997</v>
      </c>
      <c r="AO82" s="305">
        <v>416</v>
      </c>
      <c r="AP82" s="305">
        <v>304</v>
      </c>
      <c r="AQ82" s="305">
        <f t="shared" si="23"/>
        <v>0.57777777777777772</v>
      </c>
      <c r="AR82" s="305">
        <f t="shared" si="24"/>
        <v>0.42222222222222222</v>
      </c>
      <c r="AV82" s="3">
        <f t="shared" si="39"/>
        <v>2011</v>
      </c>
      <c r="AW82" s="343">
        <f t="shared" si="41"/>
        <v>40634</v>
      </c>
      <c r="AX82" s="121">
        <f t="shared" si="25"/>
        <v>6.1274034801522568</v>
      </c>
      <c r="AY82" s="122">
        <v>6.1274034801522568</v>
      </c>
      <c r="BA82" s="3">
        <f t="shared" si="72"/>
        <v>2010</v>
      </c>
      <c r="BB82" s="343">
        <v>40237</v>
      </c>
      <c r="BC82" s="3">
        <f t="shared" si="73"/>
        <v>4.5782627414999997</v>
      </c>
      <c r="BD82" s="3">
        <v>4.5747435650000003</v>
      </c>
      <c r="BE82" s="3">
        <v>4.5817819179999999</v>
      </c>
      <c r="BG82" s="3">
        <f t="shared" si="74"/>
        <v>2014</v>
      </c>
      <c r="BH82" s="318">
        <v>41640</v>
      </c>
      <c r="BI82" s="3">
        <f t="shared" si="75"/>
        <v>11.760452605000001</v>
      </c>
      <c r="BJ82" s="3">
        <v>11.340905210000001</v>
      </c>
      <c r="BK82" s="3">
        <v>12.18</v>
      </c>
      <c r="BL82" s="412">
        <f t="shared" si="69"/>
        <v>2020</v>
      </c>
      <c r="BM82" s="427">
        <v>44013</v>
      </c>
      <c r="BN82" s="412">
        <f t="shared" si="68"/>
        <v>2.4540999999999999</v>
      </c>
      <c r="BO82" s="458">
        <v>2.6181999999999999</v>
      </c>
      <c r="BP82" s="458">
        <v>2.29</v>
      </c>
      <c r="BQ82" s="469">
        <f t="shared" si="70"/>
        <v>2023</v>
      </c>
      <c r="BR82" s="473">
        <v>45108</v>
      </c>
      <c r="BS82" s="469">
        <f t="shared" si="71"/>
        <v>2.8609499999999999</v>
      </c>
      <c r="BT82" s="474">
        <v>3.0278</v>
      </c>
      <c r="BU82" s="474">
        <v>2.6941000000000002</v>
      </c>
    </row>
    <row r="83" spans="2:73">
      <c r="B83" s="720" t="s">
        <v>332</v>
      </c>
      <c r="D83" s="720"/>
      <c r="E83" s="721">
        <v>0.53900000000000003</v>
      </c>
      <c r="F83" s="549">
        <v>0.254</v>
      </c>
      <c r="G83" s="143"/>
      <c r="H83" s="758"/>
      <c r="I83"/>
      <c r="J83"/>
      <c r="AJ83" s="3">
        <f t="shared" si="20"/>
        <v>2011</v>
      </c>
      <c r="AK83" s="345">
        <f t="shared" si="44"/>
        <v>40664</v>
      </c>
      <c r="AL83" s="122">
        <v>35.06</v>
      </c>
      <c r="AM83" s="122">
        <v>21.97</v>
      </c>
      <c r="AN83" s="319">
        <f t="shared" si="34"/>
        <v>29.4313</v>
      </c>
      <c r="AO83" s="305">
        <v>400</v>
      </c>
      <c r="AP83" s="305">
        <v>344</v>
      </c>
      <c r="AQ83" s="305">
        <f t="shared" si="23"/>
        <v>0.5376344086021505</v>
      </c>
      <c r="AR83" s="305">
        <f t="shared" si="24"/>
        <v>0.46236559139784944</v>
      </c>
      <c r="AV83" s="3">
        <f t="shared" si="39"/>
        <v>2011</v>
      </c>
      <c r="AW83" s="343">
        <f t="shared" si="41"/>
        <v>40664</v>
      </c>
      <c r="AX83" s="121">
        <f t="shared" si="25"/>
        <v>5.9234883088635133</v>
      </c>
      <c r="AY83" s="122">
        <v>5.9234883088635133</v>
      </c>
      <c r="BA83" s="3">
        <f t="shared" si="72"/>
        <v>2010</v>
      </c>
      <c r="BB83" s="343">
        <v>40268</v>
      </c>
      <c r="BC83" s="3">
        <f t="shared" si="73"/>
        <v>4.3303048989999997</v>
      </c>
      <c r="BD83" s="3">
        <v>4.3554506200000001</v>
      </c>
      <c r="BE83" s="3">
        <v>4.3051591780000003</v>
      </c>
      <c r="BG83" s="3">
        <f t="shared" si="74"/>
        <v>2014</v>
      </c>
      <c r="BH83" s="318">
        <v>41671</v>
      </c>
      <c r="BI83" s="3">
        <f t="shared" si="75"/>
        <v>11.755452605</v>
      </c>
      <c r="BJ83" s="3">
        <v>11.33590521</v>
      </c>
      <c r="BK83" s="3">
        <v>12.175000000000001</v>
      </c>
      <c r="BL83" s="412">
        <f t="shared" si="69"/>
        <v>2020</v>
      </c>
      <c r="BM83" s="427">
        <v>44044</v>
      </c>
      <c r="BN83" s="412">
        <f t="shared" si="68"/>
        <v>2.4794499999999999</v>
      </c>
      <c r="BO83" s="458">
        <v>2.6659000000000002</v>
      </c>
      <c r="BP83" s="458">
        <v>2.2930000000000001</v>
      </c>
      <c r="BQ83" s="469">
        <f t="shared" si="70"/>
        <v>2023</v>
      </c>
      <c r="BR83" s="473">
        <v>45139</v>
      </c>
      <c r="BS83" s="469">
        <f t="shared" si="71"/>
        <v>2.8981000000000003</v>
      </c>
      <c r="BT83" s="474">
        <v>3.0773000000000001</v>
      </c>
      <c r="BU83" s="474">
        <v>2.7189000000000001</v>
      </c>
    </row>
    <row r="84" spans="2:73">
      <c r="B84" s="720" t="s">
        <v>333</v>
      </c>
      <c r="D84" s="720"/>
      <c r="E84" s="721">
        <v>0.59699999999999998</v>
      </c>
      <c r="F84" s="549">
        <v>0.32200000000000001</v>
      </c>
      <c r="G84" s="143"/>
      <c r="H84" s="758"/>
      <c r="I84"/>
      <c r="J84"/>
      <c r="AJ84" s="3">
        <f t="shared" ref="AJ84:AJ147" si="76">+YEAR(AK84)</f>
        <v>2011</v>
      </c>
      <c r="AK84" s="345">
        <f t="shared" si="44"/>
        <v>40695</v>
      </c>
      <c r="AL84" s="122">
        <v>32.15</v>
      </c>
      <c r="AM84" s="122">
        <v>20.58</v>
      </c>
      <c r="AN84" s="319">
        <f t="shared" si="34"/>
        <v>27.174899999999997</v>
      </c>
      <c r="AO84" s="305">
        <v>416</v>
      </c>
      <c r="AP84" s="305">
        <v>304</v>
      </c>
      <c r="AQ84" s="305">
        <f t="shared" ref="AQ84:AQ147" si="77">AO84/(AO84+AP84)</f>
        <v>0.57777777777777772</v>
      </c>
      <c r="AR84" s="305">
        <f t="shared" ref="AR84:AR147" si="78">AP84/(AO84+AP84)</f>
        <v>0.42222222222222222</v>
      </c>
      <c r="AV84" s="3">
        <f t="shared" si="39"/>
        <v>2011</v>
      </c>
      <c r="AW84" s="343">
        <f t="shared" si="41"/>
        <v>40695</v>
      </c>
      <c r="AX84" s="121">
        <f t="shared" ref="AX84:AX147" si="79">AY84</f>
        <v>6.0203480152256654</v>
      </c>
      <c r="AY84" s="122">
        <v>6.0203480152256654</v>
      </c>
      <c r="BA84" s="3">
        <f t="shared" si="72"/>
        <v>2010</v>
      </c>
      <c r="BB84" s="343">
        <v>40298</v>
      </c>
      <c r="BC84" s="3">
        <f t="shared" si="73"/>
        <v>4.0460201334999999</v>
      </c>
      <c r="BD84" s="3">
        <v>4.1027151990000004</v>
      </c>
      <c r="BE84" s="3">
        <v>3.9893250679999999</v>
      </c>
      <c r="BG84" s="3">
        <f t="shared" si="74"/>
        <v>2014</v>
      </c>
      <c r="BH84" s="318">
        <v>41699</v>
      </c>
      <c r="BI84" s="3">
        <f t="shared" si="75"/>
        <v>11.530452605000001</v>
      </c>
      <c r="BJ84" s="3">
        <v>11.11090521</v>
      </c>
      <c r="BK84" s="3">
        <v>11.95</v>
      </c>
      <c r="BL84" s="412">
        <f t="shared" si="69"/>
        <v>2020</v>
      </c>
      <c r="BM84" s="427">
        <v>44075</v>
      </c>
      <c r="BN84" s="412">
        <f t="shared" si="68"/>
        <v>2.5268999999999999</v>
      </c>
      <c r="BO84" s="458">
        <v>2.6732999999999998</v>
      </c>
      <c r="BP84" s="458">
        <v>2.3805000000000001</v>
      </c>
      <c r="BQ84" s="469">
        <f t="shared" si="70"/>
        <v>2023</v>
      </c>
      <c r="BR84" s="473">
        <v>45170</v>
      </c>
      <c r="BS84" s="469">
        <f t="shared" si="71"/>
        <v>2.89805</v>
      </c>
      <c r="BT84" s="474">
        <v>3.1143000000000001</v>
      </c>
      <c r="BU84" s="474">
        <v>2.6818</v>
      </c>
    </row>
    <row r="85" spans="2:73">
      <c r="B85" s="720" t="s">
        <v>334</v>
      </c>
      <c r="D85" s="720"/>
      <c r="E85" s="721">
        <v>0.64800000000000002</v>
      </c>
      <c r="F85" s="549">
        <v>0.36699999999999999</v>
      </c>
      <c r="G85" s="143"/>
      <c r="H85" s="758"/>
      <c r="I85"/>
      <c r="J85"/>
      <c r="AJ85" s="3">
        <f t="shared" si="76"/>
        <v>2011</v>
      </c>
      <c r="AK85" s="345">
        <f t="shared" si="44"/>
        <v>40725</v>
      </c>
      <c r="AL85" s="122">
        <v>59.6</v>
      </c>
      <c r="AM85" s="122">
        <v>45.8</v>
      </c>
      <c r="AN85" s="319">
        <f t="shared" si="34"/>
        <v>53.665999999999997</v>
      </c>
      <c r="AO85" s="305">
        <v>400</v>
      </c>
      <c r="AP85" s="305">
        <v>344</v>
      </c>
      <c r="AQ85" s="305">
        <f t="shared" si="77"/>
        <v>0.5376344086021505</v>
      </c>
      <c r="AR85" s="305">
        <f t="shared" si="78"/>
        <v>0.46236559139784944</v>
      </c>
      <c r="AV85" s="3">
        <f t="shared" si="39"/>
        <v>2011</v>
      </c>
      <c r="AW85" s="343">
        <f t="shared" si="41"/>
        <v>40725</v>
      </c>
      <c r="AX85" s="121">
        <f t="shared" si="79"/>
        <v>6.1600299075584557</v>
      </c>
      <c r="AY85" s="122">
        <v>6.1600299075584557</v>
      </c>
      <c r="BA85" s="3">
        <f t="shared" si="72"/>
        <v>2010</v>
      </c>
      <c r="BB85" s="343">
        <v>40329</v>
      </c>
      <c r="BC85" s="3">
        <f t="shared" si="73"/>
        <v>4.0507237334999999</v>
      </c>
      <c r="BD85" s="3">
        <v>4.1069565079999997</v>
      </c>
      <c r="BE85" s="3">
        <v>3.9944909590000002</v>
      </c>
      <c r="BG85" s="3">
        <f t="shared" si="74"/>
        <v>2014</v>
      </c>
      <c r="BH85" s="318">
        <v>41730</v>
      </c>
      <c r="BI85" s="3">
        <f t="shared" si="75"/>
        <v>10.259202604999999</v>
      </c>
      <c r="BJ85" s="3">
        <v>10.338405209999999</v>
      </c>
      <c r="BK85" s="3">
        <v>10.18</v>
      </c>
      <c r="BL85" s="412">
        <f t="shared" si="69"/>
        <v>2020</v>
      </c>
      <c r="BM85" s="427">
        <v>44105</v>
      </c>
      <c r="BN85" s="412">
        <f t="shared" si="68"/>
        <v>2.5445500000000001</v>
      </c>
      <c r="BO85" s="458">
        <v>2.7021000000000002</v>
      </c>
      <c r="BP85" s="458">
        <v>2.387</v>
      </c>
      <c r="BQ85" s="469">
        <f t="shared" si="70"/>
        <v>2023</v>
      </c>
      <c r="BR85" s="473">
        <v>45200</v>
      </c>
      <c r="BS85" s="469">
        <f t="shared" si="71"/>
        <v>2.8918999999999997</v>
      </c>
      <c r="BT85" s="474">
        <v>3.1391</v>
      </c>
      <c r="BU85" s="474">
        <v>2.6446999999999998</v>
      </c>
    </row>
    <row r="86" spans="2:73">
      <c r="AJ86" s="3">
        <f t="shared" si="76"/>
        <v>2011</v>
      </c>
      <c r="AK86" s="345">
        <f t="shared" si="44"/>
        <v>40756</v>
      </c>
      <c r="AL86" s="122">
        <v>72.239999999999995</v>
      </c>
      <c r="AM86" s="122">
        <v>55.72</v>
      </c>
      <c r="AN86" s="319">
        <f t="shared" si="34"/>
        <v>65.136399999999995</v>
      </c>
      <c r="AO86" s="305">
        <v>432</v>
      </c>
      <c r="AP86" s="305">
        <v>312</v>
      </c>
      <c r="AQ86" s="305">
        <f t="shared" si="77"/>
        <v>0.58064516129032262</v>
      </c>
      <c r="AR86" s="305">
        <f t="shared" si="78"/>
        <v>0.41935483870967744</v>
      </c>
      <c r="AV86" s="3">
        <f t="shared" si="39"/>
        <v>2011</v>
      </c>
      <c r="AW86" s="343">
        <f t="shared" si="41"/>
        <v>40756</v>
      </c>
      <c r="AX86" s="121">
        <f t="shared" si="79"/>
        <v>6.2619874932028274</v>
      </c>
      <c r="AY86" s="122">
        <v>6.2619874932028274</v>
      </c>
      <c r="BA86" s="3">
        <f t="shared" si="72"/>
        <v>2010</v>
      </c>
      <c r="BB86" s="343">
        <v>40359</v>
      </c>
      <c r="BC86" s="3">
        <f t="shared" si="73"/>
        <v>4.1263273334999999</v>
      </c>
      <c r="BD86" s="3">
        <v>4.1820978179999999</v>
      </c>
      <c r="BE86" s="3">
        <v>4.0705568489999999</v>
      </c>
      <c r="BG86" s="3">
        <f t="shared" si="74"/>
        <v>2014</v>
      </c>
      <c r="BH86" s="318">
        <v>41760</v>
      </c>
      <c r="BI86" s="3">
        <f t="shared" si="75"/>
        <v>10.239202604999999</v>
      </c>
      <c r="BJ86" s="3">
        <v>10.31840521</v>
      </c>
      <c r="BK86" s="3">
        <v>10.16</v>
      </c>
      <c r="BL86" s="412">
        <f t="shared" si="69"/>
        <v>2020</v>
      </c>
      <c r="BM86" s="427">
        <v>44136</v>
      </c>
      <c r="BN86" s="412">
        <f t="shared" si="68"/>
        <v>2.9608499999999998</v>
      </c>
      <c r="BO86" s="458">
        <v>2.9001999999999999</v>
      </c>
      <c r="BP86" s="458">
        <v>3.0215000000000001</v>
      </c>
      <c r="BQ86" s="469">
        <f t="shared" si="70"/>
        <v>2023</v>
      </c>
      <c r="BR86" s="473">
        <v>45231</v>
      </c>
      <c r="BS86" s="469">
        <f t="shared" si="71"/>
        <v>3.1761499999999998</v>
      </c>
      <c r="BT86" s="474">
        <v>3.4357000000000002</v>
      </c>
      <c r="BU86" s="474">
        <v>2.9165999999999999</v>
      </c>
    </row>
    <row r="87" spans="2:73">
      <c r="AJ87" s="3">
        <f t="shared" si="76"/>
        <v>2011</v>
      </c>
      <c r="AK87" s="345">
        <f t="shared" si="44"/>
        <v>40787</v>
      </c>
      <c r="AL87" s="122">
        <v>70.66</v>
      </c>
      <c r="AM87" s="122">
        <v>54.48</v>
      </c>
      <c r="AN87" s="319">
        <f t="shared" si="34"/>
        <v>63.70259999999999</v>
      </c>
      <c r="AO87" s="305">
        <v>400</v>
      </c>
      <c r="AP87" s="305">
        <v>320</v>
      </c>
      <c r="AQ87" s="305">
        <f t="shared" si="77"/>
        <v>0.55555555555555558</v>
      </c>
      <c r="AR87" s="305">
        <f t="shared" si="78"/>
        <v>0.44444444444444442</v>
      </c>
      <c r="AV87" s="3">
        <f t="shared" si="39"/>
        <v>2011</v>
      </c>
      <c r="AW87" s="343">
        <f t="shared" si="41"/>
        <v>40787</v>
      </c>
      <c r="AX87" s="121">
        <f t="shared" si="79"/>
        <v>6.3435535617183252</v>
      </c>
      <c r="AY87" s="122">
        <v>6.3435535617183252</v>
      </c>
      <c r="BA87" s="3">
        <f t="shared" si="72"/>
        <v>2010</v>
      </c>
      <c r="BB87" s="343">
        <v>40390</v>
      </c>
      <c r="BC87" s="3">
        <f t="shared" si="73"/>
        <v>4.1919664005000001</v>
      </c>
      <c r="BD87" s="3">
        <v>4.2474286909999996</v>
      </c>
      <c r="BE87" s="3">
        <v>4.1365041099999997</v>
      </c>
      <c r="BG87" s="3">
        <f t="shared" si="74"/>
        <v>2014</v>
      </c>
      <c r="BH87" s="318">
        <v>41791</v>
      </c>
      <c r="BI87" s="3">
        <f t="shared" si="75"/>
        <v>10.309202604999999</v>
      </c>
      <c r="BJ87" s="3">
        <v>10.38840521</v>
      </c>
      <c r="BK87" s="3">
        <v>10.23</v>
      </c>
      <c r="BL87" s="412">
        <f t="shared" si="69"/>
        <v>2020</v>
      </c>
      <c r="BM87" s="427">
        <v>44166</v>
      </c>
      <c r="BN87" s="412">
        <f t="shared" si="68"/>
        <v>3.2607499999999998</v>
      </c>
      <c r="BO87" s="458">
        <v>3.0695000000000001</v>
      </c>
      <c r="BP87" s="458">
        <v>3.452</v>
      </c>
      <c r="BQ87" s="469">
        <f t="shared" si="70"/>
        <v>2023</v>
      </c>
      <c r="BR87" s="473">
        <v>45261</v>
      </c>
      <c r="BS87" s="469">
        <f t="shared" si="71"/>
        <v>3.4542000000000002</v>
      </c>
      <c r="BT87" s="474">
        <v>3.6086999999999998</v>
      </c>
      <c r="BU87" s="474">
        <v>3.2997000000000001</v>
      </c>
    </row>
    <row r="88" spans="2:73">
      <c r="AJ88" s="3">
        <f t="shared" si="76"/>
        <v>2011</v>
      </c>
      <c r="AK88" s="345">
        <f t="shared" si="44"/>
        <v>40817</v>
      </c>
      <c r="AL88" s="122">
        <v>46.414999999999999</v>
      </c>
      <c r="AM88" s="122">
        <v>41.252499999999998</v>
      </c>
      <c r="AN88" s="319">
        <f t="shared" si="34"/>
        <v>44.19512499999999</v>
      </c>
      <c r="AO88" s="305">
        <v>416</v>
      </c>
      <c r="AP88" s="305">
        <v>328</v>
      </c>
      <c r="AQ88" s="305">
        <f t="shared" si="77"/>
        <v>0.55913978494623651</v>
      </c>
      <c r="AR88" s="305">
        <f t="shared" si="78"/>
        <v>0.44086021505376344</v>
      </c>
      <c r="AV88" s="3">
        <f t="shared" si="39"/>
        <v>2011</v>
      </c>
      <c r="AW88" s="343">
        <f t="shared" si="41"/>
        <v>40817</v>
      </c>
      <c r="AX88" s="121">
        <f t="shared" si="79"/>
        <v>6.4699809679173459</v>
      </c>
      <c r="AY88" s="122">
        <v>6.4699809679173459</v>
      </c>
      <c r="BA88" s="3">
        <f t="shared" si="72"/>
        <v>2010</v>
      </c>
      <c r="BB88" s="343">
        <v>40421</v>
      </c>
      <c r="BC88" s="3">
        <f t="shared" si="73"/>
        <v>4.2050000000000001</v>
      </c>
      <c r="BD88" s="3">
        <v>4.26</v>
      </c>
      <c r="BE88" s="3">
        <v>4.1500000000000004</v>
      </c>
      <c r="BG88" s="3">
        <f t="shared" si="74"/>
        <v>2014</v>
      </c>
      <c r="BH88" s="318">
        <v>41821</v>
      </c>
      <c r="BI88" s="3">
        <f t="shared" si="75"/>
        <v>10.389202605000001</v>
      </c>
      <c r="BJ88" s="3">
        <v>10.46840521</v>
      </c>
      <c r="BK88" s="3">
        <v>10.31</v>
      </c>
      <c r="BL88" s="412">
        <f t="shared" si="69"/>
        <v>2021</v>
      </c>
      <c r="BM88" s="427">
        <v>44197</v>
      </c>
      <c r="BN88" s="412">
        <f t="shared" si="68"/>
        <v>3.28735</v>
      </c>
      <c r="BO88" s="458">
        <v>3.1857000000000002</v>
      </c>
      <c r="BP88" s="458">
        <v>3.3889999999999998</v>
      </c>
      <c r="BQ88" s="469">
        <f t="shared" si="70"/>
        <v>2024</v>
      </c>
      <c r="BR88" s="473">
        <v>45292</v>
      </c>
      <c r="BS88" s="469">
        <f t="shared" si="71"/>
        <v>3.4733499999999999</v>
      </c>
      <c r="BT88" s="474">
        <v>3.6375000000000002</v>
      </c>
      <c r="BU88" s="474">
        <v>3.3092000000000001</v>
      </c>
    </row>
    <row r="89" spans="2:73">
      <c r="AJ89" s="3">
        <f t="shared" si="76"/>
        <v>2011</v>
      </c>
      <c r="AK89" s="345">
        <f t="shared" si="44"/>
        <v>40848</v>
      </c>
      <c r="AL89" s="122">
        <v>59.284999999999997</v>
      </c>
      <c r="AM89" s="122">
        <v>50.515000000000001</v>
      </c>
      <c r="AN89" s="319">
        <f t="shared" si="34"/>
        <v>55.513899999999992</v>
      </c>
      <c r="AO89" s="305">
        <v>400</v>
      </c>
      <c r="AP89" s="305">
        <v>320</v>
      </c>
      <c r="AQ89" s="305">
        <f t="shared" si="77"/>
        <v>0.55555555555555558</v>
      </c>
      <c r="AR89" s="305">
        <f t="shared" si="78"/>
        <v>0.44444444444444442</v>
      </c>
      <c r="AV89" s="3">
        <f t="shared" si="39"/>
        <v>2011</v>
      </c>
      <c r="AW89" s="343">
        <f t="shared" si="41"/>
        <v>40848</v>
      </c>
      <c r="AX89" s="121">
        <f t="shared" si="79"/>
        <v>7.2567196846112019</v>
      </c>
      <c r="AY89" s="122">
        <v>7.2567196846112019</v>
      </c>
      <c r="BA89" s="3">
        <f t="shared" si="72"/>
        <v>2010</v>
      </c>
      <c r="BB89" s="343">
        <v>40451</v>
      </c>
      <c r="BC89" s="3">
        <f t="shared" si="73"/>
        <v>4.2050000000000001</v>
      </c>
      <c r="BD89" s="3">
        <v>4.26</v>
      </c>
      <c r="BE89" s="3">
        <v>4.1500000000000004</v>
      </c>
      <c r="BG89" s="3">
        <f t="shared" si="74"/>
        <v>2014</v>
      </c>
      <c r="BH89" s="318">
        <v>41852</v>
      </c>
      <c r="BI89" s="3">
        <f t="shared" si="75"/>
        <v>9.18658164</v>
      </c>
      <c r="BJ89" s="3">
        <v>9.2760078400000001</v>
      </c>
      <c r="BK89" s="3">
        <v>9.0971554399999999</v>
      </c>
      <c r="BL89" s="412">
        <f t="shared" si="69"/>
        <v>2021</v>
      </c>
      <c r="BM89" s="427">
        <v>44228</v>
      </c>
      <c r="BN89" s="412">
        <f t="shared" si="68"/>
        <v>3.1587000000000001</v>
      </c>
      <c r="BO89" s="458">
        <v>3.1534</v>
      </c>
      <c r="BP89" s="458">
        <v>3.1640000000000001</v>
      </c>
      <c r="BQ89" s="469">
        <f t="shared" si="70"/>
        <v>2024</v>
      </c>
      <c r="BR89" s="473">
        <v>45323</v>
      </c>
      <c r="BS89" s="469">
        <f t="shared" si="71"/>
        <v>3.4291</v>
      </c>
      <c r="BT89" s="474">
        <v>3.6375000000000002</v>
      </c>
      <c r="BU89" s="474">
        <v>3.2206999999999999</v>
      </c>
    </row>
    <row r="90" spans="2:73">
      <c r="AJ90" s="3">
        <f t="shared" si="76"/>
        <v>2011</v>
      </c>
      <c r="AK90" s="345">
        <f t="shared" si="44"/>
        <v>40878</v>
      </c>
      <c r="AL90" s="122">
        <v>74.3</v>
      </c>
      <c r="AM90" s="122">
        <v>63.482500000000002</v>
      </c>
      <c r="AN90" s="319">
        <f t="shared" si="34"/>
        <v>69.648474999999991</v>
      </c>
      <c r="AO90" s="305">
        <v>416</v>
      </c>
      <c r="AP90" s="305">
        <v>328</v>
      </c>
      <c r="AQ90" s="305">
        <f t="shared" si="77"/>
        <v>0.55913978494623651</v>
      </c>
      <c r="AR90" s="305">
        <f t="shared" si="78"/>
        <v>0.44086021505376344</v>
      </c>
      <c r="AV90" s="3">
        <f t="shared" si="39"/>
        <v>2011</v>
      </c>
      <c r="AW90" s="343">
        <f t="shared" si="41"/>
        <v>40878</v>
      </c>
      <c r="AX90" s="121">
        <f t="shared" si="79"/>
        <v>8.0390062533985862</v>
      </c>
      <c r="AY90" s="122">
        <v>8.0390062533985862</v>
      </c>
      <c r="BA90" s="3">
        <f t="shared" si="72"/>
        <v>2010</v>
      </c>
      <c r="BB90" s="343">
        <v>40482</v>
      </c>
      <c r="BC90" s="3">
        <f t="shared" si="73"/>
        <v>4.3599999999999994</v>
      </c>
      <c r="BD90" s="3">
        <v>4.38</v>
      </c>
      <c r="BE90" s="3">
        <v>4.34</v>
      </c>
      <c r="BG90" s="3">
        <f t="shared" si="74"/>
        <v>2014</v>
      </c>
      <c r="BH90" s="318">
        <v>41883</v>
      </c>
      <c r="BI90" s="3">
        <f t="shared" si="75"/>
        <v>9.1965816399999998</v>
      </c>
      <c r="BJ90" s="3">
        <v>9.2860078399999999</v>
      </c>
      <c r="BK90" s="3">
        <v>9.1071554399999997</v>
      </c>
      <c r="BL90" s="412">
        <f t="shared" si="69"/>
        <v>2021</v>
      </c>
      <c r="BM90" s="427">
        <v>44256</v>
      </c>
      <c r="BN90" s="412">
        <f t="shared" si="68"/>
        <v>3.11015</v>
      </c>
      <c r="BO90" s="458">
        <v>3.0888</v>
      </c>
      <c r="BP90" s="458">
        <v>3.1315</v>
      </c>
      <c r="BQ90" s="469">
        <f t="shared" si="70"/>
        <v>2024</v>
      </c>
      <c r="BR90" s="473">
        <v>45352</v>
      </c>
      <c r="BS90" s="469">
        <f t="shared" si="71"/>
        <v>3.3091499999999998</v>
      </c>
      <c r="BT90" s="474">
        <v>3.5238999999999998</v>
      </c>
      <c r="BU90" s="474">
        <v>3.0943999999999998</v>
      </c>
    </row>
    <row r="91" spans="2:73">
      <c r="AJ91" s="3">
        <f t="shared" si="76"/>
        <v>2012</v>
      </c>
      <c r="AK91" s="345">
        <f t="shared" si="44"/>
        <v>40909</v>
      </c>
      <c r="AL91" s="122">
        <v>71.400000000000006</v>
      </c>
      <c r="AM91" s="122">
        <v>65.004999999999995</v>
      </c>
      <c r="AN91" s="319">
        <f t="shared" si="34"/>
        <v>68.650149999999996</v>
      </c>
      <c r="AO91" s="305">
        <v>400</v>
      </c>
      <c r="AP91" s="305">
        <v>344</v>
      </c>
      <c r="AQ91" s="305">
        <f t="shared" si="77"/>
        <v>0.5376344086021505</v>
      </c>
      <c r="AR91" s="305">
        <f t="shared" si="78"/>
        <v>0.46236559139784944</v>
      </c>
      <c r="AV91" s="3">
        <f t="shared" si="39"/>
        <v>2012</v>
      </c>
      <c r="AW91" s="343">
        <f t="shared" si="41"/>
        <v>40909</v>
      </c>
      <c r="AX91" s="121">
        <f t="shared" si="79"/>
        <v>8.4025393114464375</v>
      </c>
      <c r="AY91" s="122">
        <v>8.4025393114464375</v>
      </c>
      <c r="BA91" s="3">
        <f t="shared" si="72"/>
        <v>2010</v>
      </c>
      <c r="BB91" s="343">
        <v>40512</v>
      </c>
      <c r="BC91" s="3">
        <f t="shared" si="73"/>
        <v>4.43</v>
      </c>
      <c r="BD91" s="3">
        <v>4.45</v>
      </c>
      <c r="BE91" s="3">
        <v>4.41</v>
      </c>
      <c r="BG91" s="3">
        <f t="shared" si="74"/>
        <v>2014</v>
      </c>
      <c r="BH91" s="318">
        <v>41913</v>
      </c>
      <c r="BI91" s="3">
        <f t="shared" si="75"/>
        <v>9.3909599650000004</v>
      </c>
      <c r="BJ91" s="3">
        <v>9.4479726999999993</v>
      </c>
      <c r="BK91" s="3">
        <v>9.3339472299999997</v>
      </c>
      <c r="BL91" s="412">
        <f t="shared" si="69"/>
        <v>2021</v>
      </c>
      <c r="BM91" s="427">
        <v>44287</v>
      </c>
      <c r="BN91" s="412">
        <f t="shared" si="68"/>
        <v>2.5393999999999997</v>
      </c>
      <c r="BO91" s="458">
        <v>2.6122999999999998</v>
      </c>
      <c r="BP91" s="458">
        <v>2.4664999999999999</v>
      </c>
      <c r="BQ91" s="469">
        <f t="shared" si="70"/>
        <v>2024</v>
      </c>
      <c r="BR91" s="473">
        <v>45383</v>
      </c>
      <c r="BS91" s="469">
        <f t="shared" si="71"/>
        <v>3.2712500000000002</v>
      </c>
      <c r="BT91" s="474">
        <v>3.4102000000000001</v>
      </c>
      <c r="BU91" s="474">
        <v>3.1322999999999999</v>
      </c>
    </row>
    <row r="92" spans="2:73">
      <c r="AJ92" s="3">
        <f t="shared" si="76"/>
        <v>2012</v>
      </c>
      <c r="AK92" s="345">
        <f t="shared" si="44"/>
        <v>40940</v>
      </c>
      <c r="AL92" s="122">
        <v>66.599999999999994</v>
      </c>
      <c r="AM92" s="122">
        <v>62.145000000000003</v>
      </c>
      <c r="AN92" s="319">
        <f t="shared" ref="AN92:AN155" si="80">AL92*0.57+AM92*0.43</f>
        <v>64.684349999999995</v>
      </c>
      <c r="AO92" s="305">
        <v>400</v>
      </c>
      <c r="AP92" s="305">
        <v>296</v>
      </c>
      <c r="AQ92" s="305">
        <f t="shared" si="77"/>
        <v>0.57471264367816088</v>
      </c>
      <c r="AR92" s="305">
        <f t="shared" si="78"/>
        <v>0.42528735632183906</v>
      </c>
      <c r="AV92" s="3">
        <f t="shared" si="39"/>
        <v>2012</v>
      </c>
      <c r="AW92" s="343">
        <f t="shared" si="41"/>
        <v>40940</v>
      </c>
      <c r="AX92" s="121">
        <f t="shared" si="79"/>
        <v>8.4025393114464375</v>
      </c>
      <c r="AY92" s="122">
        <v>8.4025393114464375</v>
      </c>
      <c r="BA92" s="3">
        <f t="shared" si="72"/>
        <v>2010</v>
      </c>
      <c r="BB92" s="343">
        <v>40543</v>
      </c>
      <c r="BC92" s="3">
        <f t="shared" si="73"/>
        <v>4.6449999999999996</v>
      </c>
      <c r="BD92" s="3">
        <v>4.63</v>
      </c>
      <c r="BE92" s="3">
        <v>4.66</v>
      </c>
      <c r="BG92" s="3">
        <f t="shared" si="74"/>
        <v>2014</v>
      </c>
      <c r="BH92" s="318">
        <v>41944</v>
      </c>
      <c r="BI92" s="3">
        <f t="shared" si="75"/>
        <v>9.8600831450000008</v>
      </c>
      <c r="BJ92" s="3">
        <v>9.6664551299999992</v>
      </c>
      <c r="BK92" s="3">
        <v>10.053711160000001</v>
      </c>
      <c r="BL92" s="412">
        <f t="shared" si="69"/>
        <v>2021</v>
      </c>
      <c r="BM92" s="427">
        <v>44317</v>
      </c>
      <c r="BN92" s="412">
        <f t="shared" si="68"/>
        <v>2.5087000000000002</v>
      </c>
      <c r="BO92" s="458">
        <v>2.6004</v>
      </c>
      <c r="BP92" s="458">
        <v>2.4169999999999998</v>
      </c>
      <c r="BQ92" s="469">
        <f t="shared" si="70"/>
        <v>2024</v>
      </c>
      <c r="BR92" s="473">
        <v>45413</v>
      </c>
      <c r="BS92" s="469">
        <f t="shared" si="71"/>
        <v>3.2839</v>
      </c>
      <c r="BT92" s="474">
        <v>3.4102000000000001</v>
      </c>
      <c r="BU92" s="474">
        <v>3.1576</v>
      </c>
    </row>
    <row r="93" spans="2:73">
      <c r="AJ93" s="3">
        <f t="shared" si="76"/>
        <v>2012</v>
      </c>
      <c r="AK93" s="345">
        <f t="shared" si="44"/>
        <v>40969</v>
      </c>
      <c r="AL93" s="122">
        <v>57.8</v>
      </c>
      <c r="AM93" s="122">
        <v>52.85</v>
      </c>
      <c r="AN93" s="319">
        <f t="shared" si="80"/>
        <v>55.671499999999995</v>
      </c>
      <c r="AO93" s="305">
        <v>432</v>
      </c>
      <c r="AP93" s="305">
        <v>312</v>
      </c>
      <c r="AQ93" s="305">
        <f t="shared" si="77"/>
        <v>0.58064516129032262</v>
      </c>
      <c r="AR93" s="305">
        <f t="shared" si="78"/>
        <v>0.41935483870967744</v>
      </c>
      <c r="AV93" s="3">
        <f t="shared" si="39"/>
        <v>2012</v>
      </c>
      <c r="AW93" s="343">
        <f t="shared" si="41"/>
        <v>40969</v>
      </c>
      <c r="AX93" s="121">
        <f t="shared" si="79"/>
        <v>8.1656679445350733</v>
      </c>
      <c r="AY93" s="122">
        <v>8.1656679445350733</v>
      </c>
      <c r="BA93" s="3">
        <f t="shared" si="72"/>
        <v>2011</v>
      </c>
      <c r="BB93" s="343">
        <v>40574</v>
      </c>
      <c r="BC93" s="3">
        <f t="shared" si="73"/>
        <v>5.03</v>
      </c>
      <c r="BD93" s="3">
        <v>4.9800000000000004</v>
      </c>
      <c r="BE93" s="3">
        <v>5.08</v>
      </c>
      <c r="BG93" s="3">
        <f t="shared" si="74"/>
        <v>2014</v>
      </c>
      <c r="BH93" s="318">
        <v>41974</v>
      </c>
      <c r="BI93" s="3">
        <f t="shared" si="75"/>
        <v>10.286084649999999</v>
      </c>
      <c r="BJ93" s="3">
        <v>10.05940242</v>
      </c>
      <c r="BK93" s="3">
        <v>10.512766879999999</v>
      </c>
      <c r="BL93" s="412">
        <f t="shared" si="69"/>
        <v>2021</v>
      </c>
      <c r="BM93" s="427">
        <v>44348</v>
      </c>
      <c r="BN93" s="412">
        <f t="shared" si="68"/>
        <v>2.5305499999999999</v>
      </c>
      <c r="BO93" s="458">
        <v>2.6371000000000002</v>
      </c>
      <c r="BP93" s="458">
        <v>2.4239999999999999</v>
      </c>
      <c r="BQ93" s="469">
        <f t="shared" si="70"/>
        <v>2024</v>
      </c>
      <c r="BR93" s="473">
        <v>45444</v>
      </c>
      <c r="BS93" s="469">
        <f t="shared" si="71"/>
        <v>3.2902500000000003</v>
      </c>
      <c r="BT93" s="474">
        <v>3.4355000000000002</v>
      </c>
      <c r="BU93" s="474">
        <v>3.145</v>
      </c>
    </row>
    <row r="94" spans="2:73">
      <c r="AJ94" s="3">
        <f t="shared" si="76"/>
        <v>2012</v>
      </c>
      <c r="AK94" s="345">
        <f t="shared" si="44"/>
        <v>41000</v>
      </c>
      <c r="AL94" s="122">
        <v>40.29</v>
      </c>
      <c r="AM94" s="122">
        <v>30.2</v>
      </c>
      <c r="AN94" s="319">
        <f t="shared" si="80"/>
        <v>35.951299999999996</v>
      </c>
      <c r="AO94" s="305">
        <v>400</v>
      </c>
      <c r="AP94" s="305">
        <v>320</v>
      </c>
      <c r="AQ94" s="305">
        <f t="shared" si="77"/>
        <v>0.55555555555555558</v>
      </c>
      <c r="AR94" s="305">
        <f t="shared" si="78"/>
        <v>0.44444444444444442</v>
      </c>
      <c r="AV94" s="3">
        <f t="shared" si="39"/>
        <v>2012</v>
      </c>
      <c r="AW94" s="343">
        <f t="shared" si="41"/>
        <v>41000</v>
      </c>
      <c r="AX94" s="121">
        <f t="shared" si="79"/>
        <v>5.7764470364328444</v>
      </c>
      <c r="AY94" s="122">
        <v>5.7764470364328444</v>
      </c>
      <c r="BA94" s="3">
        <f t="shared" si="72"/>
        <v>2011</v>
      </c>
      <c r="BB94" s="343">
        <v>40602</v>
      </c>
      <c r="BC94" s="3">
        <f t="shared" si="73"/>
        <v>4.6850000000000005</v>
      </c>
      <c r="BD94" s="3">
        <v>4.67</v>
      </c>
      <c r="BE94" s="3">
        <v>4.7</v>
      </c>
      <c r="BG94" s="3">
        <f t="shared" si="74"/>
        <v>2015</v>
      </c>
      <c r="BH94" s="318">
        <v>42005</v>
      </c>
      <c r="BI94" s="3">
        <f t="shared" si="75"/>
        <v>11.006556585</v>
      </c>
      <c r="BJ94" s="3">
        <v>10.74499533</v>
      </c>
      <c r="BK94" s="3">
        <v>11.26811784</v>
      </c>
      <c r="BL94" s="412">
        <f t="shared" si="69"/>
        <v>2021</v>
      </c>
      <c r="BM94" s="427">
        <v>44378</v>
      </c>
      <c r="BN94" s="412">
        <f t="shared" si="68"/>
        <v>2.6737500000000001</v>
      </c>
      <c r="BO94" s="458">
        <v>2.7225000000000001</v>
      </c>
      <c r="BP94" s="458">
        <v>2.625</v>
      </c>
      <c r="BQ94" s="469">
        <f t="shared" si="70"/>
        <v>2024</v>
      </c>
      <c r="BR94" s="473">
        <v>45474</v>
      </c>
      <c r="BS94" s="469">
        <f t="shared" si="71"/>
        <v>3.4291499999999999</v>
      </c>
      <c r="BT94" s="474">
        <v>3.5491000000000001</v>
      </c>
      <c r="BU94" s="474">
        <v>3.3092000000000001</v>
      </c>
    </row>
    <row r="95" spans="2:73">
      <c r="AJ95" s="3">
        <f t="shared" si="76"/>
        <v>2012</v>
      </c>
      <c r="AK95" s="345">
        <f t="shared" si="44"/>
        <v>41030</v>
      </c>
      <c r="AL95" s="122">
        <v>31.56</v>
      </c>
      <c r="AM95" s="122">
        <v>20.47</v>
      </c>
      <c r="AN95" s="319">
        <f t="shared" si="80"/>
        <v>26.791299999999996</v>
      </c>
      <c r="AO95" s="305">
        <v>416</v>
      </c>
      <c r="AP95" s="305">
        <v>328</v>
      </c>
      <c r="AQ95" s="305">
        <f t="shared" si="77"/>
        <v>0.55913978494623651</v>
      </c>
      <c r="AR95" s="305">
        <f t="shared" si="78"/>
        <v>0.44086021505376344</v>
      </c>
      <c r="AV95" s="3">
        <f t="shared" si="39"/>
        <v>2012</v>
      </c>
      <c r="AW95" s="343">
        <f t="shared" si="41"/>
        <v>41030</v>
      </c>
      <c r="AX95" s="121">
        <f t="shared" si="79"/>
        <v>5.5833338431212614</v>
      </c>
      <c r="AY95" s="122">
        <v>5.5833338431212614</v>
      </c>
      <c r="BA95" s="3">
        <f t="shared" si="72"/>
        <v>2011</v>
      </c>
      <c r="BB95" s="343">
        <v>40633</v>
      </c>
      <c r="BC95" s="3">
        <f t="shared" si="73"/>
        <v>4.4000000000000004</v>
      </c>
      <c r="BD95" s="3">
        <v>4.42</v>
      </c>
      <c r="BE95" s="3">
        <v>4.38</v>
      </c>
      <c r="BG95" s="3">
        <f t="shared" si="74"/>
        <v>2015</v>
      </c>
      <c r="BH95" s="318">
        <v>42036</v>
      </c>
      <c r="BI95" s="3">
        <f t="shared" si="75"/>
        <v>10.646832405</v>
      </c>
      <c r="BJ95" s="3">
        <v>10.42132174</v>
      </c>
      <c r="BK95" s="3">
        <v>10.872343069999999</v>
      </c>
      <c r="BL95" s="412">
        <f>YEAR(BM95)</f>
        <v>2021</v>
      </c>
      <c r="BM95" s="427">
        <v>44409</v>
      </c>
      <c r="BN95" s="412">
        <f t="shared" si="68"/>
        <v>2.6960500000000001</v>
      </c>
      <c r="BO95" s="458">
        <v>2.7721</v>
      </c>
      <c r="BP95" s="458">
        <v>2.62</v>
      </c>
      <c r="BQ95" s="469">
        <f>YEAR(BR95)</f>
        <v>2024</v>
      </c>
      <c r="BR95" s="473">
        <v>45505</v>
      </c>
      <c r="BS95" s="469">
        <f t="shared" si="71"/>
        <v>3.46075</v>
      </c>
      <c r="BT95" s="474">
        <v>3.5617999999999999</v>
      </c>
      <c r="BU95" s="474">
        <v>3.3597000000000001</v>
      </c>
    </row>
    <row r="96" spans="2:73">
      <c r="AJ96" s="3">
        <f t="shared" si="76"/>
        <v>2012</v>
      </c>
      <c r="AK96" s="345">
        <f t="shared" si="44"/>
        <v>41061</v>
      </c>
      <c r="AL96" s="122">
        <v>28.65</v>
      </c>
      <c r="AM96" s="122">
        <v>19.079999999999998</v>
      </c>
      <c r="AN96" s="319">
        <f t="shared" si="80"/>
        <v>24.534899999999997</v>
      </c>
      <c r="AO96" s="305">
        <v>416</v>
      </c>
      <c r="AP96" s="305">
        <v>304</v>
      </c>
      <c r="AQ96" s="305">
        <f t="shared" si="77"/>
        <v>0.57777777777777772</v>
      </c>
      <c r="AR96" s="305">
        <f t="shared" si="78"/>
        <v>0.42222222222222222</v>
      </c>
      <c r="AV96" s="3">
        <f t="shared" ref="AV96:AV159" si="81">+YEAR(AW96)</f>
        <v>2012</v>
      </c>
      <c r="AW96" s="343">
        <f t="shared" si="41"/>
        <v>41061</v>
      </c>
      <c r="AX96" s="121">
        <f t="shared" si="79"/>
        <v>5.6750626155519299</v>
      </c>
      <c r="AY96" s="122">
        <v>5.6750626155519299</v>
      </c>
      <c r="BA96" s="3">
        <f t="shared" si="72"/>
        <v>2011</v>
      </c>
      <c r="BB96" s="343">
        <v>40663</v>
      </c>
      <c r="BC96" s="3">
        <f t="shared" si="73"/>
        <v>4.1050000000000004</v>
      </c>
      <c r="BD96" s="3">
        <v>4.16</v>
      </c>
      <c r="BE96" s="3">
        <v>4.05</v>
      </c>
      <c r="BG96" s="3">
        <f t="shared" si="74"/>
        <v>2015</v>
      </c>
      <c r="BH96" s="318">
        <v>42064</v>
      </c>
      <c r="BI96" s="3">
        <f t="shared" si="75"/>
        <v>10.241998479999999</v>
      </c>
      <c r="BJ96" s="3">
        <v>10.05188287</v>
      </c>
      <c r="BK96" s="3">
        <v>10.432114090000001</v>
      </c>
      <c r="BL96" s="412">
        <f t="shared" ref="BL96:BL159" si="82">YEAR(BM96)</f>
        <v>2021</v>
      </c>
      <c r="BM96" s="427">
        <v>44440</v>
      </c>
      <c r="BN96" s="412">
        <f t="shared" si="68"/>
        <v>2.7298</v>
      </c>
      <c r="BO96" s="458">
        <v>2.7795999999999998</v>
      </c>
      <c r="BP96" s="458">
        <v>2.68</v>
      </c>
      <c r="BQ96" s="469">
        <f t="shared" ref="BQ96:BQ159" si="83">YEAR(BR96)</f>
        <v>2024</v>
      </c>
      <c r="BR96" s="473">
        <v>45536</v>
      </c>
      <c r="BS96" s="469">
        <f t="shared" si="71"/>
        <v>3.4481000000000002</v>
      </c>
      <c r="BT96" s="474">
        <v>3.6122999999999998</v>
      </c>
      <c r="BU96" s="474">
        <v>3.2839</v>
      </c>
    </row>
    <row r="97" spans="36:73">
      <c r="AJ97" s="3">
        <f t="shared" si="76"/>
        <v>2012</v>
      </c>
      <c r="AK97" s="345">
        <f t="shared" si="44"/>
        <v>41091</v>
      </c>
      <c r="AL97" s="122">
        <v>56.1</v>
      </c>
      <c r="AM97" s="122">
        <v>44.3</v>
      </c>
      <c r="AN97" s="319">
        <f t="shared" si="80"/>
        <v>51.025999999999996</v>
      </c>
      <c r="AO97" s="305">
        <v>400</v>
      </c>
      <c r="AP97" s="305">
        <v>344</v>
      </c>
      <c r="AQ97" s="305">
        <f t="shared" si="77"/>
        <v>0.5376344086021505</v>
      </c>
      <c r="AR97" s="305">
        <f t="shared" si="78"/>
        <v>0.46236559139784944</v>
      </c>
      <c r="AV97" s="3">
        <f t="shared" si="81"/>
        <v>2012</v>
      </c>
      <c r="AW97" s="343">
        <f t="shared" ref="AW97:AW160" si="84">EOMONTH(AW96,0)+1</f>
        <v>41091</v>
      </c>
      <c r="AX97" s="121">
        <f t="shared" si="79"/>
        <v>5.8090734638390433</v>
      </c>
      <c r="AY97" s="122">
        <v>5.8090734638390433</v>
      </c>
      <c r="BA97" s="3">
        <f t="shared" si="72"/>
        <v>2011</v>
      </c>
      <c r="BB97" s="343">
        <v>40694</v>
      </c>
      <c r="BC97" s="3">
        <f t="shared" si="73"/>
        <v>4.1050000000000004</v>
      </c>
      <c r="BD97" s="3">
        <v>4.16</v>
      </c>
      <c r="BE97" s="3">
        <v>4.05</v>
      </c>
      <c r="BG97" s="3">
        <f t="shared" si="74"/>
        <v>2015</v>
      </c>
      <c r="BH97" s="318">
        <v>42095</v>
      </c>
      <c r="BI97" s="3">
        <f t="shared" si="75"/>
        <v>9.3140395500000004</v>
      </c>
      <c r="BJ97" s="3">
        <v>9.4086939899999997</v>
      </c>
      <c r="BK97" s="3">
        <v>9.2193851099999993</v>
      </c>
      <c r="BL97" s="412">
        <f t="shared" si="82"/>
        <v>2021</v>
      </c>
      <c r="BM97" s="427">
        <v>44470</v>
      </c>
      <c r="BN97" s="412">
        <f t="shared" si="68"/>
        <v>2.8236999999999997</v>
      </c>
      <c r="BO97" s="458">
        <v>2.8083999999999998</v>
      </c>
      <c r="BP97" s="458">
        <v>2.839</v>
      </c>
      <c r="BQ97" s="469">
        <f t="shared" si="83"/>
        <v>2024</v>
      </c>
      <c r="BR97" s="473">
        <v>45566</v>
      </c>
      <c r="BS97" s="469">
        <f t="shared" si="71"/>
        <v>3.4733499999999999</v>
      </c>
      <c r="BT97" s="474">
        <v>3.6375000000000002</v>
      </c>
      <c r="BU97" s="474">
        <v>3.3092000000000001</v>
      </c>
    </row>
    <row r="98" spans="36:73">
      <c r="AJ98" s="3">
        <f t="shared" si="76"/>
        <v>2012</v>
      </c>
      <c r="AK98" s="345">
        <f t="shared" si="44"/>
        <v>41122</v>
      </c>
      <c r="AL98" s="122">
        <v>68.739999999999995</v>
      </c>
      <c r="AM98" s="122">
        <v>54.22</v>
      </c>
      <c r="AN98" s="319">
        <f t="shared" si="80"/>
        <v>62.496399999999994</v>
      </c>
      <c r="AO98" s="305">
        <v>432</v>
      </c>
      <c r="AP98" s="305">
        <v>312</v>
      </c>
      <c r="AQ98" s="305">
        <f t="shared" si="77"/>
        <v>0.58064516129032262</v>
      </c>
      <c r="AR98" s="305">
        <f t="shared" si="78"/>
        <v>0.41935483870967744</v>
      </c>
      <c r="AV98" s="3">
        <f t="shared" si="81"/>
        <v>2012</v>
      </c>
      <c r="AW98" s="343">
        <f t="shared" si="84"/>
        <v>41122</v>
      </c>
      <c r="AX98" s="121">
        <f t="shared" si="79"/>
        <v>5.9056300604948344</v>
      </c>
      <c r="AY98" s="122">
        <v>5.9056300604948344</v>
      </c>
      <c r="BA98" s="3">
        <f t="shared" si="72"/>
        <v>2011</v>
      </c>
      <c r="BB98" s="343">
        <v>40724</v>
      </c>
      <c r="BC98" s="3">
        <f t="shared" si="73"/>
        <v>4.1750000000000007</v>
      </c>
      <c r="BD98" s="3">
        <v>4.2300000000000004</v>
      </c>
      <c r="BE98" s="3">
        <v>4.12</v>
      </c>
      <c r="BG98" s="3">
        <f t="shared" si="74"/>
        <v>2015</v>
      </c>
      <c r="BH98" s="318">
        <v>42125</v>
      </c>
      <c r="BI98" s="3">
        <f t="shared" si="75"/>
        <v>9.3040395499999988</v>
      </c>
      <c r="BJ98" s="3">
        <v>9.3986939899999999</v>
      </c>
      <c r="BK98" s="3">
        <v>9.2093851099999995</v>
      </c>
      <c r="BL98" s="412">
        <f t="shared" si="82"/>
        <v>2021</v>
      </c>
      <c r="BM98" s="427">
        <v>44501</v>
      </c>
      <c r="BN98" s="412">
        <f t="shared" si="68"/>
        <v>3.0861999999999998</v>
      </c>
      <c r="BO98" s="458">
        <v>3.0114000000000001</v>
      </c>
      <c r="BP98" s="458">
        <v>3.161</v>
      </c>
      <c r="BQ98" s="469">
        <f t="shared" si="83"/>
        <v>2024</v>
      </c>
      <c r="BR98" s="473">
        <v>45597</v>
      </c>
      <c r="BS98" s="469">
        <f t="shared" si="71"/>
        <v>3.7638499999999997</v>
      </c>
      <c r="BT98" s="474">
        <v>3.9154</v>
      </c>
      <c r="BU98" s="474">
        <v>3.6122999999999998</v>
      </c>
    </row>
    <row r="99" spans="36:73">
      <c r="AJ99" s="3">
        <f t="shared" si="76"/>
        <v>2012</v>
      </c>
      <c r="AK99" s="345">
        <f t="shared" si="44"/>
        <v>41153</v>
      </c>
      <c r="AL99" s="122">
        <v>67.16</v>
      </c>
      <c r="AM99" s="122">
        <v>52.98</v>
      </c>
      <c r="AN99" s="319">
        <f t="shared" si="80"/>
        <v>61.062599999999989</v>
      </c>
      <c r="AO99" s="305">
        <v>384</v>
      </c>
      <c r="AP99" s="305">
        <v>336</v>
      </c>
      <c r="AQ99" s="305">
        <f t="shared" si="77"/>
        <v>0.53333333333333333</v>
      </c>
      <c r="AR99" s="305">
        <f t="shared" si="78"/>
        <v>0.46666666666666667</v>
      </c>
      <c r="AV99" s="3">
        <f t="shared" si="81"/>
        <v>2012</v>
      </c>
      <c r="AW99" s="343">
        <f t="shared" si="84"/>
        <v>41153</v>
      </c>
      <c r="AX99" s="121">
        <f t="shared" si="79"/>
        <v>5.9828753296628605</v>
      </c>
      <c r="AY99" s="122">
        <v>5.9828753296628605</v>
      </c>
      <c r="BA99" s="3">
        <f t="shared" si="72"/>
        <v>2011</v>
      </c>
      <c r="BB99" s="343">
        <v>40755</v>
      </c>
      <c r="BC99" s="3">
        <f t="shared" si="73"/>
        <v>4.2349999999999994</v>
      </c>
      <c r="BD99" s="3">
        <v>4.29</v>
      </c>
      <c r="BE99" s="3">
        <v>4.18</v>
      </c>
      <c r="BG99" s="3">
        <f t="shared" si="74"/>
        <v>2015</v>
      </c>
      <c r="BH99" s="318">
        <v>42156</v>
      </c>
      <c r="BI99" s="3">
        <f t="shared" si="75"/>
        <v>9.4039298100000011</v>
      </c>
      <c r="BJ99" s="3">
        <v>9.4979287100000001</v>
      </c>
      <c r="BK99" s="3">
        <v>9.3099309100000003</v>
      </c>
      <c r="BL99" s="412">
        <f t="shared" si="82"/>
        <v>2021</v>
      </c>
      <c r="BM99" s="427">
        <v>44531</v>
      </c>
      <c r="BN99" s="412">
        <f t="shared" si="68"/>
        <v>3.3768000000000002</v>
      </c>
      <c r="BO99" s="458">
        <v>3.1876000000000002</v>
      </c>
      <c r="BP99" s="458">
        <v>3.5659999999999998</v>
      </c>
      <c r="BQ99" s="469">
        <f t="shared" si="83"/>
        <v>2024</v>
      </c>
      <c r="BR99" s="473">
        <v>45627</v>
      </c>
      <c r="BS99" s="469">
        <f t="shared" si="71"/>
        <v>3.9785500000000003</v>
      </c>
      <c r="BT99" s="474">
        <v>4.0796000000000001</v>
      </c>
      <c r="BU99" s="474">
        <v>3.8774999999999999</v>
      </c>
    </row>
    <row r="100" spans="36:73">
      <c r="AJ100" s="3">
        <f t="shared" si="76"/>
        <v>2012</v>
      </c>
      <c r="AK100" s="345">
        <f t="shared" si="44"/>
        <v>41183</v>
      </c>
      <c r="AL100" s="122">
        <v>49.702500000000001</v>
      </c>
      <c r="AM100" s="122">
        <v>42.821249999999999</v>
      </c>
      <c r="AN100" s="319">
        <f t="shared" si="80"/>
        <v>46.743562499999996</v>
      </c>
      <c r="AO100" s="305">
        <v>432</v>
      </c>
      <c r="AP100" s="305">
        <v>312</v>
      </c>
      <c r="AQ100" s="305">
        <f t="shared" si="77"/>
        <v>0.58064516129032262</v>
      </c>
      <c r="AR100" s="305">
        <f t="shared" si="78"/>
        <v>0.41935483870967744</v>
      </c>
      <c r="AV100" s="3">
        <f t="shared" si="81"/>
        <v>2012</v>
      </c>
      <c r="AW100" s="343">
        <f t="shared" si="84"/>
        <v>41183</v>
      </c>
      <c r="AX100" s="121">
        <f t="shared" si="79"/>
        <v>6.4428454798803694</v>
      </c>
      <c r="AY100" s="122">
        <v>6.4428454798803694</v>
      </c>
      <c r="BA100" s="3">
        <f t="shared" si="72"/>
        <v>2011</v>
      </c>
      <c r="BB100" s="343">
        <v>40786</v>
      </c>
      <c r="BC100" s="3">
        <f t="shared" si="73"/>
        <v>4.2349999999999994</v>
      </c>
      <c r="BD100" s="3">
        <v>4.29</v>
      </c>
      <c r="BE100" s="3">
        <v>4.18</v>
      </c>
      <c r="BG100" s="3">
        <f t="shared" si="74"/>
        <v>2015</v>
      </c>
      <c r="BH100" s="318">
        <v>42186</v>
      </c>
      <c r="BI100" s="3">
        <f t="shared" si="75"/>
        <v>9.5088200649999983</v>
      </c>
      <c r="BJ100" s="3">
        <v>9.6021634299999992</v>
      </c>
      <c r="BK100" s="3">
        <v>9.4154766999999993</v>
      </c>
      <c r="BL100" s="412">
        <f t="shared" si="82"/>
        <v>2022</v>
      </c>
      <c r="BM100" s="427">
        <v>44562</v>
      </c>
      <c r="BN100" s="412">
        <f t="shared" si="68"/>
        <v>3.4058999999999999</v>
      </c>
      <c r="BO100" s="458">
        <v>3.3037999999999998</v>
      </c>
      <c r="BP100" s="458">
        <v>3.508</v>
      </c>
      <c r="BQ100" s="469">
        <f t="shared" si="83"/>
        <v>2025</v>
      </c>
      <c r="BR100" s="473">
        <v>45658</v>
      </c>
      <c r="BS100" s="469">
        <f t="shared" si="71"/>
        <v>4.0362999999999998</v>
      </c>
      <c r="BT100" s="474">
        <v>4.1136999999999997</v>
      </c>
      <c r="BU100" s="474">
        <v>3.9588999999999999</v>
      </c>
    </row>
    <row r="101" spans="36:73">
      <c r="AJ101" s="3">
        <f t="shared" si="76"/>
        <v>2012</v>
      </c>
      <c r="AK101" s="345">
        <f t="shared" si="44"/>
        <v>41214</v>
      </c>
      <c r="AL101" s="122">
        <v>57.952500000000001</v>
      </c>
      <c r="AM101" s="122">
        <v>49.722499999999997</v>
      </c>
      <c r="AN101" s="319">
        <f t="shared" si="80"/>
        <v>54.413599999999995</v>
      </c>
      <c r="AO101" s="305">
        <v>400</v>
      </c>
      <c r="AP101" s="305">
        <v>320</v>
      </c>
      <c r="AQ101" s="305">
        <f t="shared" si="77"/>
        <v>0.55555555555555558</v>
      </c>
      <c r="AR101" s="305">
        <f t="shared" si="78"/>
        <v>0.44444444444444442</v>
      </c>
      <c r="AV101" s="3">
        <f t="shared" si="81"/>
        <v>2012</v>
      </c>
      <c r="AW101" s="343">
        <f t="shared" si="84"/>
        <v>41214</v>
      </c>
      <c r="AX101" s="121">
        <f t="shared" si="79"/>
        <v>6.8829452045948889</v>
      </c>
      <c r="AY101" s="122">
        <v>6.8829452045948889</v>
      </c>
      <c r="BA101" s="3">
        <f t="shared" si="72"/>
        <v>2011</v>
      </c>
      <c r="BB101" s="343">
        <v>40816</v>
      </c>
      <c r="BC101" s="3">
        <f t="shared" si="73"/>
        <v>4.2349999999999994</v>
      </c>
      <c r="BD101" s="3">
        <v>4.29</v>
      </c>
      <c r="BE101" s="3">
        <v>4.18</v>
      </c>
      <c r="BG101" s="3">
        <f t="shared" si="74"/>
        <v>2015</v>
      </c>
      <c r="BH101" s="318">
        <v>42217</v>
      </c>
      <c r="BI101" s="3">
        <f t="shared" si="75"/>
        <v>8.19</v>
      </c>
      <c r="BJ101" s="3">
        <v>8.2899999999999991</v>
      </c>
      <c r="BK101" s="3">
        <v>8.09</v>
      </c>
      <c r="BL101" s="412">
        <f t="shared" si="82"/>
        <v>2022</v>
      </c>
      <c r="BM101" s="427">
        <v>44593</v>
      </c>
      <c r="BN101" s="412">
        <f t="shared" si="68"/>
        <v>3.2922500000000001</v>
      </c>
      <c r="BO101" s="458">
        <v>3.2715000000000001</v>
      </c>
      <c r="BP101" s="458">
        <v>3.3130000000000002</v>
      </c>
      <c r="BQ101" s="469">
        <f t="shared" si="83"/>
        <v>2025</v>
      </c>
      <c r="BR101" s="473">
        <v>45689</v>
      </c>
      <c r="BS101" s="469">
        <f t="shared" si="71"/>
        <v>4.05565</v>
      </c>
      <c r="BT101" s="474">
        <v>4.1395</v>
      </c>
      <c r="BU101" s="474">
        <v>3.9718</v>
      </c>
    </row>
    <row r="102" spans="36:73">
      <c r="AJ102" s="3">
        <f t="shared" si="76"/>
        <v>2012</v>
      </c>
      <c r="AK102" s="345">
        <f t="shared" si="44"/>
        <v>41244</v>
      </c>
      <c r="AL102" s="122">
        <v>66.015000000000001</v>
      </c>
      <c r="AM102" s="122">
        <v>55.926250000000003</v>
      </c>
      <c r="AN102" s="319">
        <f t="shared" si="80"/>
        <v>61.676837499999998</v>
      </c>
      <c r="AO102" s="305">
        <v>400</v>
      </c>
      <c r="AP102" s="305">
        <v>344</v>
      </c>
      <c r="AQ102" s="305">
        <f t="shared" si="77"/>
        <v>0.5376344086021505</v>
      </c>
      <c r="AR102" s="305">
        <f t="shared" si="78"/>
        <v>0.46236559139784944</v>
      </c>
      <c r="AV102" s="3">
        <f t="shared" si="81"/>
        <v>2012</v>
      </c>
      <c r="AW102" s="343">
        <f t="shared" si="84"/>
        <v>41244</v>
      </c>
      <c r="AX102" s="121">
        <f t="shared" si="79"/>
        <v>7.4299563213703097</v>
      </c>
      <c r="AY102" s="122">
        <v>7.4299563213703097</v>
      </c>
      <c r="BA102" s="3">
        <f t="shared" si="72"/>
        <v>2011</v>
      </c>
      <c r="BB102" s="343">
        <v>40847</v>
      </c>
      <c r="BC102" s="3">
        <f t="shared" si="73"/>
        <v>4.4000000000000004</v>
      </c>
      <c r="BD102" s="3">
        <v>4.42</v>
      </c>
      <c r="BE102" s="3">
        <v>4.38</v>
      </c>
      <c r="BG102" s="3">
        <f t="shared" si="74"/>
        <v>2015</v>
      </c>
      <c r="BH102" s="318">
        <v>42248</v>
      </c>
      <c r="BI102" s="3">
        <f t="shared" si="75"/>
        <v>8.19</v>
      </c>
      <c r="BJ102" s="3">
        <v>8.2899999999999991</v>
      </c>
      <c r="BK102" s="3">
        <v>8.09</v>
      </c>
      <c r="BL102" s="412">
        <f t="shared" si="82"/>
        <v>2022</v>
      </c>
      <c r="BM102" s="427">
        <v>44621</v>
      </c>
      <c r="BN102" s="412">
        <f t="shared" si="68"/>
        <v>3.24</v>
      </c>
      <c r="BO102" s="458">
        <v>3.2069999999999999</v>
      </c>
      <c r="BP102" s="458">
        <v>3.2730000000000001</v>
      </c>
      <c r="BQ102" s="469">
        <f t="shared" si="83"/>
        <v>2025</v>
      </c>
      <c r="BR102" s="473">
        <v>45717</v>
      </c>
      <c r="BS102" s="469">
        <f t="shared" si="71"/>
        <v>3.83</v>
      </c>
      <c r="BT102" s="474">
        <v>3.9975999999999998</v>
      </c>
      <c r="BU102" s="474">
        <v>3.6623999999999999</v>
      </c>
    </row>
    <row r="103" spans="36:73">
      <c r="AJ103" s="3">
        <f t="shared" si="76"/>
        <v>2013</v>
      </c>
      <c r="AK103" s="345">
        <f t="shared" si="44"/>
        <v>41275</v>
      </c>
      <c r="AL103" s="122">
        <v>66.114999999999995</v>
      </c>
      <c r="AM103" s="122">
        <v>56.647500000000001</v>
      </c>
      <c r="AN103" s="319">
        <f t="shared" si="80"/>
        <v>62.043974999999989</v>
      </c>
      <c r="AO103" s="305">
        <v>416</v>
      </c>
      <c r="AP103" s="305">
        <v>328</v>
      </c>
      <c r="AQ103" s="305">
        <f t="shared" si="77"/>
        <v>0.55913978494623651</v>
      </c>
      <c r="AR103" s="305">
        <f t="shared" si="78"/>
        <v>0.44086021505376344</v>
      </c>
      <c r="AV103" s="3">
        <f t="shared" si="81"/>
        <v>2013</v>
      </c>
      <c r="AW103" s="343">
        <f t="shared" si="84"/>
        <v>41275</v>
      </c>
      <c r="AX103" s="121">
        <f t="shared" si="79"/>
        <v>8.1114161976617716</v>
      </c>
      <c r="AY103" s="122">
        <v>8.1114161976617716</v>
      </c>
      <c r="BA103" s="3">
        <f t="shared" si="72"/>
        <v>2011</v>
      </c>
      <c r="BB103" s="343">
        <v>40877</v>
      </c>
      <c r="BC103" s="3">
        <f t="shared" si="73"/>
        <v>4.4600000000000009</v>
      </c>
      <c r="BD103" s="3">
        <v>4.4800000000000004</v>
      </c>
      <c r="BE103" s="3">
        <v>4.4400000000000004</v>
      </c>
      <c r="BG103" s="3">
        <f t="shared" si="74"/>
        <v>2015</v>
      </c>
      <c r="BH103" s="318">
        <v>42278</v>
      </c>
      <c r="BI103" s="3">
        <f t="shared" si="75"/>
        <v>8.504999999999999</v>
      </c>
      <c r="BJ103" s="3">
        <v>8.5399999999999991</v>
      </c>
      <c r="BK103" s="3">
        <v>8.4700000000000006</v>
      </c>
      <c r="BL103" s="412">
        <f t="shared" si="82"/>
        <v>2022</v>
      </c>
      <c r="BM103" s="427">
        <v>44652</v>
      </c>
      <c r="BN103" s="412">
        <f t="shared" si="68"/>
        <v>2.6154500000000001</v>
      </c>
      <c r="BO103" s="458">
        <v>2.7353999999999998</v>
      </c>
      <c r="BP103" s="458">
        <v>2.4954999999999998</v>
      </c>
      <c r="BQ103" s="469">
        <f t="shared" si="83"/>
        <v>2025</v>
      </c>
      <c r="BR103" s="473">
        <v>45748</v>
      </c>
      <c r="BS103" s="469">
        <f t="shared" si="71"/>
        <v>3.5785499999999999</v>
      </c>
      <c r="BT103" s="474">
        <v>3.7913000000000001</v>
      </c>
      <c r="BU103" s="474">
        <v>3.3658000000000001</v>
      </c>
    </row>
    <row r="104" spans="36:73">
      <c r="AJ104" s="3">
        <f t="shared" si="76"/>
        <v>2013</v>
      </c>
      <c r="AK104" s="345">
        <f t="shared" si="44"/>
        <v>41306</v>
      </c>
      <c r="AL104" s="122">
        <v>61.475000000000001</v>
      </c>
      <c r="AM104" s="122">
        <v>54.182499999999997</v>
      </c>
      <c r="AN104" s="319">
        <f t="shared" si="80"/>
        <v>58.339224999999999</v>
      </c>
      <c r="AO104" s="305">
        <v>384</v>
      </c>
      <c r="AP104" s="305">
        <v>288</v>
      </c>
      <c r="AQ104" s="305">
        <f t="shared" si="77"/>
        <v>0.5714285714285714</v>
      </c>
      <c r="AR104" s="305">
        <f t="shared" si="78"/>
        <v>0.42857142857142855</v>
      </c>
      <c r="AV104" s="3">
        <f t="shared" si="81"/>
        <v>2013</v>
      </c>
      <c r="AW104" s="343">
        <f t="shared" si="84"/>
        <v>41306</v>
      </c>
      <c r="AX104" s="121">
        <f t="shared" si="79"/>
        <v>7.8763891007340963</v>
      </c>
      <c r="AY104" s="122">
        <v>7.8763891007340963</v>
      </c>
      <c r="BA104" s="3">
        <f t="shared" si="72"/>
        <v>2011</v>
      </c>
      <c r="BB104" s="343">
        <v>40908</v>
      </c>
      <c r="BC104" s="3">
        <f t="shared" si="73"/>
        <v>4.6850000000000005</v>
      </c>
      <c r="BD104" s="3">
        <v>4.67</v>
      </c>
      <c r="BE104" s="3">
        <v>4.7</v>
      </c>
      <c r="BG104" s="3">
        <f t="shared" si="74"/>
        <v>2015</v>
      </c>
      <c r="BH104" s="318">
        <v>42309</v>
      </c>
      <c r="BI104" s="3">
        <f t="shared" si="75"/>
        <v>8.625</v>
      </c>
      <c r="BJ104" s="3">
        <v>8.66</v>
      </c>
      <c r="BK104" s="3">
        <v>8.59</v>
      </c>
      <c r="BL104" s="412">
        <f t="shared" si="82"/>
        <v>2022</v>
      </c>
      <c r="BM104" s="427">
        <v>44682</v>
      </c>
      <c r="BN104" s="412">
        <f t="shared" si="68"/>
        <v>2.5884999999999998</v>
      </c>
      <c r="BO104" s="458">
        <v>2.7235</v>
      </c>
      <c r="BP104" s="458">
        <v>2.4535</v>
      </c>
      <c r="BQ104" s="469">
        <f t="shared" si="83"/>
        <v>2025</v>
      </c>
      <c r="BR104" s="473">
        <v>45778</v>
      </c>
      <c r="BS104" s="469">
        <f t="shared" si="71"/>
        <v>3.5720999999999998</v>
      </c>
      <c r="BT104" s="474">
        <v>3.7913000000000001</v>
      </c>
      <c r="BU104" s="474">
        <v>3.3529</v>
      </c>
    </row>
    <row r="105" spans="36:73">
      <c r="AJ105" s="3">
        <f t="shared" si="76"/>
        <v>2013</v>
      </c>
      <c r="AK105" s="345">
        <f t="shared" si="44"/>
        <v>41334</v>
      </c>
      <c r="AL105" s="122">
        <v>55.774999999999999</v>
      </c>
      <c r="AM105" s="122">
        <v>50.08</v>
      </c>
      <c r="AN105" s="319">
        <f t="shared" si="80"/>
        <v>53.326149999999998</v>
      </c>
      <c r="AO105" s="305">
        <v>416</v>
      </c>
      <c r="AP105" s="305">
        <v>328</v>
      </c>
      <c r="AQ105" s="305">
        <f t="shared" si="77"/>
        <v>0.55913978494623651</v>
      </c>
      <c r="AR105" s="305">
        <f t="shared" si="78"/>
        <v>0.44086021505376344</v>
      </c>
      <c r="AV105" s="3">
        <f t="shared" si="81"/>
        <v>2013</v>
      </c>
      <c r="AW105" s="343">
        <f t="shared" si="84"/>
        <v>41334</v>
      </c>
      <c r="AX105" s="121">
        <f t="shared" si="79"/>
        <v>7.5395614634312125</v>
      </c>
      <c r="AY105" s="122">
        <v>7.5395614634312125</v>
      </c>
      <c r="BA105" s="3">
        <f t="shared" si="72"/>
        <v>2012</v>
      </c>
      <c r="BB105" s="343">
        <v>40939</v>
      </c>
      <c r="BC105" s="3">
        <f t="shared" si="73"/>
        <v>5.08</v>
      </c>
      <c r="BD105" s="3">
        <v>5.03</v>
      </c>
      <c r="BE105" s="3">
        <v>5.13</v>
      </c>
      <c r="BG105" s="3">
        <f t="shared" si="74"/>
        <v>2015</v>
      </c>
      <c r="BH105" s="318">
        <v>42339</v>
      </c>
      <c r="BI105" s="3">
        <f t="shared" si="75"/>
        <v>9.0599999999999987</v>
      </c>
      <c r="BJ105" s="3">
        <v>9.0299999999999994</v>
      </c>
      <c r="BK105" s="3">
        <v>9.09</v>
      </c>
      <c r="BL105" s="412">
        <f t="shared" si="82"/>
        <v>2022</v>
      </c>
      <c r="BM105" s="427">
        <v>44713</v>
      </c>
      <c r="BN105" s="412">
        <f t="shared" si="68"/>
        <v>2.6103500000000004</v>
      </c>
      <c r="BO105" s="458">
        <v>2.7602000000000002</v>
      </c>
      <c r="BP105" s="458">
        <v>2.4605000000000001</v>
      </c>
      <c r="BQ105" s="469">
        <f t="shared" si="83"/>
        <v>2025</v>
      </c>
      <c r="BR105" s="473">
        <v>45809</v>
      </c>
      <c r="BS105" s="469">
        <f t="shared" si="71"/>
        <v>3.6172</v>
      </c>
      <c r="BT105" s="474">
        <v>3.8041999999999998</v>
      </c>
      <c r="BU105" s="474">
        <v>3.4302000000000001</v>
      </c>
    </row>
    <row r="106" spans="36:73">
      <c r="AJ106" s="3">
        <f t="shared" si="76"/>
        <v>2013</v>
      </c>
      <c r="AK106" s="345">
        <f t="shared" si="44"/>
        <v>41365</v>
      </c>
      <c r="AL106" s="122">
        <v>45.164999999999999</v>
      </c>
      <c r="AM106" s="122">
        <v>37.585000000000001</v>
      </c>
      <c r="AN106" s="319">
        <f t="shared" si="80"/>
        <v>41.9056</v>
      </c>
      <c r="AO106" s="305">
        <v>416</v>
      </c>
      <c r="AP106" s="305">
        <v>304</v>
      </c>
      <c r="AQ106" s="305">
        <f t="shared" si="77"/>
        <v>0.57777777777777772</v>
      </c>
      <c r="AR106" s="305">
        <f t="shared" si="78"/>
        <v>0.42222222222222222</v>
      </c>
      <c r="AV106" s="3">
        <f t="shared" si="81"/>
        <v>2013</v>
      </c>
      <c r="AW106" s="343">
        <f t="shared" si="84"/>
        <v>41365</v>
      </c>
      <c r="AX106" s="121">
        <f t="shared" si="79"/>
        <v>6.1602972301522581</v>
      </c>
      <c r="AY106" s="122">
        <v>6.1602972301522581</v>
      </c>
      <c r="BA106" s="3">
        <f t="shared" si="72"/>
        <v>2012</v>
      </c>
      <c r="BB106" s="343">
        <v>40968</v>
      </c>
      <c r="BC106" s="3">
        <f t="shared" si="73"/>
        <v>4.7249999999999996</v>
      </c>
      <c r="BD106" s="3">
        <v>4.71</v>
      </c>
      <c r="BE106" s="3">
        <v>4.74</v>
      </c>
      <c r="BG106" s="3">
        <f t="shared" si="74"/>
        <v>2016</v>
      </c>
      <c r="BH106" s="318">
        <v>42370</v>
      </c>
      <c r="BI106" s="3">
        <f t="shared" si="75"/>
        <v>10.254999999999999</v>
      </c>
      <c r="BJ106" s="3">
        <v>10.15</v>
      </c>
      <c r="BK106" s="3">
        <v>10.36</v>
      </c>
      <c r="BL106" s="412">
        <f t="shared" si="82"/>
        <v>2022</v>
      </c>
      <c r="BM106" s="427">
        <v>44743</v>
      </c>
      <c r="BN106" s="412">
        <f t="shared" si="68"/>
        <v>2.75305</v>
      </c>
      <c r="BO106" s="458">
        <v>2.8475999999999999</v>
      </c>
      <c r="BP106" s="458">
        <v>2.6585000000000001</v>
      </c>
      <c r="BQ106" s="469">
        <f t="shared" si="83"/>
        <v>2025</v>
      </c>
      <c r="BR106" s="473">
        <v>45839</v>
      </c>
      <c r="BS106" s="469">
        <f t="shared" si="71"/>
        <v>3.7268499999999998</v>
      </c>
      <c r="BT106" s="474">
        <v>3.8557999999999999</v>
      </c>
      <c r="BU106" s="474">
        <v>3.5979000000000001</v>
      </c>
    </row>
    <row r="107" spans="36:73">
      <c r="AJ107" s="3">
        <f t="shared" si="76"/>
        <v>2013</v>
      </c>
      <c r="AK107" s="345">
        <f t="shared" si="44"/>
        <v>41395</v>
      </c>
      <c r="AL107" s="122">
        <v>39.47</v>
      </c>
      <c r="AM107" s="122">
        <v>29.31</v>
      </c>
      <c r="AN107" s="319">
        <f t="shared" si="80"/>
        <v>35.101199999999999</v>
      </c>
      <c r="AO107" s="305">
        <v>416</v>
      </c>
      <c r="AP107" s="305">
        <v>328</v>
      </c>
      <c r="AQ107" s="305">
        <f t="shared" si="77"/>
        <v>0.55913978494623651</v>
      </c>
      <c r="AR107" s="305">
        <f t="shared" si="78"/>
        <v>0.44086021505376344</v>
      </c>
      <c r="AV107" s="3">
        <f t="shared" si="81"/>
        <v>2013</v>
      </c>
      <c r="AW107" s="343">
        <f t="shared" si="84"/>
        <v>41395</v>
      </c>
      <c r="AX107" s="121">
        <f t="shared" si="79"/>
        <v>6.0300024571778135</v>
      </c>
      <c r="AY107" s="122">
        <v>6.0300024571778135</v>
      </c>
      <c r="BA107" s="3">
        <f t="shared" si="72"/>
        <v>2012</v>
      </c>
      <c r="BB107" s="343">
        <v>40999</v>
      </c>
      <c r="BC107" s="3">
        <f t="shared" si="73"/>
        <v>4.43</v>
      </c>
      <c r="BD107" s="3">
        <v>4.45</v>
      </c>
      <c r="BE107" s="3">
        <v>4.41</v>
      </c>
      <c r="BG107" s="3">
        <f t="shared" si="74"/>
        <v>2016</v>
      </c>
      <c r="BH107" s="318">
        <v>42401</v>
      </c>
      <c r="BI107" s="3">
        <f t="shared" si="75"/>
        <v>9.5399999999999991</v>
      </c>
      <c r="BJ107" s="3">
        <v>9.51</v>
      </c>
      <c r="BK107" s="3">
        <v>9.57</v>
      </c>
      <c r="BL107" s="412">
        <f t="shared" si="82"/>
        <v>2022</v>
      </c>
      <c r="BM107" s="427">
        <v>44774</v>
      </c>
      <c r="BN107" s="412">
        <f t="shared" si="68"/>
        <v>2.7826</v>
      </c>
      <c r="BO107" s="458">
        <v>2.9032</v>
      </c>
      <c r="BP107" s="458">
        <v>2.6619999999999999</v>
      </c>
      <c r="BQ107" s="469">
        <f t="shared" si="83"/>
        <v>2025</v>
      </c>
      <c r="BR107" s="473">
        <v>45870</v>
      </c>
      <c r="BS107" s="469">
        <f t="shared" si="71"/>
        <v>3.7655500000000002</v>
      </c>
      <c r="BT107" s="474">
        <v>3.8944999999999999</v>
      </c>
      <c r="BU107" s="474">
        <v>3.6366000000000001</v>
      </c>
    </row>
    <row r="108" spans="36:73">
      <c r="AJ108" s="3">
        <f t="shared" si="76"/>
        <v>2013</v>
      </c>
      <c r="AK108" s="345">
        <f t="shared" ref="AK108:AK171" si="85">EOMONTH(AK107,0)+1</f>
        <v>41426</v>
      </c>
      <c r="AL108" s="122">
        <v>38.975000000000001</v>
      </c>
      <c r="AM108" s="122">
        <v>28.164999999999999</v>
      </c>
      <c r="AN108" s="319">
        <f t="shared" si="80"/>
        <v>34.326700000000002</v>
      </c>
      <c r="AO108" s="305">
        <v>400</v>
      </c>
      <c r="AP108" s="305">
        <v>320</v>
      </c>
      <c r="AQ108" s="305">
        <f t="shared" si="77"/>
        <v>0.55555555555555558</v>
      </c>
      <c r="AR108" s="305">
        <f t="shared" si="78"/>
        <v>0.44444444444444442</v>
      </c>
      <c r="AV108" s="3">
        <f t="shared" si="81"/>
        <v>2013</v>
      </c>
      <c r="AW108" s="343">
        <f t="shared" si="84"/>
        <v>41426</v>
      </c>
      <c r="AX108" s="121">
        <f t="shared" si="79"/>
        <v>6.1262401542958136</v>
      </c>
      <c r="AY108" s="122">
        <v>6.1262401542958136</v>
      </c>
      <c r="BA108" s="3">
        <f t="shared" si="72"/>
        <v>2012</v>
      </c>
      <c r="BB108" s="343">
        <v>41029</v>
      </c>
      <c r="BC108" s="3">
        <f t="shared" si="73"/>
        <v>4.1449999999999996</v>
      </c>
      <c r="BD108" s="3">
        <v>4.2</v>
      </c>
      <c r="BE108" s="3">
        <v>4.09</v>
      </c>
      <c r="BG108" s="3">
        <f t="shared" si="74"/>
        <v>2016</v>
      </c>
      <c r="BH108" s="318">
        <v>42430</v>
      </c>
      <c r="BI108" s="3">
        <f t="shared" si="75"/>
        <v>8.9499999999999993</v>
      </c>
      <c r="BJ108" s="3">
        <v>8.99</v>
      </c>
      <c r="BK108" s="3">
        <v>8.91</v>
      </c>
      <c r="BL108" s="412">
        <f t="shared" si="82"/>
        <v>2022</v>
      </c>
      <c r="BM108" s="427">
        <v>44805</v>
      </c>
      <c r="BN108" s="412">
        <f t="shared" si="68"/>
        <v>2.8175499999999998</v>
      </c>
      <c r="BO108" s="458">
        <v>2.9106000000000001</v>
      </c>
      <c r="BP108" s="458">
        <v>2.7244999999999999</v>
      </c>
      <c r="BQ108" s="469">
        <f t="shared" si="83"/>
        <v>2025</v>
      </c>
      <c r="BR108" s="473">
        <v>45901</v>
      </c>
      <c r="BS108" s="469">
        <f t="shared" si="71"/>
        <v>3.75265</v>
      </c>
      <c r="BT108" s="474">
        <v>3.9460999999999999</v>
      </c>
      <c r="BU108" s="474">
        <v>3.5592000000000001</v>
      </c>
    </row>
    <row r="109" spans="36:73">
      <c r="AJ109" s="3">
        <f t="shared" si="76"/>
        <v>2013</v>
      </c>
      <c r="AK109" s="345">
        <f t="shared" si="85"/>
        <v>41456</v>
      </c>
      <c r="AL109" s="122">
        <v>54.77</v>
      </c>
      <c r="AM109" s="122">
        <v>44.465000000000003</v>
      </c>
      <c r="AN109" s="319">
        <f t="shared" si="80"/>
        <v>50.338850000000001</v>
      </c>
      <c r="AO109" s="305">
        <v>416</v>
      </c>
      <c r="AP109" s="305">
        <v>328</v>
      </c>
      <c r="AQ109" s="305">
        <f t="shared" si="77"/>
        <v>0.55913978494623651</v>
      </c>
      <c r="AR109" s="305">
        <f t="shared" si="78"/>
        <v>0.44086021505376344</v>
      </c>
      <c r="AV109" s="3">
        <f t="shared" si="81"/>
        <v>2013</v>
      </c>
      <c r="AW109" s="343">
        <f t="shared" si="84"/>
        <v>41456</v>
      </c>
      <c r="AX109" s="121">
        <f t="shared" si="79"/>
        <v>6.2436188961392061</v>
      </c>
      <c r="AY109" s="122">
        <v>6.2436188961392061</v>
      </c>
      <c r="BA109" s="3">
        <f t="shared" si="72"/>
        <v>2012</v>
      </c>
      <c r="BB109" s="343">
        <v>41060</v>
      </c>
      <c r="BC109" s="3">
        <f t="shared" si="73"/>
        <v>4.1449999999999996</v>
      </c>
      <c r="BD109" s="3">
        <v>4.2</v>
      </c>
      <c r="BE109" s="3">
        <v>4.09</v>
      </c>
      <c r="BG109" s="3">
        <f t="shared" si="74"/>
        <v>2016</v>
      </c>
      <c r="BH109" s="318">
        <v>42461</v>
      </c>
      <c r="BI109" s="3">
        <f t="shared" si="75"/>
        <v>8.370000000000001</v>
      </c>
      <c r="BJ109" s="3">
        <v>8.48</v>
      </c>
      <c r="BK109" s="3">
        <v>8.26</v>
      </c>
      <c r="BL109" s="412">
        <f t="shared" si="82"/>
        <v>2022</v>
      </c>
      <c r="BM109" s="427">
        <v>44835</v>
      </c>
      <c r="BN109" s="412">
        <f t="shared" si="68"/>
        <v>2.84945</v>
      </c>
      <c r="BO109" s="458">
        <v>2.9424000000000001</v>
      </c>
      <c r="BP109" s="458">
        <v>2.7565</v>
      </c>
      <c r="BQ109" s="469">
        <f t="shared" si="83"/>
        <v>2025</v>
      </c>
      <c r="BR109" s="473">
        <v>45931</v>
      </c>
      <c r="BS109" s="469">
        <f t="shared" si="71"/>
        <v>3.7719499999999999</v>
      </c>
      <c r="BT109" s="474">
        <v>3.9588999999999999</v>
      </c>
      <c r="BU109" s="474">
        <v>3.585</v>
      </c>
    </row>
    <row r="110" spans="36:73">
      <c r="AJ110" s="3">
        <f t="shared" si="76"/>
        <v>2013</v>
      </c>
      <c r="AK110" s="345">
        <f t="shared" si="85"/>
        <v>41487</v>
      </c>
      <c r="AL110" s="122">
        <v>62.41</v>
      </c>
      <c r="AM110" s="122">
        <v>50.564999999999998</v>
      </c>
      <c r="AN110" s="319">
        <f t="shared" si="80"/>
        <v>57.316649999999996</v>
      </c>
      <c r="AO110" s="305">
        <v>432</v>
      </c>
      <c r="AP110" s="305">
        <v>312</v>
      </c>
      <c r="AQ110" s="305">
        <f t="shared" si="77"/>
        <v>0.58064516129032262</v>
      </c>
      <c r="AR110" s="305">
        <f t="shared" si="78"/>
        <v>0.41935483870967744</v>
      </c>
      <c r="AV110" s="3">
        <f t="shared" si="81"/>
        <v>2013</v>
      </c>
      <c r="AW110" s="343">
        <f t="shared" si="84"/>
        <v>41487</v>
      </c>
      <c r="AX110" s="121">
        <f t="shared" si="79"/>
        <v>6.2918971893692222</v>
      </c>
      <c r="AY110" s="122">
        <v>6.2918971893692222</v>
      </c>
      <c r="BA110" s="3">
        <f t="shared" si="72"/>
        <v>2012</v>
      </c>
      <c r="BB110" s="343">
        <v>41090</v>
      </c>
      <c r="BC110" s="3">
        <f t="shared" si="73"/>
        <v>4.2050000000000001</v>
      </c>
      <c r="BD110" s="3">
        <v>4.26</v>
      </c>
      <c r="BE110" s="3">
        <v>4.1500000000000004</v>
      </c>
      <c r="BG110" s="3">
        <f t="shared" si="74"/>
        <v>2016</v>
      </c>
      <c r="BH110" s="318">
        <v>42491</v>
      </c>
      <c r="BI110" s="3">
        <f t="shared" si="75"/>
        <v>8.370000000000001</v>
      </c>
      <c r="BJ110" s="3">
        <v>8.48</v>
      </c>
      <c r="BK110" s="3">
        <v>8.26</v>
      </c>
      <c r="BL110" s="412">
        <f t="shared" si="82"/>
        <v>2022</v>
      </c>
      <c r="BM110" s="427">
        <v>44866</v>
      </c>
      <c r="BN110" s="412">
        <f t="shared" si="68"/>
        <v>3.4505499999999998</v>
      </c>
      <c r="BO110" s="458">
        <v>3.4407999999999999</v>
      </c>
      <c r="BP110" s="458">
        <v>3.4603000000000002</v>
      </c>
      <c r="BQ110" s="469">
        <f t="shared" si="83"/>
        <v>2025</v>
      </c>
      <c r="BR110" s="473">
        <v>45962</v>
      </c>
      <c r="BS110" s="469">
        <f t="shared" si="71"/>
        <v>3.9589500000000002</v>
      </c>
      <c r="BT110" s="474">
        <v>4.1653000000000002</v>
      </c>
      <c r="BU110" s="474">
        <v>3.7526000000000002</v>
      </c>
    </row>
    <row r="111" spans="36:73">
      <c r="AJ111" s="3">
        <f t="shared" si="76"/>
        <v>2013</v>
      </c>
      <c r="AK111" s="345">
        <f t="shared" si="85"/>
        <v>41518</v>
      </c>
      <c r="AL111" s="122">
        <v>61.34</v>
      </c>
      <c r="AM111" s="122">
        <v>48.44</v>
      </c>
      <c r="AN111" s="319">
        <f t="shared" si="80"/>
        <v>55.792999999999999</v>
      </c>
      <c r="AO111" s="305">
        <v>384</v>
      </c>
      <c r="AP111" s="305">
        <v>336</v>
      </c>
      <c r="AQ111" s="305">
        <f t="shared" si="77"/>
        <v>0.53333333333333333</v>
      </c>
      <c r="AR111" s="305">
        <f t="shared" si="78"/>
        <v>0.46666666666666667</v>
      </c>
      <c r="AV111" s="3">
        <f t="shared" si="81"/>
        <v>2013</v>
      </c>
      <c r="AW111" s="343">
        <f t="shared" si="84"/>
        <v>41518</v>
      </c>
      <c r="AX111" s="121">
        <f t="shared" si="79"/>
        <v>6.3305198307504087</v>
      </c>
      <c r="AY111" s="122">
        <v>6.3305198307504087</v>
      </c>
      <c r="BA111" s="3">
        <f t="shared" si="72"/>
        <v>2012</v>
      </c>
      <c r="BB111" s="343">
        <v>41121</v>
      </c>
      <c r="BC111" s="3">
        <f t="shared" si="73"/>
        <v>4.2750000000000004</v>
      </c>
      <c r="BD111" s="3">
        <v>4.33</v>
      </c>
      <c r="BE111" s="3">
        <v>4.22</v>
      </c>
      <c r="BG111" s="3">
        <f t="shared" si="74"/>
        <v>2016</v>
      </c>
      <c r="BH111" s="318">
        <v>42522</v>
      </c>
      <c r="BI111" s="3">
        <f t="shared" si="75"/>
        <v>8.5</v>
      </c>
      <c r="BJ111" s="3">
        <v>8.61</v>
      </c>
      <c r="BK111" s="3">
        <v>8.39</v>
      </c>
      <c r="BL111" s="412">
        <f t="shared" si="82"/>
        <v>2022</v>
      </c>
      <c r="BM111" s="427">
        <v>44896</v>
      </c>
      <c r="BN111" s="412">
        <f t="shared" si="68"/>
        <v>3.7126000000000001</v>
      </c>
      <c r="BO111" s="458">
        <v>3.6334</v>
      </c>
      <c r="BP111" s="458">
        <v>3.7917999999999998</v>
      </c>
      <c r="BQ111" s="469">
        <f t="shared" si="83"/>
        <v>2025</v>
      </c>
      <c r="BR111" s="473">
        <v>45992</v>
      </c>
      <c r="BS111" s="469">
        <f t="shared" si="71"/>
        <v>4.2362000000000002</v>
      </c>
      <c r="BT111" s="474">
        <v>4.3715999999999999</v>
      </c>
      <c r="BU111" s="474">
        <v>4.1007999999999996</v>
      </c>
    </row>
    <row r="112" spans="36:73">
      <c r="AJ112" s="3">
        <f t="shared" si="76"/>
        <v>2013</v>
      </c>
      <c r="AK112" s="345">
        <f t="shared" si="85"/>
        <v>41548</v>
      </c>
      <c r="AL112" s="122">
        <v>52.99</v>
      </c>
      <c r="AM112" s="122">
        <v>44.39</v>
      </c>
      <c r="AN112" s="319">
        <f t="shared" si="80"/>
        <v>49.292000000000002</v>
      </c>
      <c r="AO112" s="305">
        <v>432</v>
      </c>
      <c r="AP112" s="305">
        <v>312</v>
      </c>
      <c r="AQ112" s="305">
        <f t="shared" si="77"/>
        <v>0.58064516129032262</v>
      </c>
      <c r="AR112" s="305">
        <f t="shared" si="78"/>
        <v>0.41935483870967744</v>
      </c>
      <c r="AV112" s="3">
        <f t="shared" si="81"/>
        <v>2013</v>
      </c>
      <c r="AW112" s="343">
        <f t="shared" si="84"/>
        <v>41548</v>
      </c>
      <c r="AX112" s="121">
        <f t="shared" si="79"/>
        <v>6.4159434475258292</v>
      </c>
      <c r="AY112" s="122">
        <v>6.4159434475258292</v>
      </c>
      <c r="BA112" s="3">
        <f t="shared" si="72"/>
        <v>2012</v>
      </c>
      <c r="BB112" s="343">
        <v>41152</v>
      </c>
      <c r="BC112" s="3">
        <f t="shared" si="73"/>
        <v>4.2750000000000004</v>
      </c>
      <c r="BD112" s="3">
        <v>4.33</v>
      </c>
      <c r="BE112" s="3">
        <v>4.22</v>
      </c>
      <c r="BG112" s="3">
        <f t="shared" si="74"/>
        <v>2016</v>
      </c>
      <c r="BH112" s="318">
        <v>42552</v>
      </c>
      <c r="BI112" s="3">
        <f t="shared" si="75"/>
        <v>8.629999999999999</v>
      </c>
      <c r="BJ112" s="3">
        <v>8.74</v>
      </c>
      <c r="BK112" s="3">
        <v>8.52</v>
      </c>
      <c r="BL112" s="412">
        <f t="shared" si="82"/>
        <v>2023</v>
      </c>
      <c r="BM112" s="427">
        <v>44927</v>
      </c>
      <c r="BN112" s="412">
        <f t="shared" si="68"/>
        <v>3.85955</v>
      </c>
      <c r="BO112" s="458">
        <v>3.843</v>
      </c>
      <c r="BP112" s="458">
        <v>3.8761000000000001</v>
      </c>
      <c r="BQ112" s="469">
        <f t="shared" si="83"/>
        <v>2026</v>
      </c>
      <c r="BR112" s="473">
        <v>46023</v>
      </c>
      <c r="BS112" s="469">
        <f t="shared" si="71"/>
        <v>4.2790999999999997</v>
      </c>
      <c r="BT112" s="474">
        <v>4.3975999999999997</v>
      </c>
      <c r="BU112" s="474">
        <v>4.1605999999999996</v>
      </c>
    </row>
    <row r="113" spans="36:73">
      <c r="AJ113" s="3">
        <f t="shared" si="76"/>
        <v>2013</v>
      </c>
      <c r="AK113" s="345">
        <f t="shared" si="85"/>
        <v>41579</v>
      </c>
      <c r="AL113" s="122">
        <v>56.62</v>
      </c>
      <c r="AM113" s="122">
        <v>48.93</v>
      </c>
      <c r="AN113" s="319">
        <f t="shared" si="80"/>
        <v>53.313299999999998</v>
      </c>
      <c r="AO113" s="305">
        <v>400</v>
      </c>
      <c r="AP113" s="305">
        <v>320</v>
      </c>
      <c r="AQ113" s="305">
        <f t="shared" si="77"/>
        <v>0.55555555555555558</v>
      </c>
      <c r="AR113" s="305">
        <f t="shared" si="78"/>
        <v>0.44444444444444442</v>
      </c>
      <c r="AV113" s="3">
        <f t="shared" si="81"/>
        <v>2013</v>
      </c>
      <c r="AW113" s="343">
        <f t="shared" si="84"/>
        <v>41579</v>
      </c>
      <c r="AX113" s="121">
        <f t="shared" si="79"/>
        <v>6.5111038607939093</v>
      </c>
      <c r="AY113" s="122">
        <v>6.5111038607939093</v>
      </c>
      <c r="BA113" s="3">
        <f t="shared" si="72"/>
        <v>2012</v>
      </c>
      <c r="BB113" s="343">
        <v>41182</v>
      </c>
      <c r="BC113" s="3">
        <f t="shared" si="73"/>
        <v>4.2750000000000004</v>
      </c>
      <c r="BD113" s="3">
        <v>4.33</v>
      </c>
      <c r="BE113" s="3">
        <v>4.22</v>
      </c>
      <c r="BG113" s="3">
        <f t="shared" si="74"/>
        <v>2016</v>
      </c>
      <c r="BH113" s="318">
        <v>42583</v>
      </c>
      <c r="BI113" s="3">
        <f t="shared" si="75"/>
        <v>8.629999999999999</v>
      </c>
      <c r="BJ113" s="3">
        <v>8.74</v>
      </c>
      <c r="BK113" s="3">
        <v>8.52</v>
      </c>
      <c r="BL113" s="412">
        <f t="shared" si="82"/>
        <v>2023</v>
      </c>
      <c r="BM113" s="427">
        <v>44958</v>
      </c>
      <c r="BN113" s="412">
        <f t="shared" si="68"/>
        <v>3.7744999999999997</v>
      </c>
      <c r="BO113" s="458">
        <v>3.7829999999999999</v>
      </c>
      <c r="BP113" s="458">
        <v>3.766</v>
      </c>
      <c r="BQ113" s="469">
        <f t="shared" si="83"/>
        <v>2026</v>
      </c>
      <c r="BR113" s="473">
        <v>46054</v>
      </c>
      <c r="BS113" s="469">
        <f t="shared" si="71"/>
        <v>4.2922499999999992</v>
      </c>
      <c r="BT113" s="474">
        <v>4.4238999999999997</v>
      </c>
      <c r="BU113" s="474">
        <v>4.1605999999999996</v>
      </c>
    </row>
    <row r="114" spans="36:73">
      <c r="AJ114" s="3">
        <f t="shared" si="76"/>
        <v>2013</v>
      </c>
      <c r="AK114" s="345">
        <f t="shared" si="85"/>
        <v>41609</v>
      </c>
      <c r="AL114" s="122">
        <v>57.73</v>
      </c>
      <c r="AM114" s="122">
        <v>48.37</v>
      </c>
      <c r="AN114" s="319">
        <f t="shared" si="80"/>
        <v>53.705199999999991</v>
      </c>
      <c r="AO114" s="305">
        <v>400</v>
      </c>
      <c r="AP114" s="305">
        <v>344</v>
      </c>
      <c r="AQ114" s="305">
        <f t="shared" si="77"/>
        <v>0.5376344086021505</v>
      </c>
      <c r="AR114" s="305">
        <f t="shared" si="78"/>
        <v>0.46236559139784944</v>
      </c>
      <c r="AV114" s="3">
        <f t="shared" si="81"/>
        <v>2013</v>
      </c>
      <c r="AW114" s="343">
        <f t="shared" si="84"/>
        <v>41609</v>
      </c>
      <c r="AX114" s="121">
        <f t="shared" si="79"/>
        <v>6.8169766177270263</v>
      </c>
      <c r="AY114" s="122">
        <v>6.8169766177270263</v>
      </c>
      <c r="BA114" s="3">
        <f t="shared" si="72"/>
        <v>2012</v>
      </c>
      <c r="BB114" s="343">
        <v>41213</v>
      </c>
      <c r="BC114" s="3">
        <f t="shared" si="73"/>
        <v>4.43</v>
      </c>
      <c r="BD114" s="3">
        <v>4.45</v>
      </c>
      <c r="BE114" s="3">
        <v>4.41</v>
      </c>
      <c r="BG114" s="3">
        <f t="shared" si="74"/>
        <v>2016</v>
      </c>
      <c r="BH114" s="318">
        <v>42614</v>
      </c>
      <c r="BI114" s="3">
        <f t="shared" si="75"/>
        <v>8.629999999999999</v>
      </c>
      <c r="BJ114" s="3">
        <v>8.74</v>
      </c>
      <c r="BK114" s="3">
        <v>8.52</v>
      </c>
      <c r="BL114" s="412">
        <f t="shared" si="82"/>
        <v>2023</v>
      </c>
      <c r="BM114" s="427">
        <v>44986</v>
      </c>
      <c r="BN114" s="412">
        <f t="shared" si="68"/>
        <v>3.6102499999999997</v>
      </c>
      <c r="BO114" s="458">
        <v>3.6126</v>
      </c>
      <c r="BP114" s="458">
        <v>3.6078999999999999</v>
      </c>
      <c r="BQ114" s="469">
        <f t="shared" si="83"/>
        <v>2026</v>
      </c>
      <c r="BR114" s="473">
        <v>46082</v>
      </c>
      <c r="BS114" s="469">
        <f t="shared" si="71"/>
        <v>4.0618499999999997</v>
      </c>
      <c r="BT114" s="474">
        <v>4.2396000000000003</v>
      </c>
      <c r="BU114" s="474">
        <v>3.8841000000000001</v>
      </c>
    </row>
    <row r="115" spans="36:73">
      <c r="AJ115" s="3">
        <f t="shared" si="76"/>
        <v>2014</v>
      </c>
      <c r="AK115" s="345">
        <f t="shared" si="85"/>
        <v>41640</v>
      </c>
      <c r="AL115" s="122">
        <v>60.83</v>
      </c>
      <c r="AM115" s="122">
        <v>48.29</v>
      </c>
      <c r="AN115" s="319">
        <f t="shared" si="80"/>
        <v>55.437799999999996</v>
      </c>
      <c r="AO115" s="305">
        <v>416</v>
      </c>
      <c r="AP115" s="305">
        <v>328</v>
      </c>
      <c r="AQ115" s="305">
        <f t="shared" si="77"/>
        <v>0.55913978494623651</v>
      </c>
      <c r="AR115" s="305">
        <f t="shared" si="78"/>
        <v>0.44086021505376344</v>
      </c>
      <c r="AV115" s="3">
        <f t="shared" si="81"/>
        <v>2014</v>
      </c>
      <c r="AW115" s="343">
        <f t="shared" si="84"/>
        <v>41640</v>
      </c>
      <c r="AX115" s="121">
        <f t="shared" si="79"/>
        <v>7.8229581294181623</v>
      </c>
      <c r="AY115" s="122">
        <v>7.8229581294181623</v>
      </c>
      <c r="BA115" s="3">
        <f t="shared" si="72"/>
        <v>2012</v>
      </c>
      <c r="BB115" s="343">
        <v>41243</v>
      </c>
      <c r="BC115" s="3">
        <f t="shared" si="73"/>
        <v>4.5</v>
      </c>
      <c r="BD115" s="3">
        <v>4.5199999999999996</v>
      </c>
      <c r="BE115" s="3">
        <v>4.4800000000000004</v>
      </c>
      <c r="BG115" s="3">
        <f t="shared" si="74"/>
        <v>2016</v>
      </c>
      <c r="BH115" s="318">
        <v>42644</v>
      </c>
      <c r="BI115" s="3">
        <f t="shared" si="75"/>
        <v>8.9499999999999993</v>
      </c>
      <c r="BJ115" s="3">
        <v>8.99</v>
      </c>
      <c r="BK115" s="3">
        <v>8.91</v>
      </c>
      <c r="BL115" s="412">
        <f t="shared" si="82"/>
        <v>2023</v>
      </c>
      <c r="BM115" s="427">
        <v>45017</v>
      </c>
      <c r="BN115" s="412">
        <f t="shared" si="68"/>
        <v>3.1503999999999999</v>
      </c>
      <c r="BO115" s="458">
        <v>3.2448999999999999</v>
      </c>
      <c r="BP115" s="458">
        <v>3.0558999999999998</v>
      </c>
      <c r="BQ115" s="469">
        <f t="shared" si="83"/>
        <v>2026</v>
      </c>
      <c r="BR115" s="473">
        <v>46113</v>
      </c>
      <c r="BS115" s="469">
        <f t="shared" si="71"/>
        <v>3.7853500000000002</v>
      </c>
      <c r="BT115" s="474">
        <v>3.9763000000000002</v>
      </c>
      <c r="BU115" s="474">
        <v>3.5943999999999998</v>
      </c>
    </row>
    <row r="116" spans="36:73">
      <c r="AJ116" s="3">
        <f t="shared" si="76"/>
        <v>2014</v>
      </c>
      <c r="AK116" s="345">
        <f t="shared" si="85"/>
        <v>41671</v>
      </c>
      <c r="AL116" s="122">
        <v>56.35</v>
      </c>
      <c r="AM116" s="122">
        <v>46.22</v>
      </c>
      <c r="AN116" s="319">
        <f t="shared" si="80"/>
        <v>51.994099999999996</v>
      </c>
      <c r="AO116" s="305">
        <v>384</v>
      </c>
      <c r="AP116" s="305">
        <v>288</v>
      </c>
      <c r="AQ116" s="305">
        <f t="shared" si="77"/>
        <v>0.5714285714285714</v>
      </c>
      <c r="AR116" s="305">
        <f t="shared" si="78"/>
        <v>0.42857142857142855</v>
      </c>
      <c r="AV116" s="3">
        <f t="shared" si="81"/>
        <v>2014</v>
      </c>
      <c r="AW116" s="343">
        <f t="shared" si="84"/>
        <v>41671</v>
      </c>
      <c r="AX116" s="121">
        <f t="shared" si="79"/>
        <v>7.3505546492659057</v>
      </c>
      <c r="AY116" s="122">
        <v>7.3505546492659057</v>
      </c>
      <c r="BA116" s="3">
        <f t="shared" si="72"/>
        <v>2012</v>
      </c>
      <c r="BB116" s="343">
        <v>41274</v>
      </c>
      <c r="BC116" s="3">
        <f t="shared" si="73"/>
        <v>4.7249999999999996</v>
      </c>
      <c r="BD116" s="3">
        <v>4.71</v>
      </c>
      <c r="BE116" s="3">
        <v>4.74</v>
      </c>
      <c r="BG116" s="3">
        <f t="shared" si="74"/>
        <v>2016</v>
      </c>
      <c r="BH116" s="318">
        <v>42675</v>
      </c>
      <c r="BI116" s="3">
        <f t="shared" si="75"/>
        <v>9.0850000000000009</v>
      </c>
      <c r="BJ116" s="3">
        <v>9.1199999999999992</v>
      </c>
      <c r="BK116" s="3">
        <v>9.0500000000000007</v>
      </c>
      <c r="BL116" s="412">
        <f t="shared" si="82"/>
        <v>2023</v>
      </c>
      <c r="BM116" s="427">
        <v>45047</v>
      </c>
      <c r="BN116" s="412">
        <f t="shared" si="68"/>
        <v>3.1024000000000003</v>
      </c>
      <c r="BO116" s="458">
        <v>3.2326999999999999</v>
      </c>
      <c r="BP116" s="458">
        <v>2.9721000000000002</v>
      </c>
      <c r="BQ116" s="469">
        <f t="shared" si="83"/>
        <v>2026</v>
      </c>
      <c r="BR116" s="473">
        <v>46143</v>
      </c>
      <c r="BS116" s="469">
        <f t="shared" si="71"/>
        <v>3.7589999999999999</v>
      </c>
      <c r="BT116" s="474">
        <v>3.9499</v>
      </c>
      <c r="BU116" s="474">
        <v>3.5680999999999998</v>
      </c>
    </row>
    <row r="117" spans="36:73">
      <c r="AJ117" s="3">
        <f t="shared" si="76"/>
        <v>2014</v>
      </c>
      <c r="AK117" s="345">
        <f t="shared" si="85"/>
        <v>41699</v>
      </c>
      <c r="AL117" s="122">
        <v>53.75</v>
      </c>
      <c r="AM117" s="122">
        <v>47.31</v>
      </c>
      <c r="AN117" s="319">
        <f t="shared" si="80"/>
        <v>50.980799999999995</v>
      </c>
      <c r="AO117" s="305">
        <v>416</v>
      </c>
      <c r="AP117" s="305">
        <v>328</v>
      </c>
      <c r="AQ117" s="305">
        <f t="shared" si="77"/>
        <v>0.55913978494623651</v>
      </c>
      <c r="AR117" s="305">
        <f t="shared" si="78"/>
        <v>0.44086021505376344</v>
      </c>
      <c r="AV117" s="3">
        <f t="shared" si="81"/>
        <v>2014</v>
      </c>
      <c r="AW117" s="343">
        <f t="shared" si="84"/>
        <v>41699</v>
      </c>
      <c r="AX117" s="121">
        <f t="shared" si="79"/>
        <v>6.9121370309951065</v>
      </c>
      <c r="AY117" s="122">
        <v>6.9121370309951065</v>
      </c>
      <c r="BA117" s="3">
        <f t="shared" si="72"/>
        <v>2013</v>
      </c>
      <c r="BB117" s="343">
        <v>41305</v>
      </c>
      <c r="BC117" s="3">
        <f t="shared" si="73"/>
        <v>5.2249999999999996</v>
      </c>
      <c r="BD117" s="3">
        <v>5.17</v>
      </c>
      <c r="BE117" s="3">
        <v>5.28</v>
      </c>
      <c r="BG117" s="3">
        <f t="shared" si="74"/>
        <v>2016</v>
      </c>
      <c r="BH117" s="318">
        <v>42705</v>
      </c>
      <c r="BI117" s="3">
        <f t="shared" si="75"/>
        <v>9.5399999999999991</v>
      </c>
      <c r="BJ117" s="3">
        <v>9.51</v>
      </c>
      <c r="BK117" s="3">
        <v>9.57</v>
      </c>
      <c r="BL117" s="412">
        <f t="shared" si="82"/>
        <v>2023</v>
      </c>
      <c r="BM117" s="427">
        <v>45078</v>
      </c>
      <c r="BN117" s="412">
        <f t="shared" si="68"/>
        <v>3.1133500000000001</v>
      </c>
      <c r="BO117" s="458">
        <v>3.2448000000000001</v>
      </c>
      <c r="BP117" s="458">
        <v>2.9819</v>
      </c>
      <c r="BQ117" s="469">
        <f t="shared" si="83"/>
        <v>2026</v>
      </c>
      <c r="BR117" s="473">
        <v>46174</v>
      </c>
      <c r="BS117" s="469">
        <f t="shared" si="71"/>
        <v>3.8182999999999998</v>
      </c>
      <c r="BT117" s="474">
        <v>3.9763000000000002</v>
      </c>
      <c r="BU117" s="474">
        <v>3.6602999999999999</v>
      </c>
    </row>
    <row r="118" spans="36:73">
      <c r="AJ118" s="3">
        <f t="shared" si="76"/>
        <v>2014</v>
      </c>
      <c r="AK118" s="345">
        <f t="shared" si="85"/>
        <v>41730</v>
      </c>
      <c r="AL118" s="122">
        <v>50.04</v>
      </c>
      <c r="AM118" s="122">
        <v>44.97</v>
      </c>
      <c r="AN118" s="319">
        <f t="shared" si="80"/>
        <v>47.859899999999996</v>
      </c>
      <c r="AO118" s="305">
        <v>416</v>
      </c>
      <c r="AP118" s="305">
        <v>304</v>
      </c>
      <c r="AQ118" s="305">
        <f t="shared" si="77"/>
        <v>0.57777777777777772</v>
      </c>
      <c r="AR118" s="305">
        <f t="shared" si="78"/>
        <v>0.42222222222222222</v>
      </c>
      <c r="AV118" s="3">
        <f t="shared" si="81"/>
        <v>2014</v>
      </c>
      <c r="AW118" s="343">
        <f t="shared" si="84"/>
        <v>41730</v>
      </c>
      <c r="AX118" s="121">
        <f t="shared" si="79"/>
        <v>6.5450897226753666</v>
      </c>
      <c r="AY118" s="122">
        <v>6.5450897226753666</v>
      </c>
      <c r="BA118" s="3">
        <f t="shared" si="72"/>
        <v>2013</v>
      </c>
      <c r="BB118" s="343">
        <v>41333</v>
      </c>
      <c r="BC118" s="3">
        <f t="shared" si="73"/>
        <v>4.8650000000000002</v>
      </c>
      <c r="BD118" s="3">
        <v>4.8499999999999996</v>
      </c>
      <c r="BE118" s="3">
        <v>4.88</v>
      </c>
      <c r="BG118" s="3">
        <f t="shared" si="74"/>
        <v>2017</v>
      </c>
      <c r="BH118" s="318">
        <v>42736</v>
      </c>
      <c r="BI118" s="3">
        <f t="shared" si="75"/>
        <v>11.04</v>
      </c>
      <c r="BJ118" s="3">
        <v>10.93</v>
      </c>
      <c r="BK118" s="3">
        <v>11.15</v>
      </c>
      <c r="BL118" s="412">
        <f t="shared" si="82"/>
        <v>2023</v>
      </c>
      <c r="BM118" s="427">
        <v>45108</v>
      </c>
      <c r="BN118" s="412">
        <f t="shared" si="68"/>
        <v>3.19095</v>
      </c>
      <c r="BO118" s="458">
        <v>3.2947000000000002</v>
      </c>
      <c r="BP118" s="458">
        <v>3.0872000000000002</v>
      </c>
      <c r="BQ118" s="469">
        <f t="shared" si="83"/>
        <v>2026</v>
      </c>
      <c r="BR118" s="473">
        <v>46204</v>
      </c>
      <c r="BS118" s="469">
        <f t="shared" si="71"/>
        <v>3.9169999999999998</v>
      </c>
      <c r="BT118" s="474">
        <v>4.0289000000000001</v>
      </c>
      <c r="BU118" s="474">
        <v>3.8050999999999999</v>
      </c>
    </row>
    <row r="119" spans="36:73">
      <c r="AJ119" s="3">
        <f t="shared" si="76"/>
        <v>2014</v>
      </c>
      <c r="AK119" s="345">
        <f t="shared" si="85"/>
        <v>41760</v>
      </c>
      <c r="AL119" s="122">
        <v>47.38</v>
      </c>
      <c r="AM119" s="122">
        <v>38.15</v>
      </c>
      <c r="AN119" s="319">
        <f t="shared" si="80"/>
        <v>43.411099999999998</v>
      </c>
      <c r="AO119" s="305">
        <v>416</v>
      </c>
      <c r="AP119" s="305">
        <v>328</v>
      </c>
      <c r="AQ119" s="305">
        <f t="shared" si="77"/>
        <v>0.55913978494623651</v>
      </c>
      <c r="AR119" s="305">
        <f t="shared" si="78"/>
        <v>0.44086021505376344</v>
      </c>
      <c r="AV119" s="3">
        <f t="shared" si="81"/>
        <v>2014</v>
      </c>
      <c r="AW119" s="343">
        <f t="shared" si="84"/>
        <v>41760</v>
      </c>
      <c r="AX119" s="121">
        <f t="shared" si="79"/>
        <v>6.477117998912453</v>
      </c>
      <c r="AY119" s="122">
        <v>6.477117998912453</v>
      </c>
      <c r="BA119" s="3">
        <f t="shared" si="72"/>
        <v>2013</v>
      </c>
      <c r="BB119" s="343">
        <v>41364</v>
      </c>
      <c r="BC119" s="3">
        <f t="shared" si="73"/>
        <v>4.5600000000000005</v>
      </c>
      <c r="BD119" s="3">
        <v>4.58</v>
      </c>
      <c r="BE119" s="3">
        <v>4.54</v>
      </c>
      <c r="BG119" s="3">
        <f t="shared" si="74"/>
        <v>2017</v>
      </c>
      <c r="BH119" s="318">
        <v>42767</v>
      </c>
      <c r="BI119" s="3">
        <f t="shared" si="75"/>
        <v>10.27</v>
      </c>
      <c r="BJ119" s="3">
        <v>10.24</v>
      </c>
      <c r="BK119" s="3">
        <v>10.3</v>
      </c>
      <c r="BL119" s="412">
        <f t="shared" si="82"/>
        <v>2023</v>
      </c>
      <c r="BM119" s="427">
        <v>45139</v>
      </c>
      <c r="BN119" s="412">
        <f t="shared" si="68"/>
        <v>3.2747999999999999</v>
      </c>
      <c r="BO119" s="458">
        <v>3.3727999999999998</v>
      </c>
      <c r="BP119" s="458">
        <v>3.1768000000000001</v>
      </c>
      <c r="BQ119" s="469">
        <f t="shared" si="83"/>
        <v>2026</v>
      </c>
      <c r="BR119" s="473">
        <v>46235</v>
      </c>
      <c r="BS119" s="469">
        <f t="shared" si="71"/>
        <v>3.9697</v>
      </c>
      <c r="BT119" s="474">
        <v>4.0948000000000002</v>
      </c>
      <c r="BU119" s="474">
        <v>3.8445999999999998</v>
      </c>
    </row>
    <row r="120" spans="36:73">
      <c r="AJ120" s="3">
        <f t="shared" si="76"/>
        <v>2014</v>
      </c>
      <c r="AK120" s="345">
        <f t="shared" si="85"/>
        <v>41791</v>
      </c>
      <c r="AL120" s="122">
        <v>49.3</v>
      </c>
      <c r="AM120" s="122">
        <v>37.25</v>
      </c>
      <c r="AN120" s="319">
        <f t="shared" si="80"/>
        <v>44.118499999999997</v>
      </c>
      <c r="AO120" s="305">
        <v>400</v>
      </c>
      <c r="AP120" s="305">
        <v>320</v>
      </c>
      <c r="AQ120" s="305">
        <f t="shared" si="77"/>
        <v>0.55555555555555558</v>
      </c>
      <c r="AR120" s="305">
        <f t="shared" si="78"/>
        <v>0.44444444444444442</v>
      </c>
      <c r="AV120" s="3">
        <f t="shared" si="81"/>
        <v>2014</v>
      </c>
      <c r="AW120" s="343">
        <f t="shared" si="84"/>
        <v>41791</v>
      </c>
      <c r="AX120" s="121">
        <f t="shared" si="79"/>
        <v>6.575676998368678</v>
      </c>
      <c r="AY120" s="122">
        <v>6.575676998368678</v>
      </c>
      <c r="BA120" s="3">
        <f t="shared" si="72"/>
        <v>2013</v>
      </c>
      <c r="BB120" s="343">
        <v>41394</v>
      </c>
      <c r="BC120" s="3">
        <f t="shared" si="73"/>
        <v>4.2650000000000006</v>
      </c>
      <c r="BD120" s="3">
        <v>4.32</v>
      </c>
      <c r="BE120" s="3">
        <v>4.21</v>
      </c>
      <c r="BG120" s="3">
        <f t="shared" si="74"/>
        <v>2017</v>
      </c>
      <c r="BH120" s="318">
        <v>42795</v>
      </c>
      <c r="BI120" s="3">
        <f t="shared" si="75"/>
        <v>9.6449999999999996</v>
      </c>
      <c r="BJ120" s="3">
        <v>9.69</v>
      </c>
      <c r="BK120" s="3">
        <v>9.6</v>
      </c>
      <c r="BL120" s="412">
        <f t="shared" si="82"/>
        <v>2023</v>
      </c>
      <c r="BM120" s="427">
        <v>45170</v>
      </c>
      <c r="BN120" s="412">
        <f t="shared" si="68"/>
        <v>3.3331</v>
      </c>
      <c r="BO120" s="458">
        <v>3.4016000000000002</v>
      </c>
      <c r="BP120" s="458">
        <v>3.2646000000000002</v>
      </c>
      <c r="BQ120" s="469">
        <f t="shared" si="83"/>
        <v>2026</v>
      </c>
      <c r="BR120" s="473">
        <v>46266</v>
      </c>
      <c r="BS120" s="469">
        <f t="shared" si="71"/>
        <v>3.91045</v>
      </c>
      <c r="BT120" s="474">
        <v>4.0815999999999999</v>
      </c>
      <c r="BU120" s="474">
        <v>3.7393000000000001</v>
      </c>
    </row>
    <row r="121" spans="36:73">
      <c r="AJ121" s="3">
        <f t="shared" si="76"/>
        <v>2014</v>
      </c>
      <c r="AK121" s="345">
        <f t="shared" si="85"/>
        <v>41821</v>
      </c>
      <c r="AL121" s="122">
        <v>53.44</v>
      </c>
      <c r="AM121" s="122">
        <v>44.63</v>
      </c>
      <c r="AN121" s="319">
        <f t="shared" si="80"/>
        <v>49.651699999999991</v>
      </c>
      <c r="AO121" s="305">
        <v>416</v>
      </c>
      <c r="AP121" s="305">
        <v>328</v>
      </c>
      <c r="AQ121" s="305">
        <f t="shared" si="77"/>
        <v>0.55913978494623651</v>
      </c>
      <c r="AR121" s="305">
        <f t="shared" si="78"/>
        <v>0.44086021505376344</v>
      </c>
      <c r="AV121" s="3">
        <f t="shared" si="81"/>
        <v>2014</v>
      </c>
      <c r="AW121" s="343">
        <f t="shared" si="84"/>
        <v>41821</v>
      </c>
      <c r="AX121" s="121">
        <f t="shared" si="79"/>
        <v>6.6742359978249048</v>
      </c>
      <c r="AY121" s="122">
        <v>6.6742359978249048</v>
      </c>
      <c r="BA121" s="3">
        <f t="shared" si="72"/>
        <v>2013</v>
      </c>
      <c r="BB121" s="343">
        <v>41425</v>
      </c>
      <c r="BC121" s="3">
        <f t="shared" si="73"/>
        <v>4.2650000000000006</v>
      </c>
      <c r="BD121" s="3">
        <v>4.32</v>
      </c>
      <c r="BE121" s="3">
        <v>4.21</v>
      </c>
      <c r="BG121" s="3">
        <f t="shared" si="74"/>
        <v>2017</v>
      </c>
      <c r="BH121" s="318">
        <v>42826</v>
      </c>
      <c r="BI121" s="3">
        <f t="shared" si="75"/>
        <v>9.0100000000000016</v>
      </c>
      <c r="BJ121" s="3">
        <v>9.1300000000000008</v>
      </c>
      <c r="BK121" s="3">
        <v>8.89</v>
      </c>
      <c r="BL121" s="412">
        <f t="shared" si="82"/>
        <v>2023</v>
      </c>
      <c r="BM121" s="427">
        <v>45200</v>
      </c>
      <c r="BN121" s="412">
        <f t="shared" si="68"/>
        <v>3.4526500000000002</v>
      </c>
      <c r="BO121" s="458">
        <v>3.5305</v>
      </c>
      <c r="BP121" s="458">
        <v>3.3748</v>
      </c>
      <c r="BQ121" s="469">
        <f t="shared" si="83"/>
        <v>2026</v>
      </c>
      <c r="BR121" s="473">
        <v>46296</v>
      </c>
      <c r="BS121" s="469">
        <f t="shared" si="71"/>
        <v>3.9433500000000001</v>
      </c>
      <c r="BT121" s="474">
        <v>4.1211000000000002</v>
      </c>
      <c r="BU121" s="474">
        <v>3.7656000000000001</v>
      </c>
    </row>
    <row r="122" spans="36:73">
      <c r="AJ122" s="3">
        <f t="shared" si="76"/>
        <v>2014</v>
      </c>
      <c r="AK122" s="345">
        <f t="shared" si="85"/>
        <v>41852</v>
      </c>
      <c r="AL122" s="122">
        <v>56.08</v>
      </c>
      <c r="AM122" s="122">
        <v>46.91</v>
      </c>
      <c r="AN122" s="319">
        <f t="shared" si="80"/>
        <v>52.136899999999997</v>
      </c>
      <c r="AO122" s="305">
        <v>416</v>
      </c>
      <c r="AP122" s="305">
        <v>328</v>
      </c>
      <c r="AQ122" s="305">
        <f t="shared" si="77"/>
        <v>0.55913978494623651</v>
      </c>
      <c r="AR122" s="305">
        <f t="shared" si="78"/>
        <v>0.44086021505376344</v>
      </c>
      <c r="AV122" s="3">
        <f t="shared" si="81"/>
        <v>2014</v>
      </c>
      <c r="AW122" s="343">
        <f t="shared" si="84"/>
        <v>41852</v>
      </c>
      <c r="AX122" s="121">
        <f t="shared" si="79"/>
        <v>6.6742359978249048</v>
      </c>
      <c r="AY122" s="122">
        <v>6.6742359978249048</v>
      </c>
      <c r="BA122" s="3">
        <f t="shared" si="72"/>
        <v>2013</v>
      </c>
      <c r="BB122" s="343">
        <v>41455</v>
      </c>
      <c r="BC122" s="3">
        <f t="shared" si="73"/>
        <v>4.335</v>
      </c>
      <c r="BD122" s="3">
        <v>4.3899999999999997</v>
      </c>
      <c r="BE122" s="3">
        <v>4.28</v>
      </c>
      <c r="BG122" s="3">
        <f t="shared" si="74"/>
        <v>2017</v>
      </c>
      <c r="BH122" s="318">
        <v>42856</v>
      </c>
      <c r="BI122" s="3">
        <f t="shared" si="75"/>
        <v>9.0100000000000016</v>
      </c>
      <c r="BJ122" s="3">
        <v>9.1300000000000008</v>
      </c>
      <c r="BK122" s="3">
        <v>8.89</v>
      </c>
      <c r="BL122" s="412">
        <f t="shared" si="82"/>
        <v>2023</v>
      </c>
      <c r="BM122" s="427">
        <v>45231</v>
      </c>
      <c r="BN122" s="412">
        <f t="shared" si="68"/>
        <v>3.8148999999999997</v>
      </c>
      <c r="BO122" s="458">
        <v>3.8702000000000001</v>
      </c>
      <c r="BP122" s="458">
        <v>3.7595999999999998</v>
      </c>
      <c r="BQ122" s="469">
        <f t="shared" si="83"/>
        <v>2026</v>
      </c>
      <c r="BR122" s="473">
        <v>46327</v>
      </c>
      <c r="BS122" s="469">
        <f t="shared" si="71"/>
        <v>4.2264499999999998</v>
      </c>
      <c r="BT122" s="474">
        <v>4.3975999999999997</v>
      </c>
      <c r="BU122" s="474">
        <v>4.0552999999999999</v>
      </c>
    </row>
    <row r="123" spans="36:73">
      <c r="AJ123" s="3">
        <f t="shared" si="76"/>
        <v>2014</v>
      </c>
      <c r="AK123" s="345">
        <f t="shared" si="85"/>
        <v>41883</v>
      </c>
      <c r="AL123" s="122">
        <v>55.52</v>
      </c>
      <c r="AM123" s="122">
        <v>43.9</v>
      </c>
      <c r="AN123" s="319">
        <f t="shared" si="80"/>
        <v>50.523399999999995</v>
      </c>
      <c r="AO123" s="305">
        <v>400</v>
      </c>
      <c r="AP123" s="305">
        <v>320</v>
      </c>
      <c r="AQ123" s="305">
        <f t="shared" si="77"/>
        <v>0.55555555555555558</v>
      </c>
      <c r="AR123" s="305">
        <f t="shared" si="78"/>
        <v>0.44444444444444442</v>
      </c>
      <c r="AV123" s="3">
        <f t="shared" si="81"/>
        <v>2014</v>
      </c>
      <c r="AW123" s="343">
        <f t="shared" si="84"/>
        <v>41883</v>
      </c>
      <c r="AX123" s="121">
        <f t="shared" si="79"/>
        <v>6.6742359978249048</v>
      </c>
      <c r="AY123" s="122">
        <v>6.6742359978249048</v>
      </c>
      <c r="BA123" s="3">
        <f t="shared" si="72"/>
        <v>2013</v>
      </c>
      <c r="BB123" s="343">
        <v>41486</v>
      </c>
      <c r="BC123" s="3">
        <f t="shared" si="73"/>
        <v>4.3949999999999996</v>
      </c>
      <c r="BD123" s="3">
        <v>4.45</v>
      </c>
      <c r="BE123" s="3">
        <v>4.34</v>
      </c>
      <c r="BG123" s="3">
        <f t="shared" si="74"/>
        <v>2017</v>
      </c>
      <c r="BH123" s="318">
        <v>42887</v>
      </c>
      <c r="BI123" s="3">
        <f t="shared" si="75"/>
        <v>9.1499999999999986</v>
      </c>
      <c r="BJ123" s="3">
        <v>9.27</v>
      </c>
      <c r="BK123" s="3">
        <v>9.0299999999999994</v>
      </c>
      <c r="BL123" s="412">
        <f t="shared" si="82"/>
        <v>2023</v>
      </c>
      <c r="BM123" s="427">
        <v>45261</v>
      </c>
      <c r="BN123" s="412">
        <f t="shared" si="68"/>
        <v>4.0483500000000001</v>
      </c>
      <c r="BO123" s="458">
        <v>4.0791000000000004</v>
      </c>
      <c r="BP123" s="458">
        <v>4.0175999999999998</v>
      </c>
      <c r="BQ123" s="469">
        <f t="shared" si="83"/>
        <v>2026</v>
      </c>
      <c r="BR123" s="473">
        <v>46357</v>
      </c>
      <c r="BS123" s="469">
        <f t="shared" si="71"/>
        <v>4.4502500000000005</v>
      </c>
      <c r="BT123" s="474">
        <v>4.5556000000000001</v>
      </c>
      <c r="BU123" s="474">
        <v>4.3449</v>
      </c>
    </row>
    <row r="124" spans="36:73">
      <c r="AJ124" s="3">
        <f t="shared" si="76"/>
        <v>2014</v>
      </c>
      <c r="AK124" s="345">
        <f t="shared" si="85"/>
        <v>41913</v>
      </c>
      <c r="AL124" s="122">
        <v>54.83</v>
      </c>
      <c r="AM124" s="122">
        <v>45.28</v>
      </c>
      <c r="AN124" s="319">
        <f t="shared" si="80"/>
        <v>50.723500000000001</v>
      </c>
      <c r="AO124" s="305">
        <v>432</v>
      </c>
      <c r="AP124" s="305">
        <v>312</v>
      </c>
      <c r="AQ124" s="305">
        <f t="shared" si="77"/>
        <v>0.58064516129032262</v>
      </c>
      <c r="AR124" s="305">
        <f t="shared" si="78"/>
        <v>0.41935483870967744</v>
      </c>
      <c r="AV124" s="3">
        <f t="shared" si="81"/>
        <v>2014</v>
      </c>
      <c r="AW124" s="343">
        <f t="shared" si="84"/>
        <v>41913</v>
      </c>
      <c r="AX124" s="121">
        <f t="shared" si="79"/>
        <v>6.9121370309951065</v>
      </c>
      <c r="AY124" s="122">
        <v>6.9121370309951065</v>
      </c>
      <c r="BA124" s="3">
        <f t="shared" si="72"/>
        <v>2013</v>
      </c>
      <c r="BB124" s="343">
        <v>41517</v>
      </c>
      <c r="BC124" s="3">
        <f t="shared" si="73"/>
        <v>4.3949999999999996</v>
      </c>
      <c r="BD124" s="3">
        <v>4.45</v>
      </c>
      <c r="BE124" s="3">
        <v>4.34</v>
      </c>
      <c r="BG124" s="3">
        <f t="shared" si="74"/>
        <v>2017</v>
      </c>
      <c r="BH124" s="318">
        <v>42917</v>
      </c>
      <c r="BI124" s="3">
        <f t="shared" si="75"/>
        <v>9.2949999999999999</v>
      </c>
      <c r="BJ124" s="3">
        <v>9.41</v>
      </c>
      <c r="BK124" s="3">
        <v>9.18</v>
      </c>
      <c r="BL124" s="412">
        <f t="shared" si="82"/>
        <v>2024</v>
      </c>
      <c r="BM124" s="427">
        <v>45292</v>
      </c>
      <c r="BN124" s="412">
        <f t="shared" si="68"/>
        <v>4.31325</v>
      </c>
      <c r="BO124" s="458">
        <v>4.3822999999999999</v>
      </c>
      <c r="BP124" s="458">
        <v>4.2442000000000002</v>
      </c>
      <c r="BQ124" s="469">
        <f t="shared" si="83"/>
        <v>2027</v>
      </c>
      <c r="BR124" s="473">
        <v>46388</v>
      </c>
      <c r="BS124" s="469">
        <f t="shared" si="71"/>
        <v>4.4943</v>
      </c>
      <c r="BT124" s="474">
        <v>4.5884999999999998</v>
      </c>
      <c r="BU124" s="474">
        <v>4.4001000000000001</v>
      </c>
    </row>
    <row r="125" spans="36:73">
      <c r="AJ125" s="3">
        <f t="shared" si="76"/>
        <v>2014</v>
      </c>
      <c r="AK125" s="345">
        <f t="shared" si="85"/>
        <v>41944</v>
      </c>
      <c r="AL125" s="122">
        <v>60.19</v>
      </c>
      <c r="AM125" s="122">
        <v>51.73</v>
      </c>
      <c r="AN125" s="319">
        <f t="shared" si="80"/>
        <v>56.552199999999999</v>
      </c>
      <c r="AO125" s="305">
        <v>384</v>
      </c>
      <c r="AP125" s="305">
        <v>336</v>
      </c>
      <c r="AQ125" s="305">
        <f t="shared" si="77"/>
        <v>0.53333333333333333</v>
      </c>
      <c r="AR125" s="305">
        <f t="shared" si="78"/>
        <v>0.46666666666666667</v>
      </c>
      <c r="AV125" s="3">
        <f t="shared" si="81"/>
        <v>2014</v>
      </c>
      <c r="AW125" s="343">
        <f t="shared" si="84"/>
        <v>41944</v>
      </c>
      <c r="AX125" s="121">
        <f t="shared" si="79"/>
        <v>7.0140946166394791</v>
      </c>
      <c r="AY125" s="122">
        <v>7.0140946166394791</v>
      </c>
      <c r="BA125" s="3">
        <f t="shared" si="72"/>
        <v>2013</v>
      </c>
      <c r="BB125" s="343">
        <v>41547</v>
      </c>
      <c r="BC125" s="3">
        <f t="shared" si="73"/>
        <v>4.3949999999999996</v>
      </c>
      <c r="BD125" s="3">
        <v>4.45</v>
      </c>
      <c r="BE125" s="3">
        <v>4.34</v>
      </c>
      <c r="BG125" s="3">
        <f t="shared" si="74"/>
        <v>2017</v>
      </c>
      <c r="BH125" s="318">
        <v>42948</v>
      </c>
      <c r="BI125" s="3">
        <f t="shared" si="75"/>
        <v>9.2949999999999999</v>
      </c>
      <c r="BJ125" s="3">
        <v>9.41</v>
      </c>
      <c r="BK125" s="3">
        <v>9.18</v>
      </c>
      <c r="BL125" s="412">
        <f t="shared" si="82"/>
        <v>2024</v>
      </c>
      <c r="BM125" s="427">
        <v>45323</v>
      </c>
      <c r="BN125" s="412">
        <f t="shared" si="68"/>
        <v>4.2567000000000004</v>
      </c>
      <c r="BO125" s="458">
        <v>4.2944000000000004</v>
      </c>
      <c r="BP125" s="458">
        <v>4.2190000000000003</v>
      </c>
      <c r="BQ125" s="469">
        <f t="shared" si="83"/>
        <v>2027</v>
      </c>
      <c r="BR125" s="473">
        <v>46419</v>
      </c>
      <c r="BS125" s="469">
        <f t="shared" si="71"/>
        <v>4.4741499999999998</v>
      </c>
      <c r="BT125" s="474">
        <v>4.6020000000000003</v>
      </c>
      <c r="BU125" s="474">
        <v>4.3463000000000003</v>
      </c>
    </row>
    <row r="126" spans="36:73">
      <c r="AJ126" s="3">
        <f t="shared" si="76"/>
        <v>2014</v>
      </c>
      <c r="AK126" s="345">
        <f t="shared" si="85"/>
        <v>41974</v>
      </c>
      <c r="AL126" s="122">
        <v>63.17</v>
      </c>
      <c r="AM126" s="122">
        <v>52.88</v>
      </c>
      <c r="AN126" s="319">
        <f t="shared" si="80"/>
        <v>58.7453</v>
      </c>
      <c r="AO126" s="305">
        <v>416</v>
      </c>
      <c r="AP126" s="305">
        <v>328</v>
      </c>
      <c r="AQ126" s="305">
        <f t="shared" si="77"/>
        <v>0.55913978494623651</v>
      </c>
      <c r="AR126" s="305">
        <f t="shared" si="78"/>
        <v>0.44086021505376344</v>
      </c>
      <c r="AV126" s="3">
        <f t="shared" si="81"/>
        <v>2014</v>
      </c>
      <c r="AW126" s="343">
        <f t="shared" si="84"/>
        <v>41974</v>
      </c>
      <c r="AX126" s="121">
        <f t="shared" si="79"/>
        <v>7.3505546492659057</v>
      </c>
      <c r="AY126" s="122">
        <v>7.3505546492659057</v>
      </c>
      <c r="BA126" s="3">
        <f t="shared" si="72"/>
        <v>2013</v>
      </c>
      <c r="BB126" s="343">
        <v>41578</v>
      </c>
      <c r="BC126" s="3">
        <f t="shared" si="73"/>
        <v>4.5600000000000005</v>
      </c>
      <c r="BD126" s="3">
        <v>4.58</v>
      </c>
      <c r="BE126" s="3">
        <v>4.54</v>
      </c>
      <c r="BG126" s="3">
        <f t="shared" si="74"/>
        <v>2017</v>
      </c>
      <c r="BH126" s="318">
        <v>42979</v>
      </c>
      <c r="BI126" s="3">
        <f t="shared" si="75"/>
        <v>9.2949999999999999</v>
      </c>
      <c r="BJ126" s="3">
        <v>9.41</v>
      </c>
      <c r="BK126" s="3">
        <v>9.18</v>
      </c>
      <c r="BL126" s="412">
        <f t="shared" si="82"/>
        <v>2024</v>
      </c>
      <c r="BM126" s="427">
        <v>45352</v>
      </c>
      <c r="BN126" s="412">
        <f t="shared" si="68"/>
        <v>3.9804499999999998</v>
      </c>
      <c r="BO126" s="458">
        <v>4.0180999999999996</v>
      </c>
      <c r="BP126" s="458">
        <v>3.9428000000000001</v>
      </c>
      <c r="BQ126" s="469">
        <f t="shared" si="83"/>
        <v>2027</v>
      </c>
      <c r="BR126" s="473">
        <v>46447</v>
      </c>
      <c r="BS126" s="469">
        <f t="shared" si="71"/>
        <v>4.0704500000000001</v>
      </c>
      <c r="BT126" s="474">
        <v>4.2521000000000004</v>
      </c>
      <c r="BU126" s="474">
        <v>3.8887999999999998</v>
      </c>
    </row>
    <row r="127" spans="36:73">
      <c r="AJ127" s="3">
        <f t="shared" si="76"/>
        <v>2015</v>
      </c>
      <c r="AK127" s="345">
        <f t="shared" si="85"/>
        <v>42005</v>
      </c>
      <c r="AL127" s="122">
        <v>64.599999999999994</v>
      </c>
      <c r="AM127" s="122">
        <v>53.15</v>
      </c>
      <c r="AN127" s="319">
        <f t="shared" si="80"/>
        <v>59.67649999999999</v>
      </c>
      <c r="AO127" s="305">
        <v>416</v>
      </c>
      <c r="AP127" s="305">
        <v>328</v>
      </c>
      <c r="AQ127" s="305">
        <f t="shared" si="77"/>
        <v>0.55913978494623651</v>
      </c>
      <c r="AR127" s="305">
        <f t="shared" si="78"/>
        <v>0.44086021505376344</v>
      </c>
      <c r="AV127" s="3">
        <f t="shared" si="81"/>
        <v>2015</v>
      </c>
      <c r="AW127" s="343">
        <f t="shared" si="84"/>
        <v>42005</v>
      </c>
      <c r="AX127" s="121">
        <f t="shared" si="79"/>
        <v>8.2749700924415439</v>
      </c>
      <c r="AY127" s="122">
        <v>8.2749700924415439</v>
      </c>
      <c r="BA127" s="3">
        <f t="shared" si="72"/>
        <v>2013</v>
      </c>
      <c r="BB127" s="343">
        <v>41608</v>
      </c>
      <c r="BC127" s="3">
        <f t="shared" si="73"/>
        <v>4.6300000000000008</v>
      </c>
      <c r="BD127" s="3">
        <v>4.6500000000000004</v>
      </c>
      <c r="BE127" s="3">
        <v>4.6100000000000003</v>
      </c>
      <c r="BG127" s="3">
        <f t="shared" si="74"/>
        <v>2017</v>
      </c>
      <c r="BH127" s="318">
        <v>43009</v>
      </c>
      <c r="BI127" s="3">
        <f t="shared" si="75"/>
        <v>9.6449999999999996</v>
      </c>
      <c r="BJ127" s="3">
        <v>9.69</v>
      </c>
      <c r="BK127" s="3">
        <v>9.6</v>
      </c>
      <c r="BL127" s="412">
        <f t="shared" si="82"/>
        <v>2024</v>
      </c>
      <c r="BM127" s="427">
        <v>45383</v>
      </c>
      <c r="BN127" s="412">
        <f t="shared" si="68"/>
        <v>3.6853499999999997</v>
      </c>
      <c r="BO127" s="458">
        <v>3.7544</v>
      </c>
      <c r="BP127" s="458">
        <v>3.6162999999999998</v>
      </c>
      <c r="BQ127" s="469">
        <f t="shared" si="83"/>
        <v>2027</v>
      </c>
      <c r="BR127" s="473">
        <v>46478</v>
      </c>
      <c r="BS127" s="469">
        <f t="shared" si="71"/>
        <v>3.7004000000000001</v>
      </c>
      <c r="BT127" s="474">
        <v>3.8887999999999998</v>
      </c>
      <c r="BU127" s="474">
        <v>3.512</v>
      </c>
    </row>
    <row r="128" spans="36:73">
      <c r="AJ128" s="3">
        <f t="shared" si="76"/>
        <v>2015</v>
      </c>
      <c r="AK128" s="345">
        <f t="shared" si="85"/>
        <v>42036</v>
      </c>
      <c r="AL128" s="122">
        <v>61.43</v>
      </c>
      <c r="AM128" s="122">
        <v>51.43</v>
      </c>
      <c r="AN128" s="319">
        <f t="shared" si="80"/>
        <v>57.129999999999995</v>
      </c>
      <c r="AO128" s="305">
        <v>384</v>
      </c>
      <c r="AP128" s="305">
        <v>288</v>
      </c>
      <c r="AQ128" s="305">
        <f t="shared" si="77"/>
        <v>0.5714285714285714</v>
      </c>
      <c r="AR128" s="305">
        <f t="shared" si="78"/>
        <v>0.42857142857142855</v>
      </c>
      <c r="AV128" s="3">
        <f t="shared" si="81"/>
        <v>2015</v>
      </c>
      <c r="AW128" s="343">
        <f t="shared" si="84"/>
        <v>42036</v>
      </c>
      <c r="AX128" s="121">
        <f t="shared" si="79"/>
        <v>7.7753779227841218</v>
      </c>
      <c r="AY128" s="122">
        <v>7.7753779227841218</v>
      </c>
      <c r="BA128" s="3">
        <f t="shared" si="72"/>
        <v>2013</v>
      </c>
      <c r="BB128" s="343">
        <v>41639</v>
      </c>
      <c r="BC128" s="3">
        <f t="shared" si="73"/>
        <v>4.8650000000000002</v>
      </c>
      <c r="BD128" s="3">
        <v>4.8499999999999996</v>
      </c>
      <c r="BE128" s="3">
        <v>4.88</v>
      </c>
      <c r="BG128" s="3">
        <f t="shared" si="74"/>
        <v>2017</v>
      </c>
      <c r="BH128" s="318">
        <v>43040</v>
      </c>
      <c r="BI128" s="3">
        <f t="shared" si="75"/>
        <v>9.7800000000000011</v>
      </c>
      <c r="BJ128" s="3">
        <v>9.82</v>
      </c>
      <c r="BK128" s="3">
        <v>9.74</v>
      </c>
      <c r="BL128" s="412">
        <f t="shared" si="82"/>
        <v>2024</v>
      </c>
      <c r="BM128" s="427">
        <v>45413</v>
      </c>
      <c r="BN128" s="412">
        <f t="shared" si="68"/>
        <v>3.6163499999999997</v>
      </c>
      <c r="BO128" s="458">
        <v>3.7418999999999998</v>
      </c>
      <c r="BP128" s="458">
        <v>3.4908000000000001</v>
      </c>
      <c r="BQ128" s="469">
        <f t="shared" si="83"/>
        <v>2027</v>
      </c>
      <c r="BR128" s="473">
        <v>46508</v>
      </c>
      <c r="BS128" s="469">
        <f t="shared" si="71"/>
        <v>3.6802000000000001</v>
      </c>
      <c r="BT128" s="474">
        <v>3.8483999999999998</v>
      </c>
      <c r="BU128" s="474">
        <v>3.512</v>
      </c>
    </row>
    <row r="129" spans="36:73">
      <c r="AJ129" s="3">
        <f t="shared" si="76"/>
        <v>2015</v>
      </c>
      <c r="AK129" s="345">
        <f t="shared" si="85"/>
        <v>42064</v>
      </c>
      <c r="AL129" s="122">
        <v>58.27</v>
      </c>
      <c r="AM129" s="122">
        <v>52.65</v>
      </c>
      <c r="AN129" s="319">
        <f t="shared" si="80"/>
        <v>55.853400000000001</v>
      </c>
      <c r="AO129" s="305">
        <v>416</v>
      </c>
      <c r="AP129" s="305">
        <v>328</v>
      </c>
      <c r="AQ129" s="305">
        <f t="shared" si="77"/>
        <v>0.55913978494623651</v>
      </c>
      <c r="AR129" s="305">
        <f t="shared" si="78"/>
        <v>0.44086021505376344</v>
      </c>
      <c r="AV129" s="3">
        <f t="shared" si="81"/>
        <v>2015</v>
      </c>
      <c r="AW129" s="343">
        <f t="shared" si="84"/>
        <v>42064</v>
      </c>
      <c r="AX129" s="121">
        <f t="shared" si="79"/>
        <v>7.3165687873844494</v>
      </c>
      <c r="AY129" s="122">
        <v>7.3165687873844494</v>
      </c>
      <c r="BA129" s="3">
        <f t="shared" si="72"/>
        <v>2014</v>
      </c>
      <c r="BB129" s="343">
        <v>41670</v>
      </c>
      <c r="BC129" s="3">
        <f t="shared" si="73"/>
        <v>5.4399999999999995</v>
      </c>
      <c r="BD129" s="3">
        <v>5.39</v>
      </c>
      <c r="BE129" s="3">
        <v>5.49</v>
      </c>
      <c r="BG129" s="3">
        <f t="shared" si="74"/>
        <v>2017</v>
      </c>
      <c r="BH129" s="318">
        <v>43070</v>
      </c>
      <c r="BI129" s="3">
        <f t="shared" si="75"/>
        <v>10.27</v>
      </c>
      <c r="BJ129" s="3">
        <v>10.24</v>
      </c>
      <c r="BK129" s="3">
        <v>10.3</v>
      </c>
      <c r="BL129" s="412">
        <f t="shared" si="82"/>
        <v>2024</v>
      </c>
      <c r="BM129" s="427">
        <v>45444</v>
      </c>
      <c r="BN129" s="412">
        <f t="shared" si="68"/>
        <v>3.6162999999999998</v>
      </c>
      <c r="BO129" s="458">
        <v>3.7292999999999998</v>
      </c>
      <c r="BP129" s="458">
        <v>3.5032999999999999</v>
      </c>
      <c r="BQ129" s="469">
        <f t="shared" si="83"/>
        <v>2027</v>
      </c>
      <c r="BR129" s="473">
        <v>46539</v>
      </c>
      <c r="BS129" s="469">
        <f t="shared" si="71"/>
        <v>3.7004000000000001</v>
      </c>
      <c r="BT129" s="474">
        <v>3.8753000000000002</v>
      </c>
      <c r="BU129" s="474">
        <v>3.5255000000000001</v>
      </c>
    </row>
    <row r="130" spans="36:73">
      <c r="AJ130" s="3">
        <f t="shared" si="76"/>
        <v>2015</v>
      </c>
      <c r="AK130" s="345">
        <f t="shared" si="85"/>
        <v>42095</v>
      </c>
      <c r="AL130" s="122">
        <v>53.61</v>
      </c>
      <c r="AM130" s="122">
        <v>49.9</v>
      </c>
      <c r="AN130" s="319">
        <f t="shared" si="80"/>
        <v>52.014699999999998</v>
      </c>
      <c r="AO130" s="305">
        <v>416</v>
      </c>
      <c r="AP130" s="305">
        <v>304</v>
      </c>
      <c r="AQ130" s="305">
        <f t="shared" si="77"/>
        <v>0.57777777777777772</v>
      </c>
      <c r="AR130" s="305">
        <f t="shared" si="78"/>
        <v>0.42222222222222222</v>
      </c>
      <c r="AV130" s="3">
        <f t="shared" si="81"/>
        <v>2015</v>
      </c>
      <c r="AW130" s="343">
        <f t="shared" si="84"/>
        <v>42095</v>
      </c>
      <c r="AX130" s="121">
        <f t="shared" si="79"/>
        <v>6.9223327895595439</v>
      </c>
      <c r="AY130" s="122">
        <v>6.9223327895595439</v>
      </c>
      <c r="BA130" s="3">
        <f t="shared" si="72"/>
        <v>2014</v>
      </c>
      <c r="BB130" s="343">
        <v>41698</v>
      </c>
      <c r="BC130" s="3">
        <f t="shared" si="73"/>
        <v>5.0600000000000005</v>
      </c>
      <c r="BD130" s="3">
        <v>5.04</v>
      </c>
      <c r="BE130" s="3">
        <v>5.08</v>
      </c>
      <c r="BG130" s="3">
        <f t="shared" si="74"/>
        <v>2018</v>
      </c>
      <c r="BH130" s="318">
        <v>43101</v>
      </c>
      <c r="BI130" s="3">
        <f t="shared" si="75"/>
        <v>12.93</v>
      </c>
      <c r="BJ130" s="3">
        <v>13.65</v>
      </c>
      <c r="BK130" s="3">
        <v>12.21</v>
      </c>
      <c r="BL130" s="412">
        <f t="shared" si="82"/>
        <v>2024</v>
      </c>
      <c r="BM130" s="427">
        <v>45474</v>
      </c>
      <c r="BN130" s="412">
        <f t="shared" si="68"/>
        <v>3.6288999999999998</v>
      </c>
      <c r="BO130" s="458">
        <v>3.7418999999999998</v>
      </c>
      <c r="BP130" s="458">
        <v>3.5158999999999998</v>
      </c>
      <c r="BQ130" s="469">
        <f t="shared" si="83"/>
        <v>2027</v>
      </c>
      <c r="BR130" s="473">
        <v>46569</v>
      </c>
      <c r="BS130" s="469">
        <f t="shared" si="71"/>
        <v>3.8282499999999997</v>
      </c>
      <c r="BT130" s="474">
        <v>3.9695</v>
      </c>
      <c r="BU130" s="474">
        <v>3.6869999999999998</v>
      </c>
    </row>
    <row r="131" spans="36:73">
      <c r="AJ131" s="3">
        <f t="shared" si="76"/>
        <v>2015</v>
      </c>
      <c r="AK131" s="345">
        <f t="shared" si="85"/>
        <v>42125</v>
      </c>
      <c r="AL131" s="122">
        <v>51.33</v>
      </c>
      <c r="AM131" s="122">
        <v>43.22</v>
      </c>
      <c r="AN131" s="319">
        <f t="shared" si="80"/>
        <v>47.842699999999994</v>
      </c>
      <c r="AO131" s="305">
        <v>400</v>
      </c>
      <c r="AP131" s="305">
        <v>344</v>
      </c>
      <c r="AQ131" s="305">
        <f t="shared" si="77"/>
        <v>0.5376344086021505</v>
      </c>
      <c r="AR131" s="305">
        <f t="shared" si="78"/>
        <v>0.46236559139784944</v>
      </c>
      <c r="AV131" s="3">
        <f t="shared" si="81"/>
        <v>2015</v>
      </c>
      <c r="AW131" s="343">
        <f t="shared" si="84"/>
        <v>42125</v>
      </c>
      <c r="AX131" s="121">
        <f t="shared" si="79"/>
        <v>6.8509624796084836</v>
      </c>
      <c r="AY131" s="122">
        <v>6.8509624796084836</v>
      </c>
      <c r="BA131" s="3">
        <f t="shared" si="72"/>
        <v>2014</v>
      </c>
      <c r="BB131" s="343">
        <v>41729</v>
      </c>
      <c r="BC131" s="3">
        <f t="shared" si="73"/>
        <v>4.75</v>
      </c>
      <c r="BD131" s="3">
        <v>4.7699999999999996</v>
      </c>
      <c r="BE131" s="3">
        <v>4.7300000000000004</v>
      </c>
      <c r="BG131" s="3">
        <f t="shared" si="74"/>
        <v>2018</v>
      </c>
      <c r="BH131" s="318">
        <v>43132</v>
      </c>
      <c r="BI131" s="3">
        <f t="shared" si="75"/>
        <v>12.04</v>
      </c>
      <c r="BJ131" s="3">
        <v>12.79</v>
      </c>
      <c r="BK131" s="3">
        <v>11.29</v>
      </c>
      <c r="BL131" s="412">
        <f t="shared" si="82"/>
        <v>2024</v>
      </c>
      <c r="BM131" s="427">
        <v>45505</v>
      </c>
      <c r="BN131" s="412">
        <f t="shared" ref="BN131:BN194" si="86">AVERAGE(BO131:BP131)</f>
        <v>3.7669999999999999</v>
      </c>
      <c r="BO131" s="458">
        <v>3.8422999999999998</v>
      </c>
      <c r="BP131" s="458">
        <v>3.6917</v>
      </c>
      <c r="BQ131" s="469">
        <f t="shared" si="83"/>
        <v>2027</v>
      </c>
      <c r="BR131" s="473">
        <v>46600</v>
      </c>
      <c r="BS131" s="469">
        <f t="shared" si="71"/>
        <v>3.8686499999999997</v>
      </c>
      <c r="BT131" s="474">
        <v>4.0233999999999996</v>
      </c>
      <c r="BU131" s="474">
        <v>3.7139000000000002</v>
      </c>
    </row>
    <row r="132" spans="36:73">
      <c r="AJ132" s="3">
        <f t="shared" si="76"/>
        <v>2015</v>
      </c>
      <c r="AK132" s="345">
        <f t="shared" si="85"/>
        <v>42156</v>
      </c>
      <c r="AL132" s="122">
        <v>53.35</v>
      </c>
      <c r="AM132" s="122">
        <v>41.68</v>
      </c>
      <c r="AN132" s="319">
        <f t="shared" si="80"/>
        <v>48.331899999999997</v>
      </c>
      <c r="AO132" s="305">
        <v>416</v>
      </c>
      <c r="AP132" s="305">
        <v>304</v>
      </c>
      <c r="AQ132" s="305">
        <f t="shared" si="77"/>
        <v>0.57777777777777772</v>
      </c>
      <c r="AR132" s="305">
        <f t="shared" si="78"/>
        <v>0.42222222222222222</v>
      </c>
      <c r="AV132" s="3">
        <f t="shared" si="81"/>
        <v>2015</v>
      </c>
      <c r="AW132" s="343">
        <f t="shared" si="84"/>
        <v>42156</v>
      </c>
      <c r="AX132" s="121">
        <f t="shared" si="79"/>
        <v>6.9631158238172919</v>
      </c>
      <c r="AY132" s="122">
        <v>6.9631158238172919</v>
      </c>
      <c r="BA132" s="3">
        <f t="shared" si="72"/>
        <v>2014</v>
      </c>
      <c r="BB132" s="343">
        <v>41759</v>
      </c>
      <c r="BC132" s="3">
        <f t="shared" si="73"/>
        <v>4.4399999999999995</v>
      </c>
      <c r="BD132" s="3">
        <v>4.5</v>
      </c>
      <c r="BE132" s="3">
        <v>4.38</v>
      </c>
      <c r="BG132" s="3">
        <f t="shared" si="74"/>
        <v>2018</v>
      </c>
      <c r="BH132" s="318">
        <v>43160</v>
      </c>
      <c r="BI132" s="3">
        <f t="shared" si="75"/>
        <v>11.305</v>
      </c>
      <c r="BJ132" s="3">
        <v>12.1</v>
      </c>
      <c r="BK132" s="3">
        <v>10.51</v>
      </c>
      <c r="BL132" s="412">
        <f t="shared" si="82"/>
        <v>2024</v>
      </c>
      <c r="BM132" s="427">
        <v>45536</v>
      </c>
      <c r="BN132" s="412">
        <f t="shared" si="86"/>
        <v>3.8486500000000001</v>
      </c>
      <c r="BO132" s="458">
        <v>3.8925999999999998</v>
      </c>
      <c r="BP132" s="458">
        <v>3.8047</v>
      </c>
      <c r="BQ132" s="469">
        <f t="shared" si="83"/>
        <v>2027</v>
      </c>
      <c r="BR132" s="473">
        <v>46631</v>
      </c>
      <c r="BS132" s="469">
        <f t="shared" si="71"/>
        <v>3.8080999999999996</v>
      </c>
      <c r="BT132" s="474">
        <v>4.0233999999999996</v>
      </c>
      <c r="BU132" s="474">
        <v>3.5928</v>
      </c>
    </row>
    <row r="133" spans="36:73">
      <c r="AJ133" s="3">
        <f t="shared" si="76"/>
        <v>2015</v>
      </c>
      <c r="AK133" s="345">
        <f t="shared" si="85"/>
        <v>42186</v>
      </c>
      <c r="AL133" s="122">
        <v>57.01</v>
      </c>
      <c r="AM133" s="122">
        <v>47.45</v>
      </c>
      <c r="AN133" s="319">
        <f t="shared" si="80"/>
        <v>52.8992</v>
      </c>
      <c r="AO133" s="305">
        <v>416</v>
      </c>
      <c r="AP133" s="305">
        <v>328</v>
      </c>
      <c r="AQ133" s="305">
        <f t="shared" si="77"/>
        <v>0.55913978494623651</v>
      </c>
      <c r="AR133" s="305">
        <f t="shared" si="78"/>
        <v>0.44086021505376344</v>
      </c>
      <c r="AV133" s="3">
        <f t="shared" si="81"/>
        <v>2015</v>
      </c>
      <c r="AW133" s="343">
        <f t="shared" si="84"/>
        <v>42186</v>
      </c>
      <c r="AX133" s="121">
        <f t="shared" si="79"/>
        <v>7.0650734094616654</v>
      </c>
      <c r="AY133" s="122">
        <v>7.0650734094616654</v>
      </c>
      <c r="BA133" s="3">
        <f t="shared" si="72"/>
        <v>2014</v>
      </c>
      <c r="BB133" s="343">
        <v>41790</v>
      </c>
      <c r="BC133" s="3">
        <f t="shared" si="73"/>
        <v>4.4399999999999995</v>
      </c>
      <c r="BD133" s="3">
        <v>4.5</v>
      </c>
      <c r="BE133" s="3">
        <v>4.38</v>
      </c>
      <c r="BG133" s="3">
        <f t="shared" si="74"/>
        <v>2018</v>
      </c>
      <c r="BH133" s="318">
        <v>43191</v>
      </c>
      <c r="BI133" s="3">
        <f t="shared" si="75"/>
        <v>10.574999999999999</v>
      </c>
      <c r="BJ133" s="3">
        <v>11.41</v>
      </c>
      <c r="BK133" s="3">
        <v>9.74</v>
      </c>
      <c r="BL133" s="412">
        <f t="shared" si="82"/>
        <v>2024</v>
      </c>
      <c r="BM133" s="427">
        <v>45566</v>
      </c>
      <c r="BN133" s="412">
        <f t="shared" si="86"/>
        <v>4.0557999999999996</v>
      </c>
      <c r="BO133" s="458">
        <v>4.1185999999999998</v>
      </c>
      <c r="BP133" s="458">
        <v>3.9929999999999999</v>
      </c>
      <c r="BQ133" s="469">
        <f t="shared" si="83"/>
        <v>2027</v>
      </c>
      <c r="BR133" s="473">
        <v>46661</v>
      </c>
      <c r="BS133" s="469">
        <f t="shared" si="71"/>
        <v>3.8484500000000001</v>
      </c>
      <c r="BT133" s="474">
        <v>4.0368000000000004</v>
      </c>
      <c r="BU133" s="474">
        <v>3.6600999999999999</v>
      </c>
    </row>
    <row r="134" spans="36:73">
      <c r="AJ134" s="3">
        <f t="shared" si="76"/>
        <v>2015</v>
      </c>
      <c r="AK134" s="345">
        <f t="shared" si="85"/>
        <v>42217</v>
      </c>
      <c r="AL134" s="122">
        <v>61.56</v>
      </c>
      <c r="AM134" s="122">
        <v>51.08</v>
      </c>
      <c r="AN134" s="319">
        <f t="shared" si="80"/>
        <v>57.053599999999996</v>
      </c>
      <c r="AO134" s="305">
        <v>416</v>
      </c>
      <c r="AP134" s="305">
        <v>328</v>
      </c>
      <c r="AQ134" s="305">
        <f t="shared" si="77"/>
        <v>0.55913978494623651</v>
      </c>
      <c r="AR134" s="305">
        <f t="shared" si="78"/>
        <v>0.44086021505376344</v>
      </c>
      <c r="AV134" s="3">
        <f t="shared" si="81"/>
        <v>2015</v>
      </c>
      <c r="AW134" s="343">
        <f t="shared" si="84"/>
        <v>42217</v>
      </c>
      <c r="AX134" s="121">
        <f t="shared" si="79"/>
        <v>7.0650734094616654</v>
      </c>
      <c r="AY134" s="122">
        <v>7.0650734094616654</v>
      </c>
      <c r="BA134" s="3">
        <f t="shared" si="72"/>
        <v>2014</v>
      </c>
      <c r="BB134" s="343">
        <v>41820</v>
      </c>
      <c r="BC134" s="3">
        <f t="shared" si="73"/>
        <v>4.51</v>
      </c>
      <c r="BD134" s="3">
        <v>4.57</v>
      </c>
      <c r="BE134" s="3">
        <v>4.45</v>
      </c>
      <c r="BG134" s="3">
        <f t="shared" si="74"/>
        <v>2018</v>
      </c>
      <c r="BH134" s="318">
        <v>43221</v>
      </c>
      <c r="BI134" s="3">
        <f t="shared" si="75"/>
        <v>10.574999999999999</v>
      </c>
      <c r="BJ134" s="3">
        <v>11.41</v>
      </c>
      <c r="BK134" s="3">
        <v>9.74</v>
      </c>
      <c r="BL134" s="412">
        <f t="shared" si="82"/>
        <v>2024</v>
      </c>
      <c r="BM134" s="427">
        <v>45597</v>
      </c>
      <c r="BN134" s="412">
        <f t="shared" si="86"/>
        <v>4.3697499999999998</v>
      </c>
      <c r="BO134" s="458">
        <v>4.4451000000000001</v>
      </c>
      <c r="BP134" s="458">
        <v>4.2944000000000004</v>
      </c>
      <c r="BQ134" s="469">
        <f t="shared" si="83"/>
        <v>2027</v>
      </c>
      <c r="BR134" s="473">
        <v>46692</v>
      </c>
      <c r="BS134" s="469">
        <f t="shared" si="71"/>
        <v>4.0772000000000004</v>
      </c>
      <c r="BT134" s="474">
        <v>4.2521000000000004</v>
      </c>
      <c r="BU134" s="474">
        <v>3.9022999999999999</v>
      </c>
    </row>
    <row r="135" spans="36:73">
      <c r="AJ135" s="3">
        <f t="shared" si="76"/>
        <v>2015</v>
      </c>
      <c r="AK135" s="345">
        <f t="shared" si="85"/>
        <v>42248</v>
      </c>
      <c r="AL135" s="122">
        <v>63.63</v>
      </c>
      <c r="AM135" s="122">
        <v>50.26</v>
      </c>
      <c r="AN135" s="319">
        <f t="shared" si="80"/>
        <v>57.880899999999997</v>
      </c>
      <c r="AO135" s="305">
        <v>400</v>
      </c>
      <c r="AP135" s="305">
        <v>320</v>
      </c>
      <c r="AQ135" s="305">
        <f t="shared" si="77"/>
        <v>0.55555555555555558</v>
      </c>
      <c r="AR135" s="305">
        <f t="shared" si="78"/>
        <v>0.44444444444444442</v>
      </c>
      <c r="AV135" s="3">
        <f t="shared" si="81"/>
        <v>2015</v>
      </c>
      <c r="AW135" s="343">
        <f t="shared" si="84"/>
        <v>42248</v>
      </c>
      <c r="AX135" s="121">
        <f t="shared" si="79"/>
        <v>7.0650734094616654</v>
      </c>
      <c r="AY135" s="122">
        <v>7.0650734094616654</v>
      </c>
      <c r="BA135" s="3">
        <f t="shared" si="72"/>
        <v>2014</v>
      </c>
      <c r="BB135" s="343">
        <v>41851</v>
      </c>
      <c r="BC135" s="3">
        <f t="shared" si="73"/>
        <v>4.58</v>
      </c>
      <c r="BD135" s="3">
        <v>4.6399999999999997</v>
      </c>
      <c r="BE135" s="3">
        <v>4.5199999999999996</v>
      </c>
      <c r="BG135" s="3">
        <f t="shared" si="74"/>
        <v>2018</v>
      </c>
      <c r="BH135" s="318">
        <v>43252</v>
      </c>
      <c r="BI135" s="3">
        <f t="shared" si="75"/>
        <v>10.734999999999999</v>
      </c>
      <c r="BJ135" s="3">
        <v>11.58</v>
      </c>
      <c r="BK135" s="3">
        <v>9.89</v>
      </c>
      <c r="BL135" s="412">
        <f t="shared" si="82"/>
        <v>2024</v>
      </c>
      <c r="BM135" s="427">
        <v>45627</v>
      </c>
      <c r="BN135" s="412">
        <f t="shared" si="86"/>
        <v>4.3069000000000006</v>
      </c>
      <c r="BO135" s="458">
        <v>4.4199000000000002</v>
      </c>
      <c r="BP135" s="458">
        <v>4.1939000000000002</v>
      </c>
      <c r="BQ135" s="469">
        <f t="shared" si="83"/>
        <v>2027</v>
      </c>
      <c r="BR135" s="473">
        <v>46722</v>
      </c>
      <c r="BS135" s="469">
        <f t="shared" si="71"/>
        <v>4.35975</v>
      </c>
      <c r="BT135" s="474">
        <v>4.4673999999999996</v>
      </c>
      <c r="BU135" s="474">
        <v>4.2521000000000004</v>
      </c>
    </row>
    <row r="136" spans="36:73">
      <c r="AJ136" s="3">
        <f t="shared" si="76"/>
        <v>2015</v>
      </c>
      <c r="AK136" s="345">
        <f t="shared" si="85"/>
        <v>42278</v>
      </c>
      <c r="AL136" s="122">
        <v>57.59</v>
      </c>
      <c r="AM136" s="122">
        <v>45.7</v>
      </c>
      <c r="AN136" s="319">
        <f t="shared" si="80"/>
        <v>52.4773</v>
      </c>
      <c r="AO136" s="305">
        <v>432</v>
      </c>
      <c r="AP136" s="305">
        <v>312</v>
      </c>
      <c r="AQ136" s="305">
        <f t="shared" si="77"/>
        <v>0.58064516129032262</v>
      </c>
      <c r="AR136" s="305">
        <f t="shared" si="78"/>
        <v>0.41935483870967744</v>
      </c>
      <c r="AV136" s="3">
        <f t="shared" si="81"/>
        <v>2015</v>
      </c>
      <c r="AW136" s="343">
        <f t="shared" si="84"/>
        <v>42278</v>
      </c>
      <c r="AX136" s="121">
        <f t="shared" si="79"/>
        <v>7.3165687873844494</v>
      </c>
      <c r="AY136" s="122">
        <v>7.3165687873844494</v>
      </c>
      <c r="BA136" s="3">
        <f t="shared" si="72"/>
        <v>2014</v>
      </c>
      <c r="BB136" s="343">
        <v>41882</v>
      </c>
      <c r="BC136" s="3">
        <f t="shared" si="73"/>
        <v>4.58</v>
      </c>
      <c r="BD136" s="3">
        <v>4.6399999999999997</v>
      </c>
      <c r="BE136" s="3">
        <v>4.5199999999999996</v>
      </c>
      <c r="BG136" s="3">
        <f t="shared" si="74"/>
        <v>2018</v>
      </c>
      <c r="BH136" s="318">
        <v>43282</v>
      </c>
      <c r="BI136" s="3">
        <f t="shared" si="75"/>
        <v>10.9</v>
      </c>
      <c r="BJ136" s="3">
        <v>11.75</v>
      </c>
      <c r="BK136" s="3">
        <v>10.050000000000001</v>
      </c>
      <c r="BL136" s="412">
        <f t="shared" si="82"/>
        <v>2025</v>
      </c>
      <c r="BM136" s="427">
        <v>45658</v>
      </c>
      <c r="BN136" s="412">
        <f t="shared" si="86"/>
        <v>4.4722500000000007</v>
      </c>
      <c r="BO136" s="458">
        <v>4.53</v>
      </c>
      <c r="BP136" s="458">
        <v>4.4145000000000003</v>
      </c>
      <c r="BQ136" s="469">
        <f t="shared" si="83"/>
        <v>2028</v>
      </c>
      <c r="BR136" s="473">
        <v>46753</v>
      </c>
      <c r="BS136" s="469">
        <f t="shared" si="71"/>
        <v>4.3800500000000007</v>
      </c>
      <c r="BT136" s="474">
        <v>4.4969000000000001</v>
      </c>
      <c r="BU136" s="474">
        <v>4.2632000000000003</v>
      </c>
    </row>
    <row r="137" spans="36:73">
      <c r="AJ137" s="3">
        <f t="shared" si="76"/>
        <v>2015</v>
      </c>
      <c r="AK137" s="345">
        <f t="shared" si="85"/>
        <v>42309</v>
      </c>
      <c r="AL137" s="122">
        <v>63.29</v>
      </c>
      <c r="AM137" s="122">
        <v>54.41</v>
      </c>
      <c r="AN137" s="319">
        <f t="shared" si="80"/>
        <v>59.471599999999995</v>
      </c>
      <c r="AO137" s="305">
        <v>384</v>
      </c>
      <c r="AP137" s="305">
        <v>336</v>
      </c>
      <c r="AQ137" s="305">
        <f t="shared" si="77"/>
        <v>0.53333333333333333</v>
      </c>
      <c r="AR137" s="305">
        <f t="shared" si="78"/>
        <v>0.46666666666666667</v>
      </c>
      <c r="AV137" s="3">
        <f t="shared" si="81"/>
        <v>2015</v>
      </c>
      <c r="AW137" s="343">
        <f t="shared" si="84"/>
        <v>42309</v>
      </c>
      <c r="AX137" s="121">
        <f t="shared" si="79"/>
        <v>7.421924959216966</v>
      </c>
      <c r="AY137" s="122">
        <v>7.421924959216966</v>
      </c>
      <c r="BA137" s="3">
        <f t="shared" si="72"/>
        <v>2014</v>
      </c>
      <c r="BB137" s="343">
        <v>41912</v>
      </c>
      <c r="BC137" s="3">
        <f t="shared" si="73"/>
        <v>4.58</v>
      </c>
      <c r="BD137" s="3">
        <v>4.6399999999999997</v>
      </c>
      <c r="BE137" s="3">
        <v>4.5199999999999996</v>
      </c>
      <c r="BG137" s="3">
        <f t="shared" si="74"/>
        <v>2018</v>
      </c>
      <c r="BH137" s="318">
        <v>43313</v>
      </c>
      <c r="BI137" s="3">
        <f t="shared" si="75"/>
        <v>10.9</v>
      </c>
      <c r="BJ137" s="3">
        <v>11.75</v>
      </c>
      <c r="BK137" s="3">
        <v>10.050000000000001</v>
      </c>
      <c r="BL137" s="412">
        <f t="shared" si="82"/>
        <v>2025</v>
      </c>
      <c r="BM137" s="427">
        <v>45689</v>
      </c>
      <c r="BN137" s="412">
        <f t="shared" si="86"/>
        <v>4.5107999999999997</v>
      </c>
      <c r="BO137" s="458">
        <v>4.5556999999999999</v>
      </c>
      <c r="BP137" s="458">
        <v>4.4659000000000004</v>
      </c>
      <c r="BQ137" s="469">
        <f t="shared" si="83"/>
        <v>2028</v>
      </c>
      <c r="BR137" s="473">
        <v>46784</v>
      </c>
      <c r="BS137" s="469">
        <f t="shared" si="71"/>
        <v>4.3250500000000001</v>
      </c>
      <c r="BT137" s="474">
        <v>4.4832000000000001</v>
      </c>
      <c r="BU137" s="474">
        <v>4.1669</v>
      </c>
    </row>
    <row r="138" spans="36:73">
      <c r="AJ138" s="3">
        <f t="shared" si="76"/>
        <v>2015</v>
      </c>
      <c r="AK138" s="345">
        <f t="shared" si="85"/>
        <v>42339</v>
      </c>
      <c r="AL138" s="122">
        <v>68.81</v>
      </c>
      <c r="AM138" s="122">
        <v>57.92</v>
      </c>
      <c r="AN138" s="319">
        <f t="shared" si="80"/>
        <v>64.127299999999991</v>
      </c>
      <c r="AO138" s="305">
        <v>416</v>
      </c>
      <c r="AP138" s="305">
        <v>328</v>
      </c>
      <c r="AQ138" s="305">
        <f t="shared" si="77"/>
        <v>0.55913978494623651</v>
      </c>
      <c r="AR138" s="305">
        <f t="shared" si="78"/>
        <v>0.44086021505376344</v>
      </c>
      <c r="AV138" s="3">
        <f t="shared" si="81"/>
        <v>2015</v>
      </c>
      <c r="AW138" s="343">
        <f t="shared" si="84"/>
        <v>42339</v>
      </c>
      <c r="AX138" s="121">
        <f t="shared" si="79"/>
        <v>7.7753779227841218</v>
      </c>
      <c r="AY138" s="122">
        <v>7.7753779227841218</v>
      </c>
      <c r="BA138" s="3">
        <f t="shared" si="72"/>
        <v>2014</v>
      </c>
      <c r="BB138" s="343">
        <v>41943</v>
      </c>
      <c r="BC138" s="3">
        <f t="shared" si="73"/>
        <v>4.75</v>
      </c>
      <c r="BD138" s="3">
        <v>4.7699999999999996</v>
      </c>
      <c r="BE138" s="3">
        <v>4.7300000000000004</v>
      </c>
      <c r="BG138" s="3">
        <f t="shared" si="74"/>
        <v>2018</v>
      </c>
      <c r="BH138" s="318">
        <v>43344</v>
      </c>
      <c r="BI138" s="3">
        <f t="shared" si="75"/>
        <v>10.9</v>
      </c>
      <c r="BJ138" s="3">
        <v>11.75</v>
      </c>
      <c r="BK138" s="3">
        <v>10.050000000000001</v>
      </c>
      <c r="BL138" s="412">
        <f t="shared" si="82"/>
        <v>2025</v>
      </c>
      <c r="BM138" s="427">
        <v>45717</v>
      </c>
      <c r="BN138" s="412">
        <f t="shared" si="86"/>
        <v>4.3375000000000004</v>
      </c>
      <c r="BO138" s="458">
        <v>4.3760000000000003</v>
      </c>
      <c r="BP138" s="458">
        <v>4.2990000000000004</v>
      </c>
      <c r="BQ138" s="469">
        <f t="shared" si="83"/>
        <v>2028</v>
      </c>
      <c r="BR138" s="473">
        <v>46813</v>
      </c>
      <c r="BS138" s="469">
        <f t="shared" si="71"/>
        <v>3.9812000000000003</v>
      </c>
      <c r="BT138" s="474">
        <v>4.1531000000000002</v>
      </c>
      <c r="BU138" s="474">
        <v>3.8092999999999999</v>
      </c>
    </row>
    <row r="139" spans="36:73">
      <c r="AJ139" s="3">
        <f t="shared" si="76"/>
        <v>2016</v>
      </c>
      <c r="AK139" s="345">
        <f t="shared" si="85"/>
        <v>42370</v>
      </c>
      <c r="AL139" s="122">
        <v>70.930000000000007</v>
      </c>
      <c r="AM139" s="122">
        <v>56.19</v>
      </c>
      <c r="AN139" s="319">
        <f t="shared" si="80"/>
        <v>64.591800000000006</v>
      </c>
      <c r="AO139" s="305">
        <v>400</v>
      </c>
      <c r="AP139" s="305">
        <v>344</v>
      </c>
      <c r="AQ139" s="305">
        <f t="shared" si="77"/>
        <v>0.5376344086021505</v>
      </c>
      <c r="AR139" s="305">
        <f t="shared" si="78"/>
        <v>0.46236559139784944</v>
      </c>
      <c r="AV139" s="3">
        <f t="shared" si="81"/>
        <v>2016</v>
      </c>
      <c r="AW139" s="343">
        <f t="shared" si="84"/>
        <v>42370</v>
      </c>
      <c r="AX139" s="121">
        <f t="shared" si="79"/>
        <v>8.9546873300706888</v>
      </c>
      <c r="AY139" s="122">
        <v>8.9546873300706888</v>
      </c>
      <c r="BA139" s="3">
        <f t="shared" si="72"/>
        <v>2014</v>
      </c>
      <c r="BB139" s="343">
        <v>41973</v>
      </c>
      <c r="BC139" s="3">
        <f t="shared" si="73"/>
        <v>4.82</v>
      </c>
      <c r="BD139" s="3">
        <v>4.84</v>
      </c>
      <c r="BE139" s="3">
        <v>4.8</v>
      </c>
      <c r="BG139" s="3">
        <f t="shared" si="74"/>
        <v>2018</v>
      </c>
      <c r="BH139" s="318">
        <v>43374</v>
      </c>
      <c r="BI139" s="3">
        <f t="shared" si="75"/>
        <v>11.305</v>
      </c>
      <c r="BJ139" s="3">
        <v>12.1</v>
      </c>
      <c r="BK139" s="3">
        <v>10.51</v>
      </c>
      <c r="BL139" s="412">
        <f t="shared" si="82"/>
        <v>2025</v>
      </c>
      <c r="BM139" s="427">
        <v>45748</v>
      </c>
      <c r="BN139" s="412">
        <f t="shared" si="86"/>
        <v>4.1578999999999997</v>
      </c>
      <c r="BO139" s="458">
        <v>4.2348999999999997</v>
      </c>
      <c r="BP139" s="458">
        <v>4.0808999999999997</v>
      </c>
      <c r="BQ139" s="469">
        <f t="shared" si="83"/>
        <v>2028</v>
      </c>
      <c r="BR139" s="473">
        <v>46844</v>
      </c>
      <c r="BS139" s="469">
        <f t="shared" si="71"/>
        <v>3.6030500000000001</v>
      </c>
      <c r="BT139" s="474">
        <v>3.7818000000000001</v>
      </c>
      <c r="BU139" s="474">
        <v>3.4243000000000001</v>
      </c>
    </row>
    <row r="140" spans="36:73">
      <c r="AJ140" s="3">
        <f t="shared" si="76"/>
        <v>2016</v>
      </c>
      <c r="AK140" s="345">
        <f t="shared" si="85"/>
        <v>42401</v>
      </c>
      <c r="AL140" s="122">
        <v>71.5</v>
      </c>
      <c r="AM140" s="122">
        <v>61.63</v>
      </c>
      <c r="AN140" s="319">
        <f t="shared" si="80"/>
        <v>67.255899999999997</v>
      </c>
      <c r="AO140" s="305">
        <v>400</v>
      </c>
      <c r="AP140" s="305">
        <v>296</v>
      </c>
      <c r="AQ140" s="305">
        <f t="shared" si="77"/>
        <v>0.57471264367816088</v>
      </c>
      <c r="AR140" s="305">
        <f t="shared" si="78"/>
        <v>0.42528735632183906</v>
      </c>
      <c r="AV140" s="3">
        <f t="shared" si="81"/>
        <v>2016</v>
      </c>
      <c r="AW140" s="343">
        <f t="shared" si="84"/>
        <v>42401</v>
      </c>
      <c r="AX140" s="121">
        <f t="shared" si="79"/>
        <v>8.4177107123436645</v>
      </c>
      <c r="AY140" s="122">
        <v>8.4177107123436645</v>
      </c>
      <c r="BA140" s="3">
        <f t="shared" si="72"/>
        <v>2014</v>
      </c>
      <c r="BB140" s="343">
        <v>42004</v>
      </c>
      <c r="BC140" s="3">
        <f t="shared" si="73"/>
        <v>5.0600000000000005</v>
      </c>
      <c r="BD140" s="3">
        <v>5.04</v>
      </c>
      <c r="BE140" s="3">
        <v>5.08</v>
      </c>
      <c r="BG140" s="3">
        <f t="shared" si="74"/>
        <v>2018</v>
      </c>
      <c r="BH140" s="318">
        <v>43405</v>
      </c>
      <c r="BI140" s="3">
        <f t="shared" si="75"/>
        <v>11.469999999999999</v>
      </c>
      <c r="BJ140" s="3">
        <v>12.27</v>
      </c>
      <c r="BK140" s="3">
        <v>10.67</v>
      </c>
      <c r="BL140" s="412">
        <f t="shared" si="82"/>
        <v>2025</v>
      </c>
      <c r="BM140" s="427">
        <v>45778</v>
      </c>
      <c r="BN140" s="412">
        <f t="shared" si="86"/>
        <v>3.8755499999999996</v>
      </c>
      <c r="BO140" s="458">
        <v>4.0038999999999998</v>
      </c>
      <c r="BP140" s="458">
        <v>3.7471999999999999</v>
      </c>
      <c r="BQ140" s="469">
        <f t="shared" si="83"/>
        <v>2028</v>
      </c>
      <c r="BR140" s="473">
        <v>46874</v>
      </c>
      <c r="BS140" s="469">
        <f t="shared" si="71"/>
        <v>3.6168</v>
      </c>
      <c r="BT140" s="474">
        <v>3.7955999999999999</v>
      </c>
      <c r="BU140" s="474">
        <v>3.4380000000000002</v>
      </c>
    </row>
    <row r="141" spans="36:73">
      <c r="AJ141" s="3">
        <f t="shared" si="76"/>
        <v>2016</v>
      </c>
      <c r="AK141" s="345">
        <f t="shared" si="85"/>
        <v>42430</v>
      </c>
      <c r="AL141" s="122">
        <v>63.74</v>
      </c>
      <c r="AM141" s="122">
        <v>55.85</v>
      </c>
      <c r="AN141" s="319">
        <f t="shared" si="80"/>
        <v>60.347300000000004</v>
      </c>
      <c r="AO141" s="305">
        <v>432</v>
      </c>
      <c r="AP141" s="305">
        <v>312</v>
      </c>
      <c r="AQ141" s="305">
        <f t="shared" si="77"/>
        <v>0.58064516129032262</v>
      </c>
      <c r="AR141" s="305">
        <f t="shared" si="78"/>
        <v>0.41935483870967744</v>
      </c>
      <c r="AV141" s="3">
        <f t="shared" si="81"/>
        <v>2016</v>
      </c>
      <c r="AW141" s="343">
        <f t="shared" si="84"/>
        <v>42430</v>
      </c>
      <c r="AX141" s="121">
        <f t="shared" si="79"/>
        <v>7.9181185426862433</v>
      </c>
      <c r="AY141" s="122">
        <v>7.9181185426862433</v>
      </c>
      <c r="BA141" s="3">
        <f t="shared" si="72"/>
        <v>2015</v>
      </c>
      <c r="BB141" s="343">
        <v>42035</v>
      </c>
      <c r="BC141" s="3">
        <f t="shared" si="73"/>
        <v>5.5549999999999997</v>
      </c>
      <c r="BD141" s="3">
        <v>5.5</v>
      </c>
      <c r="BE141" s="3">
        <v>5.61</v>
      </c>
      <c r="BG141" s="3">
        <f t="shared" si="74"/>
        <v>2018</v>
      </c>
      <c r="BH141" s="318">
        <v>43435</v>
      </c>
      <c r="BI141" s="3">
        <f t="shared" si="75"/>
        <v>12.04</v>
      </c>
      <c r="BJ141" s="3">
        <v>12.79</v>
      </c>
      <c r="BK141" s="3">
        <v>11.29</v>
      </c>
      <c r="BL141" s="412">
        <f t="shared" si="82"/>
        <v>2025</v>
      </c>
      <c r="BM141" s="427">
        <v>45809</v>
      </c>
      <c r="BN141" s="412">
        <f t="shared" si="86"/>
        <v>3.8434499999999998</v>
      </c>
      <c r="BO141" s="458">
        <v>3.9910000000000001</v>
      </c>
      <c r="BP141" s="458">
        <v>3.6959</v>
      </c>
      <c r="BQ141" s="469">
        <f t="shared" si="83"/>
        <v>2028</v>
      </c>
      <c r="BR141" s="473">
        <v>46905</v>
      </c>
      <c r="BS141" s="469">
        <f t="shared" si="71"/>
        <v>3.6580500000000002</v>
      </c>
      <c r="BT141" s="474">
        <v>3.8231000000000002</v>
      </c>
      <c r="BU141" s="474">
        <v>3.4929999999999999</v>
      </c>
    </row>
    <row r="142" spans="36:73">
      <c r="AJ142" s="3">
        <f t="shared" si="76"/>
        <v>2016</v>
      </c>
      <c r="AK142" s="345">
        <f t="shared" si="85"/>
        <v>42461</v>
      </c>
      <c r="AL142" s="122">
        <v>58.89</v>
      </c>
      <c r="AM142" s="122">
        <v>52.61</v>
      </c>
      <c r="AN142" s="319">
        <f t="shared" si="80"/>
        <v>56.189599999999999</v>
      </c>
      <c r="AO142" s="305">
        <v>416</v>
      </c>
      <c r="AP142" s="305">
        <v>304</v>
      </c>
      <c r="AQ142" s="305">
        <f t="shared" si="77"/>
        <v>0.57777777777777772</v>
      </c>
      <c r="AR142" s="305">
        <f t="shared" si="78"/>
        <v>0.42222222222222222</v>
      </c>
      <c r="AV142" s="3">
        <f t="shared" si="81"/>
        <v>2016</v>
      </c>
      <c r="AW142" s="343">
        <f t="shared" si="84"/>
        <v>42461</v>
      </c>
      <c r="AX142" s="121">
        <f t="shared" si="79"/>
        <v>7.4966938553561722</v>
      </c>
      <c r="AY142" s="122">
        <v>7.4966938553561722</v>
      </c>
      <c r="BA142" s="3">
        <f t="shared" si="72"/>
        <v>2015</v>
      </c>
      <c r="BB142" s="343">
        <v>42063</v>
      </c>
      <c r="BC142" s="3">
        <f t="shared" si="73"/>
        <v>5.17</v>
      </c>
      <c r="BD142" s="3">
        <v>5.15</v>
      </c>
      <c r="BE142" s="3">
        <v>5.19</v>
      </c>
      <c r="BG142" s="3">
        <f t="shared" si="74"/>
        <v>2019</v>
      </c>
      <c r="BH142" s="318">
        <v>43466</v>
      </c>
      <c r="BI142" s="3">
        <f t="shared" si="75"/>
        <v>13.445</v>
      </c>
      <c r="BJ142" s="3">
        <v>14.16</v>
      </c>
      <c r="BK142" s="3">
        <v>12.73</v>
      </c>
      <c r="BL142" s="412">
        <f t="shared" si="82"/>
        <v>2025</v>
      </c>
      <c r="BM142" s="427">
        <v>45839</v>
      </c>
      <c r="BN142" s="412">
        <f t="shared" si="86"/>
        <v>3.8819499999999998</v>
      </c>
      <c r="BO142" s="458">
        <v>4.0038999999999998</v>
      </c>
      <c r="BP142" s="458">
        <v>3.76</v>
      </c>
      <c r="BQ142" s="469">
        <f t="shared" si="83"/>
        <v>2028</v>
      </c>
      <c r="BR142" s="473">
        <v>46935</v>
      </c>
      <c r="BS142" s="469">
        <f t="shared" si="71"/>
        <v>3.77495</v>
      </c>
      <c r="BT142" s="474">
        <v>3.9331</v>
      </c>
      <c r="BU142" s="474">
        <v>3.6168</v>
      </c>
    </row>
    <row r="143" spans="36:73">
      <c r="AJ143" s="3">
        <f t="shared" si="76"/>
        <v>2016</v>
      </c>
      <c r="AK143" s="345">
        <f t="shared" si="85"/>
        <v>42491</v>
      </c>
      <c r="AL143" s="122">
        <v>55.45</v>
      </c>
      <c r="AM143" s="122">
        <v>43.74</v>
      </c>
      <c r="AN143" s="319">
        <f t="shared" si="80"/>
        <v>50.414699999999996</v>
      </c>
      <c r="AO143" s="305">
        <v>400</v>
      </c>
      <c r="AP143" s="305">
        <v>344</v>
      </c>
      <c r="AQ143" s="305">
        <f t="shared" si="77"/>
        <v>0.5376344086021505</v>
      </c>
      <c r="AR143" s="305">
        <f t="shared" si="78"/>
        <v>0.46236559139784944</v>
      </c>
      <c r="AV143" s="3">
        <f t="shared" si="81"/>
        <v>2016</v>
      </c>
      <c r="AW143" s="343">
        <f t="shared" si="84"/>
        <v>42491</v>
      </c>
      <c r="AX143" s="121">
        <f t="shared" si="79"/>
        <v>7.4185263730288202</v>
      </c>
      <c r="AY143" s="122">
        <v>7.4185263730288202</v>
      </c>
      <c r="BA143" s="3">
        <f t="shared" si="72"/>
        <v>2015</v>
      </c>
      <c r="BB143" s="343">
        <v>42094</v>
      </c>
      <c r="BC143" s="3">
        <f t="shared" si="73"/>
        <v>4.8499999999999996</v>
      </c>
      <c r="BD143" s="3">
        <v>4.87</v>
      </c>
      <c r="BE143" s="3">
        <v>4.83</v>
      </c>
      <c r="BG143" s="3">
        <f t="shared" si="74"/>
        <v>2019</v>
      </c>
      <c r="BH143" s="318">
        <v>43497</v>
      </c>
      <c r="BI143" s="3">
        <f t="shared" si="75"/>
        <v>12.515000000000001</v>
      </c>
      <c r="BJ143" s="3">
        <v>13.27</v>
      </c>
      <c r="BK143" s="3">
        <v>11.76</v>
      </c>
      <c r="BL143" s="412">
        <f t="shared" si="82"/>
        <v>2025</v>
      </c>
      <c r="BM143" s="427">
        <v>45870</v>
      </c>
      <c r="BN143" s="412">
        <f t="shared" si="86"/>
        <v>4.0038499999999999</v>
      </c>
      <c r="BO143" s="458">
        <v>4.0937000000000001</v>
      </c>
      <c r="BP143" s="458">
        <v>3.9140000000000001</v>
      </c>
      <c r="BQ143" s="469">
        <f t="shared" si="83"/>
        <v>2028</v>
      </c>
      <c r="BR143" s="473">
        <v>46966</v>
      </c>
      <c r="BS143" s="469">
        <f t="shared" si="71"/>
        <v>3.8162000000000003</v>
      </c>
      <c r="BT143" s="474">
        <v>3.9881000000000002</v>
      </c>
      <c r="BU143" s="474">
        <v>3.6442999999999999</v>
      </c>
    </row>
    <row r="144" spans="36:73">
      <c r="AJ144" s="3">
        <f t="shared" si="76"/>
        <v>2016</v>
      </c>
      <c r="AK144" s="345">
        <f t="shared" si="85"/>
        <v>42522</v>
      </c>
      <c r="AL144" s="122">
        <v>60.8</v>
      </c>
      <c r="AM144" s="122">
        <v>43.73</v>
      </c>
      <c r="AN144" s="319">
        <f t="shared" si="80"/>
        <v>53.459899999999998</v>
      </c>
      <c r="AO144" s="305">
        <v>416</v>
      </c>
      <c r="AP144" s="305">
        <v>304</v>
      </c>
      <c r="AQ144" s="305">
        <f t="shared" si="77"/>
        <v>0.57777777777777772</v>
      </c>
      <c r="AR144" s="305">
        <f t="shared" si="78"/>
        <v>0.42222222222222222</v>
      </c>
      <c r="AV144" s="3">
        <f t="shared" si="81"/>
        <v>2016</v>
      </c>
      <c r="AW144" s="343">
        <f t="shared" si="84"/>
        <v>42522</v>
      </c>
      <c r="AX144" s="121">
        <f t="shared" si="79"/>
        <v>7.5306797172376294</v>
      </c>
      <c r="AY144" s="122">
        <v>7.5306797172376294</v>
      </c>
      <c r="BA144" s="3">
        <f t="shared" si="72"/>
        <v>2015</v>
      </c>
      <c r="BB144" s="343">
        <v>42124</v>
      </c>
      <c r="BC144" s="3">
        <f t="shared" si="73"/>
        <v>4.5350000000000001</v>
      </c>
      <c r="BD144" s="3">
        <v>4.59</v>
      </c>
      <c r="BE144" s="3">
        <v>4.4800000000000004</v>
      </c>
      <c r="BG144" s="3">
        <f t="shared" si="74"/>
        <v>2019</v>
      </c>
      <c r="BH144" s="318">
        <v>43525</v>
      </c>
      <c r="BI144" s="3">
        <f t="shared" si="75"/>
        <v>11.75</v>
      </c>
      <c r="BJ144" s="3">
        <v>12.55</v>
      </c>
      <c r="BK144" s="3">
        <v>10.95</v>
      </c>
      <c r="BL144" s="412">
        <f t="shared" si="82"/>
        <v>2025</v>
      </c>
      <c r="BM144" s="427">
        <v>45901</v>
      </c>
      <c r="BN144" s="412">
        <f t="shared" si="86"/>
        <v>3.9332500000000001</v>
      </c>
      <c r="BO144" s="458">
        <v>3.9910000000000001</v>
      </c>
      <c r="BP144" s="458">
        <v>3.8755000000000002</v>
      </c>
      <c r="BQ144" s="469">
        <f t="shared" si="83"/>
        <v>2028</v>
      </c>
      <c r="BR144" s="473">
        <v>46997</v>
      </c>
      <c r="BS144" s="469">
        <f t="shared" ref="BS144:BS207" si="87">AVERAGE(BT144:BU144)</f>
        <v>3.7680500000000001</v>
      </c>
      <c r="BT144" s="474">
        <v>3.9881000000000002</v>
      </c>
      <c r="BU144" s="474">
        <v>3.548</v>
      </c>
    </row>
    <row r="145" spans="36:73">
      <c r="AJ145" s="3">
        <f t="shared" si="76"/>
        <v>2016</v>
      </c>
      <c r="AK145" s="345">
        <f t="shared" si="85"/>
        <v>42552</v>
      </c>
      <c r="AL145" s="122">
        <v>61.66</v>
      </c>
      <c r="AM145" s="122">
        <v>51.14</v>
      </c>
      <c r="AN145" s="319">
        <f t="shared" si="80"/>
        <v>57.136399999999995</v>
      </c>
      <c r="AO145" s="305">
        <v>400</v>
      </c>
      <c r="AP145" s="305">
        <v>344</v>
      </c>
      <c r="AQ145" s="305">
        <f t="shared" si="77"/>
        <v>0.5376344086021505</v>
      </c>
      <c r="AR145" s="305">
        <f t="shared" si="78"/>
        <v>0.46236559139784944</v>
      </c>
      <c r="AV145" s="3">
        <f t="shared" si="81"/>
        <v>2016</v>
      </c>
      <c r="AW145" s="343">
        <f t="shared" si="84"/>
        <v>42552</v>
      </c>
      <c r="AX145" s="121">
        <f t="shared" si="79"/>
        <v>7.6496302338227302</v>
      </c>
      <c r="AY145" s="122">
        <v>7.6496302338227302</v>
      </c>
      <c r="BA145" s="3">
        <f t="shared" ref="BA145:BA208" si="88">YEAR(BB145)</f>
        <v>2015</v>
      </c>
      <c r="BB145" s="343">
        <v>42155</v>
      </c>
      <c r="BC145" s="3">
        <f t="shared" ref="BC145:BC208" si="89">AVERAGE(BD145:BE145)</f>
        <v>4.5350000000000001</v>
      </c>
      <c r="BD145" s="3">
        <v>4.59</v>
      </c>
      <c r="BE145" s="3">
        <v>4.4800000000000004</v>
      </c>
      <c r="BG145" s="3">
        <f t="shared" ref="BG145:BG208" si="90">YEAR(BH145)</f>
        <v>2019</v>
      </c>
      <c r="BH145" s="318">
        <v>43556</v>
      </c>
      <c r="BI145" s="3">
        <f t="shared" ref="BI145:BI208" si="91">AVERAGE(BJ145:BK145)</f>
        <v>10.99</v>
      </c>
      <c r="BJ145" s="3">
        <v>11.83</v>
      </c>
      <c r="BK145" s="3">
        <v>10.15</v>
      </c>
      <c r="BL145" s="412">
        <f t="shared" si="82"/>
        <v>2025</v>
      </c>
      <c r="BM145" s="427">
        <v>45931</v>
      </c>
      <c r="BN145" s="412">
        <f t="shared" si="86"/>
        <v>3.9653499999999999</v>
      </c>
      <c r="BO145" s="458">
        <v>4.0294999999999996</v>
      </c>
      <c r="BP145" s="458">
        <v>3.9011999999999998</v>
      </c>
      <c r="BQ145" s="469">
        <f t="shared" si="83"/>
        <v>2028</v>
      </c>
      <c r="BR145" s="473">
        <v>47027</v>
      </c>
      <c r="BS145" s="469">
        <f t="shared" si="87"/>
        <v>3.8231000000000002</v>
      </c>
      <c r="BT145" s="474">
        <v>4.0156000000000001</v>
      </c>
      <c r="BU145" s="474">
        <v>3.6305999999999998</v>
      </c>
    </row>
    <row r="146" spans="36:73">
      <c r="AJ146" s="3">
        <f t="shared" si="76"/>
        <v>2016</v>
      </c>
      <c r="AK146" s="345">
        <f t="shared" si="85"/>
        <v>42583</v>
      </c>
      <c r="AL146" s="122">
        <v>69.25</v>
      </c>
      <c r="AM146" s="122">
        <v>57.96</v>
      </c>
      <c r="AN146" s="319">
        <f t="shared" si="80"/>
        <v>64.395299999999992</v>
      </c>
      <c r="AO146" s="305">
        <v>432</v>
      </c>
      <c r="AP146" s="305">
        <v>312</v>
      </c>
      <c r="AQ146" s="305">
        <f t="shared" si="77"/>
        <v>0.58064516129032262</v>
      </c>
      <c r="AR146" s="305">
        <f t="shared" si="78"/>
        <v>0.41935483870967744</v>
      </c>
      <c r="AV146" s="3">
        <f t="shared" si="81"/>
        <v>2016</v>
      </c>
      <c r="AW146" s="343">
        <f t="shared" si="84"/>
        <v>42583</v>
      </c>
      <c r="AX146" s="121">
        <f t="shared" si="79"/>
        <v>7.6496302338227302</v>
      </c>
      <c r="AY146" s="122">
        <v>7.6496302338227302</v>
      </c>
      <c r="BA146" s="3">
        <f t="shared" si="88"/>
        <v>2015</v>
      </c>
      <c r="BB146" s="343">
        <v>42185</v>
      </c>
      <c r="BC146" s="3">
        <f t="shared" si="89"/>
        <v>4.6050000000000004</v>
      </c>
      <c r="BD146" s="3">
        <v>4.66</v>
      </c>
      <c r="BE146" s="3">
        <v>4.55</v>
      </c>
      <c r="BG146" s="3">
        <f t="shared" si="90"/>
        <v>2019</v>
      </c>
      <c r="BH146" s="318">
        <v>43586</v>
      </c>
      <c r="BI146" s="3">
        <f t="shared" si="91"/>
        <v>10.99</v>
      </c>
      <c r="BJ146" s="3">
        <v>11.83</v>
      </c>
      <c r="BK146" s="3">
        <v>10.15</v>
      </c>
      <c r="BL146" s="412">
        <f t="shared" si="82"/>
        <v>2025</v>
      </c>
      <c r="BM146" s="427">
        <v>45962</v>
      </c>
      <c r="BN146" s="412">
        <f t="shared" si="86"/>
        <v>4.0488</v>
      </c>
      <c r="BO146" s="458">
        <v>4.1578999999999997</v>
      </c>
      <c r="BP146" s="458">
        <v>3.9397000000000002</v>
      </c>
      <c r="BQ146" s="469">
        <f t="shared" si="83"/>
        <v>2028</v>
      </c>
      <c r="BR146" s="473">
        <v>47058</v>
      </c>
      <c r="BS146" s="469">
        <f t="shared" si="87"/>
        <v>4.00875</v>
      </c>
      <c r="BT146" s="474">
        <v>4.1669</v>
      </c>
      <c r="BU146" s="474">
        <v>3.8506</v>
      </c>
    </row>
    <row r="147" spans="36:73">
      <c r="AJ147" s="3">
        <f t="shared" si="76"/>
        <v>2016</v>
      </c>
      <c r="AK147" s="345">
        <f t="shared" si="85"/>
        <v>42614</v>
      </c>
      <c r="AL147" s="122">
        <v>68.94</v>
      </c>
      <c r="AM147" s="122">
        <v>55.06</v>
      </c>
      <c r="AN147" s="319">
        <f t="shared" si="80"/>
        <v>62.971599999999995</v>
      </c>
      <c r="AO147" s="305">
        <v>400</v>
      </c>
      <c r="AP147" s="305">
        <v>320</v>
      </c>
      <c r="AQ147" s="305">
        <f t="shared" si="77"/>
        <v>0.55555555555555558</v>
      </c>
      <c r="AR147" s="305">
        <f t="shared" si="78"/>
        <v>0.44444444444444442</v>
      </c>
      <c r="AV147" s="3">
        <f t="shared" si="81"/>
        <v>2016</v>
      </c>
      <c r="AW147" s="343">
        <f t="shared" si="84"/>
        <v>42614</v>
      </c>
      <c r="AX147" s="121">
        <f t="shared" si="79"/>
        <v>7.6496302338227302</v>
      </c>
      <c r="AY147" s="122">
        <v>7.6496302338227302</v>
      </c>
      <c r="BA147" s="3">
        <f t="shared" si="88"/>
        <v>2015</v>
      </c>
      <c r="BB147" s="343">
        <v>42216</v>
      </c>
      <c r="BC147" s="3">
        <f t="shared" si="89"/>
        <v>4.6750000000000007</v>
      </c>
      <c r="BD147" s="3">
        <v>4.7300000000000004</v>
      </c>
      <c r="BE147" s="3">
        <v>4.62</v>
      </c>
      <c r="BG147" s="3">
        <f t="shared" si="90"/>
        <v>2019</v>
      </c>
      <c r="BH147" s="318">
        <v>43617</v>
      </c>
      <c r="BI147" s="3">
        <f t="shared" si="91"/>
        <v>11.16</v>
      </c>
      <c r="BJ147" s="3">
        <v>12.01</v>
      </c>
      <c r="BK147" s="3">
        <v>10.31</v>
      </c>
      <c r="BL147" s="412">
        <f t="shared" si="82"/>
        <v>2025</v>
      </c>
      <c r="BM147" s="427">
        <v>45992</v>
      </c>
      <c r="BN147" s="412">
        <f t="shared" si="86"/>
        <v>4.2733999999999996</v>
      </c>
      <c r="BO147" s="458">
        <v>4.3888999999999996</v>
      </c>
      <c r="BP147" s="458">
        <v>4.1578999999999997</v>
      </c>
      <c r="BQ147" s="469">
        <f t="shared" si="83"/>
        <v>2028</v>
      </c>
      <c r="BR147" s="473">
        <v>47088</v>
      </c>
      <c r="BS147" s="469">
        <f t="shared" si="87"/>
        <v>4.4350500000000004</v>
      </c>
      <c r="BT147" s="474">
        <v>4.5518999999999998</v>
      </c>
      <c r="BU147" s="474">
        <v>4.3182</v>
      </c>
    </row>
    <row r="148" spans="36:73">
      <c r="AJ148" s="3">
        <f t="shared" ref="AJ148:AJ211" si="92">+YEAR(AK148)</f>
        <v>2016</v>
      </c>
      <c r="AK148" s="345">
        <f t="shared" si="85"/>
        <v>42644</v>
      </c>
      <c r="AL148" s="122">
        <v>63.52</v>
      </c>
      <c r="AM148" s="122">
        <v>49.1</v>
      </c>
      <c r="AN148" s="319">
        <f t="shared" si="80"/>
        <v>57.319400000000002</v>
      </c>
      <c r="AO148" s="305">
        <v>416</v>
      </c>
      <c r="AP148" s="305">
        <v>328</v>
      </c>
      <c r="AQ148" s="305">
        <f t="shared" ref="AQ148:AQ211" si="93">AO148/(AO148+AP148)</f>
        <v>0.55913978494623651</v>
      </c>
      <c r="AR148" s="305">
        <f t="shared" ref="AR148:AR211" si="94">AP148/(AO148+AP148)</f>
        <v>0.44086021505376344</v>
      </c>
      <c r="AV148" s="3">
        <f t="shared" si="81"/>
        <v>2016</v>
      </c>
      <c r="AW148" s="343">
        <f t="shared" si="84"/>
        <v>42644</v>
      </c>
      <c r="AX148" s="121">
        <f t="shared" ref="AX148:AX211" si="95">AY148</f>
        <v>7.9181185426862433</v>
      </c>
      <c r="AY148" s="122">
        <v>7.9181185426862433</v>
      </c>
      <c r="BA148" s="3">
        <f t="shared" si="88"/>
        <v>2015</v>
      </c>
      <c r="BB148" s="343">
        <v>42247</v>
      </c>
      <c r="BC148" s="3">
        <f t="shared" si="89"/>
        <v>4.6750000000000007</v>
      </c>
      <c r="BD148" s="3">
        <v>4.7300000000000004</v>
      </c>
      <c r="BE148" s="3">
        <v>4.62</v>
      </c>
      <c r="BG148" s="3">
        <f t="shared" si="90"/>
        <v>2019</v>
      </c>
      <c r="BH148" s="318">
        <v>43647</v>
      </c>
      <c r="BI148" s="3">
        <f t="shared" si="91"/>
        <v>11.33</v>
      </c>
      <c r="BJ148" s="3">
        <v>12.19</v>
      </c>
      <c r="BK148" s="3">
        <v>10.47</v>
      </c>
      <c r="BL148" s="412">
        <f t="shared" si="82"/>
        <v>2026</v>
      </c>
      <c r="BM148" s="427">
        <v>46023</v>
      </c>
      <c r="BN148" s="412">
        <f t="shared" si="86"/>
        <v>4.492</v>
      </c>
      <c r="BO148" s="458">
        <v>4.6035000000000004</v>
      </c>
      <c r="BP148" s="458">
        <v>4.3804999999999996</v>
      </c>
      <c r="BQ148" s="469">
        <f t="shared" si="83"/>
        <v>2029</v>
      </c>
      <c r="BR148" s="473">
        <v>47119</v>
      </c>
      <c r="BS148" s="469">
        <f t="shared" si="87"/>
        <v>4.4342500000000005</v>
      </c>
      <c r="BT148" s="474">
        <v>4.5818000000000003</v>
      </c>
      <c r="BU148" s="474">
        <v>4.2866999999999997</v>
      </c>
    </row>
    <row r="149" spans="36:73">
      <c r="AJ149" s="3">
        <f t="shared" si="92"/>
        <v>2016</v>
      </c>
      <c r="AK149" s="345">
        <f t="shared" si="85"/>
        <v>42675</v>
      </c>
      <c r="AL149" s="122">
        <v>70.37</v>
      </c>
      <c r="AM149" s="122">
        <v>59.53</v>
      </c>
      <c r="AN149" s="319">
        <f t="shared" si="80"/>
        <v>65.708799999999997</v>
      </c>
      <c r="AO149" s="305">
        <v>400</v>
      </c>
      <c r="AP149" s="305">
        <v>320</v>
      </c>
      <c r="AQ149" s="305">
        <f t="shared" si="93"/>
        <v>0.55555555555555558</v>
      </c>
      <c r="AR149" s="305">
        <f t="shared" si="94"/>
        <v>0.44444444444444442</v>
      </c>
      <c r="AV149" s="3">
        <f t="shared" si="81"/>
        <v>2016</v>
      </c>
      <c r="AW149" s="343">
        <f t="shared" si="84"/>
        <v>42675</v>
      </c>
      <c r="AX149" s="121">
        <f t="shared" si="95"/>
        <v>8.0336704730831965</v>
      </c>
      <c r="AY149" s="122">
        <v>8.0336704730831965</v>
      </c>
      <c r="BA149" s="3">
        <f t="shared" si="88"/>
        <v>2015</v>
      </c>
      <c r="BB149" s="343">
        <v>42277</v>
      </c>
      <c r="BC149" s="3">
        <f t="shared" si="89"/>
        <v>4.6750000000000007</v>
      </c>
      <c r="BD149" s="3">
        <v>4.7300000000000004</v>
      </c>
      <c r="BE149" s="3">
        <v>4.62</v>
      </c>
      <c r="BG149" s="3">
        <f t="shared" si="90"/>
        <v>2019</v>
      </c>
      <c r="BH149" s="318">
        <v>43678</v>
      </c>
      <c r="BI149" s="3">
        <f t="shared" si="91"/>
        <v>11.33</v>
      </c>
      <c r="BJ149" s="3">
        <v>12.19</v>
      </c>
      <c r="BK149" s="3">
        <v>10.47</v>
      </c>
      <c r="BL149" s="412">
        <f t="shared" si="82"/>
        <v>2026</v>
      </c>
      <c r="BM149" s="427">
        <v>46054</v>
      </c>
      <c r="BN149" s="412">
        <f t="shared" si="86"/>
        <v>4.5444499999999994</v>
      </c>
      <c r="BO149" s="458">
        <v>4.6558999999999999</v>
      </c>
      <c r="BP149" s="458">
        <v>4.4329999999999998</v>
      </c>
      <c r="BQ149" s="469">
        <f t="shared" si="83"/>
        <v>2029</v>
      </c>
      <c r="BR149" s="473">
        <v>47150</v>
      </c>
      <c r="BS149" s="469">
        <f t="shared" si="87"/>
        <v>4.4694000000000003</v>
      </c>
      <c r="BT149" s="474">
        <v>4.5959000000000003</v>
      </c>
      <c r="BU149" s="474">
        <v>4.3429000000000002</v>
      </c>
    </row>
    <row r="150" spans="36:73">
      <c r="AJ150" s="3">
        <f t="shared" si="92"/>
        <v>2016</v>
      </c>
      <c r="AK150" s="345">
        <f t="shared" si="85"/>
        <v>42705</v>
      </c>
      <c r="AL150" s="122">
        <v>71.209999999999994</v>
      </c>
      <c r="AM150" s="122">
        <v>58.72</v>
      </c>
      <c r="AN150" s="319">
        <f t="shared" si="80"/>
        <v>65.839299999999994</v>
      </c>
      <c r="AO150" s="305">
        <v>416</v>
      </c>
      <c r="AP150" s="305">
        <v>328</v>
      </c>
      <c r="AQ150" s="305">
        <f t="shared" si="93"/>
        <v>0.55913978494623651</v>
      </c>
      <c r="AR150" s="305">
        <f t="shared" si="94"/>
        <v>0.44086021505376344</v>
      </c>
      <c r="AV150" s="3">
        <f t="shared" si="81"/>
        <v>2016</v>
      </c>
      <c r="AW150" s="343">
        <f t="shared" si="84"/>
        <v>42705</v>
      </c>
      <c r="AX150" s="121">
        <f t="shared" si="95"/>
        <v>8.4177107123436645</v>
      </c>
      <c r="AY150" s="122">
        <v>8.4177107123436645</v>
      </c>
      <c r="BA150" s="3">
        <f t="shared" si="88"/>
        <v>2015</v>
      </c>
      <c r="BB150" s="343">
        <v>42308</v>
      </c>
      <c r="BC150" s="3">
        <f t="shared" si="89"/>
        <v>4.8499999999999996</v>
      </c>
      <c r="BD150" s="3">
        <v>4.87</v>
      </c>
      <c r="BE150" s="3">
        <v>4.83</v>
      </c>
      <c r="BG150" s="3">
        <f t="shared" si="90"/>
        <v>2019</v>
      </c>
      <c r="BH150" s="318">
        <v>43709</v>
      </c>
      <c r="BI150" s="3">
        <f t="shared" si="91"/>
        <v>11.33</v>
      </c>
      <c r="BJ150" s="3">
        <v>12.19</v>
      </c>
      <c r="BK150" s="3">
        <v>10.47</v>
      </c>
      <c r="BL150" s="412">
        <f t="shared" si="82"/>
        <v>2026</v>
      </c>
      <c r="BM150" s="427">
        <v>46082</v>
      </c>
      <c r="BN150" s="412">
        <f t="shared" si="86"/>
        <v>4.3870500000000003</v>
      </c>
      <c r="BO150" s="458">
        <v>4.4592000000000001</v>
      </c>
      <c r="BP150" s="458">
        <v>4.3148999999999997</v>
      </c>
      <c r="BQ150" s="469">
        <f t="shared" si="83"/>
        <v>2029</v>
      </c>
      <c r="BR150" s="473">
        <v>47178</v>
      </c>
      <c r="BS150" s="469">
        <f t="shared" si="87"/>
        <v>4.2445500000000003</v>
      </c>
      <c r="BT150" s="474">
        <v>4.3851000000000004</v>
      </c>
      <c r="BU150" s="474">
        <v>4.1040000000000001</v>
      </c>
    </row>
    <row r="151" spans="36:73">
      <c r="AJ151" s="3">
        <f t="shared" si="92"/>
        <v>2017</v>
      </c>
      <c r="AK151" s="345">
        <f t="shared" si="85"/>
        <v>42736</v>
      </c>
      <c r="AL151" s="122">
        <v>79.83</v>
      </c>
      <c r="AM151" s="122">
        <v>65.11</v>
      </c>
      <c r="AN151" s="319">
        <f t="shared" si="80"/>
        <v>73.500399999999999</v>
      </c>
      <c r="AO151" s="305">
        <v>400</v>
      </c>
      <c r="AP151" s="305">
        <v>344</v>
      </c>
      <c r="AQ151" s="305">
        <f t="shared" si="93"/>
        <v>0.5376344086021505</v>
      </c>
      <c r="AR151" s="305">
        <f t="shared" si="94"/>
        <v>0.46236559139784944</v>
      </c>
      <c r="AV151" s="3">
        <f t="shared" si="81"/>
        <v>2017</v>
      </c>
      <c r="AW151" s="343">
        <f t="shared" si="84"/>
        <v>42736</v>
      </c>
      <c r="AX151" s="121">
        <f t="shared" si="95"/>
        <v>9.6683904295812955</v>
      </c>
      <c r="AY151" s="122">
        <v>9.6683904295812955</v>
      </c>
      <c r="BA151" s="3">
        <f t="shared" si="88"/>
        <v>2015</v>
      </c>
      <c r="BB151" s="343">
        <v>42338</v>
      </c>
      <c r="BC151" s="3">
        <f t="shared" si="89"/>
        <v>4.92</v>
      </c>
      <c r="BD151" s="3">
        <v>4.9400000000000004</v>
      </c>
      <c r="BE151" s="3">
        <v>4.9000000000000004</v>
      </c>
      <c r="BG151" s="3">
        <f t="shared" si="90"/>
        <v>2019</v>
      </c>
      <c r="BH151" s="318">
        <v>43739</v>
      </c>
      <c r="BI151" s="3">
        <f t="shared" si="91"/>
        <v>11.75</v>
      </c>
      <c r="BJ151" s="3">
        <v>12.55</v>
      </c>
      <c r="BK151" s="3">
        <v>10.95</v>
      </c>
      <c r="BL151" s="412">
        <f t="shared" si="82"/>
        <v>2026</v>
      </c>
      <c r="BM151" s="427">
        <v>46113</v>
      </c>
      <c r="BN151" s="412">
        <f t="shared" si="86"/>
        <v>4.1903500000000005</v>
      </c>
      <c r="BO151" s="458">
        <v>4.2625000000000002</v>
      </c>
      <c r="BP151" s="458">
        <v>4.1181999999999999</v>
      </c>
      <c r="BQ151" s="469">
        <f t="shared" si="83"/>
        <v>2029</v>
      </c>
      <c r="BR151" s="473">
        <v>47209</v>
      </c>
      <c r="BS151" s="469">
        <f t="shared" si="87"/>
        <v>3.9282500000000002</v>
      </c>
      <c r="BT151" s="474">
        <v>4.0899000000000001</v>
      </c>
      <c r="BU151" s="474">
        <v>3.7665999999999999</v>
      </c>
    </row>
    <row r="152" spans="36:73">
      <c r="AJ152" s="3">
        <f t="shared" si="92"/>
        <v>2017</v>
      </c>
      <c r="AK152" s="345">
        <f t="shared" si="85"/>
        <v>42767</v>
      </c>
      <c r="AL152" s="122">
        <v>73.38</v>
      </c>
      <c r="AM152" s="122">
        <v>62.64</v>
      </c>
      <c r="AN152" s="319">
        <f t="shared" si="80"/>
        <v>68.761799999999994</v>
      </c>
      <c r="AO152" s="305">
        <v>384</v>
      </c>
      <c r="AP152" s="305">
        <v>288</v>
      </c>
      <c r="AQ152" s="305">
        <f t="shared" si="93"/>
        <v>0.5714285714285714</v>
      </c>
      <c r="AR152" s="305">
        <f t="shared" si="94"/>
        <v>0.42857142857142855</v>
      </c>
      <c r="AV152" s="3">
        <f t="shared" si="81"/>
        <v>2017</v>
      </c>
      <c r="AW152" s="343">
        <f t="shared" si="84"/>
        <v>42767</v>
      </c>
      <c r="AX152" s="121">
        <f t="shared" si="95"/>
        <v>9.083833605220228</v>
      </c>
      <c r="AY152" s="122">
        <v>9.083833605220228</v>
      </c>
      <c r="BA152" s="3">
        <f t="shared" si="88"/>
        <v>2015</v>
      </c>
      <c r="BB152" s="343">
        <v>42369</v>
      </c>
      <c r="BC152" s="3">
        <f t="shared" si="89"/>
        <v>5.17</v>
      </c>
      <c r="BD152" s="3">
        <v>5.15</v>
      </c>
      <c r="BE152" s="3">
        <v>5.19</v>
      </c>
      <c r="BG152" s="3">
        <f t="shared" si="90"/>
        <v>2019</v>
      </c>
      <c r="BH152" s="318">
        <v>43770</v>
      </c>
      <c r="BI152" s="3">
        <f t="shared" si="91"/>
        <v>11.92</v>
      </c>
      <c r="BJ152" s="3">
        <v>12.73</v>
      </c>
      <c r="BK152" s="3">
        <v>11.11</v>
      </c>
      <c r="BL152" s="412">
        <f t="shared" si="82"/>
        <v>2026</v>
      </c>
      <c r="BM152" s="427">
        <v>46143</v>
      </c>
      <c r="BN152" s="412">
        <f t="shared" si="86"/>
        <v>3.9476500000000003</v>
      </c>
      <c r="BO152" s="458">
        <v>4.0788000000000002</v>
      </c>
      <c r="BP152" s="458">
        <v>3.8165</v>
      </c>
      <c r="BQ152" s="469">
        <f t="shared" si="83"/>
        <v>2029</v>
      </c>
      <c r="BR152" s="473">
        <v>47239</v>
      </c>
      <c r="BS152" s="469">
        <f t="shared" si="87"/>
        <v>3.9352999999999998</v>
      </c>
      <c r="BT152" s="474">
        <v>4.1040000000000001</v>
      </c>
      <c r="BU152" s="474">
        <v>3.7665999999999999</v>
      </c>
    </row>
    <row r="153" spans="36:73">
      <c r="AJ153" s="3">
        <f t="shared" si="92"/>
        <v>2017</v>
      </c>
      <c r="AK153" s="345">
        <f t="shared" si="85"/>
        <v>42795</v>
      </c>
      <c r="AL153" s="122">
        <v>69.77</v>
      </c>
      <c r="AM153" s="122">
        <v>62.99</v>
      </c>
      <c r="AN153" s="319">
        <f t="shared" si="80"/>
        <v>66.854599999999991</v>
      </c>
      <c r="AO153" s="305">
        <v>432</v>
      </c>
      <c r="AP153" s="305">
        <v>312</v>
      </c>
      <c r="AQ153" s="305">
        <f t="shared" si="93"/>
        <v>0.58064516129032262</v>
      </c>
      <c r="AR153" s="305">
        <f t="shared" si="94"/>
        <v>0.41935483870967744</v>
      </c>
      <c r="AV153" s="3">
        <f t="shared" si="81"/>
        <v>2017</v>
      </c>
      <c r="AW153" s="343">
        <f t="shared" si="84"/>
        <v>42795</v>
      </c>
      <c r="AX153" s="121">
        <f t="shared" si="95"/>
        <v>8.5434584013050561</v>
      </c>
      <c r="AY153" s="122">
        <v>8.5434584013050561</v>
      </c>
      <c r="BA153" s="3">
        <f t="shared" si="88"/>
        <v>2016</v>
      </c>
      <c r="BB153" s="343">
        <v>42400</v>
      </c>
      <c r="BC153" s="3">
        <f t="shared" si="89"/>
        <v>5.73</v>
      </c>
      <c r="BD153" s="3">
        <v>5.67</v>
      </c>
      <c r="BE153" s="3">
        <v>5.79</v>
      </c>
      <c r="BG153" s="3">
        <f t="shared" si="90"/>
        <v>2019</v>
      </c>
      <c r="BH153" s="318">
        <v>43800</v>
      </c>
      <c r="BI153" s="3">
        <f t="shared" si="91"/>
        <v>12.515000000000001</v>
      </c>
      <c r="BJ153" s="3">
        <v>13.27</v>
      </c>
      <c r="BK153" s="3">
        <v>11.76</v>
      </c>
      <c r="BL153" s="412">
        <f t="shared" si="82"/>
        <v>2026</v>
      </c>
      <c r="BM153" s="427">
        <v>46174</v>
      </c>
      <c r="BN153" s="412">
        <f t="shared" si="86"/>
        <v>3.9214500000000001</v>
      </c>
      <c r="BO153" s="458">
        <v>4.0788000000000002</v>
      </c>
      <c r="BP153" s="458">
        <v>3.7641</v>
      </c>
      <c r="BQ153" s="469">
        <f t="shared" si="83"/>
        <v>2029</v>
      </c>
      <c r="BR153" s="473">
        <v>47270</v>
      </c>
      <c r="BS153" s="469">
        <f t="shared" si="87"/>
        <v>3.9775</v>
      </c>
      <c r="BT153" s="474">
        <v>4.1321000000000003</v>
      </c>
      <c r="BU153" s="474">
        <v>3.8229000000000002</v>
      </c>
    </row>
    <row r="154" spans="36:73">
      <c r="AJ154" s="3">
        <f t="shared" si="92"/>
        <v>2017</v>
      </c>
      <c r="AK154" s="345">
        <f t="shared" si="85"/>
        <v>42826</v>
      </c>
      <c r="AL154" s="122">
        <v>64.25</v>
      </c>
      <c r="AM154" s="122">
        <v>59.01</v>
      </c>
      <c r="AN154" s="319">
        <f t="shared" si="80"/>
        <v>61.996799999999993</v>
      </c>
      <c r="AO154" s="305">
        <v>400</v>
      </c>
      <c r="AP154" s="305">
        <v>320</v>
      </c>
      <c r="AQ154" s="305">
        <f t="shared" si="93"/>
        <v>0.55555555555555558</v>
      </c>
      <c r="AR154" s="305">
        <f t="shared" si="94"/>
        <v>0.44444444444444442</v>
      </c>
      <c r="AV154" s="3">
        <f t="shared" si="81"/>
        <v>2017</v>
      </c>
      <c r="AW154" s="343">
        <f t="shared" si="84"/>
        <v>42826</v>
      </c>
      <c r="AX154" s="121">
        <f t="shared" si="95"/>
        <v>8.0880478520935277</v>
      </c>
      <c r="AY154" s="122">
        <v>8.0880478520935277</v>
      </c>
      <c r="BA154" s="3">
        <f t="shared" si="88"/>
        <v>2016</v>
      </c>
      <c r="BB154" s="343">
        <v>42429</v>
      </c>
      <c r="BC154" s="3">
        <f t="shared" si="89"/>
        <v>5.33</v>
      </c>
      <c r="BD154" s="3">
        <v>5.31</v>
      </c>
      <c r="BE154" s="3">
        <v>5.35</v>
      </c>
      <c r="BG154" s="3">
        <f t="shared" si="90"/>
        <v>2020</v>
      </c>
      <c r="BH154" s="318">
        <v>43831</v>
      </c>
      <c r="BI154" s="3">
        <f t="shared" si="91"/>
        <v>13.14</v>
      </c>
      <c r="BJ154" s="3">
        <v>12.97</v>
      </c>
      <c r="BK154" s="3">
        <v>13.31</v>
      </c>
      <c r="BL154" s="412">
        <f t="shared" si="82"/>
        <v>2026</v>
      </c>
      <c r="BM154" s="427">
        <v>46204</v>
      </c>
      <c r="BN154" s="412">
        <f t="shared" si="86"/>
        <v>3.9805000000000001</v>
      </c>
      <c r="BO154" s="458">
        <v>4.1051000000000002</v>
      </c>
      <c r="BP154" s="458">
        <v>3.8559000000000001</v>
      </c>
      <c r="BQ154" s="469">
        <f t="shared" si="83"/>
        <v>2029</v>
      </c>
      <c r="BR154" s="473">
        <v>47300</v>
      </c>
      <c r="BS154" s="469">
        <f t="shared" si="87"/>
        <v>4.1531500000000001</v>
      </c>
      <c r="BT154" s="474">
        <v>4.2725999999999997</v>
      </c>
      <c r="BU154" s="474">
        <v>4.0336999999999996</v>
      </c>
    </row>
    <row r="155" spans="36:73">
      <c r="AJ155" s="3">
        <f t="shared" si="92"/>
        <v>2017</v>
      </c>
      <c r="AK155" s="345">
        <f t="shared" si="85"/>
        <v>42856</v>
      </c>
      <c r="AL155" s="122">
        <v>66.900000000000006</v>
      </c>
      <c r="AM155" s="122">
        <v>52.32</v>
      </c>
      <c r="AN155" s="319">
        <f t="shared" si="80"/>
        <v>60.630600000000001</v>
      </c>
      <c r="AO155" s="305">
        <v>416</v>
      </c>
      <c r="AP155" s="305">
        <v>328</v>
      </c>
      <c r="AQ155" s="305">
        <f t="shared" si="93"/>
        <v>0.55913978494623651</v>
      </c>
      <c r="AR155" s="305">
        <f t="shared" si="94"/>
        <v>0.44086021505376344</v>
      </c>
      <c r="AV155" s="3">
        <f t="shared" si="81"/>
        <v>2017</v>
      </c>
      <c r="AW155" s="343">
        <f t="shared" si="84"/>
        <v>42856</v>
      </c>
      <c r="AX155" s="121">
        <f t="shared" si="95"/>
        <v>8.0064817835780318</v>
      </c>
      <c r="AY155" s="122">
        <v>8.0064817835780318</v>
      </c>
      <c r="BA155" s="3">
        <f t="shared" si="88"/>
        <v>2016</v>
      </c>
      <c r="BB155" s="343">
        <v>42460</v>
      </c>
      <c r="BC155" s="3">
        <f t="shared" si="89"/>
        <v>5</v>
      </c>
      <c r="BD155" s="3">
        <v>5.0199999999999996</v>
      </c>
      <c r="BE155" s="3">
        <v>4.9800000000000004</v>
      </c>
      <c r="BG155" s="3">
        <f t="shared" si="90"/>
        <v>2020</v>
      </c>
      <c r="BH155" s="318">
        <v>43862</v>
      </c>
      <c r="BI155" s="3">
        <f t="shared" si="91"/>
        <v>12.225000000000001</v>
      </c>
      <c r="BJ155" s="3">
        <v>12.15</v>
      </c>
      <c r="BK155" s="3">
        <v>12.3</v>
      </c>
      <c r="BL155" s="412">
        <f t="shared" si="82"/>
        <v>2026</v>
      </c>
      <c r="BM155" s="427">
        <v>46235</v>
      </c>
      <c r="BN155" s="412">
        <f t="shared" si="86"/>
        <v>4.1181999999999999</v>
      </c>
      <c r="BO155" s="458">
        <v>4.21</v>
      </c>
      <c r="BP155" s="458">
        <v>4.0263999999999998</v>
      </c>
      <c r="BQ155" s="469">
        <f t="shared" si="83"/>
        <v>2029</v>
      </c>
      <c r="BR155" s="473">
        <v>47331</v>
      </c>
      <c r="BS155" s="469">
        <f t="shared" si="87"/>
        <v>4.2304500000000003</v>
      </c>
      <c r="BT155" s="474">
        <v>4.3851000000000004</v>
      </c>
      <c r="BU155" s="474">
        <v>4.0758000000000001</v>
      </c>
    </row>
    <row r="156" spans="36:73">
      <c r="AJ156" s="3">
        <f t="shared" si="92"/>
        <v>2017</v>
      </c>
      <c r="AK156" s="345">
        <f t="shared" si="85"/>
        <v>42887</v>
      </c>
      <c r="AL156" s="122">
        <v>71.150000000000006</v>
      </c>
      <c r="AM156" s="122">
        <v>52.95</v>
      </c>
      <c r="AN156" s="319">
        <f t="shared" ref="AN156:AN219" si="96">AL156*0.57+AM156*0.43</f>
        <v>63.323999999999998</v>
      </c>
      <c r="AO156" s="305">
        <v>416</v>
      </c>
      <c r="AP156" s="305">
        <v>304</v>
      </c>
      <c r="AQ156" s="305">
        <f t="shared" si="93"/>
        <v>0.57777777777777772</v>
      </c>
      <c r="AR156" s="305">
        <f t="shared" si="94"/>
        <v>0.42222222222222222</v>
      </c>
      <c r="AV156" s="3">
        <f t="shared" si="81"/>
        <v>2017</v>
      </c>
      <c r="AW156" s="343">
        <f t="shared" si="84"/>
        <v>42887</v>
      </c>
      <c r="AX156" s="121">
        <f t="shared" si="95"/>
        <v>8.1288308863512757</v>
      </c>
      <c r="AY156" s="122">
        <v>8.1288308863512757</v>
      </c>
      <c r="BA156" s="3">
        <f t="shared" si="88"/>
        <v>2016</v>
      </c>
      <c r="BB156" s="343">
        <v>42490</v>
      </c>
      <c r="BC156" s="3">
        <f t="shared" si="89"/>
        <v>4.68</v>
      </c>
      <c r="BD156" s="3">
        <v>4.74</v>
      </c>
      <c r="BE156" s="3">
        <v>4.62</v>
      </c>
      <c r="BG156" s="3">
        <f t="shared" si="90"/>
        <v>2020</v>
      </c>
      <c r="BH156" s="318">
        <v>43891</v>
      </c>
      <c r="BI156" s="3">
        <f t="shared" si="91"/>
        <v>11.475000000000001</v>
      </c>
      <c r="BJ156" s="3">
        <v>11.49</v>
      </c>
      <c r="BK156" s="3">
        <v>11.46</v>
      </c>
      <c r="BL156" s="412">
        <f t="shared" si="82"/>
        <v>2026</v>
      </c>
      <c r="BM156" s="427">
        <v>46266</v>
      </c>
      <c r="BN156" s="412">
        <f t="shared" si="86"/>
        <v>4.0263999999999998</v>
      </c>
      <c r="BO156" s="458">
        <v>4.1181999999999999</v>
      </c>
      <c r="BP156" s="458">
        <v>3.9346000000000001</v>
      </c>
      <c r="BQ156" s="469">
        <f t="shared" si="83"/>
        <v>2029</v>
      </c>
      <c r="BR156" s="473">
        <v>47362</v>
      </c>
      <c r="BS156" s="469">
        <f t="shared" si="87"/>
        <v>4.1812500000000004</v>
      </c>
      <c r="BT156" s="474">
        <v>4.3990999999999998</v>
      </c>
      <c r="BU156" s="474">
        <v>3.9634</v>
      </c>
    </row>
    <row r="157" spans="36:73">
      <c r="AJ157" s="3">
        <f t="shared" si="92"/>
        <v>2017</v>
      </c>
      <c r="AK157" s="345">
        <f t="shared" si="85"/>
        <v>42917</v>
      </c>
      <c r="AL157" s="122">
        <v>67.239999999999995</v>
      </c>
      <c r="AM157" s="122">
        <v>59.21</v>
      </c>
      <c r="AN157" s="319">
        <f t="shared" si="96"/>
        <v>63.787099999999995</v>
      </c>
      <c r="AO157" s="305">
        <v>400</v>
      </c>
      <c r="AP157" s="305">
        <v>344</v>
      </c>
      <c r="AQ157" s="305">
        <f t="shared" si="93"/>
        <v>0.5376344086021505</v>
      </c>
      <c r="AR157" s="305">
        <f t="shared" si="94"/>
        <v>0.46236559139784944</v>
      </c>
      <c r="AV157" s="3">
        <f t="shared" si="81"/>
        <v>2017</v>
      </c>
      <c r="AW157" s="343">
        <f t="shared" si="84"/>
        <v>42917</v>
      </c>
      <c r="AX157" s="121">
        <f t="shared" si="95"/>
        <v>8.254578575312669</v>
      </c>
      <c r="AY157" s="122">
        <v>8.254578575312669</v>
      </c>
      <c r="BA157" s="3">
        <f t="shared" si="88"/>
        <v>2016</v>
      </c>
      <c r="BB157" s="343">
        <v>42521</v>
      </c>
      <c r="BC157" s="3">
        <f t="shared" si="89"/>
        <v>4.68</v>
      </c>
      <c r="BD157" s="3">
        <v>4.74</v>
      </c>
      <c r="BE157" s="3">
        <v>4.62</v>
      </c>
      <c r="BG157" s="3">
        <f t="shared" si="90"/>
        <v>2020</v>
      </c>
      <c r="BH157" s="318">
        <v>43922</v>
      </c>
      <c r="BI157" s="3">
        <f t="shared" si="91"/>
        <v>10.725</v>
      </c>
      <c r="BJ157" s="3">
        <v>10.83</v>
      </c>
      <c r="BK157" s="3">
        <v>10.62</v>
      </c>
      <c r="BL157" s="412">
        <f t="shared" si="82"/>
        <v>2026</v>
      </c>
      <c r="BM157" s="427">
        <v>46296</v>
      </c>
      <c r="BN157" s="412">
        <f t="shared" si="86"/>
        <v>4.0591499999999998</v>
      </c>
      <c r="BO157" s="458">
        <v>4.1574999999999998</v>
      </c>
      <c r="BP157" s="458">
        <v>3.9607999999999999</v>
      </c>
      <c r="BQ157" s="469">
        <f t="shared" si="83"/>
        <v>2029</v>
      </c>
      <c r="BR157" s="473">
        <v>47392</v>
      </c>
      <c r="BS157" s="469">
        <f t="shared" si="87"/>
        <v>4.2445000000000004</v>
      </c>
      <c r="BT157" s="474">
        <v>4.4272</v>
      </c>
      <c r="BU157" s="474">
        <v>4.0617999999999999</v>
      </c>
    </row>
    <row r="158" spans="36:73">
      <c r="AJ158" s="3">
        <f t="shared" si="92"/>
        <v>2017</v>
      </c>
      <c r="AK158" s="345">
        <f t="shared" si="85"/>
        <v>42948</v>
      </c>
      <c r="AL158" s="122">
        <v>78.47</v>
      </c>
      <c r="AM158" s="122">
        <v>63.76</v>
      </c>
      <c r="AN158" s="319">
        <f t="shared" si="96"/>
        <v>72.1447</v>
      </c>
      <c r="AO158" s="305">
        <v>432</v>
      </c>
      <c r="AP158" s="305">
        <v>312</v>
      </c>
      <c r="AQ158" s="305">
        <f t="shared" si="93"/>
        <v>0.58064516129032262</v>
      </c>
      <c r="AR158" s="305">
        <f t="shared" si="94"/>
        <v>0.41935483870967744</v>
      </c>
      <c r="AV158" s="3">
        <f t="shared" si="81"/>
        <v>2017</v>
      </c>
      <c r="AW158" s="343">
        <f t="shared" si="84"/>
        <v>42948</v>
      </c>
      <c r="AX158" s="121">
        <f t="shared" si="95"/>
        <v>8.254578575312669</v>
      </c>
      <c r="AY158" s="122">
        <v>8.254578575312669</v>
      </c>
      <c r="BA158" s="3">
        <f t="shared" si="88"/>
        <v>2016</v>
      </c>
      <c r="BB158" s="343">
        <v>42551</v>
      </c>
      <c r="BC158" s="3">
        <f t="shared" si="89"/>
        <v>4.75</v>
      </c>
      <c r="BD158" s="3">
        <v>4.8099999999999996</v>
      </c>
      <c r="BE158" s="3">
        <v>4.6900000000000004</v>
      </c>
      <c r="BG158" s="3">
        <f t="shared" si="90"/>
        <v>2020</v>
      </c>
      <c r="BH158" s="318">
        <v>43952</v>
      </c>
      <c r="BI158" s="3">
        <f t="shared" si="91"/>
        <v>10.725</v>
      </c>
      <c r="BJ158" s="3">
        <v>10.83</v>
      </c>
      <c r="BK158" s="3">
        <v>10.62</v>
      </c>
      <c r="BL158" s="412">
        <f t="shared" si="82"/>
        <v>2026</v>
      </c>
      <c r="BM158" s="427">
        <v>46327</v>
      </c>
      <c r="BN158" s="412">
        <f t="shared" si="86"/>
        <v>4.1706500000000002</v>
      </c>
      <c r="BO158" s="458">
        <v>4.2755999999999998</v>
      </c>
      <c r="BP158" s="458">
        <v>4.0656999999999996</v>
      </c>
      <c r="BQ158" s="469">
        <f t="shared" si="83"/>
        <v>2029</v>
      </c>
      <c r="BR158" s="473">
        <v>47423</v>
      </c>
      <c r="BS158" s="469">
        <f t="shared" si="87"/>
        <v>4.3991000000000007</v>
      </c>
      <c r="BT158" s="474">
        <v>4.5818000000000003</v>
      </c>
      <c r="BU158" s="474">
        <v>4.2164000000000001</v>
      </c>
    </row>
    <row r="159" spans="36:73">
      <c r="AJ159" s="3">
        <f t="shared" si="92"/>
        <v>2017</v>
      </c>
      <c r="AK159" s="345">
        <f t="shared" si="85"/>
        <v>42979</v>
      </c>
      <c r="AL159" s="122">
        <v>72.84</v>
      </c>
      <c r="AM159" s="122">
        <v>60.93</v>
      </c>
      <c r="AN159" s="319">
        <f t="shared" si="96"/>
        <v>67.718699999999998</v>
      </c>
      <c r="AO159" s="305">
        <v>400</v>
      </c>
      <c r="AP159" s="305">
        <v>320</v>
      </c>
      <c r="AQ159" s="305">
        <f t="shared" si="93"/>
        <v>0.55555555555555558</v>
      </c>
      <c r="AR159" s="305">
        <f t="shared" si="94"/>
        <v>0.44444444444444442</v>
      </c>
      <c r="AV159" s="3">
        <f t="shared" si="81"/>
        <v>2017</v>
      </c>
      <c r="AW159" s="343">
        <f t="shared" si="84"/>
        <v>42979</v>
      </c>
      <c r="AX159" s="121">
        <f t="shared" si="95"/>
        <v>8.254578575312669</v>
      </c>
      <c r="AY159" s="122">
        <v>8.254578575312669</v>
      </c>
      <c r="BA159" s="3">
        <f t="shared" si="88"/>
        <v>2016</v>
      </c>
      <c r="BB159" s="343">
        <v>42582</v>
      </c>
      <c r="BC159" s="3">
        <f t="shared" si="89"/>
        <v>4.82</v>
      </c>
      <c r="BD159" s="3">
        <v>4.88</v>
      </c>
      <c r="BE159" s="3">
        <v>4.76</v>
      </c>
      <c r="BG159" s="3">
        <f t="shared" si="90"/>
        <v>2020</v>
      </c>
      <c r="BH159" s="318">
        <v>43983</v>
      </c>
      <c r="BI159" s="3">
        <f t="shared" si="91"/>
        <v>10.89</v>
      </c>
      <c r="BJ159" s="3">
        <v>11</v>
      </c>
      <c r="BK159" s="3">
        <v>10.78</v>
      </c>
      <c r="BL159" s="412">
        <f t="shared" si="82"/>
        <v>2026</v>
      </c>
      <c r="BM159" s="427">
        <v>46357</v>
      </c>
      <c r="BN159" s="412">
        <f t="shared" si="86"/>
        <v>4.40015</v>
      </c>
      <c r="BO159" s="458">
        <v>4.5115999999999996</v>
      </c>
      <c r="BP159" s="458">
        <v>4.2887000000000004</v>
      </c>
      <c r="BQ159" s="469">
        <f t="shared" si="83"/>
        <v>2029</v>
      </c>
      <c r="BR159" s="473">
        <v>47453</v>
      </c>
      <c r="BS159" s="469">
        <f t="shared" si="87"/>
        <v>4.8207500000000003</v>
      </c>
      <c r="BT159" s="474">
        <v>5.0316000000000001</v>
      </c>
      <c r="BU159" s="474">
        <v>4.6098999999999997</v>
      </c>
    </row>
    <row r="160" spans="36:73">
      <c r="AJ160" s="3">
        <f t="shared" si="92"/>
        <v>2017</v>
      </c>
      <c r="AK160" s="345">
        <f t="shared" si="85"/>
        <v>43009</v>
      </c>
      <c r="AL160" s="122">
        <v>68.95</v>
      </c>
      <c r="AM160" s="122">
        <v>54.58</v>
      </c>
      <c r="AN160" s="319">
        <f t="shared" si="96"/>
        <v>62.770899999999997</v>
      </c>
      <c r="AO160" s="305">
        <v>416</v>
      </c>
      <c r="AP160" s="305">
        <v>328</v>
      </c>
      <c r="AQ160" s="305">
        <f t="shared" si="93"/>
        <v>0.55913978494623651</v>
      </c>
      <c r="AR160" s="305">
        <f t="shared" si="94"/>
        <v>0.44086021505376344</v>
      </c>
      <c r="AV160" s="3">
        <f t="shared" ref="AV160:AV223" si="97">+YEAR(AW160)</f>
        <v>2017</v>
      </c>
      <c r="AW160" s="343">
        <f t="shared" si="84"/>
        <v>43009</v>
      </c>
      <c r="AX160" s="121">
        <f t="shared" si="95"/>
        <v>8.5434584013050561</v>
      </c>
      <c r="AY160" s="122">
        <v>8.5434584013050561</v>
      </c>
      <c r="BA160" s="3">
        <f t="shared" si="88"/>
        <v>2016</v>
      </c>
      <c r="BB160" s="343">
        <v>42613</v>
      </c>
      <c r="BC160" s="3">
        <f t="shared" si="89"/>
        <v>4.82</v>
      </c>
      <c r="BD160" s="3">
        <v>4.88</v>
      </c>
      <c r="BE160" s="3">
        <v>4.76</v>
      </c>
      <c r="BG160" s="3">
        <f t="shared" si="90"/>
        <v>2020</v>
      </c>
      <c r="BH160" s="318">
        <v>44013</v>
      </c>
      <c r="BI160" s="3">
        <f t="shared" si="91"/>
        <v>11.055</v>
      </c>
      <c r="BJ160" s="3">
        <v>11.16</v>
      </c>
      <c r="BK160" s="3">
        <v>10.95</v>
      </c>
      <c r="BL160" s="412">
        <f t="shared" ref="BL160:BL223" si="98">YEAR(BM160)</f>
        <v>2027</v>
      </c>
      <c r="BM160" s="427">
        <v>46388</v>
      </c>
      <c r="BN160" s="412">
        <f t="shared" si="86"/>
        <v>4.72485</v>
      </c>
      <c r="BO160" s="458">
        <v>4.8388</v>
      </c>
      <c r="BP160" s="458">
        <v>4.6109</v>
      </c>
      <c r="BQ160" s="469">
        <f t="shared" ref="BQ160:BQ223" si="99">YEAR(BR160)</f>
        <v>2030</v>
      </c>
      <c r="BR160" s="473">
        <v>47484</v>
      </c>
      <c r="BS160" s="469">
        <f t="shared" si="87"/>
        <v>4.8885000000000005</v>
      </c>
      <c r="BT160" s="474">
        <v>5.0754000000000001</v>
      </c>
      <c r="BU160" s="474">
        <v>4.7016</v>
      </c>
    </row>
    <row r="161" spans="36:73">
      <c r="AJ161" s="3">
        <f t="shared" si="92"/>
        <v>2017</v>
      </c>
      <c r="AK161" s="345">
        <f t="shared" si="85"/>
        <v>43040</v>
      </c>
      <c r="AL161" s="122">
        <v>76.59</v>
      </c>
      <c r="AM161" s="122">
        <v>64.33</v>
      </c>
      <c r="AN161" s="319">
        <f t="shared" si="96"/>
        <v>71.318200000000004</v>
      </c>
      <c r="AO161" s="305">
        <v>400</v>
      </c>
      <c r="AP161" s="305">
        <v>320</v>
      </c>
      <c r="AQ161" s="305">
        <f t="shared" si="93"/>
        <v>0.55555555555555558</v>
      </c>
      <c r="AR161" s="305">
        <f t="shared" si="94"/>
        <v>0.44444444444444442</v>
      </c>
      <c r="AV161" s="3">
        <f t="shared" si="97"/>
        <v>2017</v>
      </c>
      <c r="AW161" s="343">
        <f t="shared" ref="AW161:AW224" si="100">EOMONTH(AW160,0)+1</f>
        <v>43040</v>
      </c>
      <c r="AX161" s="121">
        <f t="shared" si="95"/>
        <v>8.6692060902664494</v>
      </c>
      <c r="AY161" s="122">
        <v>8.6692060902664494</v>
      </c>
      <c r="BA161" s="3">
        <f t="shared" si="88"/>
        <v>2016</v>
      </c>
      <c r="BB161" s="343">
        <v>42643</v>
      </c>
      <c r="BC161" s="3">
        <f t="shared" si="89"/>
        <v>4.82</v>
      </c>
      <c r="BD161" s="3">
        <v>4.88</v>
      </c>
      <c r="BE161" s="3">
        <v>4.76</v>
      </c>
      <c r="BG161" s="3">
        <f t="shared" si="90"/>
        <v>2020</v>
      </c>
      <c r="BH161" s="318">
        <v>44044</v>
      </c>
      <c r="BI161" s="3">
        <f t="shared" si="91"/>
        <v>11.055</v>
      </c>
      <c r="BJ161" s="3">
        <v>11.16</v>
      </c>
      <c r="BK161" s="3">
        <v>10.95</v>
      </c>
      <c r="BL161" s="412">
        <f t="shared" si="98"/>
        <v>2027</v>
      </c>
      <c r="BM161" s="427">
        <v>46419</v>
      </c>
      <c r="BN161" s="412">
        <f t="shared" si="86"/>
        <v>4.7516499999999997</v>
      </c>
      <c r="BO161" s="458">
        <v>4.8655999999999997</v>
      </c>
      <c r="BP161" s="458">
        <v>4.6376999999999997</v>
      </c>
      <c r="BQ161" s="469">
        <f t="shared" si="99"/>
        <v>2030</v>
      </c>
      <c r="BR161" s="473">
        <v>47515</v>
      </c>
      <c r="BS161" s="469">
        <f t="shared" si="87"/>
        <v>4.8956999999999997</v>
      </c>
      <c r="BT161" s="474">
        <v>5.1041999999999996</v>
      </c>
      <c r="BU161" s="474">
        <v>4.6871999999999998</v>
      </c>
    </row>
    <row r="162" spans="36:73">
      <c r="AJ162" s="3">
        <f t="shared" si="92"/>
        <v>2017</v>
      </c>
      <c r="AK162" s="345">
        <f t="shared" si="85"/>
        <v>43070</v>
      </c>
      <c r="AL162" s="122">
        <v>77.13</v>
      </c>
      <c r="AM162" s="122">
        <v>64.42</v>
      </c>
      <c r="AN162" s="319">
        <f t="shared" si="96"/>
        <v>71.664699999999996</v>
      </c>
      <c r="AO162" s="305">
        <v>400</v>
      </c>
      <c r="AP162" s="305">
        <v>344</v>
      </c>
      <c r="AQ162" s="305">
        <f t="shared" si="93"/>
        <v>0.5376344086021505</v>
      </c>
      <c r="AR162" s="305">
        <f t="shared" si="94"/>
        <v>0.46236559139784944</v>
      </c>
      <c r="AV162" s="3">
        <f t="shared" si="97"/>
        <v>2017</v>
      </c>
      <c r="AW162" s="343">
        <f t="shared" si="100"/>
        <v>43070</v>
      </c>
      <c r="AX162" s="121">
        <f t="shared" si="95"/>
        <v>9.083833605220228</v>
      </c>
      <c r="AY162" s="122">
        <v>9.083833605220228</v>
      </c>
      <c r="BA162" s="3">
        <f t="shared" si="88"/>
        <v>2016</v>
      </c>
      <c r="BB162" s="343">
        <v>42674</v>
      </c>
      <c r="BC162" s="3">
        <f t="shared" si="89"/>
        <v>5</v>
      </c>
      <c r="BD162" s="3">
        <v>5.0199999999999996</v>
      </c>
      <c r="BE162" s="3">
        <v>4.9800000000000004</v>
      </c>
      <c r="BG162" s="3">
        <f t="shared" si="90"/>
        <v>2020</v>
      </c>
      <c r="BH162" s="318">
        <v>44075</v>
      </c>
      <c r="BI162" s="3">
        <f t="shared" si="91"/>
        <v>11.055</v>
      </c>
      <c r="BJ162" s="3">
        <v>11.16</v>
      </c>
      <c r="BK162" s="3">
        <v>10.95</v>
      </c>
      <c r="BL162" s="412">
        <f t="shared" si="98"/>
        <v>2027</v>
      </c>
      <c r="BM162" s="427">
        <v>46447</v>
      </c>
      <c r="BN162" s="412">
        <f t="shared" si="86"/>
        <v>4.5975000000000001</v>
      </c>
      <c r="BO162" s="458">
        <v>4.6645000000000003</v>
      </c>
      <c r="BP162" s="458">
        <v>4.5305</v>
      </c>
      <c r="BQ162" s="469">
        <f t="shared" si="99"/>
        <v>2030</v>
      </c>
      <c r="BR162" s="473">
        <v>47543</v>
      </c>
      <c r="BS162" s="469">
        <f t="shared" si="87"/>
        <v>4.7734500000000004</v>
      </c>
      <c r="BT162" s="474">
        <v>4.9459999999999997</v>
      </c>
      <c r="BU162" s="474">
        <v>4.6009000000000002</v>
      </c>
    </row>
    <row r="163" spans="36:73">
      <c r="AJ163" s="3">
        <f t="shared" si="92"/>
        <v>2018</v>
      </c>
      <c r="AK163" s="345">
        <f t="shared" si="85"/>
        <v>43101</v>
      </c>
      <c r="AL163" s="122">
        <v>86.47</v>
      </c>
      <c r="AM163" s="122">
        <v>74.489999999999995</v>
      </c>
      <c r="AN163" s="319">
        <f t="shared" si="96"/>
        <v>81.318599999999989</v>
      </c>
      <c r="AO163" s="305">
        <v>416</v>
      </c>
      <c r="AP163" s="305">
        <v>328</v>
      </c>
      <c r="AQ163" s="305">
        <f t="shared" si="93"/>
        <v>0.55913978494623651</v>
      </c>
      <c r="AR163" s="305">
        <f t="shared" si="94"/>
        <v>0.44086021505376344</v>
      </c>
      <c r="AV163" s="3">
        <f t="shared" si="97"/>
        <v>2018</v>
      </c>
      <c r="AW163" s="343">
        <f t="shared" si="100"/>
        <v>43101</v>
      </c>
      <c r="AX163" s="121">
        <f t="shared" si="95"/>
        <v>10.300527460576399</v>
      </c>
      <c r="AY163" s="122">
        <v>10.300527460576399</v>
      </c>
      <c r="BA163" s="3">
        <f t="shared" si="88"/>
        <v>2016</v>
      </c>
      <c r="BB163" s="343">
        <v>42704</v>
      </c>
      <c r="BC163" s="3">
        <f t="shared" si="89"/>
        <v>5.08</v>
      </c>
      <c r="BD163" s="3">
        <v>5.0999999999999996</v>
      </c>
      <c r="BE163" s="3">
        <v>5.0599999999999996</v>
      </c>
      <c r="BG163" s="3">
        <f t="shared" si="90"/>
        <v>2020</v>
      </c>
      <c r="BH163" s="318">
        <v>44105</v>
      </c>
      <c r="BI163" s="3">
        <f t="shared" si="91"/>
        <v>11.475000000000001</v>
      </c>
      <c r="BJ163" s="3">
        <v>11.49</v>
      </c>
      <c r="BK163" s="3">
        <v>11.46</v>
      </c>
      <c r="BL163" s="412">
        <f t="shared" si="98"/>
        <v>2027</v>
      </c>
      <c r="BM163" s="427">
        <v>46478</v>
      </c>
      <c r="BN163" s="412">
        <f t="shared" si="86"/>
        <v>4.36965</v>
      </c>
      <c r="BO163" s="458">
        <v>4.4634999999999998</v>
      </c>
      <c r="BP163" s="458">
        <v>4.2758000000000003</v>
      </c>
      <c r="BQ163" s="469">
        <f t="shared" si="99"/>
        <v>2030</v>
      </c>
      <c r="BR163" s="473">
        <v>47574</v>
      </c>
      <c r="BS163" s="469">
        <f t="shared" si="87"/>
        <v>4.5074500000000004</v>
      </c>
      <c r="BT163" s="474">
        <v>4.6727999999999996</v>
      </c>
      <c r="BU163" s="474">
        <v>4.3421000000000003</v>
      </c>
    </row>
    <row r="164" spans="36:73">
      <c r="AJ164" s="3">
        <f t="shared" si="92"/>
        <v>2018</v>
      </c>
      <c r="AK164" s="345">
        <f t="shared" si="85"/>
        <v>43132</v>
      </c>
      <c r="AL164" s="122">
        <v>79.75</v>
      </c>
      <c r="AM164" s="122">
        <v>68.38</v>
      </c>
      <c r="AN164" s="319">
        <f t="shared" si="96"/>
        <v>74.860899999999987</v>
      </c>
      <c r="AO164" s="305">
        <v>384</v>
      </c>
      <c r="AP164" s="305">
        <v>288</v>
      </c>
      <c r="AQ164" s="305">
        <f t="shared" si="93"/>
        <v>0.5714285714285714</v>
      </c>
      <c r="AR164" s="305">
        <f t="shared" si="94"/>
        <v>0.42857142857142855</v>
      </c>
      <c r="AV164" s="3">
        <f t="shared" si="97"/>
        <v>2018</v>
      </c>
      <c r="AW164" s="343">
        <f t="shared" si="100"/>
        <v>43132</v>
      </c>
      <c r="AX164" s="121">
        <f t="shared" si="95"/>
        <v>9.6785861881457311</v>
      </c>
      <c r="AY164" s="122">
        <v>9.6785861881457311</v>
      </c>
      <c r="BA164" s="3">
        <f t="shared" si="88"/>
        <v>2016</v>
      </c>
      <c r="BB164" s="343">
        <v>42735</v>
      </c>
      <c r="BC164" s="3">
        <f t="shared" si="89"/>
        <v>5.33</v>
      </c>
      <c r="BD164" s="3">
        <v>5.31</v>
      </c>
      <c r="BE164" s="3">
        <v>5.35</v>
      </c>
      <c r="BG164" s="3">
        <f t="shared" si="90"/>
        <v>2020</v>
      </c>
      <c r="BH164" s="318">
        <v>44136</v>
      </c>
      <c r="BI164" s="3">
        <f t="shared" si="91"/>
        <v>11.64</v>
      </c>
      <c r="BJ164" s="3">
        <v>11.65</v>
      </c>
      <c r="BK164" s="3">
        <v>11.63</v>
      </c>
      <c r="BL164" s="412">
        <f t="shared" si="98"/>
        <v>2027</v>
      </c>
      <c r="BM164" s="427">
        <v>46508</v>
      </c>
      <c r="BN164" s="412">
        <f t="shared" si="86"/>
        <v>4.1752500000000001</v>
      </c>
      <c r="BO164" s="458">
        <v>4.2892000000000001</v>
      </c>
      <c r="BP164" s="458">
        <v>4.0613000000000001</v>
      </c>
      <c r="BQ164" s="469">
        <f t="shared" si="99"/>
        <v>2030</v>
      </c>
      <c r="BR164" s="473">
        <v>47604</v>
      </c>
      <c r="BS164" s="469">
        <f t="shared" si="87"/>
        <v>4.54345</v>
      </c>
      <c r="BT164" s="474">
        <v>4.7016</v>
      </c>
      <c r="BU164" s="474">
        <v>4.3853</v>
      </c>
    </row>
    <row r="165" spans="36:73">
      <c r="AJ165" s="3">
        <f t="shared" si="92"/>
        <v>2018</v>
      </c>
      <c r="AK165" s="345">
        <f t="shared" si="85"/>
        <v>43160</v>
      </c>
      <c r="AL165" s="122">
        <v>73.75</v>
      </c>
      <c r="AM165" s="122">
        <v>65.930000000000007</v>
      </c>
      <c r="AN165" s="319">
        <f t="shared" si="96"/>
        <v>70.3874</v>
      </c>
      <c r="AO165" s="305">
        <v>432</v>
      </c>
      <c r="AP165" s="305">
        <v>312</v>
      </c>
      <c r="AQ165" s="305">
        <f t="shared" si="93"/>
        <v>0.58064516129032262</v>
      </c>
      <c r="AR165" s="305">
        <f t="shared" si="94"/>
        <v>0.41935483870967744</v>
      </c>
      <c r="AV165" s="3">
        <f t="shared" si="97"/>
        <v>2018</v>
      </c>
      <c r="AW165" s="343">
        <f t="shared" si="100"/>
        <v>43160</v>
      </c>
      <c r="AX165" s="121">
        <f t="shared" si="95"/>
        <v>9.1076237085372469</v>
      </c>
      <c r="AY165" s="122">
        <v>9.1076237085372469</v>
      </c>
      <c r="BA165" s="3">
        <f t="shared" si="88"/>
        <v>2017</v>
      </c>
      <c r="BB165" s="343">
        <v>42766</v>
      </c>
      <c r="BC165" s="3">
        <f t="shared" si="89"/>
        <v>5.91</v>
      </c>
      <c r="BD165" s="3">
        <v>5.85</v>
      </c>
      <c r="BE165" s="3">
        <v>5.97</v>
      </c>
      <c r="BG165" s="3">
        <f t="shared" si="90"/>
        <v>2020</v>
      </c>
      <c r="BH165" s="318">
        <v>44166</v>
      </c>
      <c r="BI165" s="3">
        <f t="shared" si="91"/>
        <v>12.225000000000001</v>
      </c>
      <c r="BJ165" s="3">
        <v>12.15</v>
      </c>
      <c r="BK165" s="3">
        <v>12.3</v>
      </c>
      <c r="BL165" s="412">
        <f t="shared" si="98"/>
        <v>2027</v>
      </c>
      <c r="BM165" s="427">
        <v>46539</v>
      </c>
      <c r="BN165" s="412">
        <f t="shared" si="86"/>
        <v>4.1484500000000004</v>
      </c>
      <c r="BO165" s="458">
        <v>4.2892000000000001</v>
      </c>
      <c r="BP165" s="458">
        <v>4.0076999999999998</v>
      </c>
      <c r="BQ165" s="469">
        <f t="shared" si="99"/>
        <v>2030</v>
      </c>
      <c r="BR165" s="473">
        <v>47635</v>
      </c>
      <c r="BS165" s="469">
        <f t="shared" si="87"/>
        <v>4.5865499999999999</v>
      </c>
      <c r="BT165" s="474">
        <v>4.7302999999999997</v>
      </c>
      <c r="BU165" s="474">
        <v>4.4428000000000001</v>
      </c>
    </row>
    <row r="166" spans="36:73">
      <c r="AJ166" s="3">
        <f t="shared" si="92"/>
        <v>2018</v>
      </c>
      <c r="AK166" s="345">
        <f t="shared" si="85"/>
        <v>43191</v>
      </c>
      <c r="AL166" s="122">
        <v>72.760000000000005</v>
      </c>
      <c r="AM166" s="122">
        <v>63.99</v>
      </c>
      <c r="AN166" s="319">
        <f t="shared" si="96"/>
        <v>68.988900000000001</v>
      </c>
      <c r="AO166" s="305">
        <v>400</v>
      </c>
      <c r="AP166" s="305">
        <v>320</v>
      </c>
      <c r="AQ166" s="305">
        <f t="shared" si="93"/>
        <v>0.55555555555555558</v>
      </c>
      <c r="AR166" s="305">
        <f t="shared" si="94"/>
        <v>0.44444444444444442</v>
      </c>
      <c r="AV166" s="3">
        <f t="shared" si="97"/>
        <v>2018</v>
      </c>
      <c r="AW166" s="343">
        <f t="shared" si="100"/>
        <v>43191</v>
      </c>
      <c r="AX166" s="121">
        <f t="shared" si="95"/>
        <v>8.6182272974442604</v>
      </c>
      <c r="AY166" s="122">
        <v>8.6182272974442604</v>
      </c>
      <c r="BA166" s="3">
        <f t="shared" si="88"/>
        <v>2017</v>
      </c>
      <c r="BB166" s="343">
        <v>42794</v>
      </c>
      <c r="BC166" s="3">
        <f t="shared" si="89"/>
        <v>5.5</v>
      </c>
      <c r="BD166" s="3">
        <v>5.48</v>
      </c>
      <c r="BE166" s="3">
        <v>5.52</v>
      </c>
      <c r="BG166" s="3">
        <f t="shared" si="90"/>
        <v>2021</v>
      </c>
      <c r="BH166" s="318">
        <v>44197</v>
      </c>
      <c r="BI166" s="3">
        <f t="shared" si="91"/>
        <v>13.385000000000002</v>
      </c>
      <c r="BJ166" s="3">
        <v>13.21</v>
      </c>
      <c r="BK166" s="3">
        <v>13.56</v>
      </c>
      <c r="BL166" s="412">
        <f t="shared" si="98"/>
        <v>2027</v>
      </c>
      <c r="BM166" s="427">
        <v>46569</v>
      </c>
      <c r="BN166" s="412">
        <f t="shared" si="86"/>
        <v>4.1953499999999995</v>
      </c>
      <c r="BO166" s="458">
        <v>4.3159999999999998</v>
      </c>
      <c r="BP166" s="458">
        <v>4.0747</v>
      </c>
      <c r="BQ166" s="469">
        <f t="shared" si="99"/>
        <v>2030</v>
      </c>
      <c r="BR166" s="473">
        <v>47665</v>
      </c>
      <c r="BS166" s="469">
        <f t="shared" si="87"/>
        <v>4.7734500000000004</v>
      </c>
      <c r="BT166" s="474">
        <v>4.9172000000000002</v>
      </c>
      <c r="BU166" s="474">
        <v>4.6296999999999997</v>
      </c>
    </row>
    <row r="167" spans="36:73">
      <c r="AJ167" s="3">
        <f t="shared" si="92"/>
        <v>2018</v>
      </c>
      <c r="AK167" s="345">
        <f t="shared" si="85"/>
        <v>43221</v>
      </c>
      <c r="AL167" s="122">
        <v>72.59</v>
      </c>
      <c r="AM167" s="122">
        <v>54.31</v>
      </c>
      <c r="AN167" s="319">
        <f t="shared" si="96"/>
        <v>64.729600000000005</v>
      </c>
      <c r="AO167" s="305">
        <v>416</v>
      </c>
      <c r="AP167" s="305">
        <v>328</v>
      </c>
      <c r="AQ167" s="305">
        <f t="shared" si="93"/>
        <v>0.55913978494623651</v>
      </c>
      <c r="AR167" s="305">
        <f t="shared" si="94"/>
        <v>0.44086021505376344</v>
      </c>
      <c r="AV167" s="3">
        <f t="shared" si="97"/>
        <v>2018</v>
      </c>
      <c r="AW167" s="343">
        <f t="shared" si="100"/>
        <v>43221</v>
      </c>
      <c r="AX167" s="121">
        <f t="shared" si="95"/>
        <v>8.5298640565524728</v>
      </c>
      <c r="AY167" s="122">
        <v>8.5298640565524728</v>
      </c>
      <c r="BA167" s="3">
        <f t="shared" si="88"/>
        <v>2017</v>
      </c>
      <c r="BB167" s="343">
        <v>42825</v>
      </c>
      <c r="BC167" s="3">
        <f t="shared" si="89"/>
        <v>5.16</v>
      </c>
      <c r="BD167" s="3">
        <v>5.18</v>
      </c>
      <c r="BE167" s="3">
        <v>5.14</v>
      </c>
      <c r="BG167" s="3">
        <f t="shared" si="90"/>
        <v>2021</v>
      </c>
      <c r="BH167" s="318">
        <v>44228</v>
      </c>
      <c r="BI167" s="3">
        <f t="shared" si="91"/>
        <v>12.455</v>
      </c>
      <c r="BJ167" s="3">
        <v>12.38</v>
      </c>
      <c r="BK167" s="3">
        <v>12.53</v>
      </c>
      <c r="BL167" s="412">
        <f t="shared" si="98"/>
        <v>2027</v>
      </c>
      <c r="BM167" s="427">
        <v>46600</v>
      </c>
      <c r="BN167" s="412">
        <f t="shared" si="86"/>
        <v>4.2758000000000003</v>
      </c>
      <c r="BO167" s="458">
        <v>4.383</v>
      </c>
      <c r="BP167" s="458">
        <v>4.1685999999999996</v>
      </c>
      <c r="BQ167" s="469">
        <f t="shared" si="99"/>
        <v>2030</v>
      </c>
      <c r="BR167" s="473">
        <v>47696</v>
      </c>
      <c r="BS167" s="469">
        <f t="shared" si="87"/>
        <v>4.8094000000000001</v>
      </c>
      <c r="BT167" s="474">
        <v>4.9459999999999997</v>
      </c>
      <c r="BU167" s="474">
        <v>4.6727999999999996</v>
      </c>
    </row>
    <row r="168" spans="36:73">
      <c r="AJ168" s="3">
        <f t="shared" si="92"/>
        <v>2018</v>
      </c>
      <c r="AK168" s="345">
        <f t="shared" si="85"/>
        <v>43252</v>
      </c>
      <c r="AL168" s="122">
        <v>75.28</v>
      </c>
      <c r="AM168" s="122">
        <v>54.91</v>
      </c>
      <c r="AN168" s="319">
        <f t="shared" si="96"/>
        <v>66.520899999999997</v>
      </c>
      <c r="AO168" s="305">
        <v>416</v>
      </c>
      <c r="AP168" s="305">
        <v>304</v>
      </c>
      <c r="AQ168" s="305">
        <f t="shared" si="93"/>
        <v>0.57777777777777772</v>
      </c>
      <c r="AR168" s="305">
        <f t="shared" si="94"/>
        <v>0.42222222222222222</v>
      </c>
      <c r="AV168" s="3">
        <f t="shared" si="97"/>
        <v>2018</v>
      </c>
      <c r="AW168" s="343">
        <f t="shared" si="100"/>
        <v>43252</v>
      </c>
      <c r="AX168" s="121">
        <f t="shared" si="95"/>
        <v>8.6624089178901595</v>
      </c>
      <c r="AY168" s="122">
        <v>8.6624089178901595</v>
      </c>
      <c r="BA168" s="3">
        <f t="shared" si="88"/>
        <v>2017</v>
      </c>
      <c r="BB168" s="343">
        <v>42855</v>
      </c>
      <c r="BC168" s="3">
        <f t="shared" si="89"/>
        <v>4.8249999999999993</v>
      </c>
      <c r="BD168" s="3">
        <v>4.8899999999999997</v>
      </c>
      <c r="BE168" s="3">
        <v>4.76</v>
      </c>
      <c r="BG168" s="3">
        <f t="shared" si="90"/>
        <v>2021</v>
      </c>
      <c r="BH168" s="318">
        <v>44256</v>
      </c>
      <c r="BI168" s="3">
        <f t="shared" si="91"/>
        <v>11.695</v>
      </c>
      <c r="BJ168" s="3">
        <v>11.71</v>
      </c>
      <c r="BK168" s="3">
        <v>11.68</v>
      </c>
      <c r="BL168" s="412">
        <f t="shared" si="98"/>
        <v>2027</v>
      </c>
      <c r="BM168" s="427">
        <v>46631</v>
      </c>
      <c r="BN168" s="412">
        <f t="shared" si="86"/>
        <v>4.2958999999999996</v>
      </c>
      <c r="BO168" s="458">
        <v>4.3696000000000002</v>
      </c>
      <c r="BP168" s="458">
        <v>4.2222</v>
      </c>
      <c r="BQ168" s="469">
        <f t="shared" si="99"/>
        <v>2030</v>
      </c>
      <c r="BR168" s="473">
        <v>47727</v>
      </c>
      <c r="BS168" s="469">
        <f t="shared" si="87"/>
        <v>4.7231000000000005</v>
      </c>
      <c r="BT168" s="474">
        <v>4.9172000000000002</v>
      </c>
      <c r="BU168" s="474">
        <v>4.5289999999999999</v>
      </c>
    </row>
    <row r="169" spans="36:73">
      <c r="AJ169" s="3">
        <f t="shared" si="92"/>
        <v>2018</v>
      </c>
      <c r="AK169" s="345">
        <f t="shared" si="85"/>
        <v>43282</v>
      </c>
      <c r="AL169" s="122">
        <v>75.73</v>
      </c>
      <c r="AM169" s="122">
        <v>66</v>
      </c>
      <c r="AN169" s="319">
        <f t="shared" si="96"/>
        <v>71.546099999999996</v>
      </c>
      <c r="AO169" s="305">
        <v>400</v>
      </c>
      <c r="AP169" s="305">
        <v>344</v>
      </c>
      <c r="AQ169" s="305">
        <f t="shared" si="93"/>
        <v>0.5376344086021505</v>
      </c>
      <c r="AR169" s="305">
        <f t="shared" si="94"/>
        <v>0.46236559139784944</v>
      </c>
      <c r="AV169" s="3">
        <f t="shared" si="97"/>
        <v>2018</v>
      </c>
      <c r="AW169" s="343">
        <f t="shared" si="100"/>
        <v>43282</v>
      </c>
      <c r="AX169" s="121">
        <f t="shared" si="95"/>
        <v>8.7949537792278392</v>
      </c>
      <c r="AY169" s="122">
        <v>8.7949537792278392</v>
      </c>
      <c r="BA169" s="3">
        <f t="shared" si="88"/>
        <v>2017</v>
      </c>
      <c r="BB169" s="343">
        <v>42886</v>
      </c>
      <c r="BC169" s="3">
        <f t="shared" si="89"/>
        <v>4.8249999999999993</v>
      </c>
      <c r="BD169" s="3">
        <v>4.8899999999999997</v>
      </c>
      <c r="BE169" s="3">
        <v>4.76</v>
      </c>
      <c r="BG169" s="3">
        <f t="shared" si="90"/>
        <v>2021</v>
      </c>
      <c r="BH169" s="318">
        <v>44287</v>
      </c>
      <c r="BI169" s="3">
        <f t="shared" si="91"/>
        <v>10.93</v>
      </c>
      <c r="BJ169" s="3">
        <v>11.04</v>
      </c>
      <c r="BK169" s="3">
        <v>10.82</v>
      </c>
      <c r="BL169" s="412">
        <f t="shared" si="98"/>
        <v>2027</v>
      </c>
      <c r="BM169" s="427">
        <v>46661</v>
      </c>
      <c r="BN169" s="412">
        <f t="shared" si="86"/>
        <v>4.41655</v>
      </c>
      <c r="BO169" s="458">
        <v>4.4500999999999999</v>
      </c>
      <c r="BP169" s="458">
        <v>4.383</v>
      </c>
      <c r="BQ169" s="469">
        <f t="shared" si="99"/>
        <v>2030</v>
      </c>
      <c r="BR169" s="473">
        <v>47757</v>
      </c>
      <c r="BS169" s="469">
        <f t="shared" si="87"/>
        <v>4.7735000000000003</v>
      </c>
      <c r="BT169" s="474">
        <v>4.9603999999999999</v>
      </c>
      <c r="BU169" s="474">
        <v>4.5865999999999998</v>
      </c>
    </row>
    <row r="170" spans="36:73">
      <c r="AJ170" s="3">
        <f t="shared" si="92"/>
        <v>2018</v>
      </c>
      <c r="AK170" s="345">
        <f t="shared" si="85"/>
        <v>43313</v>
      </c>
      <c r="AL170" s="122">
        <v>89.84</v>
      </c>
      <c r="AM170" s="122">
        <v>69.900000000000006</v>
      </c>
      <c r="AN170" s="319">
        <f t="shared" si="96"/>
        <v>81.265799999999999</v>
      </c>
      <c r="AO170" s="305">
        <v>432</v>
      </c>
      <c r="AP170" s="305">
        <v>312</v>
      </c>
      <c r="AQ170" s="305">
        <f t="shared" si="93"/>
        <v>0.58064516129032262</v>
      </c>
      <c r="AR170" s="305">
        <f t="shared" si="94"/>
        <v>0.41935483870967744</v>
      </c>
      <c r="AV170" s="3">
        <f t="shared" si="97"/>
        <v>2018</v>
      </c>
      <c r="AW170" s="343">
        <f t="shared" si="100"/>
        <v>43313</v>
      </c>
      <c r="AX170" s="121">
        <f t="shared" si="95"/>
        <v>8.7949537792278392</v>
      </c>
      <c r="AY170" s="122">
        <v>8.7949537792278392</v>
      </c>
      <c r="BA170" s="3">
        <f t="shared" si="88"/>
        <v>2017</v>
      </c>
      <c r="BB170" s="343">
        <v>42916</v>
      </c>
      <c r="BC170" s="3">
        <f t="shared" si="89"/>
        <v>4.9000000000000004</v>
      </c>
      <c r="BD170" s="3">
        <v>4.96</v>
      </c>
      <c r="BE170" s="3">
        <v>4.84</v>
      </c>
      <c r="BG170" s="3">
        <f t="shared" si="90"/>
        <v>2021</v>
      </c>
      <c r="BH170" s="318">
        <v>44317</v>
      </c>
      <c r="BI170" s="3">
        <f t="shared" si="91"/>
        <v>10.93</v>
      </c>
      <c r="BJ170" s="3">
        <v>11.04</v>
      </c>
      <c r="BK170" s="3">
        <v>10.82</v>
      </c>
      <c r="BL170" s="412">
        <f t="shared" si="98"/>
        <v>2027</v>
      </c>
      <c r="BM170" s="427">
        <v>46692</v>
      </c>
      <c r="BN170" s="412">
        <f t="shared" si="86"/>
        <v>4.6242999999999999</v>
      </c>
      <c r="BO170" s="458">
        <v>4.6913</v>
      </c>
      <c r="BP170" s="458">
        <v>4.5572999999999997</v>
      </c>
      <c r="BQ170" s="469">
        <f t="shared" si="99"/>
        <v>2030</v>
      </c>
      <c r="BR170" s="473">
        <v>47788</v>
      </c>
      <c r="BS170" s="469">
        <f t="shared" si="87"/>
        <v>5.0754000000000001</v>
      </c>
      <c r="BT170" s="474">
        <v>5.3053999999999997</v>
      </c>
      <c r="BU170" s="474">
        <v>4.8453999999999997</v>
      </c>
    </row>
    <row r="171" spans="36:73">
      <c r="AJ171" s="3">
        <f t="shared" si="92"/>
        <v>2018</v>
      </c>
      <c r="AK171" s="345">
        <f t="shared" si="85"/>
        <v>43344</v>
      </c>
      <c r="AL171" s="122">
        <v>78.430000000000007</v>
      </c>
      <c r="AM171" s="122">
        <v>65.8</v>
      </c>
      <c r="AN171" s="319">
        <f t="shared" si="96"/>
        <v>72.999099999999999</v>
      </c>
      <c r="AO171" s="305">
        <v>384</v>
      </c>
      <c r="AP171" s="305">
        <v>336</v>
      </c>
      <c r="AQ171" s="305">
        <f t="shared" si="93"/>
        <v>0.53333333333333333</v>
      </c>
      <c r="AR171" s="305">
        <f t="shared" si="94"/>
        <v>0.46666666666666667</v>
      </c>
      <c r="AV171" s="3">
        <f t="shared" si="97"/>
        <v>2018</v>
      </c>
      <c r="AW171" s="343">
        <f t="shared" si="100"/>
        <v>43344</v>
      </c>
      <c r="AX171" s="121">
        <f t="shared" si="95"/>
        <v>8.7949537792278392</v>
      </c>
      <c r="AY171" s="122">
        <v>8.7949537792278392</v>
      </c>
      <c r="BA171" s="3">
        <f t="shared" si="88"/>
        <v>2017</v>
      </c>
      <c r="BB171" s="343">
        <v>42947</v>
      </c>
      <c r="BC171" s="3">
        <f t="shared" si="89"/>
        <v>4.9749999999999996</v>
      </c>
      <c r="BD171" s="3">
        <v>5.04</v>
      </c>
      <c r="BE171" s="3">
        <v>4.91</v>
      </c>
      <c r="BG171" s="3">
        <f t="shared" si="90"/>
        <v>2021</v>
      </c>
      <c r="BH171" s="318">
        <v>44348</v>
      </c>
      <c r="BI171" s="3">
        <f t="shared" si="91"/>
        <v>11.100000000000001</v>
      </c>
      <c r="BJ171" s="3">
        <v>11.21</v>
      </c>
      <c r="BK171" s="3">
        <v>10.99</v>
      </c>
      <c r="BL171" s="412">
        <f t="shared" si="98"/>
        <v>2027</v>
      </c>
      <c r="BM171" s="427">
        <v>46722</v>
      </c>
      <c r="BN171" s="412">
        <f t="shared" si="86"/>
        <v>4.9124999999999996</v>
      </c>
      <c r="BO171" s="458">
        <v>4.9325999999999999</v>
      </c>
      <c r="BP171" s="458">
        <v>4.8924000000000003</v>
      </c>
      <c r="BQ171" s="469">
        <f t="shared" si="99"/>
        <v>2030</v>
      </c>
      <c r="BR171" s="473">
        <v>47818</v>
      </c>
      <c r="BS171" s="469">
        <f t="shared" si="87"/>
        <v>5.3701500000000006</v>
      </c>
      <c r="BT171" s="474">
        <v>5.5643000000000002</v>
      </c>
      <c r="BU171" s="474">
        <v>5.1760000000000002</v>
      </c>
    </row>
    <row r="172" spans="36:73">
      <c r="AJ172" s="3">
        <f t="shared" si="92"/>
        <v>2018</v>
      </c>
      <c r="AK172" s="345">
        <f t="shared" ref="AK172:AK235" si="101">EOMONTH(AK171,0)+1</f>
        <v>43374</v>
      </c>
      <c r="AL172" s="122">
        <v>76</v>
      </c>
      <c r="AM172" s="122">
        <v>65.75</v>
      </c>
      <c r="AN172" s="319">
        <f t="shared" si="96"/>
        <v>71.592500000000001</v>
      </c>
      <c r="AO172" s="305">
        <v>432</v>
      </c>
      <c r="AP172" s="305">
        <v>312</v>
      </c>
      <c r="AQ172" s="305">
        <f t="shared" si="93"/>
        <v>0.58064516129032262</v>
      </c>
      <c r="AR172" s="305">
        <f t="shared" si="94"/>
        <v>0.41935483870967744</v>
      </c>
      <c r="AV172" s="3">
        <f t="shared" si="97"/>
        <v>2018</v>
      </c>
      <c r="AW172" s="343">
        <f t="shared" si="100"/>
        <v>43374</v>
      </c>
      <c r="AX172" s="121">
        <f t="shared" si="95"/>
        <v>9.1076237085372469</v>
      </c>
      <c r="AY172" s="122">
        <v>9.1076237085372469</v>
      </c>
      <c r="BA172" s="3">
        <f t="shared" si="88"/>
        <v>2017</v>
      </c>
      <c r="BB172" s="343">
        <v>42978</v>
      </c>
      <c r="BC172" s="3">
        <f t="shared" si="89"/>
        <v>4.9749999999999996</v>
      </c>
      <c r="BD172" s="3">
        <v>5.04</v>
      </c>
      <c r="BE172" s="3">
        <v>4.91</v>
      </c>
      <c r="BG172" s="3">
        <f t="shared" si="90"/>
        <v>2021</v>
      </c>
      <c r="BH172" s="318">
        <v>44378</v>
      </c>
      <c r="BI172" s="3">
        <f t="shared" si="91"/>
        <v>11.265000000000001</v>
      </c>
      <c r="BJ172" s="3">
        <v>11.37</v>
      </c>
      <c r="BK172" s="3">
        <v>11.16</v>
      </c>
      <c r="BL172" s="412">
        <f t="shared" si="98"/>
        <v>2028</v>
      </c>
      <c r="BM172" s="427">
        <v>46753</v>
      </c>
      <c r="BN172" s="412">
        <f t="shared" si="86"/>
        <v>4.7876500000000002</v>
      </c>
      <c r="BO172" s="458">
        <v>4.7808000000000002</v>
      </c>
      <c r="BP172" s="458">
        <v>4.7945000000000002</v>
      </c>
      <c r="BQ172" s="469">
        <f t="shared" si="99"/>
        <v>2031</v>
      </c>
      <c r="BR172" s="473">
        <v>47849</v>
      </c>
      <c r="BS172" s="469">
        <f t="shared" si="87"/>
        <v>5.4275000000000002</v>
      </c>
      <c r="BT172" s="474">
        <v>5.6186999999999996</v>
      </c>
      <c r="BU172" s="474">
        <v>5.2363</v>
      </c>
    </row>
    <row r="173" spans="36:73">
      <c r="AJ173" s="3">
        <f t="shared" si="92"/>
        <v>2018</v>
      </c>
      <c r="AK173" s="345">
        <f t="shared" si="101"/>
        <v>43405</v>
      </c>
      <c r="AL173" s="122">
        <v>81.14</v>
      </c>
      <c r="AM173" s="122">
        <v>60.15</v>
      </c>
      <c r="AN173" s="319">
        <f t="shared" si="96"/>
        <v>72.114299999999986</v>
      </c>
      <c r="AO173" s="305">
        <v>400</v>
      </c>
      <c r="AP173" s="305">
        <v>320</v>
      </c>
      <c r="AQ173" s="305">
        <f t="shared" si="93"/>
        <v>0.55555555555555558</v>
      </c>
      <c r="AR173" s="305">
        <f t="shared" si="94"/>
        <v>0.44444444444444442</v>
      </c>
      <c r="AV173" s="3">
        <f t="shared" si="97"/>
        <v>2018</v>
      </c>
      <c r="AW173" s="343">
        <f t="shared" si="100"/>
        <v>43405</v>
      </c>
      <c r="AX173" s="121">
        <f t="shared" si="95"/>
        <v>9.236769983686786</v>
      </c>
      <c r="AY173" s="122">
        <v>9.236769983686786</v>
      </c>
      <c r="BA173" s="3">
        <f t="shared" si="88"/>
        <v>2017</v>
      </c>
      <c r="BB173" s="343">
        <v>43008</v>
      </c>
      <c r="BC173" s="3">
        <f t="shared" si="89"/>
        <v>4.9749999999999996</v>
      </c>
      <c r="BD173" s="3">
        <v>5.04</v>
      </c>
      <c r="BE173" s="3">
        <v>4.91</v>
      </c>
      <c r="BG173" s="3">
        <f t="shared" si="90"/>
        <v>2021</v>
      </c>
      <c r="BH173" s="318">
        <v>44409</v>
      </c>
      <c r="BI173" s="3">
        <f t="shared" si="91"/>
        <v>11.265000000000001</v>
      </c>
      <c r="BJ173" s="3">
        <v>11.37</v>
      </c>
      <c r="BK173" s="3">
        <v>11.16</v>
      </c>
      <c r="BL173" s="412">
        <f t="shared" si="98"/>
        <v>2028</v>
      </c>
      <c r="BM173" s="427">
        <v>46784</v>
      </c>
      <c r="BN173" s="412">
        <f t="shared" si="86"/>
        <v>4.8219000000000003</v>
      </c>
      <c r="BO173" s="458">
        <v>4.8219000000000003</v>
      </c>
      <c r="BP173" s="458">
        <v>4.8219000000000003</v>
      </c>
      <c r="BQ173" s="469">
        <f t="shared" si="99"/>
        <v>2031</v>
      </c>
      <c r="BR173" s="473">
        <v>47880</v>
      </c>
      <c r="BS173" s="469">
        <f t="shared" si="87"/>
        <v>5.4569000000000001</v>
      </c>
      <c r="BT173" s="474">
        <v>5.6481000000000003</v>
      </c>
      <c r="BU173" s="474">
        <v>5.2656999999999998</v>
      </c>
    </row>
    <row r="174" spans="36:73">
      <c r="AJ174" s="3">
        <f t="shared" si="92"/>
        <v>2018</v>
      </c>
      <c r="AK174" s="345">
        <f t="shared" si="101"/>
        <v>43435</v>
      </c>
      <c r="AL174" s="122">
        <v>81.13</v>
      </c>
      <c r="AM174" s="122">
        <v>62.88</v>
      </c>
      <c r="AN174" s="319">
        <f t="shared" si="96"/>
        <v>73.282499999999999</v>
      </c>
      <c r="AO174" s="305">
        <v>400</v>
      </c>
      <c r="AP174" s="305">
        <v>344</v>
      </c>
      <c r="AQ174" s="305">
        <f t="shared" si="93"/>
        <v>0.5376344086021505</v>
      </c>
      <c r="AR174" s="305">
        <f t="shared" si="94"/>
        <v>0.46236559139784944</v>
      </c>
      <c r="AV174" s="3">
        <f t="shared" si="97"/>
        <v>2018</v>
      </c>
      <c r="AW174" s="343">
        <f t="shared" si="100"/>
        <v>43435</v>
      </c>
      <c r="AX174" s="121">
        <f t="shared" si="95"/>
        <v>9.6785861881457311</v>
      </c>
      <c r="AY174" s="122">
        <v>9.6785861881457311</v>
      </c>
      <c r="BA174" s="3">
        <f t="shared" si="88"/>
        <v>2017</v>
      </c>
      <c r="BB174" s="343">
        <v>43039</v>
      </c>
      <c r="BC174" s="3">
        <f t="shared" si="89"/>
        <v>5.16</v>
      </c>
      <c r="BD174" s="3">
        <v>5.18</v>
      </c>
      <c r="BE174" s="3">
        <v>5.14</v>
      </c>
      <c r="BG174" s="3">
        <f t="shared" si="90"/>
        <v>2021</v>
      </c>
      <c r="BH174" s="318">
        <v>44440</v>
      </c>
      <c r="BI174" s="3">
        <f t="shared" si="91"/>
        <v>11.265000000000001</v>
      </c>
      <c r="BJ174" s="3">
        <v>11.37</v>
      </c>
      <c r="BK174" s="3">
        <v>11.16</v>
      </c>
      <c r="BL174" s="412">
        <f t="shared" si="98"/>
        <v>2028</v>
      </c>
      <c r="BM174" s="427">
        <v>46813</v>
      </c>
      <c r="BN174" s="412">
        <f t="shared" si="86"/>
        <v>4.6096000000000004</v>
      </c>
      <c r="BO174" s="458">
        <v>4.6574999999999998</v>
      </c>
      <c r="BP174" s="458">
        <v>4.5617000000000001</v>
      </c>
      <c r="BQ174" s="469">
        <f t="shared" si="99"/>
        <v>2031</v>
      </c>
      <c r="BR174" s="473">
        <v>47908</v>
      </c>
      <c r="BS174" s="469">
        <f t="shared" si="87"/>
        <v>5.2215500000000006</v>
      </c>
      <c r="BT174" s="474">
        <v>5.4127999999999998</v>
      </c>
      <c r="BU174" s="474">
        <v>5.0303000000000004</v>
      </c>
    </row>
    <row r="175" spans="36:73">
      <c r="AJ175" s="3">
        <f t="shared" si="92"/>
        <v>2019</v>
      </c>
      <c r="AK175" s="345">
        <f t="shared" si="101"/>
        <v>43466</v>
      </c>
      <c r="AL175" s="122">
        <v>92.72</v>
      </c>
      <c r="AM175" s="122">
        <v>78.819999999999993</v>
      </c>
      <c r="AN175" s="319">
        <f t="shared" si="96"/>
        <v>86.742999999999995</v>
      </c>
      <c r="AO175" s="305">
        <v>416</v>
      </c>
      <c r="AP175" s="305">
        <v>328</v>
      </c>
      <c r="AQ175" s="305">
        <f t="shared" si="93"/>
        <v>0.55913978494623651</v>
      </c>
      <c r="AR175" s="305">
        <f t="shared" si="94"/>
        <v>0.44086021505376344</v>
      </c>
      <c r="AV175" s="3">
        <f t="shared" si="97"/>
        <v>2019</v>
      </c>
      <c r="AW175" s="343">
        <f t="shared" si="100"/>
        <v>43466</v>
      </c>
      <c r="AX175" s="121">
        <f t="shared" si="95"/>
        <v>11.004034801522566</v>
      </c>
      <c r="AY175" s="122">
        <v>11.004034801522566</v>
      </c>
      <c r="BA175" s="3">
        <f t="shared" si="88"/>
        <v>2017</v>
      </c>
      <c r="BB175" s="343">
        <v>43069</v>
      </c>
      <c r="BC175" s="3">
        <f t="shared" si="89"/>
        <v>5.24</v>
      </c>
      <c r="BD175" s="3">
        <v>5.26</v>
      </c>
      <c r="BE175" s="3">
        <v>5.22</v>
      </c>
      <c r="BG175" s="3">
        <f t="shared" si="90"/>
        <v>2021</v>
      </c>
      <c r="BH175" s="318">
        <v>44470</v>
      </c>
      <c r="BI175" s="3">
        <f t="shared" si="91"/>
        <v>11.695</v>
      </c>
      <c r="BJ175" s="3">
        <v>11.71</v>
      </c>
      <c r="BK175" s="3">
        <v>11.68</v>
      </c>
      <c r="BL175" s="412">
        <f t="shared" si="98"/>
        <v>2028</v>
      </c>
      <c r="BM175" s="427">
        <v>46844</v>
      </c>
      <c r="BN175" s="412">
        <f t="shared" si="86"/>
        <v>4.4589499999999997</v>
      </c>
      <c r="BO175" s="458">
        <v>4.5068999999999999</v>
      </c>
      <c r="BP175" s="458">
        <v>4.4109999999999996</v>
      </c>
      <c r="BQ175" s="469">
        <f t="shared" si="99"/>
        <v>2031</v>
      </c>
      <c r="BR175" s="473">
        <v>47939</v>
      </c>
      <c r="BS175" s="469">
        <f t="shared" si="87"/>
        <v>4.7876500000000002</v>
      </c>
      <c r="BT175" s="474">
        <v>4.9862000000000002</v>
      </c>
      <c r="BU175" s="474">
        <v>4.5891000000000002</v>
      </c>
    </row>
    <row r="176" spans="36:73">
      <c r="AJ176" s="3">
        <f t="shared" si="92"/>
        <v>2019</v>
      </c>
      <c r="AK176" s="345">
        <f t="shared" si="101"/>
        <v>43497</v>
      </c>
      <c r="AL176" s="122">
        <v>83.94</v>
      </c>
      <c r="AM176" s="122">
        <v>72.39</v>
      </c>
      <c r="AN176" s="319">
        <f t="shared" si="96"/>
        <v>78.973500000000001</v>
      </c>
      <c r="AO176" s="305">
        <v>384</v>
      </c>
      <c r="AP176" s="305">
        <v>288</v>
      </c>
      <c r="AQ176" s="305">
        <f t="shared" si="93"/>
        <v>0.5714285714285714</v>
      </c>
      <c r="AR176" s="305">
        <f t="shared" si="94"/>
        <v>0.42857142857142855</v>
      </c>
      <c r="AV176" s="3">
        <f t="shared" si="97"/>
        <v>2019</v>
      </c>
      <c r="AW176" s="343">
        <f t="shared" si="100"/>
        <v>43497</v>
      </c>
      <c r="AX176" s="121">
        <f t="shared" si="95"/>
        <v>10.341310494834149</v>
      </c>
      <c r="AY176" s="122">
        <v>10.341310494834149</v>
      </c>
      <c r="BA176" s="3">
        <f t="shared" si="88"/>
        <v>2017</v>
      </c>
      <c r="BB176" s="343">
        <v>43100</v>
      </c>
      <c r="BC176" s="3">
        <f t="shared" si="89"/>
        <v>5.5</v>
      </c>
      <c r="BD176" s="3">
        <v>5.48</v>
      </c>
      <c r="BE176" s="3">
        <v>5.52</v>
      </c>
      <c r="BG176" s="3">
        <f t="shared" si="90"/>
        <v>2021</v>
      </c>
      <c r="BH176" s="318">
        <v>44501</v>
      </c>
      <c r="BI176" s="3">
        <f t="shared" si="91"/>
        <v>11.865</v>
      </c>
      <c r="BJ176" s="3">
        <v>11.88</v>
      </c>
      <c r="BK176" s="3">
        <v>11.85</v>
      </c>
      <c r="BL176" s="412">
        <f t="shared" si="98"/>
        <v>2028</v>
      </c>
      <c r="BM176" s="427">
        <v>46874</v>
      </c>
      <c r="BN176" s="412">
        <f t="shared" si="86"/>
        <v>4.3493499999999994</v>
      </c>
      <c r="BO176" s="458">
        <v>4.4520999999999997</v>
      </c>
      <c r="BP176" s="458">
        <v>4.2465999999999999</v>
      </c>
      <c r="BQ176" s="469">
        <f t="shared" si="99"/>
        <v>2031</v>
      </c>
      <c r="BR176" s="473">
        <v>47969</v>
      </c>
      <c r="BS176" s="469">
        <f t="shared" si="87"/>
        <v>4.8096999999999994</v>
      </c>
      <c r="BT176" s="474">
        <v>5.0008999999999997</v>
      </c>
      <c r="BU176" s="474">
        <v>4.6185</v>
      </c>
    </row>
    <row r="177" spans="36:73">
      <c r="AJ177" s="3">
        <f t="shared" si="92"/>
        <v>2019</v>
      </c>
      <c r="AK177" s="345">
        <f t="shared" si="101"/>
        <v>43525</v>
      </c>
      <c r="AL177" s="122">
        <v>77.650000000000006</v>
      </c>
      <c r="AM177" s="122">
        <v>70.63</v>
      </c>
      <c r="AN177" s="319">
        <f t="shared" si="96"/>
        <v>74.631399999999999</v>
      </c>
      <c r="AO177" s="305">
        <v>416</v>
      </c>
      <c r="AP177" s="305">
        <v>328</v>
      </c>
      <c r="AQ177" s="305">
        <f t="shared" si="93"/>
        <v>0.55913978494623651</v>
      </c>
      <c r="AR177" s="305">
        <f t="shared" si="94"/>
        <v>0.44086021505376344</v>
      </c>
      <c r="AV177" s="3">
        <f t="shared" si="97"/>
        <v>2019</v>
      </c>
      <c r="AW177" s="343">
        <f t="shared" si="100"/>
        <v>43525</v>
      </c>
      <c r="AX177" s="121">
        <f t="shared" si="95"/>
        <v>9.7261663947797707</v>
      </c>
      <c r="AY177" s="122">
        <v>9.7261663947797707</v>
      </c>
      <c r="BA177" s="3">
        <f t="shared" si="88"/>
        <v>2018</v>
      </c>
      <c r="BB177" s="343">
        <v>43131</v>
      </c>
      <c r="BC177" s="3">
        <f t="shared" si="89"/>
        <v>6.1050000000000004</v>
      </c>
      <c r="BD177" s="3">
        <v>6.04</v>
      </c>
      <c r="BE177" s="3">
        <v>6.17</v>
      </c>
      <c r="BG177" s="3">
        <f t="shared" si="90"/>
        <v>2021</v>
      </c>
      <c r="BH177" s="318">
        <v>44531</v>
      </c>
      <c r="BI177" s="3">
        <f t="shared" si="91"/>
        <v>12.455</v>
      </c>
      <c r="BJ177" s="3">
        <v>12.38</v>
      </c>
      <c r="BK177" s="3">
        <v>12.53</v>
      </c>
      <c r="BL177" s="412">
        <f t="shared" si="98"/>
        <v>2028</v>
      </c>
      <c r="BM177" s="427">
        <v>46905</v>
      </c>
      <c r="BN177" s="412">
        <f t="shared" si="86"/>
        <v>4.3561999999999994</v>
      </c>
      <c r="BO177" s="458">
        <v>4.4383999999999997</v>
      </c>
      <c r="BP177" s="458">
        <v>4.274</v>
      </c>
      <c r="BQ177" s="469">
        <f t="shared" si="99"/>
        <v>2031</v>
      </c>
      <c r="BR177" s="473">
        <v>48000</v>
      </c>
      <c r="BS177" s="469">
        <f t="shared" si="87"/>
        <v>4.8317500000000004</v>
      </c>
      <c r="BT177" s="474">
        <v>5.0303000000000004</v>
      </c>
      <c r="BU177" s="474">
        <v>4.6332000000000004</v>
      </c>
    </row>
    <row r="178" spans="36:73">
      <c r="AJ178" s="3">
        <f t="shared" si="92"/>
        <v>2019</v>
      </c>
      <c r="AK178" s="345">
        <f t="shared" si="101"/>
        <v>43556</v>
      </c>
      <c r="AL178" s="122">
        <v>78.900000000000006</v>
      </c>
      <c r="AM178" s="122">
        <v>68.09</v>
      </c>
      <c r="AN178" s="319">
        <f t="shared" si="96"/>
        <v>74.2517</v>
      </c>
      <c r="AO178" s="305">
        <v>416</v>
      </c>
      <c r="AP178" s="305">
        <v>304</v>
      </c>
      <c r="AQ178" s="305">
        <f t="shared" si="93"/>
        <v>0.57777777777777772</v>
      </c>
      <c r="AR178" s="305">
        <f t="shared" si="94"/>
        <v>0.42222222222222222</v>
      </c>
      <c r="AV178" s="3">
        <f t="shared" si="97"/>
        <v>2019</v>
      </c>
      <c r="AW178" s="343">
        <f t="shared" si="100"/>
        <v>43556</v>
      </c>
      <c r="AX178" s="121">
        <f t="shared" si="95"/>
        <v>9.2061827079934737</v>
      </c>
      <c r="AY178" s="122">
        <v>9.2061827079934737</v>
      </c>
      <c r="BA178" s="3">
        <f t="shared" si="88"/>
        <v>2018</v>
      </c>
      <c r="BB178" s="343">
        <v>43159</v>
      </c>
      <c r="BC178" s="3">
        <f t="shared" si="89"/>
        <v>5.68</v>
      </c>
      <c r="BD178" s="3">
        <v>5.66</v>
      </c>
      <c r="BE178" s="3">
        <v>5.7</v>
      </c>
      <c r="BG178" s="3">
        <f t="shared" si="90"/>
        <v>2022</v>
      </c>
      <c r="BH178" s="318">
        <v>44562</v>
      </c>
      <c r="BI178" s="3">
        <f t="shared" si="91"/>
        <v>13.64</v>
      </c>
      <c r="BJ178" s="3">
        <v>13.46</v>
      </c>
      <c r="BK178" s="3">
        <v>13.82</v>
      </c>
      <c r="BL178" s="412">
        <f t="shared" si="98"/>
        <v>2028</v>
      </c>
      <c r="BM178" s="427">
        <v>46935</v>
      </c>
      <c r="BN178" s="412">
        <f t="shared" si="86"/>
        <v>4.4109999999999996</v>
      </c>
      <c r="BO178" s="458">
        <v>4.4931999999999999</v>
      </c>
      <c r="BP178" s="458">
        <v>4.3288000000000002</v>
      </c>
      <c r="BQ178" s="469">
        <f t="shared" si="99"/>
        <v>2031</v>
      </c>
      <c r="BR178" s="473">
        <v>48030</v>
      </c>
      <c r="BS178" s="469">
        <f t="shared" si="87"/>
        <v>4.9935499999999999</v>
      </c>
      <c r="BT178" s="474">
        <v>5.1773999999999996</v>
      </c>
      <c r="BU178" s="474">
        <v>4.8097000000000003</v>
      </c>
    </row>
    <row r="179" spans="36:73">
      <c r="AJ179" s="3">
        <f t="shared" si="92"/>
        <v>2019</v>
      </c>
      <c r="AK179" s="345">
        <f t="shared" si="101"/>
        <v>43586</v>
      </c>
      <c r="AL179" s="122">
        <v>80.52</v>
      </c>
      <c r="AM179" s="122">
        <v>64.7</v>
      </c>
      <c r="AN179" s="319">
        <f t="shared" si="96"/>
        <v>73.717399999999998</v>
      </c>
      <c r="AO179" s="305">
        <v>416</v>
      </c>
      <c r="AP179" s="305">
        <v>328</v>
      </c>
      <c r="AQ179" s="305">
        <f t="shared" si="93"/>
        <v>0.55913978494623651</v>
      </c>
      <c r="AR179" s="305">
        <f t="shared" si="94"/>
        <v>0.44086021505376344</v>
      </c>
      <c r="AV179" s="3">
        <f t="shared" si="97"/>
        <v>2019</v>
      </c>
      <c r="AW179" s="343">
        <f t="shared" si="100"/>
        <v>43586</v>
      </c>
      <c r="AX179" s="121">
        <f t="shared" si="95"/>
        <v>9.1110222947253927</v>
      </c>
      <c r="AY179" s="122">
        <v>9.1110222947253927</v>
      </c>
      <c r="BA179" s="3">
        <f t="shared" si="88"/>
        <v>2018</v>
      </c>
      <c r="BB179" s="343">
        <v>43190</v>
      </c>
      <c r="BC179" s="3">
        <f t="shared" si="89"/>
        <v>5.335</v>
      </c>
      <c r="BD179" s="3">
        <v>5.36</v>
      </c>
      <c r="BE179" s="3">
        <v>5.31</v>
      </c>
      <c r="BG179" s="3">
        <f t="shared" si="90"/>
        <v>2022</v>
      </c>
      <c r="BH179" s="318">
        <v>44593</v>
      </c>
      <c r="BI179" s="3">
        <f t="shared" si="91"/>
        <v>12.69</v>
      </c>
      <c r="BJ179" s="3">
        <v>12.61</v>
      </c>
      <c r="BK179" s="3">
        <v>12.77</v>
      </c>
      <c r="BL179" s="412">
        <f t="shared" si="98"/>
        <v>2028</v>
      </c>
      <c r="BM179" s="427">
        <v>46966</v>
      </c>
      <c r="BN179" s="412">
        <f t="shared" si="86"/>
        <v>4.5343</v>
      </c>
      <c r="BO179" s="458">
        <v>4.5617000000000001</v>
      </c>
      <c r="BP179" s="458">
        <v>4.5068999999999999</v>
      </c>
      <c r="BQ179" s="469">
        <f t="shared" si="99"/>
        <v>2031</v>
      </c>
      <c r="BR179" s="473">
        <v>48061</v>
      </c>
      <c r="BS179" s="469">
        <f t="shared" si="87"/>
        <v>5.0450499999999998</v>
      </c>
      <c r="BT179" s="474">
        <v>5.2215999999999996</v>
      </c>
      <c r="BU179" s="474">
        <v>4.8685</v>
      </c>
    </row>
    <row r="180" spans="36:73">
      <c r="AJ180" s="3">
        <f t="shared" si="92"/>
        <v>2019</v>
      </c>
      <c r="AK180" s="345">
        <f t="shared" si="101"/>
        <v>43617</v>
      </c>
      <c r="AL180" s="122">
        <v>84.14</v>
      </c>
      <c r="AM180" s="122">
        <v>62.89</v>
      </c>
      <c r="AN180" s="319">
        <f t="shared" si="96"/>
        <v>75.002499999999998</v>
      </c>
      <c r="AO180" s="305">
        <v>400</v>
      </c>
      <c r="AP180" s="305">
        <v>320</v>
      </c>
      <c r="AQ180" s="305">
        <f t="shared" si="93"/>
        <v>0.55555555555555558</v>
      </c>
      <c r="AR180" s="305">
        <f t="shared" si="94"/>
        <v>0.44444444444444442</v>
      </c>
      <c r="AV180" s="3">
        <f t="shared" si="97"/>
        <v>2019</v>
      </c>
      <c r="AW180" s="343">
        <f t="shared" si="100"/>
        <v>43617</v>
      </c>
      <c r="AX180" s="121">
        <f t="shared" si="95"/>
        <v>9.2537629146275151</v>
      </c>
      <c r="AY180" s="122">
        <v>9.2537629146275151</v>
      </c>
      <c r="BA180" s="3">
        <f t="shared" si="88"/>
        <v>2018</v>
      </c>
      <c r="BB180" s="343">
        <v>43220</v>
      </c>
      <c r="BC180" s="3">
        <f t="shared" si="89"/>
        <v>4.9849999999999994</v>
      </c>
      <c r="BD180" s="3">
        <v>5.05</v>
      </c>
      <c r="BE180" s="3">
        <v>4.92</v>
      </c>
      <c r="BG180" s="3">
        <f t="shared" si="90"/>
        <v>2022</v>
      </c>
      <c r="BH180" s="318">
        <v>44621</v>
      </c>
      <c r="BI180" s="3">
        <f t="shared" si="91"/>
        <v>11.914999999999999</v>
      </c>
      <c r="BJ180" s="3">
        <v>11.93</v>
      </c>
      <c r="BK180" s="3">
        <v>11.9</v>
      </c>
      <c r="BL180" s="412">
        <f t="shared" si="98"/>
        <v>2028</v>
      </c>
      <c r="BM180" s="427">
        <v>46997</v>
      </c>
      <c r="BN180" s="412">
        <f t="shared" si="86"/>
        <v>4.5343</v>
      </c>
      <c r="BO180" s="458">
        <v>4.548</v>
      </c>
      <c r="BP180" s="458">
        <v>4.5206</v>
      </c>
      <c r="BQ180" s="469">
        <f t="shared" si="99"/>
        <v>2031</v>
      </c>
      <c r="BR180" s="473">
        <v>48092</v>
      </c>
      <c r="BS180" s="469">
        <f t="shared" si="87"/>
        <v>4.9935999999999998</v>
      </c>
      <c r="BT180" s="474">
        <v>5.2215999999999996</v>
      </c>
      <c r="BU180" s="474">
        <v>4.7656000000000001</v>
      </c>
    </row>
    <row r="181" spans="36:73">
      <c r="AJ181" s="3">
        <f t="shared" si="92"/>
        <v>2019</v>
      </c>
      <c r="AK181" s="345">
        <f t="shared" si="101"/>
        <v>43647</v>
      </c>
      <c r="AL181" s="122">
        <v>85.02</v>
      </c>
      <c r="AM181" s="122">
        <v>71.39</v>
      </c>
      <c r="AN181" s="319">
        <f t="shared" si="96"/>
        <v>79.159099999999995</v>
      </c>
      <c r="AO181" s="305">
        <v>416</v>
      </c>
      <c r="AP181" s="305">
        <v>328</v>
      </c>
      <c r="AQ181" s="305">
        <f t="shared" si="93"/>
        <v>0.55913978494623651</v>
      </c>
      <c r="AR181" s="305">
        <f t="shared" si="94"/>
        <v>0.44086021505376344</v>
      </c>
      <c r="AV181" s="3">
        <f t="shared" si="97"/>
        <v>2019</v>
      </c>
      <c r="AW181" s="343">
        <f t="shared" si="100"/>
        <v>43647</v>
      </c>
      <c r="AX181" s="121">
        <f t="shared" si="95"/>
        <v>9.3965035345296339</v>
      </c>
      <c r="AY181" s="122">
        <v>9.3965035345296339</v>
      </c>
      <c r="BA181" s="3">
        <f t="shared" si="88"/>
        <v>2018</v>
      </c>
      <c r="BB181" s="343">
        <v>43251</v>
      </c>
      <c r="BC181" s="3">
        <f t="shared" si="89"/>
        <v>4.9849999999999994</v>
      </c>
      <c r="BD181" s="3">
        <v>5.05</v>
      </c>
      <c r="BE181" s="3">
        <v>4.92</v>
      </c>
      <c r="BG181" s="3">
        <f t="shared" si="90"/>
        <v>2022</v>
      </c>
      <c r="BH181" s="318">
        <v>44652</v>
      </c>
      <c r="BI181" s="3">
        <f t="shared" si="91"/>
        <v>11.135</v>
      </c>
      <c r="BJ181" s="3">
        <v>11.25</v>
      </c>
      <c r="BK181" s="3">
        <v>11.02</v>
      </c>
      <c r="BL181" s="412">
        <f t="shared" si="98"/>
        <v>2028</v>
      </c>
      <c r="BM181" s="427">
        <v>47027</v>
      </c>
      <c r="BN181" s="412">
        <f t="shared" si="86"/>
        <v>4.6027500000000003</v>
      </c>
      <c r="BO181" s="458">
        <v>4.6163999999999996</v>
      </c>
      <c r="BP181" s="458">
        <v>4.5891000000000002</v>
      </c>
      <c r="BQ181" s="469">
        <f t="shared" si="99"/>
        <v>2031</v>
      </c>
      <c r="BR181" s="473">
        <v>48122</v>
      </c>
      <c r="BS181" s="469">
        <f t="shared" si="87"/>
        <v>5.0524000000000004</v>
      </c>
      <c r="BT181" s="474">
        <v>5.2804000000000002</v>
      </c>
      <c r="BU181" s="474">
        <v>4.8243999999999998</v>
      </c>
    </row>
    <row r="182" spans="36:73">
      <c r="AJ182" s="3">
        <f t="shared" si="92"/>
        <v>2019</v>
      </c>
      <c r="AK182" s="345">
        <f t="shared" si="101"/>
        <v>43678</v>
      </c>
      <c r="AL182" s="122">
        <v>96.57</v>
      </c>
      <c r="AM182" s="122">
        <v>73.39</v>
      </c>
      <c r="AN182" s="319">
        <f t="shared" si="96"/>
        <v>86.602599999999995</v>
      </c>
      <c r="AO182" s="305">
        <v>432</v>
      </c>
      <c r="AP182" s="305">
        <v>312</v>
      </c>
      <c r="AQ182" s="305">
        <f t="shared" si="93"/>
        <v>0.58064516129032262</v>
      </c>
      <c r="AR182" s="305">
        <f t="shared" si="94"/>
        <v>0.41935483870967744</v>
      </c>
      <c r="AV182" s="3">
        <f t="shared" si="97"/>
        <v>2019</v>
      </c>
      <c r="AW182" s="343">
        <f t="shared" si="100"/>
        <v>43678</v>
      </c>
      <c r="AX182" s="121">
        <f t="shared" si="95"/>
        <v>9.3965035345296339</v>
      </c>
      <c r="AY182" s="122">
        <v>9.3965035345296339</v>
      </c>
      <c r="BA182" s="3">
        <f t="shared" si="88"/>
        <v>2018</v>
      </c>
      <c r="BB182" s="343">
        <v>43281</v>
      </c>
      <c r="BC182" s="3">
        <f t="shared" si="89"/>
        <v>5.0649999999999995</v>
      </c>
      <c r="BD182" s="3">
        <v>5.13</v>
      </c>
      <c r="BE182" s="3">
        <v>5</v>
      </c>
      <c r="BG182" s="3">
        <f t="shared" si="90"/>
        <v>2022</v>
      </c>
      <c r="BH182" s="318">
        <v>44682</v>
      </c>
      <c r="BI182" s="3">
        <f t="shared" si="91"/>
        <v>11.135</v>
      </c>
      <c r="BJ182" s="3">
        <v>11.25</v>
      </c>
      <c r="BK182" s="3">
        <v>11.02</v>
      </c>
      <c r="BL182" s="412">
        <f t="shared" si="98"/>
        <v>2028</v>
      </c>
      <c r="BM182" s="427">
        <v>47058</v>
      </c>
      <c r="BN182" s="412">
        <f t="shared" si="86"/>
        <v>4.8356000000000003</v>
      </c>
      <c r="BO182" s="458">
        <v>4.8356000000000003</v>
      </c>
      <c r="BP182" s="458">
        <v>4.8356000000000003</v>
      </c>
      <c r="BQ182" s="469">
        <f t="shared" si="99"/>
        <v>2031</v>
      </c>
      <c r="BR182" s="473">
        <v>48153</v>
      </c>
      <c r="BS182" s="469">
        <f t="shared" si="87"/>
        <v>5.2435999999999998</v>
      </c>
      <c r="BT182" s="474">
        <v>5.4863</v>
      </c>
      <c r="BU182" s="474">
        <v>5.0008999999999997</v>
      </c>
    </row>
    <row r="183" spans="36:73">
      <c r="AJ183" s="3">
        <f t="shared" si="92"/>
        <v>2019</v>
      </c>
      <c r="AK183" s="345">
        <f t="shared" si="101"/>
        <v>43709</v>
      </c>
      <c r="AL183" s="122">
        <v>84.98</v>
      </c>
      <c r="AM183" s="122">
        <v>71.78</v>
      </c>
      <c r="AN183" s="319">
        <f t="shared" si="96"/>
        <v>79.304000000000002</v>
      </c>
      <c r="AO183" s="305">
        <v>384</v>
      </c>
      <c r="AP183" s="305">
        <v>336</v>
      </c>
      <c r="AQ183" s="305">
        <f t="shared" si="93"/>
        <v>0.53333333333333333</v>
      </c>
      <c r="AR183" s="305">
        <f t="shared" si="94"/>
        <v>0.46666666666666667</v>
      </c>
      <c r="AV183" s="3">
        <f t="shared" si="97"/>
        <v>2019</v>
      </c>
      <c r="AW183" s="343">
        <f t="shared" si="100"/>
        <v>43709</v>
      </c>
      <c r="AX183" s="121">
        <f t="shared" si="95"/>
        <v>9.3965035345296339</v>
      </c>
      <c r="AY183" s="122">
        <v>9.3965035345296339</v>
      </c>
      <c r="BA183" s="3">
        <f t="shared" si="88"/>
        <v>2018</v>
      </c>
      <c r="BB183" s="343">
        <v>43312</v>
      </c>
      <c r="BC183" s="3">
        <f t="shared" si="89"/>
        <v>5.1400000000000006</v>
      </c>
      <c r="BD183" s="3">
        <v>5.2</v>
      </c>
      <c r="BE183" s="3">
        <v>5.08</v>
      </c>
      <c r="BG183" s="3">
        <f t="shared" si="90"/>
        <v>2022</v>
      </c>
      <c r="BH183" s="318">
        <v>44713</v>
      </c>
      <c r="BI183" s="3">
        <f t="shared" si="91"/>
        <v>11.309999999999999</v>
      </c>
      <c r="BJ183" s="3">
        <v>11.42</v>
      </c>
      <c r="BK183" s="3">
        <v>11.2</v>
      </c>
      <c r="BL183" s="412">
        <f t="shared" si="98"/>
        <v>2028</v>
      </c>
      <c r="BM183" s="427">
        <v>47088</v>
      </c>
      <c r="BN183" s="412">
        <f t="shared" si="86"/>
        <v>5.0616500000000002</v>
      </c>
      <c r="BO183" s="458">
        <v>5.0548000000000002</v>
      </c>
      <c r="BP183" s="458">
        <v>5.0685000000000002</v>
      </c>
      <c r="BQ183" s="469">
        <f t="shared" si="99"/>
        <v>2031</v>
      </c>
      <c r="BR183" s="473">
        <v>48183</v>
      </c>
      <c r="BS183" s="469">
        <f t="shared" si="87"/>
        <v>5.5892999999999997</v>
      </c>
      <c r="BT183" s="474">
        <v>5.7805</v>
      </c>
      <c r="BU183" s="474">
        <v>5.3981000000000003</v>
      </c>
    </row>
    <row r="184" spans="36:73">
      <c r="AJ184" s="3">
        <f t="shared" si="92"/>
        <v>2019</v>
      </c>
      <c r="AK184" s="345">
        <f t="shared" si="101"/>
        <v>43739</v>
      </c>
      <c r="AL184" s="122">
        <v>81.56</v>
      </c>
      <c r="AM184" s="122">
        <v>73.36</v>
      </c>
      <c r="AN184" s="319">
        <f t="shared" si="96"/>
        <v>78.033999999999992</v>
      </c>
      <c r="AO184" s="305">
        <v>432</v>
      </c>
      <c r="AP184" s="305">
        <v>312</v>
      </c>
      <c r="AQ184" s="305">
        <f t="shared" si="93"/>
        <v>0.58064516129032262</v>
      </c>
      <c r="AR184" s="305">
        <f t="shared" si="94"/>
        <v>0.41935483870967744</v>
      </c>
      <c r="AV184" s="3">
        <f t="shared" si="97"/>
        <v>2019</v>
      </c>
      <c r="AW184" s="343">
        <f t="shared" si="100"/>
        <v>43739</v>
      </c>
      <c r="AX184" s="121">
        <f t="shared" si="95"/>
        <v>9.7261663947797707</v>
      </c>
      <c r="AY184" s="122">
        <v>9.7261663947797707</v>
      </c>
      <c r="BA184" s="3">
        <f t="shared" si="88"/>
        <v>2018</v>
      </c>
      <c r="BB184" s="343">
        <v>43343</v>
      </c>
      <c r="BC184" s="3">
        <f t="shared" si="89"/>
        <v>5.1400000000000006</v>
      </c>
      <c r="BD184" s="3">
        <v>5.2</v>
      </c>
      <c r="BE184" s="3">
        <v>5.08</v>
      </c>
      <c r="BG184" s="3">
        <f t="shared" si="90"/>
        <v>2022</v>
      </c>
      <c r="BH184" s="318">
        <v>44743</v>
      </c>
      <c r="BI184" s="3">
        <f t="shared" si="91"/>
        <v>11.48</v>
      </c>
      <c r="BJ184" s="3">
        <v>11.59</v>
      </c>
      <c r="BK184" s="3">
        <v>11.37</v>
      </c>
      <c r="BL184" s="412">
        <f t="shared" si="98"/>
        <v>2029</v>
      </c>
      <c r="BM184" s="427">
        <v>47119</v>
      </c>
      <c r="BN184" s="412">
        <f t="shared" si="86"/>
        <v>5.1379999999999999</v>
      </c>
      <c r="BO184" s="458">
        <v>5.1239999999999997</v>
      </c>
      <c r="BP184" s="458">
        <v>5.1520000000000001</v>
      </c>
      <c r="BQ184" s="469">
        <f t="shared" si="99"/>
        <v>2032</v>
      </c>
      <c r="BR184" s="473">
        <v>48214</v>
      </c>
      <c r="BS184" s="469">
        <f t="shared" si="87"/>
        <v>5.6124999999999998</v>
      </c>
      <c r="BT184" s="474">
        <v>5.8381999999999996</v>
      </c>
      <c r="BU184" s="474">
        <v>5.3868</v>
      </c>
    </row>
    <row r="185" spans="36:73">
      <c r="AJ185" s="3">
        <f t="shared" si="92"/>
        <v>2019</v>
      </c>
      <c r="AK185" s="345">
        <f t="shared" si="101"/>
        <v>43770</v>
      </c>
      <c r="AL185" s="122">
        <v>84.97</v>
      </c>
      <c r="AM185" s="122">
        <v>57.39</v>
      </c>
      <c r="AN185" s="319">
        <f t="shared" si="96"/>
        <v>73.110600000000005</v>
      </c>
      <c r="AO185" s="305">
        <v>400</v>
      </c>
      <c r="AP185" s="305">
        <v>320</v>
      </c>
      <c r="AQ185" s="305">
        <f t="shared" si="93"/>
        <v>0.55555555555555558</v>
      </c>
      <c r="AR185" s="305">
        <f t="shared" si="94"/>
        <v>0.44444444444444442</v>
      </c>
      <c r="AV185" s="3">
        <f t="shared" si="97"/>
        <v>2019</v>
      </c>
      <c r="AW185" s="343">
        <f t="shared" si="100"/>
        <v>43770</v>
      </c>
      <c r="AX185" s="121">
        <f t="shared" si="95"/>
        <v>9.8689070146818896</v>
      </c>
      <c r="AY185" s="122">
        <v>9.8689070146818896</v>
      </c>
      <c r="BA185" s="3">
        <f t="shared" si="88"/>
        <v>2018</v>
      </c>
      <c r="BB185" s="343">
        <v>43373</v>
      </c>
      <c r="BC185" s="3">
        <f t="shared" si="89"/>
        <v>5.1400000000000006</v>
      </c>
      <c r="BD185" s="3">
        <v>5.2</v>
      </c>
      <c r="BE185" s="3">
        <v>5.08</v>
      </c>
      <c r="BG185" s="3">
        <f t="shared" si="90"/>
        <v>2022</v>
      </c>
      <c r="BH185" s="318">
        <v>44774</v>
      </c>
      <c r="BI185" s="3">
        <f t="shared" si="91"/>
        <v>11.48</v>
      </c>
      <c r="BJ185" s="3">
        <v>11.59</v>
      </c>
      <c r="BK185" s="3">
        <v>11.37</v>
      </c>
      <c r="BL185" s="412">
        <f t="shared" si="98"/>
        <v>2029</v>
      </c>
      <c r="BM185" s="427">
        <v>47150</v>
      </c>
      <c r="BN185" s="412">
        <f t="shared" si="86"/>
        <v>5.173</v>
      </c>
      <c r="BO185" s="458">
        <v>5.1660000000000004</v>
      </c>
      <c r="BP185" s="458">
        <v>5.18</v>
      </c>
      <c r="BQ185" s="469">
        <f t="shared" si="99"/>
        <v>2032</v>
      </c>
      <c r="BR185" s="473">
        <v>48245</v>
      </c>
      <c r="BS185" s="469">
        <f t="shared" si="87"/>
        <v>5.6275499999999994</v>
      </c>
      <c r="BT185" s="474">
        <v>5.8682999999999996</v>
      </c>
      <c r="BU185" s="474">
        <v>5.3868</v>
      </c>
    </row>
    <row r="186" spans="36:73">
      <c r="AJ186" s="3">
        <f t="shared" si="92"/>
        <v>2019</v>
      </c>
      <c r="AK186" s="345">
        <f t="shared" si="101"/>
        <v>43800</v>
      </c>
      <c r="AL186" s="122">
        <v>87.56</v>
      </c>
      <c r="AM186" s="122">
        <v>64.66</v>
      </c>
      <c r="AN186" s="319">
        <f t="shared" si="96"/>
        <v>77.712999999999994</v>
      </c>
      <c r="AO186" s="305">
        <v>400</v>
      </c>
      <c r="AP186" s="305">
        <v>344</v>
      </c>
      <c r="AQ186" s="305">
        <f t="shared" si="93"/>
        <v>0.5376344086021505</v>
      </c>
      <c r="AR186" s="305">
        <f t="shared" si="94"/>
        <v>0.46236559139784944</v>
      </c>
      <c r="AV186" s="3">
        <f t="shared" si="97"/>
        <v>2019</v>
      </c>
      <c r="AW186" s="343">
        <f t="shared" si="100"/>
        <v>43800</v>
      </c>
      <c r="AX186" s="121">
        <f t="shared" si="95"/>
        <v>10.341310494834149</v>
      </c>
      <c r="AY186" s="122">
        <v>10.341310494834149</v>
      </c>
      <c r="BA186" s="3">
        <f t="shared" si="88"/>
        <v>2018</v>
      </c>
      <c r="BB186" s="343">
        <v>43404</v>
      </c>
      <c r="BC186" s="3">
        <f t="shared" si="89"/>
        <v>5.335</v>
      </c>
      <c r="BD186" s="3">
        <v>5.36</v>
      </c>
      <c r="BE186" s="3">
        <v>5.31</v>
      </c>
      <c r="BG186" s="3">
        <f t="shared" si="90"/>
        <v>2022</v>
      </c>
      <c r="BH186" s="318">
        <v>44805</v>
      </c>
      <c r="BI186" s="3">
        <f t="shared" si="91"/>
        <v>11.48</v>
      </c>
      <c r="BJ186" s="3">
        <v>11.59</v>
      </c>
      <c r="BK186" s="3">
        <v>11.37</v>
      </c>
      <c r="BL186" s="412">
        <f t="shared" si="98"/>
        <v>2029</v>
      </c>
      <c r="BM186" s="427">
        <v>47178</v>
      </c>
      <c r="BN186" s="412">
        <f t="shared" si="86"/>
        <v>4.9560000000000004</v>
      </c>
      <c r="BO186" s="458">
        <v>4.9560000000000004</v>
      </c>
      <c r="BP186" s="458">
        <v>4.9560000000000004</v>
      </c>
      <c r="BQ186" s="469">
        <f t="shared" si="99"/>
        <v>2032</v>
      </c>
      <c r="BR186" s="473">
        <v>48274</v>
      </c>
      <c r="BS186" s="469">
        <f t="shared" si="87"/>
        <v>5.4846000000000004</v>
      </c>
      <c r="BT186" s="474">
        <v>5.7178000000000004</v>
      </c>
      <c r="BU186" s="474">
        <v>5.2514000000000003</v>
      </c>
    </row>
    <row r="187" spans="36:73">
      <c r="AJ187" s="3">
        <f t="shared" si="92"/>
        <v>2020</v>
      </c>
      <c r="AK187" s="345">
        <f t="shared" si="101"/>
        <v>43831</v>
      </c>
      <c r="AL187" s="122">
        <v>96.21</v>
      </c>
      <c r="AM187" s="122">
        <v>82.28</v>
      </c>
      <c r="AN187" s="319">
        <f t="shared" si="96"/>
        <v>90.220100000000002</v>
      </c>
      <c r="AO187" s="305">
        <v>416</v>
      </c>
      <c r="AP187" s="305">
        <v>328</v>
      </c>
      <c r="AQ187" s="305">
        <f t="shared" si="93"/>
        <v>0.55913978494623651</v>
      </c>
      <c r="AR187" s="305">
        <f t="shared" si="94"/>
        <v>0.44086021505376344</v>
      </c>
      <c r="AV187" s="3">
        <f t="shared" si="97"/>
        <v>2020</v>
      </c>
      <c r="AW187" s="343">
        <f t="shared" si="100"/>
        <v>43831</v>
      </c>
      <c r="AX187" s="121">
        <f t="shared" si="95"/>
        <v>11.428858075040782</v>
      </c>
      <c r="AY187" s="122">
        <v>11.428858075040782</v>
      </c>
      <c r="BA187" s="3">
        <f t="shared" si="88"/>
        <v>2018</v>
      </c>
      <c r="BB187" s="343">
        <v>43434</v>
      </c>
      <c r="BC187" s="3">
        <f t="shared" si="89"/>
        <v>5.41</v>
      </c>
      <c r="BD187" s="3">
        <v>5.43</v>
      </c>
      <c r="BE187" s="3">
        <v>5.39</v>
      </c>
      <c r="BG187" s="3">
        <f t="shared" si="90"/>
        <v>2022</v>
      </c>
      <c r="BH187" s="318">
        <v>44835</v>
      </c>
      <c r="BI187" s="3">
        <f t="shared" si="91"/>
        <v>11.914999999999999</v>
      </c>
      <c r="BJ187" s="3">
        <v>11.93</v>
      </c>
      <c r="BK187" s="3">
        <v>11.9</v>
      </c>
      <c r="BL187" s="412">
        <f t="shared" si="98"/>
        <v>2029</v>
      </c>
      <c r="BM187" s="427">
        <v>47209</v>
      </c>
      <c r="BN187" s="412">
        <f t="shared" si="86"/>
        <v>4.7110000000000003</v>
      </c>
      <c r="BO187" s="458">
        <v>4.7460000000000004</v>
      </c>
      <c r="BP187" s="458">
        <v>4.6760000000000002</v>
      </c>
      <c r="BQ187" s="469">
        <f t="shared" si="99"/>
        <v>2032</v>
      </c>
      <c r="BR187" s="473">
        <v>48305</v>
      </c>
      <c r="BS187" s="469">
        <f t="shared" si="87"/>
        <v>5.0783500000000004</v>
      </c>
      <c r="BT187" s="474">
        <v>5.2815000000000003</v>
      </c>
      <c r="BU187" s="474">
        <v>4.8752000000000004</v>
      </c>
    </row>
    <row r="188" spans="36:73">
      <c r="AJ188" s="3">
        <f t="shared" si="92"/>
        <v>2020</v>
      </c>
      <c r="AK188" s="345">
        <f t="shared" si="101"/>
        <v>43862</v>
      </c>
      <c r="AL188" s="122">
        <v>93.39</v>
      </c>
      <c r="AM188" s="122">
        <v>79.709999999999994</v>
      </c>
      <c r="AN188" s="319">
        <f t="shared" si="96"/>
        <v>87.507599999999996</v>
      </c>
      <c r="AO188" s="305">
        <v>400</v>
      </c>
      <c r="AP188" s="305">
        <v>296</v>
      </c>
      <c r="AQ188" s="305">
        <f t="shared" si="93"/>
        <v>0.57471264367816088</v>
      </c>
      <c r="AR188" s="305">
        <f t="shared" si="94"/>
        <v>0.42528735632183906</v>
      </c>
      <c r="AV188" s="3">
        <f t="shared" si="97"/>
        <v>2020</v>
      </c>
      <c r="AW188" s="343">
        <f t="shared" si="100"/>
        <v>43862</v>
      </c>
      <c r="AX188" s="121">
        <f t="shared" si="95"/>
        <v>10.742343665035344</v>
      </c>
      <c r="AY188" s="122">
        <v>10.742343665035344</v>
      </c>
      <c r="BA188" s="3">
        <f t="shared" si="88"/>
        <v>2018</v>
      </c>
      <c r="BB188" s="343">
        <v>43465</v>
      </c>
      <c r="BC188" s="3">
        <f t="shared" si="89"/>
        <v>5.68</v>
      </c>
      <c r="BD188" s="3">
        <v>5.66</v>
      </c>
      <c r="BE188" s="3">
        <v>5.7</v>
      </c>
      <c r="BG188" s="3">
        <f t="shared" si="90"/>
        <v>2022</v>
      </c>
      <c r="BH188" s="318">
        <v>44866</v>
      </c>
      <c r="BI188" s="3">
        <f t="shared" si="91"/>
        <v>12.085000000000001</v>
      </c>
      <c r="BJ188" s="3">
        <v>12.1</v>
      </c>
      <c r="BK188" s="3">
        <v>12.07</v>
      </c>
      <c r="BL188" s="412">
        <f t="shared" si="98"/>
        <v>2029</v>
      </c>
      <c r="BM188" s="427">
        <v>47239</v>
      </c>
      <c r="BN188" s="412">
        <f t="shared" si="86"/>
        <v>4.452</v>
      </c>
      <c r="BO188" s="458">
        <v>4.55</v>
      </c>
      <c r="BP188" s="458">
        <v>4.3540000000000001</v>
      </c>
      <c r="BQ188" s="469">
        <f t="shared" si="99"/>
        <v>2032</v>
      </c>
      <c r="BR188" s="473">
        <v>48335</v>
      </c>
      <c r="BS188" s="469">
        <f t="shared" si="87"/>
        <v>5.1009000000000002</v>
      </c>
      <c r="BT188" s="474">
        <v>5.2965</v>
      </c>
      <c r="BU188" s="474">
        <v>4.9053000000000004</v>
      </c>
    </row>
    <row r="189" spans="36:73">
      <c r="AJ189" s="3">
        <f t="shared" si="92"/>
        <v>2020</v>
      </c>
      <c r="AK189" s="345">
        <f t="shared" si="101"/>
        <v>43891</v>
      </c>
      <c r="AL189" s="122">
        <v>81.08</v>
      </c>
      <c r="AM189" s="122">
        <v>73.84</v>
      </c>
      <c r="AN189" s="319">
        <f t="shared" si="96"/>
        <v>77.966799999999992</v>
      </c>
      <c r="AO189" s="305">
        <v>416</v>
      </c>
      <c r="AP189" s="305">
        <v>328</v>
      </c>
      <c r="AQ189" s="305">
        <f t="shared" si="93"/>
        <v>0.55913978494623651</v>
      </c>
      <c r="AR189" s="305">
        <f t="shared" si="94"/>
        <v>0.44086021505376344</v>
      </c>
      <c r="AV189" s="3">
        <f t="shared" si="97"/>
        <v>2020</v>
      </c>
      <c r="AW189" s="343">
        <f t="shared" si="100"/>
        <v>43891</v>
      </c>
      <c r="AX189" s="121">
        <f t="shared" si="95"/>
        <v>10.103409461663947</v>
      </c>
      <c r="AY189" s="122">
        <v>10.103409461663947</v>
      </c>
      <c r="BA189" s="3">
        <f t="shared" si="88"/>
        <v>2019</v>
      </c>
      <c r="BB189" s="343">
        <v>43496</v>
      </c>
      <c r="BC189" s="3">
        <f t="shared" si="89"/>
        <v>6.3149999999999995</v>
      </c>
      <c r="BD189" s="3">
        <v>6.25</v>
      </c>
      <c r="BE189" s="3">
        <v>6.38</v>
      </c>
      <c r="BG189" s="3">
        <f t="shared" si="90"/>
        <v>2022</v>
      </c>
      <c r="BH189" s="318">
        <v>44896</v>
      </c>
      <c r="BI189" s="3">
        <f t="shared" si="91"/>
        <v>12.69</v>
      </c>
      <c r="BJ189" s="3">
        <v>12.61</v>
      </c>
      <c r="BK189" s="3">
        <v>12.77</v>
      </c>
      <c r="BL189" s="412">
        <f t="shared" si="98"/>
        <v>2029</v>
      </c>
      <c r="BM189" s="427">
        <v>47270</v>
      </c>
      <c r="BN189" s="412">
        <f t="shared" si="86"/>
        <v>4.4659999999999993</v>
      </c>
      <c r="BO189" s="458">
        <v>4.55</v>
      </c>
      <c r="BP189" s="458">
        <v>4.3819999999999997</v>
      </c>
      <c r="BQ189" s="469">
        <f t="shared" si="99"/>
        <v>2032</v>
      </c>
      <c r="BR189" s="473">
        <v>48366</v>
      </c>
      <c r="BS189" s="469">
        <f t="shared" si="87"/>
        <v>5.1685999999999996</v>
      </c>
      <c r="BT189" s="474">
        <v>5.3567</v>
      </c>
      <c r="BU189" s="474">
        <v>4.9805000000000001</v>
      </c>
    </row>
    <row r="190" spans="36:73">
      <c r="AJ190" s="3">
        <f t="shared" si="92"/>
        <v>2020</v>
      </c>
      <c r="AK190" s="345">
        <f t="shared" si="101"/>
        <v>43922</v>
      </c>
      <c r="AL190" s="122">
        <v>79.58</v>
      </c>
      <c r="AM190" s="122">
        <v>70.930000000000007</v>
      </c>
      <c r="AN190" s="319">
        <f t="shared" si="96"/>
        <v>75.860500000000002</v>
      </c>
      <c r="AO190" s="305">
        <v>416</v>
      </c>
      <c r="AP190" s="305">
        <v>304</v>
      </c>
      <c r="AQ190" s="305">
        <f t="shared" si="93"/>
        <v>0.57777777777777772</v>
      </c>
      <c r="AR190" s="305">
        <f t="shared" si="94"/>
        <v>0.42222222222222222</v>
      </c>
      <c r="AV190" s="3">
        <f t="shared" si="97"/>
        <v>2020</v>
      </c>
      <c r="AW190" s="343">
        <f t="shared" si="100"/>
        <v>43922</v>
      </c>
      <c r="AX190" s="121">
        <f t="shared" si="95"/>
        <v>9.5630342577487752</v>
      </c>
      <c r="AY190" s="122">
        <v>9.5630342577487752</v>
      </c>
      <c r="BA190" s="3">
        <f t="shared" si="88"/>
        <v>2019</v>
      </c>
      <c r="BB190" s="343">
        <v>43524</v>
      </c>
      <c r="BC190" s="3">
        <f t="shared" si="89"/>
        <v>5.875</v>
      </c>
      <c r="BD190" s="3">
        <v>5.85</v>
      </c>
      <c r="BE190" s="3">
        <v>5.9</v>
      </c>
      <c r="BG190" s="3">
        <f t="shared" si="90"/>
        <v>2023</v>
      </c>
      <c r="BH190" s="318">
        <v>44927</v>
      </c>
      <c r="BI190" s="3">
        <f t="shared" si="91"/>
        <v>13.9</v>
      </c>
      <c r="BJ190" s="3">
        <v>13.72</v>
      </c>
      <c r="BK190" s="3">
        <v>14.08</v>
      </c>
      <c r="BL190" s="412">
        <f t="shared" si="98"/>
        <v>2029</v>
      </c>
      <c r="BM190" s="427">
        <v>47300</v>
      </c>
      <c r="BN190" s="412">
        <f t="shared" si="86"/>
        <v>4.4589999999999996</v>
      </c>
      <c r="BO190" s="458">
        <v>4.5220000000000002</v>
      </c>
      <c r="BP190" s="458">
        <v>4.3959999999999999</v>
      </c>
      <c r="BQ190" s="469">
        <f t="shared" si="99"/>
        <v>2032</v>
      </c>
      <c r="BR190" s="473">
        <v>48396</v>
      </c>
      <c r="BS190" s="469">
        <f t="shared" si="87"/>
        <v>5.3717500000000005</v>
      </c>
      <c r="BT190" s="474">
        <v>5.5522999999999998</v>
      </c>
      <c r="BU190" s="474">
        <v>5.1912000000000003</v>
      </c>
    </row>
    <row r="191" spans="36:73">
      <c r="AJ191" s="3">
        <f t="shared" si="92"/>
        <v>2020</v>
      </c>
      <c r="AK191" s="345">
        <f t="shared" si="101"/>
        <v>43952</v>
      </c>
      <c r="AL191" s="122">
        <v>80.45</v>
      </c>
      <c r="AM191" s="122">
        <v>62.17</v>
      </c>
      <c r="AN191" s="319">
        <f t="shared" si="96"/>
        <v>72.58959999999999</v>
      </c>
      <c r="AO191" s="305">
        <v>400</v>
      </c>
      <c r="AP191" s="305">
        <v>344</v>
      </c>
      <c r="AQ191" s="305">
        <f t="shared" si="93"/>
        <v>0.5376344086021505</v>
      </c>
      <c r="AR191" s="305">
        <f t="shared" si="94"/>
        <v>0.46236559139784944</v>
      </c>
      <c r="AV191" s="3">
        <f t="shared" si="97"/>
        <v>2020</v>
      </c>
      <c r="AW191" s="343">
        <f t="shared" si="100"/>
        <v>43952</v>
      </c>
      <c r="AX191" s="121">
        <f t="shared" si="95"/>
        <v>9.4644752582925484</v>
      </c>
      <c r="AY191" s="122">
        <v>9.4644752582925484</v>
      </c>
      <c r="BA191" s="3">
        <f t="shared" si="88"/>
        <v>2019</v>
      </c>
      <c r="BB191" s="343">
        <v>43555</v>
      </c>
      <c r="BC191" s="3">
        <f t="shared" si="89"/>
        <v>5.5150000000000006</v>
      </c>
      <c r="BD191" s="3">
        <v>5.54</v>
      </c>
      <c r="BE191" s="3">
        <v>5.49</v>
      </c>
      <c r="BG191" s="3">
        <f t="shared" si="90"/>
        <v>2023</v>
      </c>
      <c r="BH191" s="318">
        <v>44958</v>
      </c>
      <c r="BI191" s="3">
        <f t="shared" si="91"/>
        <v>12.93</v>
      </c>
      <c r="BJ191" s="3">
        <v>12.85</v>
      </c>
      <c r="BK191" s="3">
        <v>13.01</v>
      </c>
      <c r="BL191" s="412">
        <f t="shared" si="98"/>
        <v>2029</v>
      </c>
      <c r="BM191" s="427">
        <v>47331</v>
      </c>
      <c r="BN191" s="412">
        <f t="shared" si="86"/>
        <v>4.6059999999999999</v>
      </c>
      <c r="BO191" s="458">
        <v>4.6340000000000003</v>
      </c>
      <c r="BP191" s="458">
        <v>4.5780000000000003</v>
      </c>
      <c r="BQ191" s="469">
        <f t="shared" si="99"/>
        <v>2032</v>
      </c>
      <c r="BR191" s="473">
        <v>48427</v>
      </c>
      <c r="BS191" s="469">
        <f t="shared" si="87"/>
        <v>5.3943500000000002</v>
      </c>
      <c r="BT191" s="474">
        <v>5.5674000000000001</v>
      </c>
      <c r="BU191" s="474">
        <v>5.2213000000000003</v>
      </c>
    </row>
    <row r="192" spans="36:73">
      <c r="AJ192" s="3">
        <f t="shared" si="92"/>
        <v>2020</v>
      </c>
      <c r="AK192" s="345">
        <f t="shared" si="101"/>
        <v>43983</v>
      </c>
      <c r="AL192" s="122">
        <v>84.91</v>
      </c>
      <c r="AM192" s="122">
        <v>64.19</v>
      </c>
      <c r="AN192" s="319">
        <f t="shared" si="96"/>
        <v>76.000399999999985</v>
      </c>
      <c r="AO192" s="305">
        <v>416</v>
      </c>
      <c r="AP192" s="305">
        <v>304</v>
      </c>
      <c r="AQ192" s="305">
        <f t="shared" si="93"/>
        <v>0.57777777777777772</v>
      </c>
      <c r="AR192" s="305">
        <f t="shared" si="94"/>
        <v>0.42222222222222222</v>
      </c>
      <c r="AV192" s="3">
        <f t="shared" si="97"/>
        <v>2020</v>
      </c>
      <c r="AW192" s="343">
        <f t="shared" si="100"/>
        <v>43983</v>
      </c>
      <c r="AX192" s="121">
        <f t="shared" si="95"/>
        <v>9.6106144643828166</v>
      </c>
      <c r="AY192" s="122">
        <v>9.6106144643828166</v>
      </c>
      <c r="BA192" s="3">
        <f t="shared" si="88"/>
        <v>2019</v>
      </c>
      <c r="BB192" s="343">
        <v>43585</v>
      </c>
      <c r="BC192" s="3">
        <f t="shared" si="89"/>
        <v>5.1549999999999994</v>
      </c>
      <c r="BD192" s="3">
        <v>5.22</v>
      </c>
      <c r="BE192" s="3">
        <v>5.09</v>
      </c>
      <c r="BG192" s="3">
        <f t="shared" si="90"/>
        <v>2023</v>
      </c>
      <c r="BH192" s="318">
        <v>44986</v>
      </c>
      <c r="BI192" s="3">
        <f t="shared" si="91"/>
        <v>12.14</v>
      </c>
      <c r="BJ192" s="3">
        <v>12.16</v>
      </c>
      <c r="BK192" s="3">
        <v>12.12</v>
      </c>
      <c r="BL192" s="412">
        <f t="shared" si="98"/>
        <v>2029</v>
      </c>
      <c r="BM192" s="427">
        <v>47362</v>
      </c>
      <c r="BN192" s="412">
        <f t="shared" si="86"/>
        <v>4.5289999999999999</v>
      </c>
      <c r="BO192" s="458">
        <v>4.55</v>
      </c>
      <c r="BP192" s="458">
        <v>4.508</v>
      </c>
      <c r="BQ192" s="469">
        <f t="shared" si="99"/>
        <v>2032</v>
      </c>
      <c r="BR192" s="473">
        <v>48458</v>
      </c>
      <c r="BS192" s="469">
        <f t="shared" si="87"/>
        <v>5.3416499999999996</v>
      </c>
      <c r="BT192" s="474">
        <v>5.6124999999999998</v>
      </c>
      <c r="BU192" s="474">
        <v>5.0708000000000002</v>
      </c>
    </row>
    <row r="193" spans="36:73">
      <c r="AJ193" s="3">
        <f t="shared" si="92"/>
        <v>2020</v>
      </c>
      <c r="AK193" s="345">
        <f t="shared" si="101"/>
        <v>44013</v>
      </c>
      <c r="AL193" s="122">
        <v>83.1</v>
      </c>
      <c r="AM193" s="122">
        <v>74.44</v>
      </c>
      <c r="AN193" s="319">
        <f t="shared" si="96"/>
        <v>79.376199999999983</v>
      </c>
      <c r="AO193" s="305">
        <v>416</v>
      </c>
      <c r="AP193" s="305">
        <v>328</v>
      </c>
      <c r="AQ193" s="305">
        <f t="shared" si="93"/>
        <v>0.55913978494623651</v>
      </c>
      <c r="AR193" s="305">
        <f t="shared" si="94"/>
        <v>0.44086021505376344</v>
      </c>
      <c r="AV193" s="3">
        <f t="shared" si="97"/>
        <v>2020</v>
      </c>
      <c r="AW193" s="343">
        <f t="shared" si="100"/>
        <v>44013</v>
      </c>
      <c r="AX193" s="121">
        <f t="shared" si="95"/>
        <v>9.7601522566612289</v>
      </c>
      <c r="AY193" s="122">
        <v>9.7601522566612289</v>
      </c>
      <c r="BA193" s="3">
        <f t="shared" si="88"/>
        <v>2019</v>
      </c>
      <c r="BB193" s="343">
        <v>43616</v>
      </c>
      <c r="BC193" s="3">
        <f t="shared" si="89"/>
        <v>5.1549999999999994</v>
      </c>
      <c r="BD193" s="3">
        <v>5.22</v>
      </c>
      <c r="BE193" s="3">
        <v>5.09</v>
      </c>
      <c r="BG193" s="3">
        <f t="shared" si="90"/>
        <v>2023</v>
      </c>
      <c r="BH193" s="318">
        <v>45017</v>
      </c>
      <c r="BI193" s="3">
        <f t="shared" si="91"/>
        <v>11.345000000000001</v>
      </c>
      <c r="BJ193" s="3">
        <v>11.46</v>
      </c>
      <c r="BK193" s="3">
        <v>11.23</v>
      </c>
      <c r="BL193" s="412">
        <f t="shared" si="98"/>
        <v>2029</v>
      </c>
      <c r="BM193" s="427">
        <v>47392</v>
      </c>
      <c r="BN193" s="412">
        <f t="shared" si="86"/>
        <v>4.62</v>
      </c>
      <c r="BO193" s="458">
        <v>4.6340000000000003</v>
      </c>
      <c r="BP193" s="458">
        <v>4.6059999999999999</v>
      </c>
      <c r="BQ193" s="469">
        <f t="shared" si="99"/>
        <v>2032</v>
      </c>
      <c r="BR193" s="473">
        <v>48488</v>
      </c>
      <c r="BS193" s="469">
        <f t="shared" si="87"/>
        <v>5.4168500000000002</v>
      </c>
      <c r="BT193" s="474">
        <v>5.6576000000000004</v>
      </c>
      <c r="BU193" s="474">
        <v>5.1760999999999999</v>
      </c>
    </row>
    <row r="194" spans="36:73">
      <c r="AJ194" s="3">
        <f t="shared" si="92"/>
        <v>2020</v>
      </c>
      <c r="AK194" s="345">
        <f t="shared" si="101"/>
        <v>44044</v>
      </c>
      <c r="AL194" s="122">
        <v>87.27</v>
      </c>
      <c r="AM194" s="122">
        <v>75.37</v>
      </c>
      <c r="AN194" s="319">
        <f t="shared" si="96"/>
        <v>82.152999999999992</v>
      </c>
      <c r="AO194" s="305">
        <v>416</v>
      </c>
      <c r="AP194" s="305">
        <v>328</v>
      </c>
      <c r="AQ194" s="305">
        <f t="shared" si="93"/>
        <v>0.55913978494623651</v>
      </c>
      <c r="AR194" s="305">
        <f t="shared" si="94"/>
        <v>0.44086021505376344</v>
      </c>
      <c r="AV194" s="3">
        <f t="shared" si="97"/>
        <v>2020</v>
      </c>
      <c r="AW194" s="343">
        <f t="shared" si="100"/>
        <v>44044</v>
      </c>
      <c r="AX194" s="121">
        <f t="shared" si="95"/>
        <v>9.7601522566612289</v>
      </c>
      <c r="AY194" s="122">
        <v>9.7601522566612289</v>
      </c>
      <c r="BA194" s="3">
        <f t="shared" si="88"/>
        <v>2019</v>
      </c>
      <c r="BB194" s="343">
        <v>43646</v>
      </c>
      <c r="BC194" s="3">
        <f t="shared" si="89"/>
        <v>5.2349999999999994</v>
      </c>
      <c r="BD194" s="3">
        <v>5.3</v>
      </c>
      <c r="BE194" s="3">
        <v>5.17</v>
      </c>
      <c r="BG194" s="3">
        <f t="shared" si="90"/>
        <v>2023</v>
      </c>
      <c r="BH194" s="318">
        <v>45047</v>
      </c>
      <c r="BI194" s="3">
        <f t="shared" si="91"/>
        <v>11.345000000000001</v>
      </c>
      <c r="BJ194" s="3">
        <v>11.46</v>
      </c>
      <c r="BK194" s="3">
        <v>11.23</v>
      </c>
      <c r="BL194" s="412">
        <f t="shared" si="98"/>
        <v>2029</v>
      </c>
      <c r="BM194" s="427">
        <v>47423</v>
      </c>
      <c r="BN194" s="412">
        <f t="shared" si="86"/>
        <v>4.851</v>
      </c>
      <c r="BO194" s="458">
        <v>4.8440000000000003</v>
      </c>
      <c r="BP194" s="458">
        <v>4.8579999999999997</v>
      </c>
      <c r="BQ194" s="469">
        <f t="shared" si="99"/>
        <v>2032</v>
      </c>
      <c r="BR194" s="473">
        <v>48519</v>
      </c>
      <c r="BS194" s="469">
        <f t="shared" si="87"/>
        <v>5.5673499999999994</v>
      </c>
      <c r="BT194" s="474">
        <v>5.8080999999999996</v>
      </c>
      <c r="BU194" s="474">
        <v>5.3266</v>
      </c>
    </row>
    <row r="195" spans="36:73">
      <c r="AJ195" s="3">
        <f t="shared" si="92"/>
        <v>2020</v>
      </c>
      <c r="AK195" s="345">
        <f t="shared" si="101"/>
        <v>44075</v>
      </c>
      <c r="AL195" s="122">
        <v>85.08</v>
      </c>
      <c r="AM195" s="122">
        <v>73.92</v>
      </c>
      <c r="AN195" s="319">
        <f t="shared" si="96"/>
        <v>80.281199999999998</v>
      </c>
      <c r="AO195" s="305">
        <v>400</v>
      </c>
      <c r="AP195" s="305">
        <v>320</v>
      </c>
      <c r="AQ195" s="305">
        <f t="shared" si="93"/>
        <v>0.55555555555555558</v>
      </c>
      <c r="AR195" s="305">
        <f t="shared" si="94"/>
        <v>0.44444444444444442</v>
      </c>
      <c r="AV195" s="3">
        <f t="shared" si="97"/>
        <v>2020</v>
      </c>
      <c r="AW195" s="343">
        <f t="shared" si="100"/>
        <v>44075</v>
      </c>
      <c r="AX195" s="121">
        <f t="shared" si="95"/>
        <v>9.7601522566612289</v>
      </c>
      <c r="AY195" s="122">
        <v>9.7601522566612289</v>
      </c>
      <c r="BA195" s="3">
        <f t="shared" si="88"/>
        <v>2019</v>
      </c>
      <c r="BB195" s="343">
        <v>43677</v>
      </c>
      <c r="BC195" s="3">
        <f t="shared" si="89"/>
        <v>5.3149999999999995</v>
      </c>
      <c r="BD195" s="3">
        <v>5.38</v>
      </c>
      <c r="BE195" s="3">
        <v>5.25</v>
      </c>
      <c r="BG195" s="3">
        <f t="shared" si="90"/>
        <v>2023</v>
      </c>
      <c r="BH195" s="318">
        <v>45078</v>
      </c>
      <c r="BI195" s="3">
        <f t="shared" si="91"/>
        <v>11.525</v>
      </c>
      <c r="BJ195" s="3">
        <v>11.64</v>
      </c>
      <c r="BK195" s="3">
        <v>11.41</v>
      </c>
      <c r="BL195" s="412">
        <f t="shared" si="98"/>
        <v>2029</v>
      </c>
      <c r="BM195" s="427">
        <v>47453</v>
      </c>
      <c r="BN195" s="412">
        <f t="shared" ref="BN195:BN258" si="102">AVERAGE(BO195:BP195)</f>
        <v>5.0890000000000004</v>
      </c>
      <c r="BO195" s="458">
        <v>5.0819999999999999</v>
      </c>
      <c r="BP195" s="458">
        <v>5.0960000000000001</v>
      </c>
      <c r="BQ195" s="469">
        <f t="shared" si="99"/>
        <v>2032</v>
      </c>
      <c r="BR195" s="473">
        <v>48549</v>
      </c>
      <c r="BS195" s="469">
        <f t="shared" si="87"/>
        <v>5.9133999999999993</v>
      </c>
      <c r="BT195" s="474">
        <v>6.0789</v>
      </c>
      <c r="BU195" s="474">
        <v>5.7478999999999996</v>
      </c>
    </row>
    <row r="196" spans="36:73">
      <c r="AJ196" s="3">
        <f t="shared" si="92"/>
        <v>2020</v>
      </c>
      <c r="AK196" s="345">
        <f t="shared" si="101"/>
        <v>44105</v>
      </c>
      <c r="AL196" s="122">
        <v>80.75</v>
      </c>
      <c r="AM196" s="122">
        <v>73.77</v>
      </c>
      <c r="AN196" s="319">
        <f t="shared" si="96"/>
        <v>77.748599999999996</v>
      </c>
      <c r="AO196" s="305">
        <v>432</v>
      </c>
      <c r="AP196" s="305">
        <v>312</v>
      </c>
      <c r="AQ196" s="305">
        <f t="shared" si="93"/>
        <v>0.58064516129032262</v>
      </c>
      <c r="AR196" s="305">
        <f t="shared" si="94"/>
        <v>0.41935483870967744</v>
      </c>
      <c r="AV196" s="3">
        <f t="shared" si="97"/>
        <v>2020</v>
      </c>
      <c r="AW196" s="343">
        <f t="shared" si="100"/>
        <v>44105</v>
      </c>
      <c r="AX196" s="121">
        <f t="shared" si="95"/>
        <v>10.103409461663947</v>
      </c>
      <c r="AY196" s="122">
        <v>10.103409461663947</v>
      </c>
      <c r="BA196" s="3">
        <f t="shared" si="88"/>
        <v>2019</v>
      </c>
      <c r="BB196" s="343">
        <v>43708</v>
      </c>
      <c r="BC196" s="3">
        <f t="shared" si="89"/>
        <v>5.3149999999999995</v>
      </c>
      <c r="BD196" s="3">
        <v>5.38</v>
      </c>
      <c r="BE196" s="3">
        <v>5.25</v>
      </c>
      <c r="BG196" s="3">
        <f t="shared" si="90"/>
        <v>2023</v>
      </c>
      <c r="BH196" s="318">
        <v>45108</v>
      </c>
      <c r="BI196" s="3">
        <f t="shared" si="91"/>
        <v>11.7</v>
      </c>
      <c r="BJ196" s="3">
        <v>11.81</v>
      </c>
      <c r="BK196" s="3">
        <v>11.59</v>
      </c>
      <c r="BL196" s="412">
        <f t="shared" si="98"/>
        <v>2030</v>
      </c>
      <c r="BM196" s="427">
        <v>47484</v>
      </c>
      <c r="BN196" s="412">
        <f t="shared" si="102"/>
        <v>5.2295499999999997</v>
      </c>
      <c r="BO196" s="458">
        <v>5.2224000000000004</v>
      </c>
      <c r="BP196" s="458">
        <v>5.2366999999999999</v>
      </c>
      <c r="BQ196" s="469">
        <f t="shared" si="99"/>
        <v>2033</v>
      </c>
      <c r="BR196" s="473">
        <v>48580</v>
      </c>
      <c r="BS196" s="469">
        <f t="shared" si="87"/>
        <v>5.9801500000000001</v>
      </c>
      <c r="BT196" s="474">
        <v>6.1417999999999999</v>
      </c>
      <c r="BU196" s="474">
        <v>5.8185000000000002</v>
      </c>
    </row>
    <row r="197" spans="36:73">
      <c r="AJ197" s="3">
        <f t="shared" si="92"/>
        <v>2020</v>
      </c>
      <c r="AK197" s="345">
        <f t="shared" si="101"/>
        <v>44136</v>
      </c>
      <c r="AL197" s="122">
        <v>88.51</v>
      </c>
      <c r="AM197" s="122">
        <v>67.099999999999994</v>
      </c>
      <c r="AN197" s="319">
        <f t="shared" si="96"/>
        <v>79.303699999999992</v>
      </c>
      <c r="AO197" s="305">
        <v>384</v>
      </c>
      <c r="AP197" s="305">
        <v>336</v>
      </c>
      <c r="AQ197" s="305">
        <f t="shared" si="93"/>
        <v>0.53333333333333333</v>
      </c>
      <c r="AR197" s="305">
        <f t="shared" si="94"/>
        <v>0.46666666666666667</v>
      </c>
      <c r="AV197" s="3">
        <f t="shared" si="97"/>
        <v>2020</v>
      </c>
      <c r="AW197" s="343">
        <f t="shared" si="100"/>
        <v>44136</v>
      </c>
      <c r="AX197" s="121">
        <f t="shared" si="95"/>
        <v>10.249548667754214</v>
      </c>
      <c r="AY197" s="122">
        <v>10.249548667754214</v>
      </c>
      <c r="BA197" s="3">
        <f t="shared" si="88"/>
        <v>2019</v>
      </c>
      <c r="BB197" s="343">
        <v>43738</v>
      </c>
      <c r="BC197" s="3">
        <f t="shared" si="89"/>
        <v>5.3149999999999995</v>
      </c>
      <c r="BD197" s="3">
        <v>5.38</v>
      </c>
      <c r="BE197" s="3">
        <v>5.25</v>
      </c>
      <c r="BG197" s="3">
        <f t="shared" si="90"/>
        <v>2023</v>
      </c>
      <c r="BH197" s="318">
        <v>45139</v>
      </c>
      <c r="BI197" s="3">
        <f t="shared" si="91"/>
        <v>11.7</v>
      </c>
      <c r="BJ197" s="3">
        <v>11.81</v>
      </c>
      <c r="BK197" s="3">
        <v>11.59</v>
      </c>
      <c r="BL197" s="412">
        <f t="shared" si="98"/>
        <v>2030</v>
      </c>
      <c r="BM197" s="427">
        <v>47515</v>
      </c>
      <c r="BN197" s="412">
        <f t="shared" si="102"/>
        <v>5.2582000000000004</v>
      </c>
      <c r="BO197" s="458">
        <v>5.2510000000000003</v>
      </c>
      <c r="BP197" s="458">
        <v>5.2653999999999996</v>
      </c>
      <c r="BQ197" s="469">
        <f t="shared" si="99"/>
        <v>2033</v>
      </c>
      <c r="BR197" s="473">
        <v>48611</v>
      </c>
      <c r="BS197" s="469">
        <f t="shared" si="87"/>
        <v>6.0109500000000002</v>
      </c>
      <c r="BT197" s="474">
        <v>6.1726000000000001</v>
      </c>
      <c r="BU197" s="474">
        <v>5.8493000000000004</v>
      </c>
    </row>
    <row r="198" spans="36:73">
      <c r="AJ198" s="3">
        <f t="shared" si="92"/>
        <v>2020</v>
      </c>
      <c r="AK198" s="345">
        <f t="shared" si="101"/>
        <v>44166</v>
      </c>
      <c r="AL198" s="122">
        <v>89.48</v>
      </c>
      <c r="AM198" s="122">
        <v>76.489999999999995</v>
      </c>
      <c r="AN198" s="319">
        <f t="shared" si="96"/>
        <v>83.894299999999987</v>
      </c>
      <c r="AO198" s="305">
        <v>416</v>
      </c>
      <c r="AP198" s="305">
        <v>328</v>
      </c>
      <c r="AQ198" s="305">
        <f t="shared" si="93"/>
        <v>0.55913978494623651</v>
      </c>
      <c r="AR198" s="305">
        <f t="shared" si="94"/>
        <v>0.44086021505376344</v>
      </c>
      <c r="AV198" s="3">
        <f t="shared" si="97"/>
        <v>2020</v>
      </c>
      <c r="AW198" s="343">
        <f t="shared" si="100"/>
        <v>44166</v>
      </c>
      <c r="AX198" s="121">
        <f t="shared" si="95"/>
        <v>10.742343665035344</v>
      </c>
      <c r="AY198" s="122">
        <v>10.742343665035344</v>
      </c>
      <c r="BA198" s="3">
        <f t="shared" si="88"/>
        <v>2019</v>
      </c>
      <c r="BB198" s="343">
        <v>43769</v>
      </c>
      <c r="BC198" s="3">
        <f t="shared" si="89"/>
        <v>5.5150000000000006</v>
      </c>
      <c r="BD198" s="3">
        <v>5.54</v>
      </c>
      <c r="BE198" s="3">
        <v>5.49</v>
      </c>
      <c r="BG198" s="3">
        <f t="shared" si="90"/>
        <v>2023</v>
      </c>
      <c r="BH198" s="318">
        <v>45170</v>
      </c>
      <c r="BI198" s="3">
        <f t="shared" si="91"/>
        <v>11.7</v>
      </c>
      <c r="BJ198" s="3">
        <v>11.81</v>
      </c>
      <c r="BK198" s="3">
        <v>11.59</v>
      </c>
      <c r="BL198" s="412">
        <f t="shared" si="98"/>
        <v>2030</v>
      </c>
      <c r="BM198" s="427">
        <v>47543</v>
      </c>
      <c r="BN198" s="412">
        <f t="shared" si="102"/>
        <v>5.1151499999999999</v>
      </c>
      <c r="BO198" s="458">
        <v>5.1079999999999997</v>
      </c>
      <c r="BP198" s="458">
        <v>5.1223000000000001</v>
      </c>
      <c r="BQ198" s="469">
        <f t="shared" si="99"/>
        <v>2033</v>
      </c>
      <c r="BR198" s="473">
        <v>48639</v>
      </c>
      <c r="BS198" s="469">
        <f t="shared" si="87"/>
        <v>5.78775</v>
      </c>
      <c r="BT198" s="474">
        <v>5.9725000000000001</v>
      </c>
      <c r="BU198" s="474">
        <v>5.6029999999999998</v>
      </c>
    </row>
    <row r="199" spans="36:73">
      <c r="AJ199" s="3">
        <f t="shared" si="92"/>
        <v>2021</v>
      </c>
      <c r="AK199" s="345">
        <f t="shared" si="101"/>
        <v>44197</v>
      </c>
      <c r="AL199" s="122">
        <v>98.12</v>
      </c>
      <c r="AM199" s="122">
        <v>85.14</v>
      </c>
      <c r="AN199" s="319">
        <f t="shared" si="96"/>
        <v>92.538600000000002</v>
      </c>
      <c r="AO199" s="305">
        <v>400</v>
      </c>
      <c r="AP199" s="305">
        <v>344</v>
      </c>
      <c r="AQ199" s="305">
        <f t="shared" si="93"/>
        <v>0.5376344086021505</v>
      </c>
      <c r="AR199" s="305">
        <f t="shared" si="94"/>
        <v>0.46236559139784944</v>
      </c>
      <c r="AV199" s="3">
        <f t="shared" si="97"/>
        <v>2021</v>
      </c>
      <c r="AW199" s="343">
        <f t="shared" si="100"/>
        <v>44197</v>
      </c>
      <c r="AX199" s="121">
        <f t="shared" si="95"/>
        <v>11.632773246329528</v>
      </c>
      <c r="AY199" s="122">
        <v>11.632773246329528</v>
      </c>
      <c r="BA199" s="3">
        <f t="shared" si="88"/>
        <v>2019</v>
      </c>
      <c r="BB199" s="343">
        <v>43799</v>
      </c>
      <c r="BC199" s="3">
        <f t="shared" si="89"/>
        <v>5.5950000000000006</v>
      </c>
      <c r="BD199" s="3">
        <v>5.62</v>
      </c>
      <c r="BE199" s="3">
        <v>5.57</v>
      </c>
      <c r="BG199" s="3">
        <f t="shared" si="90"/>
        <v>2023</v>
      </c>
      <c r="BH199" s="318">
        <v>45200</v>
      </c>
      <c r="BI199" s="3">
        <f t="shared" si="91"/>
        <v>12.14</v>
      </c>
      <c r="BJ199" s="3">
        <v>12.16</v>
      </c>
      <c r="BK199" s="3">
        <v>12.12</v>
      </c>
      <c r="BL199" s="412">
        <f t="shared" si="98"/>
        <v>2030</v>
      </c>
      <c r="BM199" s="427">
        <v>47574</v>
      </c>
      <c r="BN199" s="412">
        <f t="shared" si="102"/>
        <v>4.8719000000000001</v>
      </c>
      <c r="BO199" s="458">
        <v>4.9077000000000002</v>
      </c>
      <c r="BP199" s="458">
        <v>4.8361000000000001</v>
      </c>
      <c r="BQ199" s="469">
        <f t="shared" si="99"/>
        <v>2033</v>
      </c>
      <c r="BR199" s="473">
        <v>48670</v>
      </c>
      <c r="BS199" s="469">
        <f t="shared" si="87"/>
        <v>5.4260000000000002</v>
      </c>
      <c r="BT199" s="474">
        <v>5.6337999999999999</v>
      </c>
      <c r="BU199" s="474">
        <v>5.2182000000000004</v>
      </c>
    </row>
    <row r="200" spans="36:73">
      <c r="AJ200" s="3">
        <f t="shared" si="92"/>
        <v>2021</v>
      </c>
      <c r="AK200" s="345">
        <f t="shared" si="101"/>
        <v>44228</v>
      </c>
      <c r="AL200" s="122">
        <v>92.51</v>
      </c>
      <c r="AM200" s="122">
        <v>80.180000000000007</v>
      </c>
      <c r="AN200" s="319">
        <f t="shared" si="96"/>
        <v>87.208100000000002</v>
      </c>
      <c r="AO200" s="305">
        <v>384</v>
      </c>
      <c r="AP200" s="305">
        <v>288</v>
      </c>
      <c r="AQ200" s="305">
        <f t="shared" si="93"/>
        <v>0.5714285714285714</v>
      </c>
      <c r="AR200" s="305">
        <f t="shared" si="94"/>
        <v>0.42857142857142855</v>
      </c>
      <c r="AV200" s="3">
        <f t="shared" si="97"/>
        <v>2021</v>
      </c>
      <c r="AW200" s="343">
        <f t="shared" si="100"/>
        <v>44228</v>
      </c>
      <c r="AX200" s="121">
        <f t="shared" si="95"/>
        <v>10.932664491571506</v>
      </c>
      <c r="AY200" s="122">
        <v>10.932664491571506</v>
      </c>
      <c r="BA200" s="3">
        <f t="shared" si="88"/>
        <v>2019</v>
      </c>
      <c r="BB200" s="343">
        <v>43830</v>
      </c>
      <c r="BC200" s="3">
        <f t="shared" si="89"/>
        <v>5.875</v>
      </c>
      <c r="BD200" s="3">
        <v>5.85</v>
      </c>
      <c r="BE200" s="3">
        <v>5.9</v>
      </c>
      <c r="BG200" s="3">
        <f t="shared" si="90"/>
        <v>2023</v>
      </c>
      <c r="BH200" s="318">
        <v>45231</v>
      </c>
      <c r="BI200" s="3">
        <f t="shared" si="91"/>
        <v>12.315000000000001</v>
      </c>
      <c r="BJ200" s="3">
        <v>12.33</v>
      </c>
      <c r="BK200" s="3">
        <v>12.3</v>
      </c>
      <c r="BL200" s="412">
        <f t="shared" si="98"/>
        <v>2030</v>
      </c>
      <c r="BM200" s="427">
        <v>47604</v>
      </c>
      <c r="BN200" s="412">
        <f t="shared" si="102"/>
        <v>4.7860499999999995</v>
      </c>
      <c r="BO200" s="458">
        <v>4.8503999999999996</v>
      </c>
      <c r="BP200" s="458">
        <v>4.7217000000000002</v>
      </c>
      <c r="BQ200" s="469">
        <f t="shared" si="99"/>
        <v>2033</v>
      </c>
      <c r="BR200" s="473">
        <v>48700</v>
      </c>
      <c r="BS200" s="469">
        <f t="shared" si="87"/>
        <v>5.3952499999999999</v>
      </c>
      <c r="BT200" s="474">
        <v>5.5876999999999999</v>
      </c>
      <c r="BU200" s="474">
        <v>5.2027999999999999</v>
      </c>
    </row>
    <row r="201" spans="36:73">
      <c r="AJ201" s="3">
        <f t="shared" si="92"/>
        <v>2021</v>
      </c>
      <c r="AK201" s="345">
        <f t="shared" si="101"/>
        <v>44256</v>
      </c>
      <c r="AL201" s="122">
        <v>80.59</v>
      </c>
      <c r="AM201" s="122">
        <v>73.95</v>
      </c>
      <c r="AN201" s="319">
        <f t="shared" si="96"/>
        <v>77.734799999999993</v>
      </c>
      <c r="AO201" s="305">
        <v>432</v>
      </c>
      <c r="AP201" s="305">
        <v>312</v>
      </c>
      <c r="AQ201" s="305">
        <f t="shared" si="93"/>
        <v>0.58064516129032262</v>
      </c>
      <c r="AR201" s="305">
        <f>AP201/(AO201+AP201)</f>
        <v>0.41935483870967744</v>
      </c>
      <c r="AV201" s="3">
        <f t="shared" si="97"/>
        <v>2021</v>
      </c>
      <c r="AW201" s="343">
        <f t="shared" si="100"/>
        <v>44256</v>
      </c>
      <c r="AX201" s="121">
        <f t="shared" si="95"/>
        <v>10.283534529635672</v>
      </c>
      <c r="AY201" s="122">
        <v>10.283534529635672</v>
      </c>
      <c r="BA201" s="3">
        <f t="shared" si="88"/>
        <v>2020</v>
      </c>
      <c r="BB201" s="343">
        <v>43861</v>
      </c>
      <c r="BC201" s="3">
        <f t="shared" si="89"/>
        <v>6.5299999999999994</v>
      </c>
      <c r="BD201" s="3">
        <v>6.46</v>
      </c>
      <c r="BE201" s="3">
        <v>6.6</v>
      </c>
      <c r="BG201" s="3">
        <f t="shared" si="90"/>
        <v>2023</v>
      </c>
      <c r="BH201" s="318">
        <v>45261</v>
      </c>
      <c r="BI201" s="3">
        <f t="shared" si="91"/>
        <v>12.93</v>
      </c>
      <c r="BJ201" s="3">
        <v>12.85</v>
      </c>
      <c r="BK201" s="3">
        <v>13.01</v>
      </c>
      <c r="BL201" s="412">
        <f t="shared" si="98"/>
        <v>2030</v>
      </c>
      <c r="BM201" s="427">
        <v>47635</v>
      </c>
      <c r="BN201" s="412">
        <f t="shared" si="102"/>
        <v>4.8003499999999999</v>
      </c>
      <c r="BO201" s="458">
        <v>4.8503999999999996</v>
      </c>
      <c r="BP201" s="458">
        <v>4.7503000000000002</v>
      </c>
      <c r="BQ201" s="469">
        <f t="shared" si="99"/>
        <v>2033</v>
      </c>
      <c r="BR201" s="473">
        <v>48731</v>
      </c>
      <c r="BS201" s="469">
        <f t="shared" si="87"/>
        <v>5.4490999999999996</v>
      </c>
      <c r="BT201" s="474">
        <v>5.6337999999999999</v>
      </c>
      <c r="BU201" s="474">
        <v>5.2644000000000002</v>
      </c>
    </row>
    <row r="202" spans="36:73">
      <c r="AJ202" s="3">
        <f t="shared" si="92"/>
        <v>2021</v>
      </c>
      <c r="AK202" s="345">
        <f t="shared" si="101"/>
        <v>44287</v>
      </c>
      <c r="AL202" s="122">
        <v>78.48</v>
      </c>
      <c r="AM202" s="122">
        <v>72.069999999999993</v>
      </c>
      <c r="AN202" s="319">
        <f t="shared" si="96"/>
        <v>75.723699999999994</v>
      </c>
      <c r="AO202" s="305">
        <v>416</v>
      </c>
      <c r="AP202" s="305">
        <v>304</v>
      </c>
      <c r="AQ202" s="305">
        <f t="shared" si="93"/>
        <v>0.57777777777777772</v>
      </c>
      <c r="AR202" s="305">
        <f t="shared" si="94"/>
        <v>0.42222222222222222</v>
      </c>
      <c r="AV202" s="3">
        <f t="shared" si="97"/>
        <v>2021</v>
      </c>
      <c r="AW202" s="343">
        <f t="shared" si="100"/>
        <v>44287</v>
      </c>
      <c r="AX202" s="121">
        <f t="shared" si="95"/>
        <v>9.7363621533442082</v>
      </c>
      <c r="AY202" s="122">
        <v>9.7363621533442082</v>
      </c>
      <c r="BA202" s="3">
        <f t="shared" si="88"/>
        <v>2020</v>
      </c>
      <c r="BB202" s="343">
        <v>43890</v>
      </c>
      <c r="BC202" s="3">
        <f t="shared" si="89"/>
        <v>6.0749999999999993</v>
      </c>
      <c r="BD202" s="3">
        <v>6.05</v>
      </c>
      <c r="BE202" s="3">
        <v>6.1</v>
      </c>
      <c r="BG202" s="3">
        <f t="shared" si="90"/>
        <v>2024</v>
      </c>
      <c r="BH202" s="318">
        <v>45292</v>
      </c>
      <c r="BI202" s="3">
        <f t="shared" si="91"/>
        <v>14.164999999999999</v>
      </c>
      <c r="BJ202" s="3">
        <v>13.98</v>
      </c>
      <c r="BK202" s="3">
        <v>14.35</v>
      </c>
      <c r="BL202" s="412">
        <f t="shared" si="98"/>
        <v>2030</v>
      </c>
      <c r="BM202" s="427">
        <v>47665</v>
      </c>
      <c r="BN202" s="412">
        <f t="shared" si="102"/>
        <v>4.8074999999999992</v>
      </c>
      <c r="BO202" s="458">
        <v>4.8789999999999996</v>
      </c>
      <c r="BP202" s="458">
        <v>4.7359999999999998</v>
      </c>
      <c r="BQ202" s="469">
        <f t="shared" si="99"/>
        <v>2033</v>
      </c>
      <c r="BR202" s="473">
        <v>48761</v>
      </c>
      <c r="BS202" s="469">
        <f t="shared" si="87"/>
        <v>5.6414999999999997</v>
      </c>
      <c r="BT202" s="474">
        <v>5.8338999999999999</v>
      </c>
      <c r="BU202" s="474">
        <v>5.4490999999999996</v>
      </c>
    </row>
    <row r="203" spans="36:73">
      <c r="AJ203" s="3">
        <f t="shared" si="92"/>
        <v>2021</v>
      </c>
      <c r="AK203" s="345">
        <f t="shared" si="101"/>
        <v>44317</v>
      </c>
      <c r="AL203" s="122">
        <v>82.61</v>
      </c>
      <c r="AM203" s="122">
        <v>66.36</v>
      </c>
      <c r="AN203" s="319">
        <f t="shared" si="96"/>
        <v>75.622500000000002</v>
      </c>
      <c r="AO203" s="305">
        <v>400</v>
      </c>
      <c r="AP203" s="305">
        <v>344</v>
      </c>
      <c r="AQ203" s="305">
        <f t="shared" si="93"/>
        <v>0.5376344086021505</v>
      </c>
      <c r="AR203" s="305">
        <f t="shared" si="94"/>
        <v>0.46236559139784944</v>
      </c>
      <c r="AV203" s="3">
        <f t="shared" si="97"/>
        <v>2021</v>
      </c>
      <c r="AW203" s="343">
        <f t="shared" si="100"/>
        <v>44317</v>
      </c>
      <c r="AX203" s="121">
        <f t="shared" si="95"/>
        <v>9.6344045676998356</v>
      </c>
      <c r="AY203" s="122">
        <v>9.6344045676998356</v>
      </c>
      <c r="BA203" s="3">
        <f t="shared" si="88"/>
        <v>2020</v>
      </c>
      <c r="BB203" s="343">
        <v>43921</v>
      </c>
      <c r="BC203" s="3">
        <f t="shared" si="89"/>
        <v>5.7050000000000001</v>
      </c>
      <c r="BD203" s="3">
        <v>5.73</v>
      </c>
      <c r="BE203" s="3">
        <v>5.68</v>
      </c>
      <c r="BG203" s="3">
        <f t="shared" si="90"/>
        <v>2024</v>
      </c>
      <c r="BH203" s="318">
        <v>45323</v>
      </c>
      <c r="BI203" s="3">
        <f t="shared" si="91"/>
        <v>13.18</v>
      </c>
      <c r="BJ203" s="3">
        <v>13.1</v>
      </c>
      <c r="BK203" s="3">
        <v>13.26</v>
      </c>
      <c r="BL203" s="412">
        <f t="shared" si="98"/>
        <v>2030</v>
      </c>
      <c r="BM203" s="427">
        <v>47696</v>
      </c>
      <c r="BN203" s="412">
        <f t="shared" si="102"/>
        <v>4.9363000000000001</v>
      </c>
      <c r="BO203" s="458">
        <v>4.9649000000000001</v>
      </c>
      <c r="BP203" s="458">
        <v>4.9077000000000002</v>
      </c>
      <c r="BQ203" s="469">
        <f t="shared" si="99"/>
        <v>2033</v>
      </c>
      <c r="BR203" s="473">
        <v>48792</v>
      </c>
      <c r="BS203" s="469">
        <f t="shared" si="87"/>
        <v>5.6876999999999995</v>
      </c>
      <c r="BT203" s="474">
        <v>5.8647</v>
      </c>
      <c r="BU203" s="474">
        <v>5.5106999999999999</v>
      </c>
    </row>
    <row r="204" spans="36:73">
      <c r="AJ204" s="3">
        <f t="shared" si="92"/>
        <v>2021</v>
      </c>
      <c r="AK204" s="345">
        <f t="shared" si="101"/>
        <v>44348</v>
      </c>
      <c r="AL204" s="122">
        <v>89.54</v>
      </c>
      <c r="AM204" s="122">
        <v>70.75</v>
      </c>
      <c r="AN204" s="319">
        <f t="shared" si="96"/>
        <v>81.460299999999989</v>
      </c>
      <c r="AO204" s="305">
        <v>416</v>
      </c>
      <c r="AP204" s="305">
        <v>304</v>
      </c>
      <c r="AQ204" s="305">
        <f t="shared" si="93"/>
        <v>0.57777777777777772</v>
      </c>
      <c r="AR204" s="305">
        <f t="shared" si="94"/>
        <v>0.42222222222222222</v>
      </c>
      <c r="AV204" s="3">
        <f t="shared" si="97"/>
        <v>2021</v>
      </c>
      <c r="AW204" s="343">
        <f t="shared" si="100"/>
        <v>44348</v>
      </c>
      <c r="AX204" s="121">
        <f t="shared" si="95"/>
        <v>9.783942359978246</v>
      </c>
      <c r="AY204" s="122">
        <v>9.783942359978246</v>
      </c>
      <c r="BA204" s="3">
        <f t="shared" si="88"/>
        <v>2020</v>
      </c>
      <c r="BB204" s="343">
        <v>43951</v>
      </c>
      <c r="BC204" s="3">
        <f t="shared" si="89"/>
        <v>5.33</v>
      </c>
      <c r="BD204" s="3">
        <v>5.4</v>
      </c>
      <c r="BE204" s="3">
        <v>5.26</v>
      </c>
      <c r="BG204" s="3">
        <f t="shared" si="90"/>
        <v>2024</v>
      </c>
      <c r="BH204" s="318">
        <v>45352</v>
      </c>
      <c r="BI204" s="3">
        <f t="shared" si="91"/>
        <v>12.370000000000001</v>
      </c>
      <c r="BJ204" s="3">
        <v>12.39</v>
      </c>
      <c r="BK204" s="3">
        <v>12.35</v>
      </c>
      <c r="BL204" s="412">
        <f t="shared" si="98"/>
        <v>2030</v>
      </c>
      <c r="BM204" s="427">
        <v>47727</v>
      </c>
      <c r="BN204" s="412">
        <f t="shared" si="102"/>
        <v>5.0149499999999998</v>
      </c>
      <c r="BO204" s="458">
        <v>5.0221</v>
      </c>
      <c r="BP204" s="458">
        <v>5.0077999999999996</v>
      </c>
      <c r="BQ204" s="469">
        <f t="shared" si="99"/>
        <v>2033</v>
      </c>
      <c r="BR204" s="473">
        <v>48823</v>
      </c>
      <c r="BS204" s="469">
        <f t="shared" si="87"/>
        <v>5.6337999999999999</v>
      </c>
      <c r="BT204" s="474">
        <v>5.8800999999999997</v>
      </c>
      <c r="BU204" s="474">
        <v>5.3875000000000002</v>
      </c>
    </row>
    <row r="205" spans="36:73">
      <c r="AJ205" s="3">
        <f t="shared" si="92"/>
        <v>2021</v>
      </c>
      <c r="AK205" s="345">
        <f t="shared" si="101"/>
        <v>44378</v>
      </c>
      <c r="AL205" s="122">
        <v>82.21</v>
      </c>
      <c r="AM205" s="122">
        <v>76.510000000000005</v>
      </c>
      <c r="AN205" s="319">
        <f t="shared" si="96"/>
        <v>79.758999999999986</v>
      </c>
      <c r="AO205" s="305">
        <v>416</v>
      </c>
      <c r="AP205" s="305">
        <v>328</v>
      </c>
      <c r="AQ205" s="305">
        <f t="shared" si="93"/>
        <v>0.55913978494623651</v>
      </c>
      <c r="AR205" s="305">
        <f t="shared" si="94"/>
        <v>0.44086021505376344</v>
      </c>
      <c r="AV205" s="3">
        <f t="shared" si="97"/>
        <v>2021</v>
      </c>
      <c r="AW205" s="343">
        <f t="shared" si="100"/>
        <v>44378</v>
      </c>
      <c r="AX205" s="121">
        <f t="shared" si="95"/>
        <v>9.93348015225666</v>
      </c>
      <c r="AY205" s="122">
        <v>9.93348015225666</v>
      </c>
      <c r="BA205" s="3">
        <f t="shared" si="88"/>
        <v>2020</v>
      </c>
      <c r="BB205" s="343">
        <v>43982</v>
      </c>
      <c r="BC205" s="3">
        <f t="shared" si="89"/>
        <v>5.33</v>
      </c>
      <c r="BD205" s="3">
        <v>5.4</v>
      </c>
      <c r="BE205" s="3">
        <v>5.26</v>
      </c>
      <c r="BG205" s="3">
        <f t="shared" si="90"/>
        <v>2024</v>
      </c>
      <c r="BH205" s="318">
        <v>45383</v>
      </c>
      <c r="BI205" s="3">
        <f t="shared" si="91"/>
        <v>11.565</v>
      </c>
      <c r="BJ205" s="3">
        <v>11.68</v>
      </c>
      <c r="BK205" s="3">
        <v>11.45</v>
      </c>
      <c r="BL205" s="412">
        <f t="shared" si="98"/>
        <v>2030</v>
      </c>
      <c r="BM205" s="427">
        <v>47757</v>
      </c>
      <c r="BN205" s="412">
        <f t="shared" si="102"/>
        <v>5.0579000000000001</v>
      </c>
      <c r="BO205" s="458">
        <v>5.0364000000000004</v>
      </c>
      <c r="BP205" s="458">
        <v>5.0793999999999997</v>
      </c>
      <c r="BQ205" s="469">
        <f t="shared" si="99"/>
        <v>2033</v>
      </c>
      <c r="BR205" s="473">
        <v>48853</v>
      </c>
      <c r="BS205" s="469">
        <f t="shared" si="87"/>
        <v>5.6876999999999995</v>
      </c>
      <c r="BT205" s="474">
        <v>5.9417</v>
      </c>
      <c r="BU205" s="474">
        <v>5.4337</v>
      </c>
    </row>
    <row r="206" spans="36:73">
      <c r="AJ206" s="3">
        <f t="shared" si="92"/>
        <v>2021</v>
      </c>
      <c r="AK206" s="345">
        <f t="shared" si="101"/>
        <v>44409</v>
      </c>
      <c r="AL206" s="122">
        <v>84.98</v>
      </c>
      <c r="AM206" s="122">
        <v>76.510000000000005</v>
      </c>
      <c r="AN206" s="319">
        <f t="shared" si="96"/>
        <v>81.337900000000005</v>
      </c>
      <c r="AO206" s="305">
        <v>416</v>
      </c>
      <c r="AP206" s="305">
        <v>328</v>
      </c>
      <c r="AQ206" s="305">
        <f t="shared" si="93"/>
        <v>0.55913978494623651</v>
      </c>
      <c r="AR206" s="305">
        <f t="shared" si="94"/>
        <v>0.44086021505376344</v>
      </c>
      <c r="AV206" s="3">
        <f t="shared" si="97"/>
        <v>2021</v>
      </c>
      <c r="AW206" s="343">
        <f t="shared" si="100"/>
        <v>44409</v>
      </c>
      <c r="AX206" s="121">
        <f t="shared" si="95"/>
        <v>9.93348015225666</v>
      </c>
      <c r="AY206" s="122">
        <v>9.93348015225666</v>
      </c>
      <c r="BA206" s="3">
        <f t="shared" si="88"/>
        <v>2020</v>
      </c>
      <c r="BB206" s="343">
        <v>44012</v>
      </c>
      <c r="BC206" s="3">
        <f t="shared" si="89"/>
        <v>5.41</v>
      </c>
      <c r="BD206" s="3">
        <v>5.48</v>
      </c>
      <c r="BE206" s="3">
        <v>5.34</v>
      </c>
      <c r="BG206" s="3">
        <f t="shared" si="90"/>
        <v>2024</v>
      </c>
      <c r="BH206" s="318">
        <v>45413</v>
      </c>
      <c r="BI206" s="3">
        <f t="shared" si="91"/>
        <v>11.565</v>
      </c>
      <c r="BJ206" s="3">
        <v>11.68</v>
      </c>
      <c r="BK206" s="3">
        <v>11.45</v>
      </c>
      <c r="BL206" s="412">
        <f t="shared" si="98"/>
        <v>2030</v>
      </c>
      <c r="BM206" s="427">
        <v>47788</v>
      </c>
      <c r="BN206" s="412">
        <f t="shared" si="102"/>
        <v>5.2582000000000004</v>
      </c>
      <c r="BO206" s="458">
        <v>5.2366999999999999</v>
      </c>
      <c r="BP206" s="458">
        <v>5.2797000000000001</v>
      </c>
      <c r="BQ206" s="469">
        <f t="shared" si="99"/>
        <v>2033</v>
      </c>
      <c r="BR206" s="473">
        <v>48884</v>
      </c>
      <c r="BS206" s="469">
        <f t="shared" si="87"/>
        <v>5.9032</v>
      </c>
      <c r="BT206" s="474">
        <v>6.1109999999999998</v>
      </c>
      <c r="BU206" s="474">
        <v>5.6954000000000002</v>
      </c>
    </row>
    <row r="207" spans="36:73">
      <c r="AJ207" s="3">
        <f t="shared" si="92"/>
        <v>2021</v>
      </c>
      <c r="AK207" s="345">
        <f t="shared" si="101"/>
        <v>44440</v>
      </c>
      <c r="AL207" s="122">
        <v>83.53</v>
      </c>
      <c r="AM207" s="122">
        <v>74.64</v>
      </c>
      <c r="AN207" s="319">
        <f t="shared" si="96"/>
        <v>79.707300000000004</v>
      </c>
      <c r="AO207" s="305">
        <v>400</v>
      </c>
      <c r="AP207" s="305">
        <v>320</v>
      </c>
      <c r="AQ207" s="305">
        <f t="shared" si="93"/>
        <v>0.55555555555555558</v>
      </c>
      <c r="AR207" s="305">
        <f t="shared" si="94"/>
        <v>0.44444444444444442</v>
      </c>
      <c r="AV207" s="3">
        <f t="shared" si="97"/>
        <v>2021</v>
      </c>
      <c r="AW207" s="343">
        <f t="shared" si="100"/>
        <v>44440</v>
      </c>
      <c r="AX207" s="121">
        <f t="shared" si="95"/>
        <v>9.93348015225666</v>
      </c>
      <c r="AY207" s="122">
        <v>9.93348015225666</v>
      </c>
      <c r="BA207" s="3">
        <f t="shared" si="88"/>
        <v>2020</v>
      </c>
      <c r="BB207" s="343">
        <v>44043</v>
      </c>
      <c r="BC207" s="3">
        <f t="shared" si="89"/>
        <v>5.4949999999999992</v>
      </c>
      <c r="BD207" s="3">
        <v>5.56</v>
      </c>
      <c r="BE207" s="3">
        <v>5.43</v>
      </c>
      <c r="BG207" s="3">
        <f t="shared" si="90"/>
        <v>2024</v>
      </c>
      <c r="BH207" s="318">
        <v>45444</v>
      </c>
      <c r="BI207" s="3">
        <f t="shared" si="91"/>
        <v>11.745000000000001</v>
      </c>
      <c r="BJ207" s="3">
        <v>11.86</v>
      </c>
      <c r="BK207" s="3">
        <v>11.63</v>
      </c>
      <c r="BL207" s="412">
        <f t="shared" si="98"/>
        <v>2030</v>
      </c>
      <c r="BM207" s="427">
        <v>47818</v>
      </c>
      <c r="BN207" s="412">
        <f t="shared" si="102"/>
        <v>5.4943000000000008</v>
      </c>
      <c r="BO207" s="458">
        <v>5.48</v>
      </c>
      <c r="BP207" s="458">
        <v>5.5086000000000004</v>
      </c>
      <c r="BQ207" s="469">
        <f t="shared" si="99"/>
        <v>2033</v>
      </c>
      <c r="BR207" s="473">
        <v>48914</v>
      </c>
      <c r="BS207" s="469">
        <f t="shared" si="87"/>
        <v>6.2803000000000004</v>
      </c>
      <c r="BT207" s="474">
        <v>6.4649999999999999</v>
      </c>
      <c r="BU207" s="474">
        <v>6.0956000000000001</v>
      </c>
    </row>
    <row r="208" spans="36:73">
      <c r="AJ208" s="3">
        <f t="shared" si="92"/>
        <v>2021</v>
      </c>
      <c r="AK208" s="345">
        <f t="shared" si="101"/>
        <v>44470</v>
      </c>
      <c r="AL208" s="122">
        <v>81.45</v>
      </c>
      <c r="AM208" s="122">
        <v>74.209999999999994</v>
      </c>
      <c r="AN208" s="319">
        <f t="shared" si="96"/>
        <v>78.336799999999997</v>
      </c>
      <c r="AO208" s="305">
        <v>416</v>
      </c>
      <c r="AP208" s="305">
        <v>328</v>
      </c>
      <c r="AQ208" s="305">
        <f t="shared" si="93"/>
        <v>0.55913978494623651</v>
      </c>
      <c r="AR208" s="305">
        <f t="shared" si="94"/>
        <v>0.44086021505376344</v>
      </c>
      <c r="AV208" s="3">
        <f t="shared" si="97"/>
        <v>2021</v>
      </c>
      <c r="AW208" s="343">
        <f t="shared" si="100"/>
        <v>44470</v>
      </c>
      <c r="AX208" s="121">
        <f t="shared" si="95"/>
        <v>10.283534529635672</v>
      </c>
      <c r="AY208" s="122">
        <v>10.283534529635672</v>
      </c>
      <c r="BA208" s="3">
        <f t="shared" si="88"/>
        <v>2020</v>
      </c>
      <c r="BB208" s="343">
        <v>44074</v>
      </c>
      <c r="BC208" s="3">
        <f t="shared" si="89"/>
        <v>5.4949999999999992</v>
      </c>
      <c r="BD208" s="3">
        <v>5.56</v>
      </c>
      <c r="BE208" s="3">
        <v>5.43</v>
      </c>
      <c r="BG208" s="3">
        <f t="shared" si="90"/>
        <v>2024</v>
      </c>
      <c r="BH208" s="318">
        <v>45474</v>
      </c>
      <c r="BI208" s="3">
        <f t="shared" si="91"/>
        <v>11.92</v>
      </c>
      <c r="BJ208" s="3">
        <v>12.03</v>
      </c>
      <c r="BK208" s="3">
        <v>11.81</v>
      </c>
      <c r="BL208" s="412">
        <f t="shared" si="98"/>
        <v>2031</v>
      </c>
      <c r="BM208" s="427">
        <v>47849</v>
      </c>
      <c r="BN208" s="412">
        <f t="shared" si="102"/>
        <v>5.4031000000000002</v>
      </c>
      <c r="BO208" s="458">
        <v>5.3958000000000004</v>
      </c>
      <c r="BP208" s="458">
        <v>5.4104000000000001</v>
      </c>
      <c r="BQ208" s="469">
        <f t="shared" si="99"/>
        <v>2034</v>
      </c>
      <c r="BR208" s="473">
        <v>48945</v>
      </c>
      <c r="BS208" s="469">
        <f t="shared" ref="BS208:BS271" si="103">AVERAGE(BT208:BU208)</f>
        <v>6.3382000000000005</v>
      </c>
      <c r="BT208" s="474">
        <v>6.5193000000000003</v>
      </c>
      <c r="BU208" s="474">
        <v>6.1570999999999998</v>
      </c>
    </row>
    <row r="209" spans="36:73">
      <c r="AJ209" s="3">
        <f t="shared" si="92"/>
        <v>2021</v>
      </c>
      <c r="AK209" s="345">
        <f t="shared" si="101"/>
        <v>44501</v>
      </c>
      <c r="AL209" s="122">
        <v>88.01</v>
      </c>
      <c r="AM209" s="122">
        <v>66.94</v>
      </c>
      <c r="AN209" s="319">
        <f t="shared" si="96"/>
        <v>78.9499</v>
      </c>
      <c r="AO209" s="305">
        <v>400</v>
      </c>
      <c r="AP209" s="305">
        <v>320</v>
      </c>
      <c r="AQ209" s="305">
        <f t="shared" si="93"/>
        <v>0.55555555555555558</v>
      </c>
      <c r="AR209" s="305">
        <f t="shared" si="94"/>
        <v>0.44444444444444442</v>
      </c>
      <c r="AV209" s="3">
        <f t="shared" si="97"/>
        <v>2021</v>
      </c>
      <c r="AW209" s="343">
        <f t="shared" si="100"/>
        <v>44501</v>
      </c>
      <c r="AX209" s="121">
        <f t="shared" si="95"/>
        <v>10.436470908102228</v>
      </c>
      <c r="AY209" s="122">
        <v>10.436470908102228</v>
      </c>
      <c r="BA209" s="3">
        <f t="shared" ref="BA209:BA272" si="104">YEAR(BB209)</f>
        <v>2020</v>
      </c>
      <c r="BB209" s="343">
        <v>44104</v>
      </c>
      <c r="BC209" s="3">
        <f t="shared" ref="BC209:BC272" si="105">AVERAGE(BD209:BE209)</f>
        <v>5.4949999999999992</v>
      </c>
      <c r="BD209" s="3">
        <v>5.56</v>
      </c>
      <c r="BE209" s="3">
        <v>5.43</v>
      </c>
      <c r="BG209" s="3">
        <f t="shared" ref="BG209:BG272" si="106">YEAR(BH209)</f>
        <v>2024</v>
      </c>
      <c r="BH209" s="318">
        <v>45505</v>
      </c>
      <c r="BI209" s="3">
        <f t="shared" ref="BI209:BI272" si="107">AVERAGE(BJ209:BK209)</f>
        <v>11.92</v>
      </c>
      <c r="BJ209" s="3">
        <v>12.03</v>
      </c>
      <c r="BK209" s="3">
        <v>11.81</v>
      </c>
      <c r="BL209" s="412">
        <f t="shared" si="98"/>
        <v>2031</v>
      </c>
      <c r="BM209" s="427">
        <v>47880</v>
      </c>
      <c r="BN209" s="412">
        <f t="shared" si="102"/>
        <v>5.4470000000000001</v>
      </c>
      <c r="BO209" s="458">
        <v>5.4397000000000002</v>
      </c>
      <c r="BP209" s="458">
        <v>5.4542999999999999</v>
      </c>
      <c r="BQ209" s="469">
        <f t="shared" si="99"/>
        <v>2034</v>
      </c>
      <c r="BR209" s="473">
        <v>48976</v>
      </c>
      <c r="BS209" s="469">
        <f t="shared" si="103"/>
        <v>6.36965</v>
      </c>
      <c r="BT209" s="474">
        <v>6.5664999999999996</v>
      </c>
      <c r="BU209" s="474">
        <v>6.1727999999999996</v>
      </c>
    </row>
    <row r="210" spans="36:73">
      <c r="AJ210" s="3">
        <f t="shared" si="92"/>
        <v>2021</v>
      </c>
      <c r="AK210" s="345">
        <f t="shared" si="101"/>
        <v>44531</v>
      </c>
      <c r="AL210" s="122">
        <v>90.64</v>
      </c>
      <c r="AM210" s="122">
        <v>75.510000000000005</v>
      </c>
      <c r="AN210" s="319">
        <f t="shared" si="96"/>
        <v>84.134099999999989</v>
      </c>
      <c r="AO210" s="305">
        <v>416</v>
      </c>
      <c r="AP210" s="305">
        <v>328</v>
      </c>
      <c r="AQ210" s="305">
        <f t="shared" si="93"/>
        <v>0.55913978494623651</v>
      </c>
      <c r="AR210" s="305">
        <f t="shared" si="94"/>
        <v>0.44086021505376344</v>
      </c>
      <c r="AV210" s="3">
        <f t="shared" si="97"/>
        <v>2021</v>
      </c>
      <c r="AW210" s="343">
        <f t="shared" si="100"/>
        <v>44531</v>
      </c>
      <c r="AX210" s="121">
        <f t="shared" si="95"/>
        <v>10.932664491571506</v>
      </c>
      <c r="AY210" s="122">
        <v>10.932664491571506</v>
      </c>
      <c r="BA210" s="3">
        <f t="shared" si="104"/>
        <v>2020</v>
      </c>
      <c r="BB210" s="343">
        <v>44135</v>
      </c>
      <c r="BC210" s="3">
        <f t="shared" si="105"/>
        <v>5.7050000000000001</v>
      </c>
      <c r="BD210" s="3">
        <v>5.73</v>
      </c>
      <c r="BE210" s="3">
        <v>5.68</v>
      </c>
      <c r="BG210" s="3">
        <f t="shared" si="106"/>
        <v>2024</v>
      </c>
      <c r="BH210" s="318">
        <v>45536</v>
      </c>
      <c r="BI210" s="3">
        <f t="shared" si="107"/>
        <v>11.92</v>
      </c>
      <c r="BJ210" s="3">
        <v>12.03</v>
      </c>
      <c r="BK210" s="3">
        <v>11.81</v>
      </c>
      <c r="BL210" s="412">
        <f t="shared" si="98"/>
        <v>2031</v>
      </c>
      <c r="BM210" s="427">
        <v>47908</v>
      </c>
      <c r="BN210" s="412">
        <f t="shared" si="102"/>
        <v>5.3154000000000003</v>
      </c>
      <c r="BO210" s="458">
        <v>5.3227000000000002</v>
      </c>
      <c r="BP210" s="458">
        <v>5.3080999999999996</v>
      </c>
      <c r="BQ210" s="469">
        <f t="shared" si="99"/>
        <v>2034</v>
      </c>
      <c r="BR210" s="473">
        <v>49004</v>
      </c>
      <c r="BS210" s="469">
        <f t="shared" si="103"/>
        <v>6.1020000000000003</v>
      </c>
      <c r="BT210" s="474">
        <v>6.3146000000000004</v>
      </c>
      <c r="BU210" s="474">
        <v>5.8894000000000002</v>
      </c>
    </row>
    <row r="211" spans="36:73">
      <c r="AJ211" s="3">
        <f t="shared" si="92"/>
        <v>2022</v>
      </c>
      <c r="AK211" s="345">
        <f t="shared" si="101"/>
        <v>44562</v>
      </c>
      <c r="AL211" s="122">
        <v>96.97</v>
      </c>
      <c r="AM211" s="122">
        <v>86.9</v>
      </c>
      <c r="AN211" s="319">
        <f t="shared" si="96"/>
        <v>92.639899999999997</v>
      </c>
      <c r="AO211" s="305">
        <v>400</v>
      </c>
      <c r="AP211" s="305">
        <v>344</v>
      </c>
      <c r="AQ211" s="305">
        <f t="shared" si="93"/>
        <v>0.5376344086021505</v>
      </c>
      <c r="AR211" s="305">
        <f t="shared" si="94"/>
        <v>0.46236559139784944</v>
      </c>
      <c r="AV211" s="3">
        <f t="shared" si="97"/>
        <v>2022</v>
      </c>
      <c r="AW211" s="343">
        <f t="shared" si="100"/>
        <v>44562</v>
      </c>
      <c r="AX211" s="121">
        <f t="shared" si="95"/>
        <v>11.853681348558998</v>
      </c>
      <c r="AY211" s="122">
        <v>11.853681348558998</v>
      </c>
      <c r="BA211" s="3">
        <f t="shared" si="104"/>
        <v>2020</v>
      </c>
      <c r="BB211" s="343">
        <v>44165</v>
      </c>
      <c r="BC211" s="3">
        <f t="shared" si="105"/>
        <v>5.7850000000000001</v>
      </c>
      <c r="BD211" s="3">
        <v>5.81</v>
      </c>
      <c r="BE211" s="3">
        <v>5.76</v>
      </c>
      <c r="BG211" s="3">
        <f t="shared" si="106"/>
        <v>2024</v>
      </c>
      <c r="BH211" s="318">
        <v>45566</v>
      </c>
      <c r="BI211" s="3">
        <f t="shared" si="107"/>
        <v>12.370000000000001</v>
      </c>
      <c r="BJ211" s="3">
        <v>12.39</v>
      </c>
      <c r="BK211" s="3">
        <v>12.35</v>
      </c>
      <c r="BL211" s="412">
        <f t="shared" si="98"/>
        <v>2031</v>
      </c>
      <c r="BM211" s="427">
        <v>47939</v>
      </c>
      <c r="BN211" s="412">
        <f t="shared" si="102"/>
        <v>5.0521500000000001</v>
      </c>
      <c r="BO211" s="458">
        <v>5.0887000000000002</v>
      </c>
      <c r="BP211" s="458">
        <v>5.0156000000000001</v>
      </c>
      <c r="BQ211" s="469">
        <f t="shared" si="99"/>
        <v>2034</v>
      </c>
      <c r="BR211" s="473">
        <v>49035</v>
      </c>
      <c r="BS211" s="469">
        <f t="shared" si="103"/>
        <v>5.6768000000000001</v>
      </c>
      <c r="BT211" s="474">
        <v>5.9523999999999999</v>
      </c>
      <c r="BU211" s="474">
        <v>5.4012000000000002</v>
      </c>
    </row>
    <row r="212" spans="36:73">
      <c r="AJ212" s="3">
        <f t="shared" ref="AJ212:AJ275" si="108">+YEAR(AK212)</f>
        <v>2022</v>
      </c>
      <c r="AK212" s="345">
        <f t="shared" si="101"/>
        <v>44593</v>
      </c>
      <c r="AL212" s="122">
        <v>92.93</v>
      </c>
      <c r="AM212" s="122">
        <v>79.819999999999993</v>
      </c>
      <c r="AN212" s="319">
        <f t="shared" si="96"/>
        <v>87.292699999999996</v>
      </c>
      <c r="AO212" s="305">
        <v>384</v>
      </c>
      <c r="AP212" s="305">
        <v>288</v>
      </c>
      <c r="AQ212" s="305">
        <f t="shared" ref="AQ212:AQ275" si="109">AO212/(AO212+AP212)</f>
        <v>0.5714285714285714</v>
      </c>
      <c r="AR212" s="305">
        <f t="shared" ref="AR212:AR275" si="110">AP212/(AO212+AP212)</f>
        <v>0.42857142857142855</v>
      </c>
      <c r="AV212" s="3">
        <f t="shared" si="97"/>
        <v>2022</v>
      </c>
      <c r="AW212" s="343">
        <f t="shared" si="100"/>
        <v>44593</v>
      </c>
      <c r="AX212" s="121">
        <f t="shared" ref="AX212:AX275" si="111">AY212</f>
        <v>11.143376835236541</v>
      </c>
      <c r="AY212" s="122">
        <v>11.143376835236541</v>
      </c>
      <c r="BA212" s="3">
        <f t="shared" si="104"/>
        <v>2020</v>
      </c>
      <c r="BB212" s="343">
        <v>44196</v>
      </c>
      <c r="BC212" s="3">
        <f t="shared" si="105"/>
        <v>6.0749999999999993</v>
      </c>
      <c r="BD212" s="3">
        <v>6.05</v>
      </c>
      <c r="BE212" s="3">
        <v>6.1</v>
      </c>
      <c r="BG212" s="3">
        <f t="shared" si="106"/>
        <v>2024</v>
      </c>
      <c r="BH212" s="318">
        <v>45597</v>
      </c>
      <c r="BI212" s="3">
        <f t="shared" si="107"/>
        <v>12.555</v>
      </c>
      <c r="BJ212" s="3">
        <v>12.57</v>
      </c>
      <c r="BK212" s="3">
        <v>12.54</v>
      </c>
      <c r="BL212" s="412">
        <f t="shared" si="98"/>
        <v>2031</v>
      </c>
      <c r="BM212" s="427">
        <v>47969</v>
      </c>
      <c r="BN212" s="412">
        <f t="shared" si="102"/>
        <v>4.9132999999999996</v>
      </c>
      <c r="BO212" s="458">
        <v>4.9718</v>
      </c>
      <c r="BP212" s="458">
        <v>4.8548</v>
      </c>
      <c r="BQ212" s="469">
        <f t="shared" si="99"/>
        <v>2034</v>
      </c>
      <c r="BR212" s="473">
        <v>49065</v>
      </c>
      <c r="BS212" s="469">
        <f t="shared" si="103"/>
        <v>5.6925499999999998</v>
      </c>
      <c r="BT212" s="474">
        <v>5.9523999999999999</v>
      </c>
      <c r="BU212" s="474">
        <v>5.4326999999999996</v>
      </c>
    </row>
    <row r="213" spans="36:73">
      <c r="AJ213" s="3">
        <f t="shared" si="108"/>
        <v>2022</v>
      </c>
      <c r="AK213" s="345">
        <f t="shared" si="101"/>
        <v>44621</v>
      </c>
      <c r="AL213" s="122">
        <v>80.760000000000005</v>
      </c>
      <c r="AM213" s="122">
        <v>74.260000000000005</v>
      </c>
      <c r="AN213" s="319">
        <f t="shared" si="96"/>
        <v>77.965000000000003</v>
      </c>
      <c r="AO213" s="305">
        <v>432</v>
      </c>
      <c r="AP213" s="305">
        <v>312</v>
      </c>
      <c r="AQ213" s="305">
        <f t="shared" si="109"/>
        <v>0.58064516129032262</v>
      </c>
      <c r="AR213" s="305">
        <f t="shared" si="110"/>
        <v>0.41935483870967744</v>
      </c>
      <c r="AV213" s="3">
        <f t="shared" si="97"/>
        <v>2022</v>
      </c>
      <c r="AW213" s="343">
        <f t="shared" si="100"/>
        <v>44621</v>
      </c>
      <c r="AX213" s="121">
        <f t="shared" si="111"/>
        <v>10.480652528548124</v>
      </c>
      <c r="AY213" s="122">
        <v>10.480652528548124</v>
      </c>
      <c r="BA213" s="3">
        <f t="shared" si="104"/>
        <v>2021</v>
      </c>
      <c r="BB213" s="343">
        <v>44227</v>
      </c>
      <c r="BC213" s="3">
        <f t="shared" si="105"/>
        <v>6.75</v>
      </c>
      <c r="BD213" s="3">
        <v>6.68</v>
      </c>
      <c r="BE213" s="3">
        <v>6.82</v>
      </c>
      <c r="BG213" s="3">
        <f t="shared" si="106"/>
        <v>2024</v>
      </c>
      <c r="BH213" s="318">
        <v>45627</v>
      </c>
      <c r="BI213" s="3">
        <f t="shared" si="107"/>
        <v>13.18</v>
      </c>
      <c r="BJ213" s="3">
        <v>13.1</v>
      </c>
      <c r="BK213" s="3">
        <v>13.26</v>
      </c>
      <c r="BL213" s="412">
        <f t="shared" si="98"/>
        <v>2031</v>
      </c>
      <c r="BM213" s="427">
        <v>48000</v>
      </c>
      <c r="BN213" s="412">
        <f t="shared" si="102"/>
        <v>4.9206000000000003</v>
      </c>
      <c r="BO213" s="458">
        <v>4.9718</v>
      </c>
      <c r="BP213" s="458">
        <v>4.8693999999999997</v>
      </c>
      <c r="BQ213" s="469">
        <f t="shared" si="99"/>
        <v>2034</v>
      </c>
      <c r="BR213" s="473">
        <v>49096</v>
      </c>
      <c r="BS213" s="469">
        <f t="shared" si="103"/>
        <v>5.7397999999999998</v>
      </c>
      <c r="BT213" s="474">
        <v>6.0153999999999996</v>
      </c>
      <c r="BU213" s="474">
        <v>5.4641999999999999</v>
      </c>
    </row>
    <row r="214" spans="36:73">
      <c r="AJ214" s="3">
        <f t="shared" si="108"/>
        <v>2022</v>
      </c>
      <c r="AK214" s="345">
        <f t="shared" si="101"/>
        <v>44652</v>
      </c>
      <c r="AL214" s="122">
        <v>77.569999999999993</v>
      </c>
      <c r="AM214" s="122">
        <v>73.2</v>
      </c>
      <c r="AN214" s="319">
        <f t="shared" si="96"/>
        <v>75.690899999999999</v>
      </c>
      <c r="AO214" s="305">
        <v>416</v>
      </c>
      <c r="AP214" s="305">
        <v>304</v>
      </c>
      <c r="AQ214" s="305">
        <f t="shared" si="109"/>
        <v>0.57777777777777772</v>
      </c>
      <c r="AR214" s="305">
        <f t="shared" si="110"/>
        <v>0.42222222222222222</v>
      </c>
      <c r="AV214" s="3">
        <f t="shared" si="97"/>
        <v>2022</v>
      </c>
      <c r="AW214" s="343">
        <f t="shared" si="100"/>
        <v>44652</v>
      </c>
      <c r="AX214" s="121">
        <f t="shared" si="111"/>
        <v>9.9164872213159327</v>
      </c>
      <c r="AY214" s="122">
        <v>9.9164872213159327</v>
      </c>
      <c r="BA214" s="3">
        <f t="shared" si="104"/>
        <v>2021</v>
      </c>
      <c r="BB214" s="343">
        <v>44255</v>
      </c>
      <c r="BC214" s="3">
        <f t="shared" si="105"/>
        <v>6.2799999999999994</v>
      </c>
      <c r="BD214" s="3">
        <v>6.26</v>
      </c>
      <c r="BE214" s="3">
        <v>6.3</v>
      </c>
      <c r="BG214" s="3">
        <f t="shared" si="106"/>
        <v>2025</v>
      </c>
      <c r="BH214" s="318">
        <v>45658</v>
      </c>
      <c r="BI214" s="3">
        <f t="shared" si="107"/>
        <v>14.42</v>
      </c>
      <c r="BJ214" s="3">
        <v>14.23</v>
      </c>
      <c r="BK214" s="3">
        <v>14.61</v>
      </c>
      <c r="BL214" s="412">
        <f t="shared" si="98"/>
        <v>2031</v>
      </c>
      <c r="BM214" s="427">
        <v>48030</v>
      </c>
      <c r="BN214" s="412">
        <f t="shared" si="102"/>
        <v>4.9644500000000003</v>
      </c>
      <c r="BO214" s="458">
        <v>5.0449000000000002</v>
      </c>
      <c r="BP214" s="458">
        <v>4.8840000000000003</v>
      </c>
      <c r="BQ214" s="469">
        <f t="shared" si="99"/>
        <v>2034</v>
      </c>
      <c r="BR214" s="473">
        <v>49126</v>
      </c>
      <c r="BS214" s="469">
        <f t="shared" si="103"/>
        <v>5.92875</v>
      </c>
      <c r="BT214" s="474">
        <v>6.1727999999999996</v>
      </c>
      <c r="BU214" s="474">
        <v>5.6847000000000003</v>
      </c>
    </row>
    <row r="215" spans="36:73">
      <c r="AJ215" s="3">
        <f t="shared" si="108"/>
        <v>2022</v>
      </c>
      <c r="AK215" s="345">
        <f t="shared" si="101"/>
        <v>44682</v>
      </c>
      <c r="AL215" s="122">
        <v>82.12</v>
      </c>
      <c r="AM215" s="122">
        <v>67.64</v>
      </c>
      <c r="AN215" s="319">
        <f t="shared" si="96"/>
        <v>75.893599999999992</v>
      </c>
      <c r="AO215" s="305">
        <v>400</v>
      </c>
      <c r="AP215" s="305">
        <v>344</v>
      </c>
      <c r="AQ215" s="305">
        <f t="shared" si="109"/>
        <v>0.5376344086021505</v>
      </c>
      <c r="AR215" s="305">
        <f t="shared" si="110"/>
        <v>0.46236559139784944</v>
      </c>
      <c r="AV215" s="3">
        <f t="shared" si="97"/>
        <v>2022</v>
      </c>
      <c r="AW215" s="343">
        <f t="shared" si="100"/>
        <v>44682</v>
      </c>
      <c r="AX215" s="121">
        <f t="shared" si="111"/>
        <v>9.8145296356715583</v>
      </c>
      <c r="AY215" s="122">
        <v>9.8145296356715583</v>
      </c>
      <c r="BA215" s="3">
        <f t="shared" si="104"/>
        <v>2021</v>
      </c>
      <c r="BB215" s="343">
        <v>44286</v>
      </c>
      <c r="BC215" s="3">
        <f t="shared" si="105"/>
        <v>5.8949999999999996</v>
      </c>
      <c r="BD215" s="3">
        <v>5.92</v>
      </c>
      <c r="BE215" s="3">
        <v>5.87</v>
      </c>
      <c r="BG215" s="3">
        <f t="shared" si="106"/>
        <v>2025</v>
      </c>
      <c r="BH215" s="318">
        <v>45689</v>
      </c>
      <c r="BI215" s="3">
        <f t="shared" si="107"/>
        <v>13.414999999999999</v>
      </c>
      <c r="BJ215" s="3">
        <v>13.33</v>
      </c>
      <c r="BK215" s="3">
        <v>13.5</v>
      </c>
      <c r="BL215" s="412">
        <f t="shared" si="98"/>
        <v>2031</v>
      </c>
      <c r="BM215" s="427">
        <v>48061</v>
      </c>
      <c r="BN215" s="412">
        <f t="shared" si="102"/>
        <v>5.1033499999999998</v>
      </c>
      <c r="BO215" s="458">
        <v>5.1326000000000001</v>
      </c>
      <c r="BP215" s="458">
        <v>5.0740999999999996</v>
      </c>
      <c r="BQ215" s="469">
        <f t="shared" si="99"/>
        <v>2034</v>
      </c>
      <c r="BR215" s="473">
        <v>49157</v>
      </c>
      <c r="BS215" s="469">
        <f t="shared" si="103"/>
        <v>5.9917499999999997</v>
      </c>
      <c r="BT215" s="474">
        <v>6.2201000000000004</v>
      </c>
      <c r="BU215" s="474">
        <v>5.7633999999999999</v>
      </c>
    </row>
    <row r="216" spans="36:73">
      <c r="AJ216" s="3">
        <f t="shared" si="108"/>
        <v>2022</v>
      </c>
      <c r="AK216" s="345">
        <f t="shared" si="101"/>
        <v>44713</v>
      </c>
      <c r="AL216" s="122">
        <v>83.55</v>
      </c>
      <c r="AM216" s="122">
        <v>71.86</v>
      </c>
      <c r="AN216" s="319">
        <f t="shared" si="96"/>
        <v>78.523299999999992</v>
      </c>
      <c r="AO216" s="305">
        <v>416</v>
      </c>
      <c r="AP216" s="305">
        <v>304</v>
      </c>
      <c r="AQ216" s="305">
        <f t="shared" si="109"/>
        <v>0.57777777777777772</v>
      </c>
      <c r="AR216" s="305">
        <f t="shared" si="110"/>
        <v>0.42222222222222222</v>
      </c>
      <c r="AV216" s="3">
        <f t="shared" si="97"/>
        <v>2022</v>
      </c>
      <c r="AW216" s="343">
        <f t="shared" si="100"/>
        <v>44713</v>
      </c>
      <c r="AX216" s="121">
        <f t="shared" si="111"/>
        <v>9.970864600326264</v>
      </c>
      <c r="AY216" s="122">
        <v>9.970864600326264</v>
      </c>
      <c r="BA216" s="3">
        <f t="shared" si="104"/>
        <v>2021</v>
      </c>
      <c r="BB216" s="343">
        <v>44316</v>
      </c>
      <c r="BC216" s="3">
        <f t="shared" si="105"/>
        <v>5.51</v>
      </c>
      <c r="BD216" s="3">
        <v>5.58</v>
      </c>
      <c r="BE216" s="3">
        <v>5.44</v>
      </c>
      <c r="BG216" s="3">
        <f t="shared" si="106"/>
        <v>2025</v>
      </c>
      <c r="BH216" s="318">
        <v>45717</v>
      </c>
      <c r="BI216" s="3">
        <f t="shared" si="107"/>
        <v>12.594999999999999</v>
      </c>
      <c r="BJ216" s="3">
        <v>12.61</v>
      </c>
      <c r="BK216" s="3">
        <v>12.58</v>
      </c>
      <c r="BL216" s="412">
        <f t="shared" si="98"/>
        <v>2031</v>
      </c>
      <c r="BM216" s="427">
        <v>48092</v>
      </c>
      <c r="BN216" s="412">
        <f t="shared" si="102"/>
        <v>5.1033999999999997</v>
      </c>
      <c r="BO216" s="458">
        <v>5.1033999999999997</v>
      </c>
      <c r="BP216" s="458">
        <v>5.1033999999999997</v>
      </c>
      <c r="BQ216" s="469">
        <f t="shared" si="99"/>
        <v>2034</v>
      </c>
      <c r="BR216" s="473">
        <v>49188</v>
      </c>
      <c r="BS216" s="469">
        <f t="shared" si="103"/>
        <v>5.9130000000000003</v>
      </c>
      <c r="BT216" s="474">
        <v>6.2042999999999999</v>
      </c>
      <c r="BU216" s="474">
        <v>5.6216999999999997</v>
      </c>
    </row>
    <row r="217" spans="36:73">
      <c r="AJ217" s="3">
        <f t="shared" si="108"/>
        <v>2022</v>
      </c>
      <c r="AK217" s="345">
        <f t="shared" si="101"/>
        <v>44743</v>
      </c>
      <c r="AL217" s="122">
        <v>80.959999999999994</v>
      </c>
      <c r="AM217" s="122">
        <v>77.08</v>
      </c>
      <c r="AN217" s="319">
        <f t="shared" si="96"/>
        <v>79.291599999999988</v>
      </c>
      <c r="AO217" s="305">
        <v>400</v>
      </c>
      <c r="AP217" s="305">
        <v>344</v>
      </c>
      <c r="AQ217" s="305">
        <f t="shared" si="109"/>
        <v>0.5376344086021505</v>
      </c>
      <c r="AR217" s="305">
        <f t="shared" si="110"/>
        <v>0.46236559139784944</v>
      </c>
      <c r="AV217" s="3">
        <f t="shared" si="97"/>
        <v>2022</v>
      </c>
      <c r="AW217" s="343">
        <f t="shared" si="100"/>
        <v>44743</v>
      </c>
      <c r="AX217" s="121">
        <f t="shared" si="111"/>
        <v>10.123800978792822</v>
      </c>
      <c r="AY217" s="122">
        <v>10.123800978792822</v>
      </c>
      <c r="BA217" s="3">
        <f t="shared" si="104"/>
        <v>2021</v>
      </c>
      <c r="BB217" s="343">
        <v>44347</v>
      </c>
      <c r="BC217" s="3">
        <f t="shared" si="105"/>
        <v>5.51</v>
      </c>
      <c r="BD217" s="3">
        <v>5.58</v>
      </c>
      <c r="BE217" s="3">
        <v>5.44</v>
      </c>
      <c r="BG217" s="3">
        <f t="shared" si="106"/>
        <v>2025</v>
      </c>
      <c r="BH217" s="318">
        <v>45748</v>
      </c>
      <c r="BI217" s="3">
        <f t="shared" si="107"/>
        <v>11.77</v>
      </c>
      <c r="BJ217" s="3">
        <v>11.89</v>
      </c>
      <c r="BK217" s="3">
        <v>11.65</v>
      </c>
      <c r="BL217" s="412">
        <f t="shared" si="98"/>
        <v>2031</v>
      </c>
      <c r="BM217" s="427">
        <v>48122</v>
      </c>
      <c r="BN217" s="412">
        <f t="shared" si="102"/>
        <v>5.1691500000000001</v>
      </c>
      <c r="BO217" s="458">
        <v>5.1471999999999998</v>
      </c>
      <c r="BP217" s="458">
        <v>5.1910999999999996</v>
      </c>
      <c r="BQ217" s="469">
        <f t="shared" si="99"/>
        <v>2034</v>
      </c>
      <c r="BR217" s="473">
        <v>49218</v>
      </c>
      <c r="BS217" s="469">
        <f t="shared" si="103"/>
        <v>5.9917499999999997</v>
      </c>
      <c r="BT217" s="474">
        <v>6.2988</v>
      </c>
      <c r="BU217" s="474">
        <v>5.6847000000000003</v>
      </c>
    </row>
    <row r="218" spans="36:73">
      <c r="AJ218" s="3">
        <f t="shared" si="108"/>
        <v>2022</v>
      </c>
      <c r="AK218" s="345">
        <f t="shared" si="101"/>
        <v>44774</v>
      </c>
      <c r="AL218" s="122">
        <v>82.94</v>
      </c>
      <c r="AM218" s="122">
        <v>77.73</v>
      </c>
      <c r="AN218" s="319">
        <f t="shared" si="96"/>
        <v>80.699700000000007</v>
      </c>
      <c r="AO218" s="305">
        <v>432</v>
      </c>
      <c r="AP218" s="305">
        <v>312</v>
      </c>
      <c r="AQ218" s="305">
        <f t="shared" si="109"/>
        <v>0.58064516129032262</v>
      </c>
      <c r="AR218" s="305">
        <f t="shared" si="110"/>
        <v>0.41935483870967744</v>
      </c>
      <c r="AV218" s="3">
        <f t="shared" si="97"/>
        <v>2022</v>
      </c>
      <c r="AW218" s="343">
        <f t="shared" si="100"/>
        <v>44774</v>
      </c>
      <c r="AX218" s="121">
        <f t="shared" si="111"/>
        <v>10.123800978792822</v>
      </c>
      <c r="AY218" s="122">
        <v>10.123800978792822</v>
      </c>
      <c r="BA218" s="3">
        <f t="shared" si="104"/>
        <v>2021</v>
      </c>
      <c r="BB218" s="343">
        <v>44377</v>
      </c>
      <c r="BC218" s="3">
        <f t="shared" si="105"/>
        <v>5.6</v>
      </c>
      <c r="BD218" s="3">
        <v>5.67</v>
      </c>
      <c r="BE218" s="3">
        <v>5.53</v>
      </c>
      <c r="BG218" s="3">
        <f t="shared" si="106"/>
        <v>2025</v>
      </c>
      <c r="BH218" s="318">
        <v>45778</v>
      </c>
      <c r="BI218" s="3">
        <f t="shared" si="107"/>
        <v>11.77</v>
      </c>
      <c r="BJ218" s="3">
        <v>11.89</v>
      </c>
      <c r="BK218" s="3">
        <v>11.65</v>
      </c>
      <c r="BL218" s="412">
        <f t="shared" si="98"/>
        <v>2031</v>
      </c>
      <c r="BM218" s="427">
        <v>48153</v>
      </c>
      <c r="BN218" s="412">
        <f t="shared" si="102"/>
        <v>5.33</v>
      </c>
      <c r="BO218" s="458">
        <v>5.3227000000000002</v>
      </c>
      <c r="BP218" s="458">
        <v>5.3372999999999999</v>
      </c>
      <c r="BQ218" s="469">
        <f t="shared" si="99"/>
        <v>2034</v>
      </c>
      <c r="BR218" s="473">
        <v>49249</v>
      </c>
      <c r="BS218" s="469">
        <f t="shared" si="103"/>
        <v>6.1964500000000005</v>
      </c>
      <c r="BT218" s="474">
        <v>6.4562999999999997</v>
      </c>
      <c r="BU218" s="474">
        <v>5.9366000000000003</v>
      </c>
    </row>
    <row r="219" spans="36:73">
      <c r="AJ219" s="3">
        <f t="shared" si="108"/>
        <v>2022</v>
      </c>
      <c r="AK219" s="345">
        <f t="shared" si="101"/>
        <v>44805</v>
      </c>
      <c r="AL219" s="122">
        <v>81.709999999999994</v>
      </c>
      <c r="AM219" s="122">
        <v>76.489999999999995</v>
      </c>
      <c r="AN219" s="319">
        <f t="shared" si="96"/>
        <v>79.465399999999988</v>
      </c>
      <c r="AO219" s="305">
        <v>400</v>
      </c>
      <c r="AP219" s="305">
        <v>320</v>
      </c>
      <c r="AQ219" s="305">
        <f t="shared" si="109"/>
        <v>0.55555555555555558</v>
      </c>
      <c r="AR219" s="305">
        <f t="shared" si="110"/>
        <v>0.44444444444444442</v>
      </c>
      <c r="AV219" s="3">
        <f t="shared" si="97"/>
        <v>2022</v>
      </c>
      <c r="AW219" s="343">
        <f t="shared" si="100"/>
        <v>44805</v>
      </c>
      <c r="AX219" s="121">
        <f t="shared" si="111"/>
        <v>10.123800978792822</v>
      </c>
      <c r="AY219" s="122">
        <v>10.123800978792822</v>
      </c>
      <c r="BA219" s="3">
        <f t="shared" si="104"/>
        <v>2021</v>
      </c>
      <c r="BB219" s="343">
        <v>44408</v>
      </c>
      <c r="BC219" s="3">
        <f t="shared" si="105"/>
        <v>5.68</v>
      </c>
      <c r="BD219" s="3">
        <v>5.75</v>
      </c>
      <c r="BE219" s="3">
        <v>5.61</v>
      </c>
      <c r="BG219" s="3">
        <f t="shared" si="106"/>
        <v>2025</v>
      </c>
      <c r="BH219" s="318">
        <v>45809</v>
      </c>
      <c r="BI219" s="3">
        <f t="shared" si="107"/>
        <v>11.955</v>
      </c>
      <c r="BJ219" s="3">
        <v>12.07</v>
      </c>
      <c r="BK219" s="3">
        <v>11.84</v>
      </c>
      <c r="BL219" s="412">
        <f t="shared" si="98"/>
        <v>2031</v>
      </c>
      <c r="BM219" s="427">
        <v>48183</v>
      </c>
      <c r="BN219" s="412">
        <f t="shared" si="102"/>
        <v>5.5566499999999994</v>
      </c>
      <c r="BO219" s="458">
        <v>5.5419999999999998</v>
      </c>
      <c r="BP219" s="458">
        <v>5.5712999999999999</v>
      </c>
      <c r="BQ219" s="469">
        <f t="shared" si="99"/>
        <v>2034</v>
      </c>
      <c r="BR219" s="473">
        <v>49279</v>
      </c>
      <c r="BS219" s="469">
        <f t="shared" si="103"/>
        <v>6.6452500000000008</v>
      </c>
      <c r="BT219" s="474">
        <v>6.8185000000000002</v>
      </c>
      <c r="BU219" s="474">
        <v>6.4720000000000004</v>
      </c>
    </row>
    <row r="220" spans="36:73">
      <c r="AJ220" s="3">
        <f t="shared" si="108"/>
        <v>2022</v>
      </c>
      <c r="AK220" s="345">
        <f t="shared" si="101"/>
        <v>44835</v>
      </c>
      <c r="AL220" s="122">
        <v>81.78</v>
      </c>
      <c r="AM220" s="122">
        <v>74.319999999999993</v>
      </c>
      <c r="AN220" s="319">
        <f t="shared" ref="AN220:AN283" si="112">AL220*0.57+AM220*0.43</f>
        <v>78.572199999999995</v>
      </c>
      <c r="AO220" s="305">
        <v>416</v>
      </c>
      <c r="AP220" s="305">
        <v>328</v>
      </c>
      <c r="AQ220" s="305">
        <f t="shared" si="109"/>
        <v>0.55913978494623651</v>
      </c>
      <c r="AR220" s="305">
        <f t="shared" si="110"/>
        <v>0.44086021505376344</v>
      </c>
      <c r="AV220" s="3">
        <f t="shared" si="97"/>
        <v>2022</v>
      </c>
      <c r="AW220" s="343">
        <f t="shared" si="100"/>
        <v>44835</v>
      </c>
      <c r="AX220" s="121">
        <f t="shared" si="111"/>
        <v>10.480652528548124</v>
      </c>
      <c r="AY220" s="122">
        <v>10.480652528548124</v>
      </c>
      <c r="BA220" s="3">
        <f t="shared" si="104"/>
        <v>2021</v>
      </c>
      <c r="BB220" s="343">
        <v>44439</v>
      </c>
      <c r="BC220" s="3">
        <f t="shared" si="105"/>
        <v>5.68</v>
      </c>
      <c r="BD220" s="3">
        <v>5.75</v>
      </c>
      <c r="BE220" s="3">
        <v>5.61</v>
      </c>
      <c r="BG220" s="3">
        <f t="shared" si="106"/>
        <v>2025</v>
      </c>
      <c r="BH220" s="318">
        <v>45839</v>
      </c>
      <c r="BI220" s="3">
        <f t="shared" si="107"/>
        <v>12.135</v>
      </c>
      <c r="BJ220" s="3">
        <v>12.25</v>
      </c>
      <c r="BK220" s="3">
        <v>12.02</v>
      </c>
      <c r="BL220" s="412">
        <f t="shared" si="98"/>
        <v>2032</v>
      </c>
      <c r="BM220" s="427">
        <v>48214</v>
      </c>
      <c r="BN220" s="412">
        <f t="shared" si="102"/>
        <v>5.6938499999999994</v>
      </c>
      <c r="BO220" s="458">
        <v>5.6788999999999996</v>
      </c>
      <c r="BP220" s="458">
        <v>5.7088000000000001</v>
      </c>
      <c r="BQ220" s="469">
        <f t="shared" si="99"/>
        <v>2035</v>
      </c>
      <c r="BR220" s="473">
        <v>49310</v>
      </c>
      <c r="BS220" s="469">
        <f t="shared" si="103"/>
        <v>6.6224500000000006</v>
      </c>
      <c r="BT220" s="474">
        <v>6.8879999999999999</v>
      </c>
      <c r="BU220" s="474">
        <v>6.3569000000000004</v>
      </c>
    </row>
    <row r="221" spans="36:73">
      <c r="AJ221" s="3">
        <f t="shared" si="108"/>
        <v>2022</v>
      </c>
      <c r="AK221" s="345">
        <f t="shared" si="101"/>
        <v>44866</v>
      </c>
      <c r="AL221" s="122">
        <v>90.34</v>
      </c>
      <c r="AM221" s="122">
        <v>72.010000000000005</v>
      </c>
      <c r="AN221" s="319">
        <f t="shared" si="112"/>
        <v>82.458100000000002</v>
      </c>
      <c r="AO221" s="305">
        <v>400</v>
      </c>
      <c r="AP221" s="305">
        <v>320</v>
      </c>
      <c r="AQ221" s="305">
        <f t="shared" si="109"/>
        <v>0.55555555555555558</v>
      </c>
      <c r="AR221" s="305">
        <f t="shared" si="110"/>
        <v>0.44444444444444442</v>
      </c>
      <c r="AV221" s="3">
        <f t="shared" si="97"/>
        <v>2022</v>
      </c>
      <c r="AW221" s="343">
        <f t="shared" si="100"/>
        <v>44866</v>
      </c>
      <c r="AX221" s="121">
        <f t="shared" si="111"/>
        <v>10.630190320826536</v>
      </c>
      <c r="AY221" s="122">
        <v>10.630190320826536</v>
      </c>
      <c r="BA221" s="3">
        <f t="shared" si="104"/>
        <v>2021</v>
      </c>
      <c r="BB221" s="343">
        <v>44469</v>
      </c>
      <c r="BC221" s="3">
        <f t="shared" si="105"/>
        <v>5.68</v>
      </c>
      <c r="BD221" s="3">
        <v>5.75</v>
      </c>
      <c r="BE221" s="3">
        <v>5.61</v>
      </c>
      <c r="BG221" s="3">
        <f t="shared" si="106"/>
        <v>2025</v>
      </c>
      <c r="BH221" s="318">
        <v>45870</v>
      </c>
      <c r="BI221" s="3">
        <f t="shared" si="107"/>
        <v>12.135</v>
      </c>
      <c r="BJ221" s="3">
        <v>12.25</v>
      </c>
      <c r="BK221" s="3">
        <v>12.02</v>
      </c>
      <c r="BL221" s="412">
        <f t="shared" si="98"/>
        <v>2032</v>
      </c>
      <c r="BM221" s="427">
        <v>48245</v>
      </c>
      <c r="BN221" s="412">
        <f t="shared" si="102"/>
        <v>5.7386499999999998</v>
      </c>
      <c r="BO221" s="458">
        <v>5.7237</v>
      </c>
      <c r="BP221" s="458">
        <v>5.7535999999999996</v>
      </c>
      <c r="BQ221" s="469">
        <f t="shared" si="99"/>
        <v>2035</v>
      </c>
      <c r="BR221" s="473">
        <v>49341</v>
      </c>
      <c r="BS221" s="469">
        <f t="shared" si="103"/>
        <v>6.6466000000000003</v>
      </c>
      <c r="BT221" s="474">
        <v>6.9202000000000004</v>
      </c>
      <c r="BU221" s="474">
        <v>6.3730000000000002</v>
      </c>
    </row>
    <row r="222" spans="36:73">
      <c r="AJ222" s="3">
        <f t="shared" si="108"/>
        <v>2022</v>
      </c>
      <c r="AK222" s="345">
        <f t="shared" si="101"/>
        <v>44896</v>
      </c>
      <c r="AL222" s="122">
        <v>91.48</v>
      </c>
      <c r="AM222" s="122">
        <v>75.459999999999994</v>
      </c>
      <c r="AN222" s="319">
        <f t="shared" si="112"/>
        <v>84.591399999999993</v>
      </c>
      <c r="AO222" s="305">
        <v>416</v>
      </c>
      <c r="AP222" s="305">
        <v>328</v>
      </c>
      <c r="AQ222" s="305">
        <f t="shared" si="109"/>
        <v>0.55913978494623651</v>
      </c>
      <c r="AR222" s="305">
        <f t="shared" si="110"/>
        <v>0.44086021505376344</v>
      </c>
      <c r="AV222" s="3">
        <f t="shared" si="97"/>
        <v>2022</v>
      </c>
      <c r="AW222" s="343">
        <f t="shared" si="100"/>
        <v>44896</v>
      </c>
      <c r="AX222" s="121">
        <f t="shared" si="111"/>
        <v>11.143376835236541</v>
      </c>
      <c r="AY222" s="122">
        <v>11.143376835236541</v>
      </c>
      <c r="BA222" s="3">
        <f t="shared" si="104"/>
        <v>2021</v>
      </c>
      <c r="BB222" s="343">
        <v>44500</v>
      </c>
      <c r="BC222" s="3">
        <f t="shared" si="105"/>
        <v>5.8949999999999996</v>
      </c>
      <c r="BD222" s="3">
        <v>5.92</v>
      </c>
      <c r="BE222" s="3">
        <v>5.87</v>
      </c>
      <c r="BG222" s="3">
        <f t="shared" si="106"/>
        <v>2025</v>
      </c>
      <c r="BH222" s="318">
        <v>45901</v>
      </c>
      <c r="BI222" s="3">
        <f t="shared" si="107"/>
        <v>12.135</v>
      </c>
      <c r="BJ222" s="3">
        <v>12.25</v>
      </c>
      <c r="BK222" s="3">
        <v>12.02</v>
      </c>
      <c r="BL222" s="412">
        <f t="shared" si="98"/>
        <v>2032</v>
      </c>
      <c r="BM222" s="427">
        <v>48274</v>
      </c>
      <c r="BN222" s="412">
        <f t="shared" si="102"/>
        <v>5.5070499999999996</v>
      </c>
      <c r="BO222" s="458">
        <v>5.4996</v>
      </c>
      <c r="BP222" s="458">
        <v>5.5145</v>
      </c>
      <c r="BQ222" s="469">
        <f t="shared" si="99"/>
        <v>2035</v>
      </c>
      <c r="BR222" s="473">
        <v>49369</v>
      </c>
      <c r="BS222" s="469">
        <f t="shared" si="103"/>
        <v>5.8902000000000001</v>
      </c>
      <c r="BT222" s="474">
        <v>6.1638000000000002</v>
      </c>
      <c r="BU222" s="474">
        <v>5.6166</v>
      </c>
    </row>
    <row r="223" spans="36:73">
      <c r="AJ223" s="3">
        <f t="shared" si="108"/>
        <v>2023</v>
      </c>
      <c r="AK223" s="345">
        <f t="shared" si="101"/>
        <v>44927</v>
      </c>
      <c r="AL223" s="122">
        <v>99.66</v>
      </c>
      <c r="AM223" s="122">
        <v>87.05</v>
      </c>
      <c r="AN223" s="319">
        <f t="shared" si="112"/>
        <v>94.23769999999999</v>
      </c>
      <c r="AO223" s="305">
        <v>400</v>
      </c>
      <c r="AP223" s="305">
        <v>344</v>
      </c>
      <c r="AQ223" s="305">
        <f t="shared" si="109"/>
        <v>0.5376344086021505</v>
      </c>
      <c r="AR223" s="305">
        <f t="shared" si="110"/>
        <v>0.46236559139784944</v>
      </c>
      <c r="AV223" s="3">
        <f t="shared" si="97"/>
        <v>2023</v>
      </c>
      <c r="AW223" s="343">
        <f t="shared" si="100"/>
        <v>44927</v>
      </c>
      <c r="AX223" s="121">
        <f t="shared" si="111"/>
        <v>12.081386623164763</v>
      </c>
      <c r="AY223" s="122">
        <v>12.081386623164763</v>
      </c>
      <c r="BA223" s="3">
        <f t="shared" si="104"/>
        <v>2021</v>
      </c>
      <c r="BB223" s="343">
        <v>44530</v>
      </c>
      <c r="BC223" s="3">
        <f t="shared" si="105"/>
        <v>5.9849999999999994</v>
      </c>
      <c r="BD223" s="3">
        <v>6.01</v>
      </c>
      <c r="BE223" s="3">
        <v>5.96</v>
      </c>
      <c r="BG223" s="3">
        <f t="shared" si="106"/>
        <v>2025</v>
      </c>
      <c r="BH223" s="318">
        <v>45931</v>
      </c>
      <c r="BI223" s="3">
        <f t="shared" si="107"/>
        <v>12.594999999999999</v>
      </c>
      <c r="BJ223" s="3">
        <v>12.61</v>
      </c>
      <c r="BK223" s="3">
        <v>12.58</v>
      </c>
      <c r="BL223" s="412">
        <f t="shared" si="98"/>
        <v>2032</v>
      </c>
      <c r="BM223" s="427">
        <v>48305</v>
      </c>
      <c r="BN223" s="412">
        <f t="shared" si="102"/>
        <v>5.2380500000000003</v>
      </c>
      <c r="BO223" s="458">
        <v>5.2754000000000003</v>
      </c>
      <c r="BP223" s="458">
        <v>5.2007000000000003</v>
      </c>
      <c r="BQ223" s="469">
        <f t="shared" si="99"/>
        <v>2035</v>
      </c>
      <c r="BR223" s="473">
        <v>49400</v>
      </c>
      <c r="BS223" s="469">
        <f t="shared" si="103"/>
        <v>5.2866999999999997</v>
      </c>
      <c r="BT223" s="474">
        <v>5.6005000000000003</v>
      </c>
      <c r="BU223" s="474">
        <v>4.9729000000000001</v>
      </c>
    </row>
    <row r="224" spans="36:73">
      <c r="AJ224" s="3">
        <f t="shared" si="108"/>
        <v>2023</v>
      </c>
      <c r="AK224" s="345">
        <f t="shared" si="101"/>
        <v>44958</v>
      </c>
      <c r="AL224" s="122">
        <v>93.42</v>
      </c>
      <c r="AM224" s="122">
        <v>80.260000000000005</v>
      </c>
      <c r="AN224" s="319">
        <f t="shared" si="112"/>
        <v>87.761200000000002</v>
      </c>
      <c r="AO224" s="305">
        <v>384</v>
      </c>
      <c r="AP224" s="305">
        <v>288</v>
      </c>
      <c r="AQ224" s="305">
        <f t="shared" si="109"/>
        <v>0.5714285714285714</v>
      </c>
      <c r="AR224" s="305">
        <f t="shared" si="110"/>
        <v>0.42857142857142855</v>
      </c>
      <c r="AV224" s="3">
        <f t="shared" ref="AV224:AV287" si="113">+YEAR(AW224)</f>
        <v>2023</v>
      </c>
      <c r="AW224" s="343">
        <f t="shared" si="100"/>
        <v>44958</v>
      </c>
      <c r="AX224" s="121">
        <f t="shared" si="111"/>
        <v>11.354089178901576</v>
      </c>
      <c r="AY224" s="122">
        <v>11.354089178901576</v>
      </c>
      <c r="BA224" s="3">
        <f t="shared" si="104"/>
        <v>2021</v>
      </c>
      <c r="BB224" s="343">
        <v>44561</v>
      </c>
      <c r="BC224" s="3">
        <f t="shared" si="105"/>
        <v>6.2799999999999994</v>
      </c>
      <c r="BD224" s="3">
        <v>6.26</v>
      </c>
      <c r="BE224" s="3">
        <v>6.3</v>
      </c>
      <c r="BG224" s="3">
        <f t="shared" si="106"/>
        <v>2025</v>
      </c>
      <c r="BH224" s="318">
        <v>45962</v>
      </c>
      <c r="BI224" s="3">
        <f t="shared" si="107"/>
        <v>12.774999999999999</v>
      </c>
      <c r="BJ224" s="3">
        <v>12.79</v>
      </c>
      <c r="BK224" s="3">
        <v>12.76</v>
      </c>
      <c r="BL224" s="412">
        <f t="shared" ref="BL224:BL287" si="114">YEAR(BM224)</f>
        <v>2032</v>
      </c>
      <c r="BM224" s="427">
        <v>48335</v>
      </c>
      <c r="BN224" s="412">
        <f t="shared" si="102"/>
        <v>4.9764999999999997</v>
      </c>
      <c r="BO224" s="458">
        <v>5.0064000000000002</v>
      </c>
      <c r="BP224" s="458">
        <v>4.9466000000000001</v>
      </c>
      <c r="BQ224" s="469">
        <f t="shared" ref="BQ224:BQ287" si="115">YEAR(BR224)</f>
        <v>2035</v>
      </c>
      <c r="BR224" s="473">
        <v>49430</v>
      </c>
      <c r="BS224" s="469">
        <f t="shared" si="103"/>
        <v>5.2706</v>
      </c>
      <c r="BT224" s="474">
        <v>5.5843999999999996</v>
      </c>
      <c r="BU224" s="474">
        <v>4.9568000000000003</v>
      </c>
    </row>
    <row r="225" spans="36:73">
      <c r="AJ225" s="3">
        <f t="shared" si="108"/>
        <v>2023</v>
      </c>
      <c r="AK225" s="345">
        <f t="shared" si="101"/>
        <v>44986</v>
      </c>
      <c r="AL225" s="122">
        <v>82.83</v>
      </c>
      <c r="AM225" s="122">
        <v>75.17</v>
      </c>
      <c r="AN225" s="319">
        <f t="shared" si="112"/>
        <v>79.536200000000008</v>
      </c>
      <c r="AO225" s="305">
        <v>432</v>
      </c>
      <c r="AP225" s="305">
        <v>312</v>
      </c>
      <c r="AQ225" s="305">
        <f t="shared" si="109"/>
        <v>0.58064516129032262</v>
      </c>
      <c r="AR225" s="305">
        <f t="shared" si="110"/>
        <v>0.41935483870967744</v>
      </c>
      <c r="AV225" s="3">
        <f t="shared" si="113"/>
        <v>2023</v>
      </c>
      <c r="AW225" s="343">
        <f t="shared" ref="AW225:AW288" si="116">EOMONTH(AW224,0)+1</f>
        <v>44986</v>
      </c>
      <c r="AX225" s="121">
        <f t="shared" si="111"/>
        <v>10.677770527460575</v>
      </c>
      <c r="AY225" s="122">
        <v>10.677770527460575</v>
      </c>
      <c r="BA225" s="3">
        <f t="shared" si="104"/>
        <v>2022</v>
      </c>
      <c r="BB225" s="343">
        <v>44592</v>
      </c>
      <c r="BC225" s="3">
        <f t="shared" si="105"/>
        <v>6.99</v>
      </c>
      <c r="BD225" s="3">
        <v>6.92</v>
      </c>
      <c r="BE225" s="3">
        <v>7.06</v>
      </c>
      <c r="BG225" s="3">
        <f t="shared" si="106"/>
        <v>2025</v>
      </c>
      <c r="BH225" s="318">
        <v>45992</v>
      </c>
      <c r="BI225" s="3">
        <f t="shared" si="107"/>
        <v>13.414999999999999</v>
      </c>
      <c r="BJ225" s="3">
        <v>13.33</v>
      </c>
      <c r="BK225" s="3">
        <v>13.5</v>
      </c>
      <c r="BL225" s="412">
        <f t="shared" si="114"/>
        <v>2032</v>
      </c>
      <c r="BM225" s="427">
        <v>48366</v>
      </c>
      <c r="BN225" s="412">
        <f t="shared" si="102"/>
        <v>4.9914500000000004</v>
      </c>
      <c r="BO225" s="458">
        <v>5.0362999999999998</v>
      </c>
      <c r="BP225" s="458">
        <v>4.9466000000000001</v>
      </c>
      <c r="BQ225" s="469">
        <f t="shared" si="115"/>
        <v>2035</v>
      </c>
      <c r="BR225" s="473">
        <v>49461</v>
      </c>
      <c r="BS225" s="469">
        <f t="shared" si="103"/>
        <v>5.3108500000000003</v>
      </c>
      <c r="BT225" s="474">
        <v>5.6487999999999996</v>
      </c>
      <c r="BU225" s="474">
        <v>4.9729000000000001</v>
      </c>
    </row>
    <row r="226" spans="36:73">
      <c r="AJ226" s="3">
        <f t="shared" si="108"/>
        <v>2023</v>
      </c>
      <c r="AK226" s="345">
        <f t="shared" si="101"/>
        <v>45017</v>
      </c>
      <c r="AL226" s="122">
        <v>79.45</v>
      </c>
      <c r="AM226" s="122">
        <v>74.78</v>
      </c>
      <c r="AN226" s="319">
        <f t="shared" si="112"/>
        <v>77.441900000000004</v>
      </c>
      <c r="AO226" s="305">
        <v>400</v>
      </c>
      <c r="AP226" s="305">
        <v>320</v>
      </c>
      <c r="AQ226" s="305">
        <f t="shared" si="109"/>
        <v>0.55555555555555558</v>
      </c>
      <c r="AR226" s="305">
        <f t="shared" si="110"/>
        <v>0.44444444444444442</v>
      </c>
      <c r="AV226" s="3">
        <f t="shared" si="113"/>
        <v>2023</v>
      </c>
      <c r="AW226" s="343">
        <f t="shared" si="116"/>
        <v>45017</v>
      </c>
      <c r="AX226" s="121">
        <f t="shared" si="111"/>
        <v>10.106808047852095</v>
      </c>
      <c r="AY226" s="122">
        <v>10.106808047852095</v>
      </c>
      <c r="BA226" s="3">
        <f t="shared" si="104"/>
        <v>2022</v>
      </c>
      <c r="BB226" s="343">
        <v>44620</v>
      </c>
      <c r="BC226" s="3">
        <f t="shared" si="105"/>
        <v>6.5</v>
      </c>
      <c r="BD226" s="3">
        <v>6.48</v>
      </c>
      <c r="BE226" s="3">
        <v>6.52</v>
      </c>
      <c r="BG226" s="3">
        <f t="shared" si="106"/>
        <v>2026</v>
      </c>
      <c r="BH226" s="318">
        <v>46023</v>
      </c>
      <c r="BI226" s="3">
        <f t="shared" si="107"/>
        <v>14.68</v>
      </c>
      <c r="BJ226" s="3">
        <v>14.49</v>
      </c>
      <c r="BK226" s="3">
        <v>14.87</v>
      </c>
      <c r="BL226" s="412">
        <f t="shared" si="114"/>
        <v>2032</v>
      </c>
      <c r="BM226" s="427">
        <v>48396</v>
      </c>
      <c r="BN226" s="412">
        <f t="shared" si="102"/>
        <v>5.0064000000000002</v>
      </c>
      <c r="BO226" s="458">
        <v>5.0811000000000002</v>
      </c>
      <c r="BP226" s="458">
        <v>4.9317000000000002</v>
      </c>
      <c r="BQ226" s="469">
        <f t="shared" si="115"/>
        <v>2035</v>
      </c>
      <c r="BR226" s="473">
        <v>49491</v>
      </c>
      <c r="BS226" s="469">
        <f t="shared" si="103"/>
        <v>5.5120000000000005</v>
      </c>
      <c r="BT226" s="474">
        <v>5.8258000000000001</v>
      </c>
      <c r="BU226" s="474">
        <v>5.1981999999999999</v>
      </c>
    </row>
    <row r="227" spans="36:73">
      <c r="AJ227" s="3">
        <f t="shared" si="108"/>
        <v>2023</v>
      </c>
      <c r="AK227" s="345">
        <f t="shared" si="101"/>
        <v>45047</v>
      </c>
      <c r="AL227" s="122">
        <v>83.71</v>
      </c>
      <c r="AM227" s="122">
        <v>73.58</v>
      </c>
      <c r="AN227" s="319">
        <f t="shared" si="112"/>
        <v>79.354099999999988</v>
      </c>
      <c r="AO227" s="305">
        <v>416</v>
      </c>
      <c r="AP227" s="305">
        <v>328</v>
      </c>
      <c r="AQ227" s="305">
        <f t="shared" si="109"/>
        <v>0.55913978494623651</v>
      </c>
      <c r="AR227" s="305">
        <f t="shared" si="110"/>
        <v>0.44086021505376344</v>
      </c>
      <c r="AV227" s="3">
        <f t="shared" si="113"/>
        <v>2023</v>
      </c>
      <c r="AW227" s="343">
        <f t="shared" si="116"/>
        <v>45047</v>
      </c>
      <c r="AX227" s="121">
        <f t="shared" si="111"/>
        <v>10.00485046220772</v>
      </c>
      <c r="AY227" s="122">
        <v>10.00485046220772</v>
      </c>
      <c r="BA227" s="3">
        <f t="shared" si="104"/>
        <v>2022</v>
      </c>
      <c r="BB227" s="343">
        <v>44651</v>
      </c>
      <c r="BC227" s="3">
        <f t="shared" si="105"/>
        <v>6.1050000000000004</v>
      </c>
      <c r="BD227" s="3">
        <v>6.13</v>
      </c>
      <c r="BE227" s="3">
        <v>6.08</v>
      </c>
      <c r="BG227" s="3">
        <f t="shared" si="106"/>
        <v>2026</v>
      </c>
      <c r="BH227" s="318">
        <v>46054</v>
      </c>
      <c r="BI227" s="3">
        <f t="shared" si="107"/>
        <v>13.655000000000001</v>
      </c>
      <c r="BJ227" s="3">
        <v>13.57</v>
      </c>
      <c r="BK227" s="3">
        <v>13.74</v>
      </c>
      <c r="BL227" s="412">
        <f t="shared" si="114"/>
        <v>2032</v>
      </c>
      <c r="BM227" s="427">
        <v>48427</v>
      </c>
      <c r="BN227" s="412">
        <f t="shared" si="102"/>
        <v>5.2006999999999994</v>
      </c>
      <c r="BO227" s="458">
        <v>5.2305999999999999</v>
      </c>
      <c r="BP227" s="458">
        <v>5.1707999999999998</v>
      </c>
      <c r="BQ227" s="469">
        <f t="shared" si="115"/>
        <v>2035</v>
      </c>
      <c r="BR227" s="473">
        <v>49522</v>
      </c>
      <c r="BS227" s="469">
        <f t="shared" si="103"/>
        <v>5.5602999999999998</v>
      </c>
      <c r="BT227" s="474">
        <v>5.8902000000000001</v>
      </c>
      <c r="BU227" s="474">
        <v>5.2304000000000004</v>
      </c>
    </row>
    <row r="228" spans="36:73">
      <c r="AJ228" s="3">
        <f t="shared" si="108"/>
        <v>2023</v>
      </c>
      <c r="AK228" s="345">
        <f t="shared" si="101"/>
        <v>45078</v>
      </c>
      <c r="AL228" s="122">
        <v>89.11</v>
      </c>
      <c r="AM228" s="122">
        <v>76.38</v>
      </c>
      <c r="AN228" s="319">
        <f t="shared" si="112"/>
        <v>83.636099999999999</v>
      </c>
      <c r="AO228" s="305">
        <v>416</v>
      </c>
      <c r="AP228" s="305">
        <v>304</v>
      </c>
      <c r="AQ228" s="305">
        <f t="shared" si="109"/>
        <v>0.57777777777777772</v>
      </c>
      <c r="AR228" s="305">
        <f t="shared" si="110"/>
        <v>0.42222222222222222</v>
      </c>
      <c r="AV228" s="3">
        <f t="shared" si="113"/>
        <v>2023</v>
      </c>
      <c r="AW228" s="343">
        <f t="shared" si="116"/>
        <v>45078</v>
      </c>
      <c r="AX228" s="121">
        <f t="shared" si="111"/>
        <v>10.157786840674278</v>
      </c>
      <c r="AY228" s="122">
        <v>10.157786840674278</v>
      </c>
      <c r="BA228" s="3">
        <f t="shared" si="104"/>
        <v>2022</v>
      </c>
      <c r="BB228" s="343">
        <v>44681</v>
      </c>
      <c r="BC228" s="3">
        <f t="shared" si="105"/>
        <v>5.7050000000000001</v>
      </c>
      <c r="BD228" s="3">
        <v>5.78</v>
      </c>
      <c r="BE228" s="3">
        <v>5.63</v>
      </c>
      <c r="BG228" s="3">
        <f t="shared" si="106"/>
        <v>2026</v>
      </c>
      <c r="BH228" s="318">
        <v>46082</v>
      </c>
      <c r="BI228" s="3">
        <f t="shared" si="107"/>
        <v>12.82</v>
      </c>
      <c r="BJ228" s="3">
        <v>12.84</v>
      </c>
      <c r="BK228" s="3">
        <v>12.8</v>
      </c>
      <c r="BL228" s="412">
        <f t="shared" si="114"/>
        <v>2032</v>
      </c>
      <c r="BM228" s="427">
        <v>48458</v>
      </c>
      <c r="BN228" s="412">
        <f t="shared" si="102"/>
        <v>5.1932</v>
      </c>
      <c r="BO228" s="458">
        <v>5.2007000000000003</v>
      </c>
      <c r="BP228" s="458">
        <v>5.1856999999999998</v>
      </c>
      <c r="BQ228" s="469">
        <f t="shared" si="115"/>
        <v>2035</v>
      </c>
      <c r="BR228" s="473">
        <v>49553</v>
      </c>
      <c r="BS228" s="469">
        <f t="shared" si="103"/>
        <v>5.4636999999999993</v>
      </c>
      <c r="BT228" s="474">
        <v>5.8418999999999999</v>
      </c>
      <c r="BU228" s="474">
        <v>5.0854999999999997</v>
      </c>
    </row>
    <row r="229" spans="36:73">
      <c r="AJ229" s="3">
        <f t="shared" si="108"/>
        <v>2023</v>
      </c>
      <c r="AK229" s="345">
        <f t="shared" si="101"/>
        <v>45108</v>
      </c>
      <c r="AL229" s="122">
        <v>81.98</v>
      </c>
      <c r="AM229" s="122">
        <v>77.400000000000006</v>
      </c>
      <c r="AN229" s="319">
        <f t="shared" si="112"/>
        <v>80.010600000000011</v>
      </c>
      <c r="AO229" s="305">
        <v>400</v>
      </c>
      <c r="AP229" s="305">
        <v>344</v>
      </c>
      <c r="AQ229" s="305">
        <f t="shared" si="109"/>
        <v>0.5376344086021505</v>
      </c>
      <c r="AR229" s="305">
        <f t="shared" si="110"/>
        <v>0.46236559139784944</v>
      </c>
      <c r="AV229" s="3">
        <f t="shared" si="113"/>
        <v>2023</v>
      </c>
      <c r="AW229" s="343">
        <f t="shared" si="116"/>
        <v>45108</v>
      </c>
      <c r="AX229" s="121">
        <f t="shared" si="111"/>
        <v>10.310723219140835</v>
      </c>
      <c r="AY229" s="122">
        <v>10.310723219140835</v>
      </c>
      <c r="BA229" s="3">
        <f t="shared" si="104"/>
        <v>2022</v>
      </c>
      <c r="BB229" s="343">
        <v>44712</v>
      </c>
      <c r="BC229" s="3">
        <f t="shared" si="105"/>
        <v>5.7050000000000001</v>
      </c>
      <c r="BD229" s="3">
        <v>5.78</v>
      </c>
      <c r="BE229" s="3">
        <v>5.63</v>
      </c>
      <c r="BG229" s="3">
        <f t="shared" si="106"/>
        <v>2026</v>
      </c>
      <c r="BH229" s="318">
        <v>46113</v>
      </c>
      <c r="BI229" s="3">
        <f t="shared" si="107"/>
        <v>11.98</v>
      </c>
      <c r="BJ229" s="3">
        <v>12.1</v>
      </c>
      <c r="BK229" s="3">
        <v>11.86</v>
      </c>
      <c r="BL229" s="412">
        <f t="shared" si="114"/>
        <v>2032</v>
      </c>
      <c r="BM229" s="427">
        <v>48488</v>
      </c>
      <c r="BN229" s="412">
        <f t="shared" si="102"/>
        <v>5.2754000000000003</v>
      </c>
      <c r="BO229" s="458">
        <v>5.2754000000000003</v>
      </c>
      <c r="BP229" s="458">
        <v>5.2754000000000003</v>
      </c>
      <c r="BQ229" s="469">
        <f t="shared" si="115"/>
        <v>2035</v>
      </c>
      <c r="BR229" s="473">
        <v>49583</v>
      </c>
      <c r="BS229" s="469">
        <f t="shared" si="103"/>
        <v>5.4798</v>
      </c>
      <c r="BT229" s="474">
        <v>5.8741000000000003</v>
      </c>
      <c r="BU229" s="474">
        <v>5.0854999999999997</v>
      </c>
    </row>
    <row r="230" spans="36:73">
      <c r="AJ230" s="3">
        <f t="shared" si="108"/>
        <v>2023</v>
      </c>
      <c r="AK230" s="345">
        <f t="shared" si="101"/>
        <v>45139</v>
      </c>
      <c r="AL230" s="122">
        <v>84.69</v>
      </c>
      <c r="AM230" s="122">
        <v>78.900000000000006</v>
      </c>
      <c r="AN230" s="319">
        <f t="shared" si="112"/>
        <v>82.200299999999999</v>
      </c>
      <c r="AO230" s="305">
        <v>432</v>
      </c>
      <c r="AP230" s="305">
        <v>312</v>
      </c>
      <c r="AQ230" s="305">
        <f t="shared" si="109"/>
        <v>0.58064516129032262</v>
      </c>
      <c r="AR230" s="305">
        <f t="shared" si="110"/>
        <v>0.41935483870967744</v>
      </c>
      <c r="AV230" s="3">
        <f t="shared" si="113"/>
        <v>2023</v>
      </c>
      <c r="AW230" s="343">
        <f t="shared" si="116"/>
        <v>45139</v>
      </c>
      <c r="AX230" s="121">
        <f t="shared" si="111"/>
        <v>10.310723219140835</v>
      </c>
      <c r="AY230" s="122">
        <v>10.310723219140835</v>
      </c>
      <c r="BA230" s="3">
        <f t="shared" si="104"/>
        <v>2022</v>
      </c>
      <c r="BB230" s="343">
        <v>44742</v>
      </c>
      <c r="BC230" s="3">
        <f t="shared" si="105"/>
        <v>5.7949999999999999</v>
      </c>
      <c r="BD230" s="3">
        <v>5.87</v>
      </c>
      <c r="BE230" s="3">
        <v>5.72</v>
      </c>
      <c r="BG230" s="3">
        <f t="shared" si="106"/>
        <v>2026</v>
      </c>
      <c r="BH230" s="318">
        <v>46143</v>
      </c>
      <c r="BI230" s="3">
        <f t="shared" si="107"/>
        <v>11.98</v>
      </c>
      <c r="BJ230" s="3">
        <v>12.1</v>
      </c>
      <c r="BK230" s="3">
        <v>11.86</v>
      </c>
      <c r="BL230" s="412">
        <f t="shared" si="114"/>
        <v>2032</v>
      </c>
      <c r="BM230" s="427">
        <v>48519</v>
      </c>
      <c r="BN230" s="412">
        <f t="shared" si="102"/>
        <v>5.4846000000000004</v>
      </c>
      <c r="BO230" s="458">
        <v>5.4846000000000004</v>
      </c>
      <c r="BP230" s="458">
        <v>5.4846000000000004</v>
      </c>
      <c r="BQ230" s="469">
        <f t="shared" si="115"/>
        <v>2035</v>
      </c>
      <c r="BR230" s="473">
        <v>49614</v>
      </c>
      <c r="BS230" s="469">
        <f t="shared" si="103"/>
        <v>5.6407500000000006</v>
      </c>
      <c r="BT230" s="474">
        <v>6.0189000000000004</v>
      </c>
      <c r="BU230" s="474">
        <v>5.2625999999999999</v>
      </c>
    </row>
    <row r="231" spans="36:73">
      <c r="AJ231" s="3">
        <f t="shared" si="108"/>
        <v>2023</v>
      </c>
      <c r="AK231" s="345">
        <f t="shared" si="101"/>
        <v>45170</v>
      </c>
      <c r="AL231" s="122">
        <v>85.19</v>
      </c>
      <c r="AM231" s="122">
        <v>77.849999999999994</v>
      </c>
      <c r="AN231" s="319">
        <f t="shared" si="112"/>
        <v>82.033799999999985</v>
      </c>
      <c r="AO231" s="305">
        <v>400</v>
      </c>
      <c r="AP231" s="305">
        <v>320</v>
      </c>
      <c r="AQ231" s="305">
        <f t="shared" si="109"/>
        <v>0.55555555555555558</v>
      </c>
      <c r="AR231" s="305">
        <f t="shared" si="110"/>
        <v>0.44444444444444442</v>
      </c>
      <c r="AV231" s="3">
        <f t="shared" si="113"/>
        <v>2023</v>
      </c>
      <c r="AW231" s="343">
        <f t="shared" si="116"/>
        <v>45170</v>
      </c>
      <c r="AX231" s="121">
        <f t="shared" si="111"/>
        <v>10.310723219140835</v>
      </c>
      <c r="AY231" s="122">
        <v>10.310723219140835</v>
      </c>
      <c r="BA231" s="3">
        <f t="shared" si="104"/>
        <v>2022</v>
      </c>
      <c r="BB231" s="343">
        <v>44773</v>
      </c>
      <c r="BC231" s="3">
        <f t="shared" si="105"/>
        <v>5.88</v>
      </c>
      <c r="BD231" s="3">
        <v>5.95</v>
      </c>
      <c r="BE231" s="3">
        <v>5.81</v>
      </c>
      <c r="BG231" s="3">
        <f t="shared" si="106"/>
        <v>2026</v>
      </c>
      <c r="BH231" s="318">
        <v>46174</v>
      </c>
      <c r="BI231" s="3">
        <f t="shared" si="107"/>
        <v>12.17</v>
      </c>
      <c r="BJ231" s="3">
        <v>12.29</v>
      </c>
      <c r="BK231" s="3">
        <v>12.05</v>
      </c>
      <c r="BL231" s="412">
        <f t="shared" si="114"/>
        <v>2032</v>
      </c>
      <c r="BM231" s="427">
        <v>48549</v>
      </c>
      <c r="BN231" s="412">
        <f t="shared" si="102"/>
        <v>5.6863999999999999</v>
      </c>
      <c r="BO231" s="458">
        <v>5.6788999999999996</v>
      </c>
      <c r="BP231" s="458">
        <v>5.6939000000000002</v>
      </c>
      <c r="BQ231" s="469">
        <f t="shared" si="115"/>
        <v>2035</v>
      </c>
      <c r="BR231" s="473">
        <v>49644</v>
      </c>
      <c r="BS231" s="469">
        <f t="shared" si="103"/>
        <v>6.0753000000000004</v>
      </c>
      <c r="BT231" s="474">
        <v>6.4051999999999998</v>
      </c>
      <c r="BU231" s="474">
        <v>5.7454000000000001</v>
      </c>
    </row>
    <row r="232" spans="36:73">
      <c r="AJ232" s="3">
        <f t="shared" si="108"/>
        <v>2023</v>
      </c>
      <c r="AK232" s="345">
        <f t="shared" si="101"/>
        <v>45200</v>
      </c>
      <c r="AL232" s="122">
        <v>83.47</v>
      </c>
      <c r="AM232" s="122">
        <v>74.62</v>
      </c>
      <c r="AN232" s="319">
        <f t="shared" si="112"/>
        <v>79.664500000000004</v>
      </c>
      <c r="AO232" s="305">
        <v>416</v>
      </c>
      <c r="AP232" s="305">
        <v>328</v>
      </c>
      <c r="AQ232" s="305">
        <f t="shared" si="109"/>
        <v>0.55913978494623651</v>
      </c>
      <c r="AR232" s="305">
        <f t="shared" si="110"/>
        <v>0.44086021505376344</v>
      </c>
      <c r="AV232" s="3">
        <f t="shared" si="113"/>
        <v>2023</v>
      </c>
      <c r="AW232" s="343">
        <f t="shared" si="116"/>
        <v>45200</v>
      </c>
      <c r="AX232" s="121">
        <f t="shared" si="111"/>
        <v>10.677770527460575</v>
      </c>
      <c r="AY232" s="122">
        <v>10.677770527460575</v>
      </c>
      <c r="BA232" s="3">
        <f t="shared" si="104"/>
        <v>2022</v>
      </c>
      <c r="BB232" s="343">
        <v>44804</v>
      </c>
      <c r="BC232" s="3">
        <f t="shared" si="105"/>
        <v>5.88</v>
      </c>
      <c r="BD232" s="3">
        <v>5.95</v>
      </c>
      <c r="BE232" s="3">
        <v>5.81</v>
      </c>
      <c r="BG232" s="3">
        <f t="shared" si="106"/>
        <v>2026</v>
      </c>
      <c r="BH232" s="318">
        <v>46204</v>
      </c>
      <c r="BI232" s="3">
        <f t="shared" si="107"/>
        <v>12.355</v>
      </c>
      <c r="BJ232" s="3">
        <v>12.47</v>
      </c>
      <c r="BK232" s="3">
        <v>12.24</v>
      </c>
      <c r="BL232" s="412">
        <f t="shared" si="114"/>
        <v>2033</v>
      </c>
      <c r="BM232" s="427">
        <v>48580</v>
      </c>
      <c r="BN232" s="412">
        <f t="shared" si="102"/>
        <v>5.8038499999999997</v>
      </c>
      <c r="BO232" s="458">
        <v>5.7885999999999997</v>
      </c>
      <c r="BP232" s="458">
        <v>5.8190999999999997</v>
      </c>
      <c r="BQ232" s="469">
        <f t="shared" si="115"/>
        <v>2036</v>
      </c>
      <c r="BR232" s="473">
        <v>49675</v>
      </c>
      <c r="BS232" s="469">
        <f t="shared" si="103"/>
        <v>6.1184500000000002</v>
      </c>
      <c r="BT232" s="474">
        <v>6.4474</v>
      </c>
      <c r="BU232" s="474">
        <v>5.7895000000000003</v>
      </c>
    </row>
    <row r="233" spans="36:73">
      <c r="AJ233" s="3">
        <f t="shared" si="108"/>
        <v>2023</v>
      </c>
      <c r="AK233" s="345">
        <f t="shared" si="101"/>
        <v>45231</v>
      </c>
      <c r="AL233" s="122">
        <v>90.25</v>
      </c>
      <c r="AM233" s="122">
        <v>74.849999999999994</v>
      </c>
      <c r="AN233" s="319">
        <f t="shared" si="112"/>
        <v>83.627999999999986</v>
      </c>
      <c r="AO233" s="305">
        <v>400</v>
      </c>
      <c r="AP233" s="305">
        <v>320</v>
      </c>
      <c r="AQ233" s="305">
        <f t="shared" si="109"/>
        <v>0.55555555555555558</v>
      </c>
      <c r="AR233" s="305">
        <f t="shared" si="110"/>
        <v>0.44444444444444442</v>
      </c>
      <c r="AV233" s="3">
        <f t="shared" si="113"/>
        <v>2023</v>
      </c>
      <c r="AW233" s="343">
        <f t="shared" si="116"/>
        <v>45231</v>
      </c>
      <c r="AX233" s="121">
        <f t="shared" si="111"/>
        <v>10.830706905927133</v>
      </c>
      <c r="AY233" s="122">
        <v>10.830706905927133</v>
      </c>
      <c r="BA233" s="3">
        <f t="shared" si="104"/>
        <v>2022</v>
      </c>
      <c r="BB233" s="343">
        <v>44834</v>
      </c>
      <c r="BC233" s="3">
        <f t="shared" si="105"/>
        <v>5.88</v>
      </c>
      <c r="BD233" s="3">
        <v>5.95</v>
      </c>
      <c r="BE233" s="3">
        <v>5.81</v>
      </c>
      <c r="BG233" s="3">
        <f t="shared" si="106"/>
        <v>2026</v>
      </c>
      <c r="BH233" s="318">
        <v>46235</v>
      </c>
      <c r="BI233" s="3">
        <f t="shared" si="107"/>
        <v>12.355</v>
      </c>
      <c r="BJ233" s="3">
        <v>12.47</v>
      </c>
      <c r="BK233" s="3">
        <v>12.24</v>
      </c>
      <c r="BL233" s="412">
        <f t="shared" si="114"/>
        <v>2033</v>
      </c>
      <c r="BM233" s="427">
        <v>48611</v>
      </c>
      <c r="BN233" s="412">
        <f t="shared" si="102"/>
        <v>5.8497000000000003</v>
      </c>
      <c r="BO233" s="458">
        <v>5.8497000000000003</v>
      </c>
      <c r="BP233" s="458">
        <v>5.8497000000000003</v>
      </c>
      <c r="BQ233" s="469">
        <f t="shared" si="115"/>
        <v>2036</v>
      </c>
      <c r="BR233" s="473">
        <v>49706</v>
      </c>
      <c r="BS233" s="469">
        <f t="shared" si="103"/>
        <v>6.1677999999999997</v>
      </c>
      <c r="BT233" s="474">
        <v>6.4802999999999997</v>
      </c>
      <c r="BU233" s="474">
        <v>5.8552999999999997</v>
      </c>
    </row>
    <row r="234" spans="36:73">
      <c r="AJ234" s="3">
        <f t="shared" si="108"/>
        <v>2023</v>
      </c>
      <c r="AK234" s="345">
        <f t="shared" si="101"/>
        <v>45261</v>
      </c>
      <c r="AL234" s="122">
        <v>95.63</v>
      </c>
      <c r="AM234" s="122">
        <v>80.63</v>
      </c>
      <c r="AN234" s="319">
        <f t="shared" si="112"/>
        <v>89.179999999999978</v>
      </c>
      <c r="AO234" s="305">
        <v>400</v>
      </c>
      <c r="AP234" s="305">
        <v>344</v>
      </c>
      <c r="AQ234" s="305">
        <f t="shared" si="109"/>
        <v>0.5376344086021505</v>
      </c>
      <c r="AR234" s="305">
        <f t="shared" si="110"/>
        <v>0.46236559139784944</v>
      </c>
      <c r="AV234" s="3">
        <f t="shared" si="113"/>
        <v>2023</v>
      </c>
      <c r="AW234" s="343">
        <f t="shared" si="116"/>
        <v>45261</v>
      </c>
      <c r="AX234" s="121">
        <f t="shared" si="111"/>
        <v>11.354089178901576</v>
      </c>
      <c r="AY234" s="122">
        <v>11.354089178901576</v>
      </c>
      <c r="BA234" s="3">
        <f t="shared" si="104"/>
        <v>2022</v>
      </c>
      <c r="BB234" s="343">
        <v>44865</v>
      </c>
      <c r="BC234" s="3">
        <f t="shared" si="105"/>
        <v>6.1050000000000004</v>
      </c>
      <c r="BD234" s="3">
        <v>6.13</v>
      </c>
      <c r="BE234" s="3">
        <v>6.08</v>
      </c>
      <c r="BG234" s="3">
        <f t="shared" si="106"/>
        <v>2026</v>
      </c>
      <c r="BH234" s="318">
        <v>46266</v>
      </c>
      <c r="BI234" s="3">
        <f t="shared" si="107"/>
        <v>12.355</v>
      </c>
      <c r="BJ234" s="3">
        <v>12.47</v>
      </c>
      <c r="BK234" s="3">
        <v>12.24</v>
      </c>
      <c r="BL234" s="412">
        <f t="shared" si="114"/>
        <v>2033</v>
      </c>
      <c r="BM234" s="427">
        <v>48639</v>
      </c>
      <c r="BN234" s="412">
        <f t="shared" si="102"/>
        <v>5.6510999999999996</v>
      </c>
      <c r="BO234" s="458">
        <v>5.6510999999999996</v>
      </c>
      <c r="BP234" s="458">
        <v>5.6510999999999996</v>
      </c>
      <c r="BQ234" s="469">
        <f t="shared" si="115"/>
        <v>2036</v>
      </c>
      <c r="BR234" s="473">
        <v>49735</v>
      </c>
      <c r="BS234" s="469">
        <f t="shared" si="103"/>
        <v>5.8388499999999999</v>
      </c>
      <c r="BT234" s="474">
        <v>6.1677999999999997</v>
      </c>
      <c r="BU234" s="474">
        <v>5.5099</v>
      </c>
    </row>
    <row r="235" spans="36:73">
      <c r="AJ235" s="3">
        <f t="shared" si="108"/>
        <v>2024</v>
      </c>
      <c r="AK235" s="345">
        <f t="shared" si="101"/>
        <v>45292</v>
      </c>
      <c r="AL235" s="122">
        <v>99.83</v>
      </c>
      <c r="AM235" s="122">
        <v>87.64</v>
      </c>
      <c r="AN235" s="319">
        <f t="shared" si="112"/>
        <v>94.588300000000004</v>
      </c>
      <c r="AO235" s="305">
        <v>416</v>
      </c>
      <c r="AP235" s="305">
        <v>328</v>
      </c>
      <c r="AQ235" s="305">
        <f t="shared" si="109"/>
        <v>0.55913978494623651</v>
      </c>
      <c r="AR235" s="305">
        <f t="shared" si="110"/>
        <v>0.44086021505376344</v>
      </c>
      <c r="AV235" s="3">
        <f t="shared" si="113"/>
        <v>2024</v>
      </c>
      <c r="AW235" s="343">
        <f t="shared" si="116"/>
        <v>45292</v>
      </c>
      <c r="AX235" s="121">
        <f t="shared" si="111"/>
        <v>12.309091897770525</v>
      </c>
      <c r="AY235" s="122">
        <v>12.309091897770525</v>
      </c>
      <c r="BA235" s="3">
        <f t="shared" si="104"/>
        <v>2022</v>
      </c>
      <c r="BB235" s="343">
        <v>44895</v>
      </c>
      <c r="BC235" s="3">
        <f t="shared" si="105"/>
        <v>6.1950000000000003</v>
      </c>
      <c r="BD235" s="3">
        <v>6.22</v>
      </c>
      <c r="BE235" s="3">
        <v>6.17</v>
      </c>
      <c r="BG235" s="3">
        <f t="shared" si="106"/>
        <v>2026</v>
      </c>
      <c r="BH235" s="318">
        <v>46296</v>
      </c>
      <c r="BI235" s="3">
        <f t="shared" si="107"/>
        <v>12.82</v>
      </c>
      <c r="BJ235" s="3">
        <v>12.84</v>
      </c>
      <c r="BK235" s="3">
        <v>12.8</v>
      </c>
      <c r="BL235" s="412">
        <f t="shared" si="114"/>
        <v>2033</v>
      </c>
      <c r="BM235" s="427">
        <v>48670</v>
      </c>
      <c r="BN235" s="412">
        <f t="shared" si="102"/>
        <v>5.3532999999999999</v>
      </c>
      <c r="BO235" s="458">
        <v>5.3914999999999997</v>
      </c>
      <c r="BP235" s="458">
        <v>5.3151000000000002</v>
      </c>
      <c r="BQ235" s="469">
        <f t="shared" si="115"/>
        <v>2036</v>
      </c>
      <c r="BR235" s="473">
        <v>49766</v>
      </c>
      <c r="BS235" s="469">
        <f t="shared" si="103"/>
        <v>5.4112</v>
      </c>
      <c r="BT235" s="474">
        <v>5.7565999999999997</v>
      </c>
      <c r="BU235" s="474">
        <v>5.0658000000000003</v>
      </c>
    </row>
    <row r="236" spans="36:73">
      <c r="AJ236" s="3">
        <f t="shared" si="108"/>
        <v>2024</v>
      </c>
      <c r="AK236" s="345">
        <f t="shared" ref="AK236:AK299" si="117">EOMONTH(AK235,0)+1</f>
        <v>45323</v>
      </c>
      <c r="AL236" s="122">
        <v>96.21</v>
      </c>
      <c r="AM236" s="122">
        <v>80.11</v>
      </c>
      <c r="AN236" s="319">
        <f t="shared" si="112"/>
        <v>89.286999999999992</v>
      </c>
      <c r="AO236" s="305">
        <v>400</v>
      </c>
      <c r="AP236" s="305">
        <v>296</v>
      </c>
      <c r="AQ236" s="305">
        <f t="shared" si="109"/>
        <v>0.57471264367816088</v>
      </c>
      <c r="AR236" s="305">
        <f t="shared" si="110"/>
        <v>0.42528735632183906</v>
      </c>
      <c r="AV236" s="3">
        <f t="shared" si="113"/>
        <v>2024</v>
      </c>
      <c r="AW236" s="343">
        <f t="shared" si="116"/>
        <v>45323</v>
      </c>
      <c r="AX236" s="121">
        <f t="shared" si="111"/>
        <v>11.568200108754759</v>
      </c>
      <c r="AY236" s="122">
        <v>11.568200108754759</v>
      </c>
      <c r="BA236" s="3">
        <f t="shared" si="104"/>
        <v>2022</v>
      </c>
      <c r="BB236" s="343">
        <v>44926</v>
      </c>
      <c r="BC236" s="3">
        <f t="shared" si="105"/>
        <v>6.5</v>
      </c>
      <c r="BD236" s="3">
        <v>6.48</v>
      </c>
      <c r="BE236" s="3">
        <v>6.52</v>
      </c>
      <c r="BG236" s="3">
        <f t="shared" si="106"/>
        <v>2026</v>
      </c>
      <c r="BH236" s="318">
        <v>46327</v>
      </c>
      <c r="BI236" s="3">
        <f t="shared" si="107"/>
        <v>13.004999999999999</v>
      </c>
      <c r="BJ236" s="3">
        <v>13.02</v>
      </c>
      <c r="BK236" s="3">
        <v>12.99</v>
      </c>
      <c r="BL236" s="412">
        <f t="shared" si="114"/>
        <v>2033</v>
      </c>
      <c r="BM236" s="427">
        <v>48700</v>
      </c>
      <c r="BN236" s="412">
        <f t="shared" si="102"/>
        <v>5.1394500000000001</v>
      </c>
      <c r="BO236" s="458">
        <v>5.2081999999999997</v>
      </c>
      <c r="BP236" s="458">
        <v>5.0707000000000004</v>
      </c>
      <c r="BQ236" s="469">
        <f t="shared" si="115"/>
        <v>2036</v>
      </c>
      <c r="BR236" s="473">
        <v>49796</v>
      </c>
      <c r="BS236" s="469">
        <f t="shared" si="103"/>
        <v>5.3948</v>
      </c>
      <c r="BT236" s="474">
        <v>5.7401999999999997</v>
      </c>
      <c r="BU236" s="474">
        <v>5.0494000000000003</v>
      </c>
    </row>
    <row r="237" spans="36:73">
      <c r="AJ237" s="3">
        <f t="shared" si="108"/>
        <v>2024</v>
      </c>
      <c r="AK237" s="345">
        <f t="shared" si="117"/>
        <v>45352</v>
      </c>
      <c r="AL237" s="122">
        <v>83.59</v>
      </c>
      <c r="AM237" s="122">
        <v>74.08</v>
      </c>
      <c r="AN237" s="319">
        <f t="shared" si="112"/>
        <v>79.500699999999995</v>
      </c>
      <c r="AO237" s="305">
        <v>416</v>
      </c>
      <c r="AP237" s="305">
        <v>328</v>
      </c>
      <c r="AQ237" s="305">
        <f t="shared" si="109"/>
        <v>0.55913978494623651</v>
      </c>
      <c r="AR237" s="305">
        <f t="shared" si="110"/>
        <v>0.44086021505376344</v>
      </c>
      <c r="AV237" s="3">
        <f t="shared" si="113"/>
        <v>2024</v>
      </c>
      <c r="AW237" s="343">
        <f t="shared" si="116"/>
        <v>45352</v>
      </c>
      <c r="AX237" s="121">
        <f t="shared" si="111"/>
        <v>10.878287112561173</v>
      </c>
      <c r="AY237" s="122">
        <v>10.878287112561173</v>
      </c>
      <c r="BA237" s="3">
        <f t="shared" si="104"/>
        <v>2023</v>
      </c>
      <c r="BB237" s="343">
        <v>44957</v>
      </c>
      <c r="BC237" s="3">
        <f t="shared" si="105"/>
        <v>7.2349999999999994</v>
      </c>
      <c r="BD237" s="3">
        <v>7.16</v>
      </c>
      <c r="BE237" s="3">
        <v>7.31</v>
      </c>
      <c r="BG237" s="3">
        <f t="shared" si="106"/>
        <v>2026</v>
      </c>
      <c r="BH237" s="318">
        <v>46357</v>
      </c>
      <c r="BI237" s="3">
        <f t="shared" si="107"/>
        <v>13.655000000000001</v>
      </c>
      <c r="BJ237" s="3">
        <v>13.57</v>
      </c>
      <c r="BK237" s="3">
        <v>13.74</v>
      </c>
      <c r="BL237" s="412">
        <f t="shared" si="114"/>
        <v>2033</v>
      </c>
      <c r="BM237" s="427">
        <v>48731</v>
      </c>
      <c r="BN237" s="412">
        <f t="shared" si="102"/>
        <v>5.1394500000000001</v>
      </c>
      <c r="BO237" s="458">
        <v>5.2081999999999997</v>
      </c>
      <c r="BP237" s="458">
        <v>5.0707000000000004</v>
      </c>
      <c r="BQ237" s="469">
        <f t="shared" si="115"/>
        <v>2036</v>
      </c>
      <c r="BR237" s="473">
        <v>49827</v>
      </c>
      <c r="BS237" s="469">
        <f t="shared" si="103"/>
        <v>5.4687999999999999</v>
      </c>
      <c r="BT237" s="474">
        <v>5.8224</v>
      </c>
      <c r="BU237" s="474">
        <v>5.1151999999999997</v>
      </c>
    </row>
    <row r="238" spans="36:73">
      <c r="AJ238" s="3">
        <f t="shared" si="108"/>
        <v>2024</v>
      </c>
      <c r="AK238" s="345">
        <f t="shared" si="117"/>
        <v>45383</v>
      </c>
      <c r="AL238" s="122">
        <v>79.67</v>
      </c>
      <c r="AM238" s="122">
        <v>76.239999999999995</v>
      </c>
      <c r="AN238" s="319">
        <f t="shared" si="112"/>
        <v>78.195099999999996</v>
      </c>
      <c r="AO238" s="305">
        <v>416</v>
      </c>
      <c r="AP238" s="305">
        <v>304</v>
      </c>
      <c r="AQ238" s="305">
        <f t="shared" si="109"/>
        <v>0.57777777777777772</v>
      </c>
      <c r="AR238" s="305">
        <f t="shared" si="110"/>
        <v>0.42222222222222222</v>
      </c>
      <c r="AV238" s="3">
        <f t="shared" si="113"/>
        <v>2024</v>
      </c>
      <c r="AW238" s="343">
        <f t="shared" si="116"/>
        <v>45383</v>
      </c>
      <c r="AX238" s="121">
        <f t="shared" si="111"/>
        <v>10.297128874388255</v>
      </c>
      <c r="AY238" s="122">
        <v>10.297128874388255</v>
      </c>
      <c r="BA238" s="3">
        <f t="shared" si="104"/>
        <v>2023</v>
      </c>
      <c r="BB238" s="343">
        <v>44985</v>
      </c>
      <c r="BC238" s="3">
        <f t="shared" si="105"/>
        <v>6.7249999999999996</v>
      </c>
      <c r="BD238" s="3">
        <v>6.7</v>
      </c>
      <c r="BE238" s="3">
        <v>6.75</v>
      </c>
      <c r="BG238" s="3">
        <f t="shared" si="106"/>
        <v>2027</v>
      </c>
      <c r="BH238" s="318">
        <v>46388</v>
      </c>
      <c r="BI238" s="3">
        <f t="shared" si="107"/>
        <v>14.96</v>
      </c>
      <c r="BJ238" s="3">
        <v>14.76</v>
      </c>
      <c r="BK238" s="3">
        <v>15.16</v>
      </c>
      <c r="BL238" s="412">
        <f t="shared" si="114"/>
        <v>2033</v>
      </c>
      <c r="BM238" s="427">
        <v>48761</v>
      </c>
      <c r="BN238" s="412">
        <f t="shared" si="102"/>
        <v>5.2616499999999995</v>
      </c>
      <c r="BO238" s="458">
        <v>5.3761999999999999</v>
      </c>
      <c r="BP238" s="458">
        <v>5.1471</v>
      </c>
      <c r="BQ238" s="469">
        <f t="shared" si="115"/>
        <v>2036</v>
      </c>
      <c r="BR238" s="473">
        <v>49857</v>
      </c>
      <c r="BS238" s="469">
        <f t="shared" si="103"/>
        <v>5.7237500000000008</v>
      </c>
      <c r="BT238" s="474">
        <v>6.0856000000000003</v>
      </c>
      <c r="BU238" s="474">
        <v>5.3619000000000003</v>
      </c>
    </row>
    <row r="239" spans="36:73">
      <c r="AJ239" s="3">
        <f t="shared" si="108"/>
        <v>2024</v>
      </c>
      <c r="AK239" s="345">
        <f t="shared" si="117"/>
        <v>45413</v>
      </c>
      <c r="AL239" s="122">
        <v>82.86</v>
      </c>
      <c r="AM239" s="122">
        <v>72.27</v>
      </c>
      <c r="AN239" s="319">
        <f t="shared" si="112"/>
        <v>78.306299999999993</v>
      </c>
      <c r="AO239" s="305">
        <v>416</v>
      </c>
      <c r="AP239" s="305">
        <v>328</v>
      </c>
      <c r="AQ239" s="305">
        <f t="shared" si="109"/>
        <v>0.55913978494623651</v>
      </c>
      <c r="AR239" s="305">
        <f t="shared" si="110"/>
        <v>0.44086021505376344</v>
      </c>
      <c r="AV239" s="3">
        <f t="shared" si="113"/>
        <v>2024</v>
      </c>
      <c r="AW239" s="343">
        <f t="shared" si="116"/>
        <v>45413</v>
      </c>
      <c r="AX239" s="121">
        <f t="shared" si="111"/>
        <v>10.191772702555737</v>
      </c>
      <c r="AY239" s="122">
        <v>10.191772702555737</v>
      </c>
      <c r="BA239" s="3">
        <f t="shared" si="104"/>
        <v>2023</v>
      </c>
      <c r="BB239" s="343">
        <v>45016</v>
      </c>
      <c r="BC239" s="3">
        <f t="shared" si="105"/>
        <v>6.3149999999999995</v>
      </c>
      <c r="BD239" s="3">
        <v>6.34</v>
      </c>
      <c r="BE239" s="3">
        <v>6.29</v>
      </c>
      <c r="BG239" s="3">
        <f t="shared" si="106"/>
        <v>2027</v>
      </c>
      <c r="BH239" s="318">
        <v>46419</v>
      </c>
      <c r="BI239" s="3">
        <f t="shared" si="107"/>
        <v>13.914999999999999</v>
      </c>
      <c r="BJ239" s="3">
        <v>13.83</v>
      </c>
      <c r="BK239" s="3">
        <v>14</v>
      </c>
      <c r="BL239" s="412">
        <f t="shared" si="114"/>
        <v>2033</v>
      </c>
      <c r="BM239" s="427">
        <v>48792</v>
      </c>
      <c r="BN239" s="412">
        <f t="shared" si="102"/>
        <v>5.4220000000000006</v>
      </c>
      <c r="BO239" s="458">
        <v>5.4678000000000004</v>
      </c>
      <c r="BP239" s="458">
        <v>5.3761999999999999</v>
      </c>
      <c r="BQ239" s="469">
        <f t="shared" si="115"/>
        <v>2036</v>
      </c>
      <c r="BR239" s="473">
        <v>49888</v>
      </c>
      <c r="BS239" s="469">
        <f t="shared" si="103"/>
        <v>5.7730499999999996</v>
      </c>
      <c r="BT239" s="474">
        <v>6.1349</v>
      </c>
      <c r="BU239" s="474">
        <v>5.4112</v>
      </c>
    </row>
    <row r="240" spans="36:73">
      <c r="AJ240" s="3">
        <f t="shared" si="108"/>
        <v>2024</v>
      </c>
      <c r="AK240" s="345">
        <f t="shared" si="117"/>
        <v>45444</v>
      </c>
      <c r="AL240" s="122">
        <v>84.65</v>
      </c>
      <c r="AM240" s="122">
        <v>77.25</v>
      </c>
      <c r="AN240" s="319">
        <f t="shared" si="112"/>
        <v>81.468000000000004</v>
      </c>
      <c r="AO240" s="305">
        <v>400</v>
      </c>
      <c r="AP240" s="305">
        <v>320</v>
      </c>
      <c r="AQ240" s="305">
        <f t="shared" si="109"/>
        <v>0.55555555555555558</v>
      </c>
      <c r="AR240" s="305">
        <f t="shared" si="110"/>
        <v>0.44444444444444442</v>
      </c>
      <c r="AV240" s="3">
        <f t="shared" si="113"/>
        <v>2024</v>
      </c>
      <c r="AW240" s="343">
        <f t="shared" si="116"/>
        <v>45444</v>
      </c>
      <c r="AX240" s="121">
        <f t="shared" si="111"/>
        <v>10.351506253398586</v>
      </c>
      <c r="AY240" s="122">
        <v>10.351506253398586</v>
      </c>
      <c r="BA240" s="3">
        <f t="shared" si="104"/>
        <v>2023</v>
      </c>
      <c r="BB240" s="343">
        <v>45046</v>
      </c>
      <c r="BC240" s="3">
        <f t="shared" si="105"/>
        <v>5.9050000000000002</v>
      </c>
      <c r="BD240" s="3">
        <v>5.98</v>
      </c>
      <c r="BE240" s="3">
        <v>5.83</v>
      </c>
      <c r="BG240" s="3">
        <f t="shared" si="106"/>
        <v>2027</v>
      </c>
      <c r="BH240" s="318">
        <v>46447</v>
      </c>
      <c r="BI240" s="3">
        <f t="shared" si="107"/>
        <v>13.065000000000001</v>
      </c>
      <c r="BJ240" s="3">
        <v>13.08</v>
      </c>
      <c r="BK240" s="3">
        <v>13.05</v>
      </c>
      <c r="BL240" s="412">
        <f t="shared" si="114"/>
        <v>2033</v>
      </c>
      <c r="BM240" s="427">
        <v>48823</v>
      </c>
      <c r="BN240" s="412">
        <f t="shared" si="102"/>
        <v>5.3838499999999998</v>
      </c>
      <c r="BO240" s="458">
        <v>5.3914999999999997</v>
      </c>
      <c r="BP240" s="458">
        <v>5.3761999999999999</v>
      </c>
      <c r="BQ240" s="469">
        <f t="shared" si="115"/>
        <v>2036</v>
      </c>
      <c r="BR240" s="473">
        <v>49919</v>
      </c>
      <c r="BS240" s="469">
        <f t="shared" si="103"/>
        <v>5.6414999999999997</v>
      </c>
      <c r="BT240" s="474">
        <v>6.0690999999999997</v>
      </c>
      <c r="BU240" s="474">
        <v>5.2138999999999998</v>
      </c>
    </row>
    <row r="241" spans="36:73">
      <c r="AJ241" s="3">
        <f t="shared" si="108"/>
        <v>2024</v>
      </c>
      <c r="AK241" s="345">
        <f t="shared" si="117"/>
        <v>45474</v>
      </c>
      <c r="AL241" s="122">
        <v>83.3</v>
      </c>
      <c r="AM241" s="122">
        <v>80.040000000000006</v>
      </c>
      <c r="AN241" s="319">
        <f t="shared" si="112"/>
        <v>81.898200000000003</v>
      </c>
      <c r="AO241" s="305">
        <v>416</v>
      </c>
      <c r="AP241" s="305">
        <v>328</v>
      </c>
      <c r="AQ241" s="305">
        <f t="shared" si="109"/>
        <v>0.55913978494623651</v>
      </c>
      <c r="AR241" s="305">
        <f t="shared" si="110"/>
        <v>0.44086021505376344</v>
      </c>
      <c r="AV241" s="3">
        <f t="shared" si="113"/>
        <v>2024</v>
      </c>
      <c r="AW241" s="343">
        <f t="shared" si="116"/>
        <v>45474</v>
      </c>
      <c r="AX241" s="121">
        <f t="shared" si="111"/>
        <v>10.507841218053288</v>
      </c>
      <c r="AY241" s="122">
        <v>10.507841218053288</v>
      </c>
      <c r="BA241" s="3">
        <f t="shared" si="104"/>
        <v>2023</v>
      </c>
      <c r="BB241" s="343">
        <v>45077</v>
      </c>
      <c r="BC241" s="3">
        <f t="shared" si="105"/>
        <v>5.9050000000000002</v>
      </c>
      <c r="BD241" s="3">
        <v>5.98</v>
      </c>
      <c r="BE241" s="3">
        <v>5.83</v>
      </c>
      <c r="BG241" s="3">
        <f t="shared" si="106"/>
        <v>2027</v>
      </c>
      <c r="BH241" s="318">
        <v>46478</v>
      </c>
      <c r="BI241" s="3">
        <f t="shared" si="107"/>
        <v>12.21</v>
      </c>
      <c r="BJ241" s="3">
        <v>12.33</v>
      </c>
      <c r="BK241" s="3">
        <v>12.09</v>
      </c>
      <c r="BL241" s="412">
        <f t="shared" si="114"/>
        <v>2033</v>
      </c>
      <c r="BM241" s="427">
        <v>48853</v>
      </c>
      <c r="BN241" s="412">
        <f t="shared" si="102"/>
        <v>5.4831000000000003</v>
      </c>
      <c r="BO241" s="458">
        <v>5.4678000000000004</v>
      </c>
      <c r="BP241" s="458">
        <v>5.4984000000000002</v>
      </c>
      <c r="BQ241" s="469">
        <f t="shared" si="115"/>
        <v>2036</v>
      </c>
      <c r="BR241" s="473">
        <v>49949</v>
      </c>
      <c r="BS241" s="469">
        <f t="shared" si="103"/>
        <v>5.66615</v>
      </c>
      <c r="BT241" s="474">
        <v>6.1020000000000003</v>
      </c>
      <c r="BU241" s="474">
        <v>5.2302999999999997</v>
      </c>
    </row>
    <row r="242" spans="36:73">
      <c r="AJ242" s="3">
        <f t="shared" si="108"/>
        <v>2024</v>
      </c>
      <c r="AK242" s="345">
        <f t="shared" si="117"/>
        <v>45505</v>
      </c>
      <c r="AL242" s="122">
        <v>83.7</v>
      </c>
      <c r="AM242" s="122">
        <v>80.459999999999994</v>
      </c>
      <c r="AN242" s="319">
        <f t="shared" si="112"/>
        <v>82.306799999999996</v>
      </c>
      <c r="AO242" s="305">
        <v>432</v>
      </c>
      <c r="AP242" s="305">
        <v>312</v>
      </c>
      <c r="AQ242" s="305">
        <f t="shared" si="109"/>
        <v>0.58064516129032262</v>
      </c>
      <c r="AR242" s="305">
        <f t="shared" si="110"/>
        <v>0.41935483870967744</v>
      </c>
      <c r="AV242" s="3">
        <f t="shared" si="113"/>
        <v>2024</v>
      </c>
      <c r="AW242" s="343">
        <f t="shared" si="116"/>
        <v>45505</v>
      </c>
      <c r="AX242" s="121">
        <f t="shared" si="111"/>
        <v>10.507841218053288</v>
      </c>
      <c r="AY242" s="122">
        <v>10.507841218053288</v>
      </c>
      <c r="BA242" s="3">
        <f t="shared" si="104"/>
        <v>2023</v>
      </c>
      <c r="BB242" s="343">
        <v>45107</v>
      </c>
      <c r="BC242" s="3">
        <f t="shared" si="105"/>
        <v>5.9950000000000001</v>
      </c>
      <c r="BD242" s="3">
        <v>6.07</v>
      </c>
      <c r="BE242" s="3">
        <v>5.92</v>
      </c>
      <c r="BG242" s="3">
        <f t="shared" si="106"/>
        <v>2027</v>
      </c>
      <c r="BH242" s="318">
        <v>46508</v>
      </c>
      <c r="BI242" s="3">
        <f t="shared" si="107"/>
        <v>12.21</v>
      </c>
      <c r="BJ242" s="3">
        <v>12.33</v>
      </c>
      <c r="BK242" s="3">
        <v>12.09</v>
      </c>
      <c r="BL242" s="412">
        <f t="shared" si="114"/>
        <v>2033</v>
      </c>
      <c r="BM242" s="427">
        <v>48884</v>
      </c>
      <c r="BN242" s="412">
        <f t="shared" si="102"/>
        <v>5.6892999999999994</v>
      </c>
      <c r="BO242" s="458">
        <v>5.6510999999999996</v>
      </c>
      <c r="BP242" s="458">
        <v>5.7275</v>
      </c>
      <c r="BQ242" s="469">
        <f t="shared" si="115"/>
        <v>2036</v>
      </c>
      <c r="BR242" s="473">
        <v>49980</v>
      </c>
      <c r="BS242" s="469">
        <f t="shared" si="103"/>
        <v>5.8306500000000003</v>
      </c>
      <c r="BT242" s="474">
        <v>6.2664999999999997</v>
      </c>
      <c r="BU242" s="474">
        <v>5.3948</v>
      </c>
    </row>
    <row r="243" spans="36:73">
      <c r="AJ243" s="3">
        <f t="shared" si="108"/>
        <v>2024</v>
      </c>
      <c r="AK243" s="345">
        <f t="shared" si="117"/>
        <v>45536</v>
      </c>
      <c r="AL243" s="122">
        <v>82.99</v>
      </c>
      <c r="AM243" s="122">
        <v>78.86</v>
      </c>
      <c r="AN243" s="319">
        <f t="shared" si="112"/>
        <v>81.214099999999988</v>
      </c>
      <c r="AO243" s="305">
        <v>384</v>
      </c>
      <c r="AP243" s="305">
        <v>336</v>
      </c>
      <c r="AQ243" s="305">
        <f t="shared" si="109"/>
        <v>0.53333333333333333</v>
      </c>
      <c r="AR243" s="305">
        <f t="shared" si="110"/>
        <v>0.46666666666666667</v>
      </c>
      <c r="AV243" s="3">
        <f t="shared" si="113"/>
        <v>2024</v>
      </c>
      <c r="AW243" s="343">
        <f t="shared" si="116"/>
        <v>45536</v>
      </c>
      <c r="AX243" s="121">
        <f t="shared" si="111"/>
        <v>10.507841218053288</v>
      </c>
      <c r="AY243" s="122">
        <v>10.507841218053288</v>
      </c>
      <c r="BA243" s="3">
        <f t="shared" si="104"/>
        <v>2023</v>
      </c>
      <c r="BB243" s="343">
        <v>45138</v>
      </c>
      <c r="BC243" s="3">
        <f t="shared" si="105"/>
        <v>6.085</v>
      </c>
      <c r="BD243" s="3">
        <v>6.16</v>
      </c>
      <c r="BE243" s="3">
        <v>6.01</v>
      </c>
      <c r="BG243" s="3">
        <f t="shared" si="106"/>
        <v>2027</v>
      </c>
      <c r="BH243" s="318">
        <v>46539</v>
      </c>
      <c r="BI243" s="3">
        <f t="shared" si="107"/>
        <v>12.399999999999999</v>
      </c>
      <c r="BJ243" s="3">
        <v>12.52</v>
      </c>
      <c r="BK243" s="3">
        <v>12.28</v>
      </c>
      <c r="BL243" s="412">
        <f t="shared" si="114"/>
        <v>2033</v>
      </c>
      <c r="BM243" s="427">
        <v>48914</v>
      </c>
      <c r="BN243" s="412">
        <f t="shared" si="102"/>
        <v>6.0253499999999995</v>
      </c>
      <c r="BO243" s="458">
        <v>5.9718999999999998</v>
      </c>
      <c r="BP243" s="458">
        <v>6.0788000000000002</v>
      </c>
      <c r="BQ243" s="469">
        <f t="shared" si="115"/>
        <v>2036</v>
      </c>
      <c r="BR243" s="473">
        <v>50010</v>
      </c>
      <c r="BS243" s="469">
        <f t="shared" si="103"/>
        <v>6.2994000000000003</v>
      </c>
      <c r="BT243" s="474">
        <v>6.7270000000000003</v>
      </c>
      <c r="BU243" s="474">
        <v>5.8718000000000004</v>
      </c>
    </row>
    <row r="244" spans="36:73">
      <c r="AJ244" s="3">
        <f t="shared" si="108"/>
        <v>2024</v>
      </c>
      <c r="AK244" s="345">
        <f t="shared" si="117"/>
        <v>45566</v>
      </c>
      <c r="AL244" s="122">
        <v>84.3</v>
      </c>
      <c r="AM244" s="122">
        <v>76.44</v>
      </c>
      <c r="AN244" s="319">
        <f t="shared" si="112"/>
        <v>80.920199999999994</v>
      </c>
      <c r="AO244" s="305">
        <v>432</v>
      </c>
      <c r="AP244" s="305">
        <v>312</v>
      </c>
      <c r="AQ244" s="305">
        <f t="shared" si="109"/>
        <v>0.58064516129032262</v>
      </c>
      <c r="AR244" s="305">
        <f t="shared" si="110"/>
        <v>0.41935483870967744</v>
      </c>
      <c r="AV244" s="3">
        <f t="shared" si="113"/>
        <v>2024</v>
      </c>
      <c r="AW244" s="343">
        <f t="shared" si="116"/>
        <v>45566</v>
      </c>
      <c r="AX244" s="121">
        <f t="shared" si="111"/>
        <v>10.878287112561173</v>
      </c>
      <c r="AY244" s="122">
        <v>10.878287112561173</v>
      </c>
      <c r="BA244" s="3">
        <f t="shared" si="104"/>
        <v>2023</v>
      </c>
      <c r="BB244" s="343">
        <v>45169</v>
      </c>
      <c r="BC244" s="3">
        <f t="shared" si="105"/>
        <v>6.085</v>
      </c>
      <c r="BD244" s="3">
        <v>6.16</v>
      </c>
      <c r="BE244" s="3">
        <v>6.01</v>
      </c>
      <c r="BG244" s="3">
        <f t="shared" si="106"/>
        <v>2027</v>
      </c>
      <c r="BH244" s="318">
        <v>46569</v>
      </c>
      <c r="BI244" s="3">
        <f t="shared" si="107"/>
        <v>12.59</v>
      </c>
      <c r="BJ244" s="3">
        <v>12.71</v>
      </c>
      <c r="BK244" s="3">
        <v>12.47</v>
      </c>
      <c r="BL244" s="412">
        <f t="shared" si="114"/>
        <v>2034</v>
      </c>
      <c r="BM244" s="427">
        <v>48945</v>
      </c>
      <c r="BN244" s="412">
        <f t="shared" si="102"/>
        <v>6.1500500000000002</v>
      </c>
      <c r="BO244" s="458">
        <v>6.0876000000000001</v>
      </c>
      <c r="BP244" s="458">
        <v>6.2125000000000004</v>
      </c>
      <c r="BQ244" s="469">
        <f t="shared" si="115"/>
        <v>2037</v>
      </c>
      <c r="BR244" s="473">
        <v>50041</v>
      </c>
      <c r="BS244" s="469">
        <f t="shared" si="103"/>
        <v>6.35175</v>
      </c>
      <c r="BT244" s="474">
        <v>6.7808000000000002</v>
      </c>
      <c r="BU244" s="474">
        <v>5.9226999999999999</v>
      </c>
    </row>
    <row r="245" spans="36:73">
      <c r="AJ245" s="3">
        <f t="shared" si="108"/>
        <v>2024</v>
      </c>
      <c r="AK245" s="345">
        <f t="shared" si="117"/>
        <v>45597</v>
      </c>
      <c r="AL245" s="122">
        <v>91.94</v>
      </c>
      <c r="AM245" s="122">
        <v>75.13</v>
      </c>
      <c r="AN245" s="319">
        <f t="shared" si="112"/>
        <v>84.711699999999979</v>
      </c>
      <c r="AO245" s="305">
        <v>400</v>
      </c>
      <c r="AP245" s="305">
        <v>320</v>
      </c>
      <c r="AQ245" s="305">
        <f t="shared" si="109"/>
        <v>0.55555555555555558</v>
      </c>
      <c r="AR245" s="305">
        <f t="shared" si="110"/>
        <v>0.44444444444444442</v>
      </c>
      <c r="AV245" s="3">
        <f t="shared" si="113"/>
        <v>2024</v>
      </c>
      <c r="AW245" s="343">
        <f t="shared" si="116"/>
        <v>45597</v>
      </c>
      <c r="AX245" s="121">
        <f t="shared" si="111"/>
        <v>11.038020663404023</v>
      </c>
      <c r="AY245" s="122">
        <v>11.038020663404023</v>
      </c>
      <c r="BA245" s="3">
        <f t="shared" si="104"/>
        <v>2023</v>
      </c>
      <c r="BB245" s="343">
        <v>45199</v>
      </c>
      <c r="BC245" s="3">
        <f t="shared" si="105"/>
        <v>6.085</v>
      </c>
      <c r="BD245" s="3">
        <v>6.16</v>
      </c>
      <c r="BE245" s="3">
        <v>6.01</v>
      </c>
      <c r="BG245" s="3">
        <f t="shared" si="106"/>
        <v>2027</v>
      </c>
      <c r="BH245" s="318">
        <v>46600</v>
      </c>
      <c r="BI245" s="3">
        <f t="shared" si="107"/>
        <v>12.59</v>
      </c>
      <c r="BJ245" s="3">
        <v>12.71</v>
      </c>
      <c r="BK245" s="3">
        <v>12.47</v>
      </c>
      <c r="BL245" s="412">
        <f t="shared" si="114"/>
        <v>2034</v>
      </c>
      <c r="BM245" s="427">
        <v>48976</v>
      </c>
      <c r="BN245" s="412">
        <f t="shared" si="102"/>
        <v>6.1734500000000008</v>
      </c>
      <c r="BO245" s="458">
        <v>6.1188000000000002</v>
      </c>
      <c r="BP245" s="458">
        <v>6.2281000000000004</v>
      </c>
      <c r="BQ245" s="469">
        <f t="shared" si="115"/>
        <v>2037</v>
      </c>
      <c r="BR245" s="473">
        <v>50072</v>
      </c>
      <c r="BS245" s="469">
        <f t="shared" si="103"/>
        <v>6.3938000000000006</v>
      </c>
      <c r="BT245" s="474">
        <v>6.8144</v>
      </c>
      <c r="BU245" s="474">
        <v>5.9732000000000003</v>
      </c>
    </row>
    <row r="246" spans="36:73">
      <c r="AJ246" s="3">
        <f t="shared" si="108"/>
        <v>2024</v>
      </c>
      <c r="AK246" s="345">
        <f t="shared" si="117"/>
        <v>45627</v>
      </c>
      <c r="AL246" s="122">
        <v>97.25</v>
      </c>
      <c r="AM246" s="122">
        <v>87.97</v>
      </c>
      <c r="AN246" s="319">
        <f t="shared" si="112"/>
        <v>93.259600000000006</v>
      </c>
      <c r="AO246" s="305">
        <v>400</v>
      </c>
      <c r="AP246" s="305">
        <v>344</v>
      </c>
      <c r="AQ246" s="305">
        <f t="shared" si="109"/>
        <v>0.5376344086021505</v>
      </c>
      <c r="AR246" s="305">
        <f t="shared" si="110"/>
        <v>0.46236559139784944</v>
      </c>
      <c r="AV246" s="3">
        <f t="shared" si="113"/>
        <v>2024</v>
      </c>
      <c r="AW246" s="343">
        <f t="shared" si="116"/>
        <v>45627</v>
      </c>
      <c r="AX246" s="121">
        <f t="shared" si="111"/>
        <v>11.568200108754759</v>
      </c>
      <c r="AY246" s="122">
        <v>11.568200108754759</v>
      </c>
      <c r="BA246" s="3">
        <f t="shared" si="104"/>
        <v>2023</v>
      </c>
      <c r="BB246" s="343">
        <v>45230</v>
      </c>
      <c r="BC246" s="3">
        <f t="shared" si="105"/>
        <v>6.3149999999999995</v>
      </c>
      <c r="BD246" s="3">
        <v>6.34</v>
      </c>
      <c r="BE246" s="3">
        <v>6.29</v>
      </c>
      <c r="BG246" s="3">
        <f t="shared" si="106"/>
        <v>2027</v>
      </c>
      <c r="BH246" s="318">
        <v>46631</v>
      </c>
      <c r="BI246" s="3">
        <f t="shared" si="107"/>
        <v>12.59</v>
      </c>
      <c r="BJ246" s="3">
        <v>12.71</v>
      </c>
      <c r="BK246" s="3">
        <v>12.47</v>
      </c>
      <c r="BL246" s="412">
        <f t="shared" si="114"/>
        <v>2034</v>
      </c>
      <c r="BM246" s="427">
        <v>49004</v>
      </c>
      <c r="BN246" s="412">
        <f t="shared" si="102"/>
        <v>5.8457000000000008</v>
      </c>
      <c r="BO246" s="458">
        <v>5.8223000000000003</v>
      </c>
      <c r="BP246" s="458">
        <v>5.8691000000000004</v>
      </c>
      <c r="BQ246" s="469">
        <f t="shared" si="115"/>
        <v>2037</v>
      </c>
      <c r="BR246" s="473">
        <v>50100</v>
      </c>
      <c r="BS246" s="469">
        <f t="shared" si="103"/>
        <v>6.0656999999999996</v>
      </c>
      <c r="BT246" s="474">
        <v>6.4947999999999997</v>
      </c>
      <c r="BU246" s="474">
        <v>5.6365999999999996</v>
      </c>
    </row>
    <row r="247" spans="36:73">
      <c r="AJ247" s="3">
        <f t="shared" si="108"/>
        <v>2025</v>
      </c>
      <c r="AK247" s="345">
        <f t="shared" si="117"/>
        <v>45658</v>
      </c>
      <c r="AL247" s="122">
        <v>102.37</v>
      </c>
      <c r="AM247" s="122">
        <v>92.39</v>
      </c>
      <c r="AN247" s="319">
        <f t="shared" si="112"/>
        <v>98.078599999999994</v>
      </c>
      <c r="AO247" s="305">
        <v>416</v>
      </c>
      <c r="AP247" s="305">
        <v>328</v>
      </c>
      <c r="AQ247" s="305">
        <f t="shared" si="109"/>
        <v>0.55913978494623651</v>
      </c>
      <c r="AR247" s="305">
        <f t="shared" si="110"/>
        <v>0.44086021505376344</v>
      </c>
      <c r="AV247" s="3">
        <f t="shared" si="113"/>
        <v>2025</v>
      </c>
      <c r="AW247" s="343">
        <f t="shared" si="116"/>
        <v>45658</v>
      </c>
      <c r="AX247" s="121">
        <f t="shared" si="111"/>
        <v>12.543594344752583</v>
      </c>
      <c r="AY247" s="122">
        <v>12.543594344752583</v>
      </c>
      <c r="BA247" s="3">
        <f t="shared" si="104"/>
        <v>2023</v>
      </c>
      <c r="BB247" s="343">
        <v>45260</v>
      </c>
      <c r="BC247" s="3">
        <f t="shared" si="105"/>
        <v>6.4049999999999994</v>
      </c>
      <c r="BD247" s="3">
        <v>6.43</v>
      </c>
      <c r="BE247" s="3">
        <v>6.38</v>
      </c>
      <c r="BG247" s="3">
        <f t="shared" si="106"/>
        <v>2027</v>
      </c>
      <c r="BH247" s="318">
        <v>46661</v>
      </c>
      <c r="BI247" s="3">
        <f t="shared" si="107"/>
        <v>13.065000000000001</v>
      </c>
      <c r="BJ247" s="3">
        <v>13.08</v>
      </c>
      <c r="BK247" s="3">
        <v>13.05</v>
      </c>
      <c r="BL247" s="412">
        <f t="shared" si="114"/>
        <v>2034</v>
      </c>
      <c r="BM247" s="427">
        <v>49035</v>
      </c>
      <c r="BN247" s="412">
        <f t="shared" si="102"/>
        <v>5.5335000000000001</v>
      </c>
      <c r="BO247" s="458">
        <v>5.5568999999999997</v>
      </c>
      <c r="BP247" s="458">
        <v>5.5101000000000004</v>
      </c>
      <c r="BQ247" s="469">
        <f t="shared" si="115"/>
        <v>2037</v>
      </c>
      <c r="BR247" s="473">
        <v>50131</v>
      </c>
      <c r="BS247" s="469">
        <f t="shared" si="103"/>
        <v>5.7292000000000005</v>
      </c>
      <c r="BT247" s="474">
        <v>6.1078000000000001</v>
      </c>
      <c r="BU247" s="474">
        <v>5.3506</v>
      </c>
    </row>
    <row r="248" spans="36:73">
      <c r="AJ248" s="3">
        <f t="shared" si="108"/>
        <v>2025</v>
      </c>
      <c r="AK248" s="345">
        <f t="shared" si="117"/>
        <v>45689</v>
      </c>
      <c r="AL248" s="122">
        <v>96.35</v>
      </c>
      <c r="AM248" s="122">
        <v>83.8</v>
      </c>
      <c r="AN248" s="319">
        <f t="shared" si="112"/>
        <v>90.953499999999991</v>
      </c>
      <c r="AO248" s="305">
        <v>384</v>
      </c>
      <c r="AP248" s="305">
        <v>288</v>
      </c>
      <c r="AQ248" s="305">
        <f t="shared" si="109"/>
        <v>0.5714285714285714</v>
      </c>
      <c r="AR248" s="305">
        <f t="shared" si="110"/>
        <v>0.42857142857142855</v>
      </c>
      <c r="AV248" s="3">
        <f t="shared" si="113"/>
        <v>2025</v>
      </c>
      <c r="AW248" s="343">
        <f t="shared" si="116"/>
        <v>45689</v>
      </c>
      <c r="AX248" s="121">
        <f t="shared" si="111"/>
        <v>11.78910821098423</v>
      </c>
      <c r="AY248" s="122">
        <v>11.78910821098423</v>
      </c>
      <c r="BA248" s="3">
        <f t="shared" si="104"/>
        <v>2023</v>
      </c>
      <c r="BB248" s="343">
        <v>45291</v>
      </c>
      <c r="BC248" s="3">
        <f t="shared" si="105"/>
        <v>6.7249999999999996</v>
      </c>
      <c r="BD248" s="3">
        <v>6.7</v>
      </c>
      <c r="BE248" s="3">
        <v>6.75</v>
      </c>
      <c r="BG248" s="3">
        <f t="shared" si="106"/>
        <v>2027</v>
      </c>
      <c r="BH248" s="318">
        <v>46692</v>
      </c>
      <c r="BI248" s="3">
        <f t="shared" si="107"/>
        <v>13.254999999999999</v>
      </c>
      <c r="BJ248" s="3">
        <v>13.27</v>
      </c>
      <c r="BK248" s="3">
        <v>13.24</v>
      </c>
      <c r="BL248" s="412">
        <f t="shared" si="114"/>
        <v>2034</v>
      </c>
      <c r="BM248" s="427">
        <v>49065</v>
      </c>
      <c r="BN248" s="412">
        <f t="shared" si="102"/>
        <v>5.4008500000000002</v>
      </c>
      <c r="BO248" s="458">
        <v>5.4789000000000003</v>
      </c>
      <c r="BP248" s="458">
        <v>5.3228</v>
      </c>
      <c r="BQ248" s="469">
        <f t="shared" si="115"/>
        <v>2037</v>
      </c>
      <c r="BR248" s="473">
        <v>50161</v>
      </c>
      <c r="BS248" s="469">
        <f t="shared" si="103"/>
        <v>5.7544000000000004</v>
      </c>
      <c r="BT248" s="474">
        <v>6.1414</v>
      </c>
      <c r="BU248" s="474">
        <v>5.3673999999999999</v>
      </c>
    </row>
    <row r="249" spans="36:73">
      <c r="AJ249" s="3">
        <f t="shared" si="108"/>
        <v>2025</v>
      </c>
      <c r="AK249" s="345">
        <f t="shared" si="117"/>
        <v>45717</v>
      </c>
      <c r="AL249" s="122">
        <v>81.66</v>
      </c>
      <c r="AM249" s="122">
        <v>73.02</v>
      </c>
      <c r="AN249" s="319">
        <f t="shared" si="112"/>
        <v>77.944799999999987</v>
      </c>
      <c r="AO249" s="305">
        <v>416</v>
      </c>
      <c r="AP249" s="305">
        <v>328</v>
      </c>
      <c r="AQ249" s="305">
        <f t="shared" si="109"/>
        <v>0.55913978494623651</v>
      </c>
      <c r="AR249" s="305">
        <f t="shared" si="110"/>
        <v>0.44086021505376344</v>
      </c>
      <c r="AV249" s="3">
        <f t="shared" si="113"/>
        <v>2025</v>
      </c>
      <c r="AW249" s="343">
        <f t="shared" si="116"/>
        <v>45717</v>
      </c>
      <c r="AX249" s="121">
        <f t="shared" si="111"/>
        <v>11.085600870038064</v>
      </c>
      <c r="AY249" s="122">
        <v>11.085600870038064</v>
      </c>
      <c r="BA249" s="3">
        <f t="shared" si="104"/>
        <v>2024</v>
      </c>
      <c r="BB249" s="343">
        <v>45322</v>
      </c>
      <c r="BC249" s="3">
        <f t="shared" si="105"/>
        <v>7.4849999999999994</v>
      </c>
      <c r="BD249" s="3">
        <v>7.41</v>
      </c>
      <c r="BE249" s="3">
        <v>7.56</v>
      </c>
      <c r="BG249" s="3">
        <f t="shared" si="106"/>
        <v>2027</v>
      </c>
      <c r="BH249" s="318">
        <v>46722</v>
      </c>
      <c r="BI249" s="3">
        <f t="shared" si="107"/>
        <v>13.914999999999999</v>
      </c>
      <c r="BJ249" s="3">
        <v>13.83</v>
      </c>
      <c r="BK249" s="3">
        <v>14</v>
      </c>
      <c r="BL249" s="412">
        <f t="shared" si="114"/>
        <v>2034</v>
      </c>
      <c r="BM249" s="427">
        <v>49096</v>
      </c>
      <c r="BN249" s="412">
        <f t="shared" si="102"/>
        <v>5.3852500000000001</v>
      </c>
      <c r="BO249" s="458">
        <v>5.4789000000000003</v>
      </c>
      <c r="BP249" s="458">
        <v>5.2915999999999999</v>
      </c>
      <c r="BQ249" s="469">
        <f t="shared" si="115"/>
        <v>2037</v>
      </c>
      <c r="BR249" s="473">
        <v>50192</v>
      </c>
      <c r="BS249" s="469">
        <f t="shared" si="103"/>
        <v>5.8385499999999997</v>
      </c>
      <c r="BT249" s="474">
        <v>6.1919000000000004</v>
      </c>
      <c r="BU249" s="474">
        <v>5.4851999999999999</v>
      </c>
    </row>
    <row r="250" spans="36:73">
      <c r="AJ250" s="3">
        <f t="shared" si="108"/>
        <v>2025</v>
      </c>
      <c r="AK250" s="345">
        <f t="shared" si="117"/>
        <v>45748</v>
      </c>
      <c r="AL250" s="122">
        <v>81.22</v>
      </c>
      <c r="AM250" s="122">
        <v>77.38</v>
      </c>
      <c r="AN250" s="319">
        <f t="shared" si="112"/>
        <v>79.568799999999982</v>
      </c>
      <c r="AO250" s="305">
        <v>416</v>
      </c>
      <c r="AP250" s="305">
        <v>304</v>
      </c>
      <c r="AQ250" s="305">
        <f t="shared" si="109"/>
        <v>0.57777777777777772</v>
      </c>
      <c r="AR250" s="305">
        <f t="shared" si="110"/>
        <v>0.42222222222222222</v>
      </c>
      <c r="AV250" s="3">
        <f t="shared" si="113"/>
        <v>2025</v>
      </c>
      <c r="AW250" s="343">
        <f t="shared" si="116"/>
        <v>45748</v>
      </c>
      <c r="AX250" s="121">
        <f t="shared" si="111"/>
        <v>10.494246873300707</v>
      </c>
      <c r="AY250" s="122">
        <v>10.494246873300707</v>
      </c>
      <c r="BA250" s="3">
        <f t="shared" si="104"/>
        <v>2024</v>
      </c>
      <c r="BB250" s="343">
        <v>45351</v>
      </c>
      <c r="BC250" s="3">
        <f t="shared" si="105"/>
        <v>6.9649999999999999</v>
      </c>
      <c r="BD250" s="3">
        <v>6.94</v>
      </c>
      <c r="BE250" s="3">
        <v>6.99</v>
      </c>
      <c r="BG250" s="3">
        <f t="shared" si="106"/>
        <v>2028</v>
      </c>
      <c r="BH250" s="318">
        <v>46753</v>
      </c>
      <c r="BI250" s="3">
        <f t="shared" si="107"/>
        <v>15.239999999999998</v>
      </c>
      <c r="BJ250" s="3">
        <v>15.04</v>
      </c>
      <c r="BK250" s="3">
        <v>15.44</v>
      </c>
      <c r="BL250" s="412">
        <f t="shared" si="114"/>
        <v>2034</v>
      </c>
      <c r="BM250" s="427">
        <v>49126</v>
      </c>
      <c r="BN250" s="412">
        <f t="shared" si="102"/>
        <v>5.4086499999999997</v>
      </c>
      <c r="BO250" s="458">
        <v>5.5101000000000004</v>
      </c>
      <c r="BP250" s="458">
        <v>5.3071999999999999</v>
      </c>
      <c r="BQ250" s="469">
        <f t="shared" si="115"/>
        <v>2037</v>
      </c>
      <c r="BR250" s="473">
        <v>50222</v>
      </c>
      <c r="BS250" s="469">
        <f t="shared" si="103"/>
        <v>6.0993499999999994</v>
      </c>
      <c r="BT250" s="474">
        <v>6.4779</v>
      </c>
      <c r="BU250" s="474">
        <v>5.7207999999999997</v>
      </c>
    </row>
    <row r="251" spans="36:73">
      <c r="AJ251" s="3">
        <f t="shared" si="108"/>
        <v>2025</v>
      </c>
      <c r="AK251" s="345">
        <f t="shared" si="117"/>
        <v>45778</v>
      </c>
      <c r="AL251" s="122">
        <v>82.71</v>
      </c>
      <c r="AM251" s="122">
        <v>77.8</v>
      </c>
      <c r="AN251" s="319">
        <f t="shared" si="112"/>
        <v>80.598699999999994</v>
      </c>
      <c r="AO251" s="305">
        <v>416</v>
      </c>
      <c r="AP251" s="305">
        <v>328</v>
      </c>
      <c r="AQ251" s="305">
        <f t="shared" si="109"/>
        <v>0.55913978494623651</v>
      </c>
      <c r="AR251" s="305">
        <f t="shared" si="110"/>
        <v>0.44086021505376344</v>
      </c>
      <c r="AV251" s="3">
        <f t="shared" si="113"/>
        <v>2025</v>
      </c>
      <c r="AW251" s="343">
        <f t="shared" si="116"/>
        <v>45778</v>
      </c>
      <c r="AX251" s="121">
        <f t="shared" si="111"/>
        <v>10.385492115280043</v>
      </c>
      <c r="AY251" s="122">
        <v>10.385492115280043</v>
      </c>
      <c r="BA251" s="3">
        <f t="shared" si="104"/>
        <v>2024</v>
      </c>
      <c r="BB251" s="343">
        <v>45382</v>
      </c>
      <c r="BC251" s="3">
        <f t="shared" si="105"/>
        <v>6.5350000000000001</v>
      </c>
      <c r="BD251" s="3">
        <v>6.56</v>
      </c>
      <c r="BE251" s="3">
        <v>6.51</v>
      </c>
      <c r="BG251" s="3">
        <f t="shared" si="106"/>
        <v>2028</v>
      </c>
      <c r="BH251" s="318">
        <v>46784</v>
      </c>
      <c r="BI251" s="3">
        <f t="shared" si="107"/>
        <v>14.18</v>
      </c>
      <c r="BJ251" s="3">
        <v>14.09</v>
      </c>
      <c r="BK251" s="3">
        <v>14.27</v>
      </c>
      <c r="BL251" s="412">
        <f t="shared" si="114"/>
        <v>2034</v>
      </c>
      <c r="BM251" s="427">
        <v>49157</v>
      </c>
      <c r="BN251" s="412">
        <f t="shared" si="102"/>
        <v>5.5724999999999998</v>
      </c>
      <c r="BO251" s="458">
        <v>5.6036999999999999</v>
      </c>
      <c r="BP251" s="458">
        <v>5.5412999999999997</v>
      </c>
      <c r="BQ251" s="469">
        <f t="shared" si="115"/>
        <v>2037</v>
      </c>
      <c r="BR251" s="473">
        <v>50253</v>
      </c>
      <c r="BS251" s="469">
        <f t="shared" si="103"/>
        <v>6.1498000000000008</v>
      </c>
      <c r="BT251" s="474">
        <v>6.5452000000000004</v>
      </c>
      <c r="BU251" s="474">
        <v>5.7544000000000004</v>
      </c>
    </row>
    <row r="252" spans="36:73">
      <c r="AJ252" s="3">
        <f t="shared" si="108"/>
        <v>2025</v>
      </c>
      <c r="AK252" s="345">
        <f t="shared" si="117"/>
        <v>45809</v>
      </c>
      <c r="AL252" s="122">
        <v>89.53</v>
      </c>
      <c r="AM252" s="122">
        <v>79.900000000000006</v>
      </c>
      <c r="AN252" s="319">
        <f t="shared" si="112"/>
        <v>85.389099999999999</v>
      </c>
      <c r="AO252" s="305">
        <v>400</v>
      </c>
      <c r="AP252" s="305">
        <v>320</v>
      </c>
      <c r="AQ252" s="305">
        <f t="shared" si="109"/>
        <v>0.55555555555555558</v>
      </c>
      <c r="AR252" s="305">
        <f t="shared" si="110"/>
        <v>0.44444444444444442</v>
      </c>
      <c r="AV252" s="3">
        <f t="shared" si="113"/>
        <v>2025</v>
      </c>
      <c r="AW252" s="343">
        <f t="shared" si="116"/>
        <v>45809</v>
      </c>
      <c r="AX252" s="121">
        <f t="shared" si="111"/>
        <v>10.548624252311038</v>
      </c>
      <c r="AY252" s="122">
        <v>10.548624252311038</v>
      </c>
      <c r="BA252" s="3">
        <f t="shared" si="104"/>
        <v>2024</v>
      </c>
      <c r="BB252" s="343">
        <v>45412</v>
      </c>
      <c r="BC252" s="3">
        <f t="shared" si="105"/>
        <v>6.11</v>
      </c>
      <c r="BD252" s="3">
        <v>6.19</v>
      </c>
      <c r="BE252" s="3">
        <v>6.03</v>
      </c>
      <c r="BG252" s="3">
        <f t="shared" si="106"/>
        <v>2028</v>
      </c>
      <c r="BH252" s="318">
        <v>46813</v>
      </c>
      <c r="BI252" s="3">
        <f t="shared" si="107"/>
        <v>13.309999999999999</v>
      </c>
      <c r="BJ252" s="3">
        <v>13.33</v>
      </c>
      <c r="BK252" s="3">
        <v>13.29</v>
      </c>
      <c r="BL252" s="412">
        <f t="shared" si="114"/>
        <v>2034</v>
      </c>
      <c r="BM252" s="427">
        <v>49188</v>
      </c>
      <c r="BN252" s="412">
        <f t="shared" si="102"/>
        <v>5.4554500000000008</v>
      </c>
      <c r="BO252" s="458">
        <v>5.4476000000000004</v>
      </c>
      <c r="BP252" s="458">
        <v>5.4633000000000003</v>
      </c>
      <c r="BQ252" s="469">
        <f t="shared" si="115"/>
        <v>2037</v>
      </c>
      <c r="BR252" s="473">
        <v>50284</v>
      </c>
      <c r="BS252" s="469">
        <f t="shared" si="103"/>
        <v>5.9984000000000002</v>
      </c>
      <c r="BT252" s="474">
        <v>6.4779</v>
      </c>
      <c r="BU252" s="474">
        <v>5.5189000000000004</v>
      </c>
    </row>
    <row r="253" spans="36:73">
      <c r="AJ253" s="3">
        <f t="shared" si="108"/>
        <v>2025</v>
      </c>
      <c r="AK253" s="345">
        <f t="shared" si="117"/>
        <v>45839</v>
      </c>
      <c r="AL253" s="122">
        <v>85.27</v>
      </c>
      <c r="AM253" s="122">
        <v>81.73</v>
      </c>
      <c r="AN253" s="319">
        <f t="shared" si="112"/>
        <v>83.747799999999998</v>
      </c>
      <c r="AO253" s="305">
        <v>416</v>
      </c>
      <c r="AP253" s="305">
        <v>328</v>
      </c>
      <c r="AQ253" s="305">
        <f t="shared" si="109"/>
        <v>0.55913978494623651</v>
      </c>
      <c r="AR253" s="305">
        <f t="shared" si="110"/>
        <v>0.44086021505376344</v>
      </c>
      <c r="AV253" s="3">
        <f t="shared" si="113"/>
        <v>2025</v>
      </c>
      <c r="AW253" s="343">
        <f t="shared" si="116"/>
        <v>45839</v>
      </c>
      <c r="AX253" s="121">
        <f t="shared" si="111"/>
        <v>10.711756389342034</v>
      </c>
      <c r="AY253" s="122">
        <v>10.711756389342034</v>
      </c>
      <c r="BA253" s="3">
        <f t="shared" si="104"/>
        <v>2024</v>
      </c>
      <c r="BB253" s="343">
        <v>45443</v>
      </c>
      <c r="BC253" s="3">
        <f t="shared" si="105"/>
        <v>6.11</v>
      </c>
      <c r="BD253" s="3">
        <v>6.19</v>
      </c>
      <c r="BE253" s="3">
        <v>6.03</v>
      </c>
      <c r="BG253" s="3">
        <f t="shared" si="106"/>
        <v>2028</v>
      </c>
      <c r="BH253" s="318">
        <v>46844</v>
      </c>
      <c r="BI253" s="3">
        <f t="shared" si="107"/>
        <v>12.445</v>
      </c>
      <c r="BJ253" s="3">
        <v>12.57</v>
      </c>
      <c r="BK253" s="3">
        <v>12.32</v>
      </c>
      <c r="BL253" s="412">
        <f t="shared" si="114"/>
        <v>2034</v>
      </c>
      <c r="BM253" s="427">
        <v>49218</v>
      </c>
      <c r="BN253" s="412">
        <f t="shared" si="102"/>
        <v>5.5412999999999997</v>
      </c>
      <c r="BO253" s="458">
        <v>5.5256999999999996</v>
      </c>
      <c r="BP253" s="458">
        <v>5.5568999999999997</v>
      </c>
      <c r="BQ253" s="469">
        <f t="shared" si="115"/>
        <v>2037</v>
      </c>
      <c r="BR253" s="473">
        <v>50314</v>
      </c>
      <c r="BS253" s="469">
        <f t="shared" si="103"/>
        <v>6.0152000000000001</v>
      </c>
      <c r="BT253" s="474">
        <v>6.5284000000000004</v>
      </c>
      <c r="BU253" s="474">
        <v>5.5019999999999998</v>
      </c>
    </row>
    <row r="254" spans="36:73">
      <c r="AJ254" s="3">
        <f t="shared" si="108"/>
        <v>2025</v>
      </c>
      <c r="AK254" s="345">
        <f t="shared" si="117"/>
        <v>45870</v>
      </c>
      <c r="AL254" s="122">
        <v>85.69</v>
      </c>
      <c r="AM254" s="122">
        <v>82.2</v>
      </c>
      <c r="AN254" s="319">
        <f t="shared" si="112"/>
        <v>84.189300000000003</v>
      </c>
      <c r="AO254" s="305">
        <v>416</v>
      </c>
      <c r="AP254" s="305">
        <v>328</v>
      </c>
      <c r="AQ254" s="305">
        <f t="shared" si="109"/>
        <v>0.55913978494623651</v>
      </c>
      <c r="AR254" s="305">
        <f t="shared" si="110"/>
        <v>0.44086021505376344</v>
      </c>
      <c r="AV254" s="3">
        <f t="shared" si="113"/>
        <v>2025</v>
      </c>
      <c r="AW254" s="343">
        <f t="shared" si="116"/>
        <v>45870</v>
      </c>
      <c r="AX254" s="121">
        <f t="shared" si="111"/>
        <v>10.711756389342034</v>
      </c>
      <c r="AY254" s="122">
        <v>10.711756389342034</v>
      </c>
      <c r="BA254" s="3">
        <f t="shared" si="104"/>
        <v>2024</v>
      </c>
      <c r="BB254" s="343">
        <v>45473</v>
      </c>
      <c r="BC254" s="3">
        <f t="shared" si="105"/>
        <v>6.2050000000000001</v>
      </c>
      <c r="BD254" s="3">
        <v>6.28</v>
      </c>
      <c r="BE254" s="3">
        <v>6.13</v>
      </c>
      <c r="BG254" s="3">
        <f t="shared" si="106"/>
        <v>2028</v>
      </c>
      <c r="BH254" s="318">
        <v>46874</v>
      </c>
      <c r="BI254" s="3">
        <f t="shared" si="107"/>
        <v>12.445</v>
      </c>
      <c r="BJ254" s="3">
        <v>12.57</v>
      </c>
      <c r="BK254" s="3">
        <v>12.32</v>
      </c>
      <c r="BL254" s="412">
        <f t="shared" si="114"/>
        <v>2034</v>
      </c>
      <c r="BM254" s="427">
        <v>49249</v>
      </c>
      <c r="BN254" s="412">
        <f t="shared" si="102"/>
        <v>5.7051999999999996</v>
      </c>
      <c r="BO254" s="458">
        <v>5.6505999999999998</v>
      </c>
      <c r="BP254" s="458">
        <v>5.7598000000000003</v>
      </c>
      <c r="BQ254" s="469">
        <f t="shared" si="115"/>
        <v>2037</v>
      </c>
      <c r="BR254" s="473">
        <v>50345</v>
      </c>
      <c r="BS254" s="469">
        <f t="shared" si="103"/>
        <v>6.2591999999999999</v>
      </c>
      <c r="BT254" s="474">
        <v>6.7134999999999998</v>
      </c>
      <c r="BU254" s="474">
        <v>5.8048999999999999</v>
      </c>
    </row>
    <row r="255" spans="36:73">
      <c r="AJ255" s="3">
        <f t="shared" si="108"/>
        <v>2025</v>
      </c>
      <c r="AK255" s="345">
        <f t="shared" si="117"/>
        <v>45901</v>
      </c>
      <c r="AL255" s="122">
        <v>84.94</v>
      </c>
      <c r="AM255" s="122">
        <v>79.650000000000006</v>
      </c>
      <c r="AN255" s="319">
        <f t="shared" si="112"/>
        <v>82.665300000000002</v>
      </c>
      <c r="AO255" s="305">
        <v>400</v>
      </c>
      <c r="AP255" s="305">
        <v>320</v>
      </c>
      <c r="AQ255" s="305">
        <f t="shared" si="109"/>
        <v>0.55555555555555558</v>
      </c>
      <c r="AR255" s="305">
        <f t="shared" si="110"/>
        <v>0.44444444444444442</v>
      </c>
      <c r="AV255" s="3">
        <f t="shared" si="113"/>
        <v>2025</v>
      </c>
      <c r="AW255" s="343">
        <f t="shared" si="116"/>
        <v>45901</v>
      </c>
      <c r="AX255" s="121">
        <f t="shared" si="111"/>
        <v>10.711756389342034</v>
      </c>
      <c r="AY255" s="122">
        <v>10.711756389342034</v>
      </c>
      <c r="BA255" s="3">
        <f t="shared" si="104"/>
        <v>2024</v>
      </c>
      <c r="BB255" s="343">
        <v>45504</v>
      </c>
      <c r="BC255" s="3">
        <f t="shared" si="105"/>
        <v>6.3</v>
      </c>
      <c r="BD255" s="3">
        <v>6.38</v>
      </c>
      <c r="BE255" s="3">
        <v>6.22</v>
      </c>
      <c r="BG255" s="3">
        <f t="shared" si="106"/>
        <v>2028</v>
      </c>
      <c r="BH255" s="318">
        <v>46905</v>
      </c>
      <c r="BI255" s="3">
        <f t="shared" si="107"/>
        <v>12.635</v>
      </c>
      <c r="BJ255" s="3">
        <v>12.76</v>
      </c>
      <c r="BK255" s="3">
        <v>12.51</v>
      </c>
      <c r="BL255" s="412">
        <f t="shared" si="114"/>
        <v>2034</v>
      </c>
      <c r="BM255" s="427">
        <v>49279</v>
      </c>
      <c r="BN255" s="412">
        <f t="shared" si="102"/>
        <v>6.08765</v>
      </c>
      <c r="BO255" s="458">
        <v>6.0251999999999999</v>
      </c>
      <c r="BP255" s="458">
        <v>6.1501000000000001</v>
      </c>
      <c r="BQ255" s="469">
        <f t="shared" si="115"/>
        <v>2037</v>
      </c>
      <c r="BR255" s="473">
        <v>50375</v>
      </c>
      <c r="BS255" s="469">
        <f t="shared" si="103"/>
        <v>6.7639499999999995</v>
      </c>
      <c r="BT255" s="474">
        <v>7.2013999999999996</v>
      </c>
      <c r="BU255" s="474">
        <v>6.3265000000000002</v>
      </c>
    </row>
    <row r="256" spans="36:73">
      <c r="AJ256" s="3">
        <f t="shared" si="108"/>
        <v>2025</v>
      </c>
      <c r="AK256" s="345">
        <f t="shared" si="117"/>
        <v>45931</v>
      </c>
      <c r="AL256" s="122">
        <v>84.29</v>
      </c>
      <c r="AM256" s="122">
        <v>73.59</v>
      </c>
      <c r="AN256" s="319">
        <f t="shared" si="112"/>
        <v>79.688999999999993</v>
      </c>
      <c r="AO256" s="305">
        <v>432</v>
      </c>
      <c r="AP256" s="305">
        <v>312</v>
      </c>
      <c r="AQ256" s="305">
        <f t="shared" si="109"/>
        <v>0.58064516129032262</v>
      </c>
      <c r="AR256" s="305">
        <f t="shared" si="110"/>
        <v>0.41935483870967744</v>
      </c>
      <c r="AV256" s="3">
        <f t="shared" si="113"/>
        <v>2025</v>
      </c>
      <c r="AW256" s="343">
        <f t="shared" si="116"/>
        <v>45931</v>
      </c>
      <c r="AX256" s="121">
        <f t="shared" si="111"/>
        <v>11.085600870038064</v>
      </c>
      <c r="AY256" s="122">
        <v>11.085600870038064</v>
      </c>
      <c r="BA256" s="3">
        <f t="shared" si="104"/>
        <v>2024</v>
      </c>
      <c r="BB256" s="343">
        <v>45535</v>
      </c>
      <c r="BC256" s="3">
        <f t="shared" si="105"/>
        <v>6.3</v>
      </c>
      <c r="BD256" s="3">
        <v>6.38</v>
      </c>
      <c r="BE256" s="3">
        <v>6.22</v>
      </c>
      <c r="BG256" s="3">
        <f t="shared" si="106"/>
        <v>2028</v>
      </c>
      <c r="BH256" s="318">
        <v>46935</v>
      </c>
      <c r="BI256" s="3">
        <f t="shared" si="107"/>
        <v>12.83</v>
      </c>
      <c r="BJ256" s="3">
        <v>12.95</v>
      </c>
      <c r="BK256" s="3">
        <v>12.71</v>
      </c>
      <c r="BL256" s="412">
        <f t="shared" si="114"/>
        <v>2035</v>
      </c>
      <c r="BM256" s="427">
        <v>49310</v>
      </c>
      <c r="BN256" s="412">
        <f t="shared" si="102"/>
        <v>6.1976499999999994</v>
      </c>
      <c r="BO256" s="458">
        <v>6.1098999999999997</v>
      </c>
      <c r="BP256" s="458">
        <v>6.2854000000000001</v>
      </c>
      <c r="BQ256" s="469">
        <f t="shared" si="115"/>
        <v>2038</v>
      </c>
      <c r="BR256" s="473">
        <v>50406</v>
      </c>
      <c r="BS256" s="469">
        <f t="shared" si="103"/>
        <v>6.7990499999999994</v>
      </c>
      <c r="BT256" s="474">
        <v>7.2465999999999999</v>
      </c>
      <c r="BU256" s="474">
        <v>6.3514999999999997</v>
      </c>
    </row>
    <row r="257" spans="36:73">
      <c r="AJ257" s="3">
        <f t="shared" si="108"/>
        <v>2025</v>
      </c>
      <c r="AK257" s="345">
        <f t="shared" si="117"/>
        <v>45962</v>
      </c>
      <c r="AL257" s="122">
        <v>95.2</v>
      </c>
      <c r="AM257" s="122">
        <v>83.48</v>
      </c>
      <c r="AN257" s="319">
        <f t="shared" si="112"/>
        <v>90.160399999999996</v>
      </c>
      <c r="AO257" s="305">
        <v>384</v>
      </c>
      <c r="AP257" s="305">
        <v>336</v>
      </c>
      <c r="AQ257" s="305">
        <f t="shared" si="109"/>
        <v>0.53333333333333333</v>
      </c>
      <c r="AR257" s="305">
        <f t="shared" si="110"/>
        <v>0.46666666666666667</v>
      </c>
      <c r="AV257" s="3">
        <f t="shared" si="113"/>
        <v>2025</v>
      </c>
      <c r="AW257" s="343">
        <f t="shared" si="116"/>
        <v>45962</v>
      </c>
      <c r="AX257" s="121">
        <f t="shared" si="111"/>
        <v>11.248733007069058</v>
      </c>
      <c r="AY257" s="122">
        <v>11.248733007069058</v>
      </c>
      <c r="BA257" s="3">
        <f t="shared" si="104"/>
        <v>2024</v>
      </c>
      <c r="BB257" s="343">
        <v>45565</v>
      </c>
      <c r="BC257" s="3">
        <f t="shared" si="105"/>
        <v>6.3</v>
      </c>
      <c r="BD257" s="3">
        <v>6.38</v>
      </c>
      <c r="BE257" s="3">
        <v>6.22</v>
      </c>
      <c r="BG257" s="3">
        <f t="shared" si="106"/>
        <v>2028</v>
      </c>
      <c r="BH257" s="318">
        <v>46966</v>
      </c>
      <c r="BI257" s="3">
        <f t="shared" si="107"/>
        <v>12.83</v>
      </c>
      <c r="BJ257" s="3">
        <v>12.95</v>
      </c>
      <c r="BK257" s="3">
        <v>12.71</v>
      </c>
      <c r="BL257" s="412">
        <f t="shared" si="114"/>
        <v>2035</v>
      </c>
      <c r="BM257" s="427">
        <v>49341</v>
      </c>
      <c r="BN257" s="412">
        <f t="shared" si="102"/>
        <v>6.2294999999999998</v>
      </c>
      <c r="BO257" s="458">
        <v>6.1577000000000002</v>
      </c>
      <c r="BP257" s="458">
        <v>6.3013000000000003</v>
      </c>
      <c r="BQ257" s="469">
        <f t="shared" si="115"/>
        <v>2038</v>
      </c>
      <c r="BR257" s="473">
        <v>50437</v>
      </c>
      <c r="BS257" s="469">
        <f t="shared" si="103"/>
        <v>6.8420500000000004</v>
      </c>
      <c r="BT257" s="474">
        <v>7.2981999999999996</v>
      </c>
      <c r="BU257" s="474">
        <v>6.3859000000000004</v>
      </c>
    </row>
    <row r="258" spans="36:73">
      <c r="AJ258" s="3">
        <f t="shared" si="108"/>
        <v>2025</v>
      </c>
      <c r="AK258" s="345">
        <f t="shared" si="117"/>
        <v>45992</v>
      </c>
      <c r="AL258" s="122">
        <v>99.66</v>
      </c>
      <c r="AM258" s="122">
        <v>91.39</v>
      </c>
      <c r="AN258" s="319">
        <f t="shared" si="112"/>
        <v>96.103899999999982</v>
      </c>
      <c r="AO258" s="305">
        <v>416</v>
      </c>
      <c r="AP258" s="305">
        <v>328</v>
      </c>
      <c r="AQ258" s="305">
        <f t="shared" si="109"/>
        <v>0.55913978494623651</v>
      </c>
      <c r="AR258" s="305">
        <f t="shared" si="110"/>
        <v>0.44086021505376344</v>
      </c>
      <c r="AV258" s="3">
        <f t="shared" si="113"/>
        <v>2025</v>
      </c>
      <c r="AW258" s="343">
        <f t="shared" si="116"/>
        <v>45992</v>
      </c>
      <c r="AX258" s="121">
        <f t="shared" si="111"/>
        <v>11.78910821098423</v>
      </c>
      <c r="AY258" s="122">
        <v>11.78910821098423</v>
      </c>
      <c r="BA258" s="3">
        <f t="shared" si="104"/>
        <v>2024</v>
      </c>
      <c r="BB258" s="343">
        <v>45596</v>
      </c>
      <c r="BC258" s="3">
        <f t="shared" si="105"/>
        <v>6.5350000000000001</v>
      </c>
      <c r="BD258" s="3">
        <v>6.56</v>
      </c>
      <c r="BE258" s="3">
        <v>6.51</v>
      </c>
      <c r="BG258" s="3">
        <f t="shared" si="106"/>
        <v>2028</v>
      </c>
      <c r="BH258" s="318">
        <v>46997</v>
      </c>
      <c r="BI258" s="3">
        <f t="shared" si="107"/>
        <v>12.83</v>
      </c>
      <c r="BJ258" s="3">
        <v>12.95</v>
      </c>
      <c r="BK258" s="3">
        <v>12.71</v>
      </c>
      <c r="BL258" s="412">
        <f t="shared" si="114"/>
        <v>2035</v>
      </c>
      <c r="BM258" s="427">
        <v>49369</v>
      </c>
      <c r="BN258" s="412">
        <f t="shared" si="102"/>
        <v>5.9264000000000001</v>
      </c>
      <c r="BO258" s="458">
        <v>5.8864999999999998</v>
      </c>
      <c r="BP258" s="458">
        <v>5.9663000000000004</v>
      </c>
      <c r="BQ258" s="469">
        <f t="shared" si="115"/>
        <v>2038</v>
      </c>
      <c r="BR258" s="473">
        <v>50465</v>
      </c>
      <c r="BS258" s="469">
        <f t="shared" si="103"/>
        <v>6.5236499999999999</v>
      </c>
      <c r="BT258" s="474">
        <v>6.9711999999999996</v>
      </c>
      <c r="BU258" s="474">
        <v>6.0761000000000003</v>
      </c>
    </row>
    <row r="259" spans="36:73">
      <c r="AJ259" s="3">
        <f t="shared" si="108"/>
        <v>2026</v>
      </c>
      <c r="AK259" s="345">
        <f t="shared" si="117"/>
        <v>46023</v>
      </c>
      <c r="AL259" s="122">
        <v>104.32</v>
      </c>
      <c r="AM259" s="122">
        <v>94.15</v>
      </c>
      <c r="AN259" s="319">
        <f t="shared" si="112"/>
        <v>99.946899999999999</v>
      </c>
      <c r="AO259" s="305">
        <v>416</v>
      </c>
      <c r="AP259" s="305">
        <v>328</v>
      </c>
      <c r="AQ259" s="305">
        <f t="shared" si="109"/>
        <v>0.55913978494623651</v>
      </c>
      <c r="AR259" s="305">
        <f t="shared" si="110"/>
        <v>0.44086021505376344</v>
      </c>
      <c r="AV259" s="3">
        <f t="shared" si="113"/>
        <v>2026</v>
      </c>
      <c r="AW259" s="343">
        <f t="shared" si="116"/>
        <v>46023</v>
      </c>
      <c r="AX259" s="121">
        <f t="shared" si="111"/>
        <v>12.781495377922784</v>
      </c>
      <c r="AY259" s="122">
        <v>12.781495377922784</v>
      </c>
      <c r="BA259" s="3">
        <f t="shared" si="104"/>
        <v>2024</v>
      </c>
      <c r="BB259" s="343">
        <v>45626</v>
      </c>
      <c r="BC259" s="3">
        <f t="shared" si="105"/>
        <v>6.6349999999999998</v>
      </c>
      <c r="BD259" s="3">
        <v>6.66</v>
      </c>
      <c r="BE259" s="3">
        <v>6.61</v>
      </c>
      <c r="BG259" s="3">
        <f t="shared" si="106"/>
        <v>2028</v>
      </c>
      <c r="BH259" s="318">
        <v>47027</v>
      </c>
      <c r="BI259" s="3">
        <f t="shared" si="107"/>
        <v>13.309999999999999</v>
      </c>
      <c r="BJ259" s="3">
        <v>13.33</v>
      </c>
      <c r="BK259" s="3">
        <v>13.29</v>
      </c>
      <c r="BL259" s="412">
        <f t="shared" si="114"/>
        <v>2035</v>
      </c>
      <c r="BM259" s="427">
        <v>49400</v>
      </c>
      <c r="BN259" s="412">
        <f t="shared" ref="BN259:BN298" si="118">AVERAGE(BO259:BP259)</f>
        <v>5.6552500000000006</v>
      </c>
      <c r="BO259" s="458">
        <v>5.6313000000000004</v>
      </c>
      <c r="BP259" s="458">
        <v>5.6791999999999998</v>
      </c>
      <c r="BQ259" s="469">
        <f t="shared" si="115"/>
        <v>2038</v>
      </c>
      <c r="BR259" s="473">
        <v>50496</v>
      </c>
      <c r="BS259" s="469">
        <f t="shared" si="103"/>
        <v>6.2051999999999996</v>
      </c>
      <c r="BT259" s="474">
        <v>6.5925000000000002</v>
      </c>
      <c r="BU259" s="474">
        <v>5.8178999999999998</v>
      </c>
    </row>
    <row r="260" spans="36:73">
      <c r="AJ260" s="3">
        <f t="shared" si="108"/>
        <v>2026</v>
      </c>
      <c r="AK260" s="345">
        <f t="shared" si="117"/>
        <v>46054</v>
      </c>
      <c r="AL260" s="122">
        <v>98.18</v>
      </c>
      <c r="AM260" s="122">
        <v>85.39</v>
      </c>
      <c r="AN260" s="319">
        <f t="shared" si="112"/>
        <v>92.680300000000003</v>
      </c>
      <c r="AO260" s="305">
        <v>384</v>
      </c>
      <c r="AP260" s="305">
        <v>288</v>
      </c>
      <c r="AQ260" s="305">
        <f t="shared" si="109"/>
        <v>0.5714285714285714</v>
      </c>
      <c r="AR260" s="305">
        <f t="shared" si="110"/>
        <v>0.42857142857142855</v>
      </c>
      <c r="AV260" s="3">
        <f t="shared" si="113"/>
        <v>2026</v>
      </c>
      <c r="AW260" s="343">
        <f t="shared" si="116"/>
        <v>46054</v>
      </c>
      <c r="AX260" s="121">
        <f t="shared" si="111"/>
        <v>12.010016313213702</v>
      </c>
      <c r="AY260" s="122">
        <v>12.010016313213702</v>
      </c>
      <c r="BA260" s="3">
        <f t="shared" si="104"/>
        <v>2024</v>
      </c>
      <c r="BB260" s="343">
        <v>45657</v>
      </c>
      <c r="BC260" s="3">
        <f t="shared" si="105"/>
        <v>6.9649999999999999</v>
      </c>
      <c r="BD260" s="3">
        <v>6.94</v>
      </c>
      <c r="BE260" s="3">
        <v>6.99</v>
      </c>
      <c r="BG260" s="3">
        <f t="shared" si="106"/>
        <v>2028</v>
      </c>
      <c r="BH260" s="318">
        <v>47058</v>
      </c>
      <c r="BI260" s="3">
        <f t="shared" si="107"/>
        <v>13.504999999999999</v>
      </c>
      <c r="BJ260" s="3">
        <v>13.52</v>
      </c>
      <c r="BK260" s="3">
        <v>13.49</v>
      </c>
      <c r="BL260" s="412">
        <f t="shared" si="114"/>
        <v>2035</v>
      </c>
      <c r="BM260" s="427">
        <v>49430</v>
      </c>
      <c r="BN260" s="412">
        <f t="shared" si="118"/>
        <v>5.6233000000000004</v>
      </c>
      <c r="BO260" s="458">
        <v>5.6631999999999998</v>
      </c>
      <c r="BP260" s="458">
        <v>5.5834000000000001</v>
      </c>
      <c r="BQ260" s="469">
        <f t="shared" si="115"/>
        <v>2038</v>
      </c>
      <c r="BR260" s="473">
        <v>50526</v>
      </c>
      <c r="BS260" s="469">
        <f t="shared" si="103"/>
        <v>6.2309999999999999</v>
      </c>
      <c r="BT260" s="474">
        <v>6.6269</v>
      </c>
      <c r="BU260" s="474">
        <v>5.8350999999999997</v>
      </c>
    </row>
    <row r="261" spans="36:73">
      <c r="AJ261" s="3">
        <f t="shared" si="108"/>
        <v>2026</v>
      </c>
      <c r="AK261" s="345">
        <f t="shared" si="117"/>
        <v>46082</v>
      </c>
      <c r="AL261" s="122">
        <v>83.21</v>
      </c>
      <c r="AM261" s="122">
        <v>74.41</v>
      </c>
      <c r="AN261" s="319">
        <f t="shared" si="112"/>
        <v>79.425999999999988</v>
      </c>
      <c r="AO261" s="305">
        <v>416</v>
      </c>
      <c r="AP261" s="305">
        <v>328</v>
      </c>
      <c r="AQ261" s="305">
        <f t="shared" si="109"/>
        <v>0.55913978494623651</v>
      </c>
      <c r="AR261" s="305">
        <f t="shared" si="110"/>
        <v>0.44086021505376344</v>
      </c>
      <c r="AV261" s="3">
        <f t="shared" si="113"/>
        <v>2026</v>
      </c>
      <c r="AW261" s="343">
        <f t="shared" si="116"/>
        <v>46082</v>
      </c>
      <c r="AX261" s="121">
        <f t="shared" si="111"/>
        <v>11.296313213703097</v>
      </c>
      <c r="AY261" s="122">
        <v>11.296313213703097</v>
      </c>
      <c r="BA261" s="3">
        <f t="shared" si="104"/>
        <v>2025</v>
      </c>
      <c r="BB261" s="343">
        <v>45688</v>
      </c>
      <c r="BC261" s="3">
        <f t="shared" si="105"/>
        <v>7.75</v>
      </c>
      <c r="BD261" s="3">
        <v>7.67</v>
      </c>
      <c r="BE261" s="3">
        <v>7.83</v>
      </c>
      <c r="BG261" s="3">
        <f t="shared" si="106"/>
        <v>2028</v>
      </c>
      <c r="BH261" s="318">
        <v>47088</v>
      </c>
      <c r="BI261" s="3">
        <f t="shared" si="107"/>
        <v>14.18</v>
      </c>
      <c r="BJ261" s="3">
        <v>14.09</v>
      </c>
      <c r="BK261" s="3">
        <v>14.27</v>
      </c>
      <c r="BL261" s="412">
        <f t="shared" si="114"/>
        <v>2035</v>
      </c>
      <c r="BM261" s="427">
        <v>49461</v>
      </c>
      <c r="BN261" s="412">
        <f t="shared" si="118"/>
        <v>5.5515500000000007</v>
      </c>
      <c r="BO261" s="458">
        <v>5.6154000000000002</v>
      </c>
      <c r="BP261" s="458">
        <v>5.4877000000000002</v>
      </c>
      <c r="BQ261" s="469">
        <f t="shared" si="115"/>
        <v>2038</v>
      </c>
      <c r="BR261" s="473">
        <v>50557</v>
      </c>
      <c r="BS261" s="469">
        <f t="shared" si="103"/>
        <v>6.3085000000000004</v>
      </c>
      <c r="BT261" s="474">
        <v>6.6958000000000002</v>
      </c>
      <c r="BU261" s="474">
        <v>5.9211999999999998</v>
      </c>
    </row>
    <row r="262" spans="36:73">
      <c r="AJ262" s="3">
        <f t="shared" si="108"/>
        <v>2026</v>
      </c>
      <c r="AK262" s="345">
        <f t="shared" si="117"/>
        <v>46113</v>
      </c>
      <c r="AL262" s="122">
        <v>82.76</v>
      </c>
      <c r="AM262" s="122">
        <v>78.849999999999994</v>
      </c>
      <c r="AN262" s="319">
        <f t="shared" si="112"/>
        <v>81.078699999999998</v>
      </c>
      <c r="AO262" s="305">
        <v>416</v>
      </c>
      <c r="AP262" s="305">
        <v>304</v>
      </c>
      <c r="AQ262" s="305">
        <f t="shared" si="109"/>
        <v>0.57777777777777772</v>
      </c>
      <c r="AR262" s="305">
        <f t="shared" si="110"/>
        <v>0.42222222222222222</v>
      </c>
      <c r="AV262" s="3">
        <f t="shared" si="113"/>
        <v>2026</v>
      </c>
      <c r="AW262" s="343">
        <f t="shared" si="116"/>
        <v>46113</v>
      </c>
      <c r="AX262" s="121">
        <f t="shared" si="111"/>
        <v>10.691364872213157</v>
      </c>
      <c r="AY262" s="122">
        <v>10.691364872213157</v>
      </c>
      <c r="BA262" s="3">
        <f t="shared" si="104"/>
        <v>2025</v>
      </c>
      <c r="BB262" s="343">
        <v>45716</v>
      </c>
      <c r="BC262" s="3">
        <f t="shared" si="105"/>
        <v>7.2050000000000001</v>
      </c>
      <c r="BD262" s="3">
        <v>7.18</v>
      </c>
      <c r="BE262" s="3">
        <v>7.23</v>
      </c>
      <c r="BG262" s="3">
        <f t="shared" si="106"/>
        <v>2029</v>
      </c>
      <c r="BH262" s="318">
        <v>47119</v>
      </c>
      <c r="BI262" s="3">
        <f t="shared" si="107"/>
        <v>15.535</v>
      </c>
      <c r="BJ262" s="3">
        <v>15.33</v>
      </c>
      <c r="BK262" s="3">
        <v>15.74</v>
      </c>
      <c r="BL262" s="412">
        <f t="shared" si="114"/>
        <v>2035</v>
      </c>
      <c r="BM262" s="427">
        <v>49491</v>
      </c>
      <c r="BN262" s="412">
        <f t="shared" si="118"/>
        <v>5.6392500000000005</v>
      </c>
      <c r="BO262" s="458">
        <v>5.6951000000000001</v>
      </c>
      <c r="BP262" s="458">
        <v>5.5834000000000001</v>
      </c>
      <c r="BQ262" s="469">
        <f t="shared" si="115"/>
        <v>2038</v>
      </c>
      <c r="BR262" s="473">
        <v>50587</v>
      </c>
      <c r="BS262" s="469">
        <f t="shared" si="103"/>
        <v>6.6269</v>
      </c>
      <c r="BT262" s="474">
        <v>7.0056000000000003</v>
      </c>
      <c r="BU262" s="474">
        <v>6.2481999999999998</v>
      </c>
    </row>
    <row r="263" spans="36:73">
      <c r="AJ263" s="3">
        <f t="shared" si="108"/>
        <v>2026</v>
      </c>
      <c r="AK263" s="345">
        <f t="shared" si="117"/>
        <v>46143</v>
      </c>
      <c r="AL263" s="122">
        <v>84.28</v>
      </c>
      <c r="AM263" s="122">
        <v>79.28</v>
      </c>
      <c r="AN263" s="319">
        <f t="shared" si="112"/>
        <v>82.13</v>
      </c>
      <c r="AO263" s="305">
        <v>400</v>
      </c>
      <c r="AP263" s="305">
        <v>344</v>
      </c>
      <c r="AQ263" s="305">
        <f t="shared" si="109"/>
        <v>0.5376344086021505</v>
      </c>
      <c r="AR263" s="305">
        <f t="shared" si="110"/>
        <v>0.46236559139784944</v>
      </c>
      <c r="AV263" s="3">
        <f t="shared" si="113"/>
        <v>2026</v>
      </c>
      <c r="AW263" s="343">
        <f t="shared" si="116"/>
        <v>46143</v>
      </c>
      <c r="AX263" s="121">
        <f t="shared" si="111"/>
        <v>10.582610114192494</v>
      </c>
      <c r="AY263" s="122">
        <v>10.582610114192494</v>
      </c>
      <c r="BA263" s="3">
        <f t="shared" si="104"/>
        <v>2025</v>
      </c>
      <c r="BB263" s="343">
        <v>45747</v>
      </c>
      <c r="BC263" s="3">
        <f t="shared" si="105"/>
        <v>6.7650000000000006</v>
      </c>
      <c r="BD263" s="3">
        <v>6.79</v>
      </c>
      <c r="BE263" s="3">
        <v>6.74</v>
      </c>
      <c r="BG263" s="3">
        <f t="shared" si="106"/>
        <v>2029</v>
      </c>
      <c r="BH263" s="318">
        <v>47150</v>
      </c>
      <c r="BI263" s="3">
        <f t="shared" si="107"/>
        <v>14.45</v>
      </c>
      <c r="BJ263" s="3">
        <v>14.36</v>
      </c>
      <c r="BK263" s="3">
        <v>14.54</v>
      </c>
      <c r="BL263" s="412">
        <f t="shared" si="114"/>
        <v>2035</v>
      </c>
      <c r="BM263" s="427">
        <v>49522</v>
      </c>
      <c r="BN263" s="412">
        <f t="shared" si="118"/>
        <v>5.7509499999999996</v>
      </c>
      <c r="BO263" s="458">
        <v>5.7588999999999997</v>
      </c>
      <c r="BP263" s="458">
        <v>5.7430000000000003</v>
      </c>
      <c r="BQ263" s="469">
        <f t="shared" si="115"/>
        <v>2038</v>
      </c>
      <c r="BR263" s="473">
        <v>50618</v>
      </c>
      <c r="BS263" s="469">
        <f t="shared" si="103"/>
        <v>6.6785999999999994</v>
      </c>
      <c r="BT263" s="474">
        <v>7.0744999999999996</v>
      </c>
      <c r="BU263" s="474">
        <v>6.2827000000000002</v>
      </c>
    </row>
    <row r="264" spans="36:73">
      <c r="AJ264" s="3">
        <f t="shared" si="108"/>
        <v>2026</v>
      </c>
      <c r="AK264" s="345">
        <f t="shared" si="117"/>
        <v>46174</v>
      </c>
      <c r="AL264" s="122">
        <v>91.23</v>
      </c>
      <c r="AM264" s="122">
        <v>81.42</v>
      </c>
      <c r="AN264" s="319">
        <f t="shared" si="112"/>
        <v>87.011700000000005</v>
      </c>
      <c r="AO264" s="305">
        <v>416</v>
      </c>
      <c r="AP264" s="305">
        <v>304</v>
      </c>
      <c r="AQ264" s="305">
        <f t="shared" si="109"/>
        <v>0.57777777777777772</v>
      </c>
      <c r="AR264" s="305">
        <f t="shared" si="110"/>
        <v>0.42222222222222222</v>
      </c>
      <c r="AV264" s="3">
        <f t="shared" si="113"/>
        <v>2026</v>
      </c>
      <c r="AW264" s="343">
        <f t="shared" si="116"/>
        <v>46174</v>
      </c>
      <c r="AX264" s="121">
        <f t="shared" si="111"/>
        <v>10.74574225122349</v>
      </c>
      <c r="AY264" s="122">
        <v>10.74574225122349</v>
      </c>
      <c r="BA264" s="3">
        <f t="shared" si="104"/>
        <v>2025</v>
      </c>
      <c r="BB264" s="343">
        <v>45777</v>
      </c>
      <c r="BC264" s="3">
        <f t="shared" si="105"/>
        <v>6.3250000000000002</v>
      </c>
      <c r="BD264" s="3">
        <v>6.41</v>
      </c>
      <c r="BE264" s="3">
        <v>6.24</v>
      </c>
      <c r="BG264" s="3">
        <f t="shared" si="106"/>
        <v>2029</v>
      </c>
      <c r="BH264" s="318">
        <v>47178</v>
      </c>
      <c r="BI264" s="3">
        <f t="shared" si="107"/>
        <v>13.565000000000001</v>
      </c>
      <c r="BJ264" s="3">
        <v>13.58</v>
      </c>
      <c r="BK264" s="3">
        <v>13.55</v>
      </c>
      <c r="BL264" s="412">
        <f t="shared" si="114"/>
        <v>2035</v>
      </c>
      <c r="BM264" s="427">
        <v>49553</v>
      </c>
      <c r="BN264" s="412">
        <f t="shared" si="118"/>
        <v>5.6552500000000006</v>
      </c>
      <c r="BO264" s="458">
        <v>5.6313000000000004</v>
      </c>
      <c r="BP264" s="458">
        <v>5.6791999999999998</v>
      </c>
      <c r="BQ264" s="469">
        <f t="shared" si="115"/>
        <v>2038</v>
      </c>
      <c r="BR264" s="473">
        <v>50649</v>
      </c>
      <c r="BS264" s="469">
        <f t="shared" si="103"/>
        <v>6.5150500000000005</v>
      </c>
      <c r="BT264" s="474">
        <v>7.0056000000000003</v>
      </c>
      <c r="BU264" s="474">
        <v>6.0244999999999997</v>
      </c>
    </row>
    <row r="265" spans="36:73">
      <c r="AJ265" s="3">
        <f t="shared" si="108"/>
        <v>2026</v>
      </c>
      <c r="AK265" s="345">
        <f t="shared" si="117"/>
        <v>46204</v>
      </c>
      <c r="AL265" s="122">
        <v>86.89</v>
      </c>
      <c r="AM265" s="122">
        <v>83.28</v>
      </c>
      <c r="AN265" s="319">
        <f t="shared" si="112"/>
        <v>85.337699999999998</v>
      </c>
      <c r="AO265" s="305">
        <v>416</v>
      </c>
      <c r="AP265" s="305">
        <v>328</v>
      </c>
      <c r="AQ265" s="305">
        <f t="shared" si="109"/>
        <v>0.55913978494623651</v>
      </c>
      <c r="AR265" s="305">
        <f t="shared" si="110"/>
        <v>0.44086021505376344</v>
      </c>
      <c r="AV265" s="3">
        <f t="shared" si="113"/>
        <v>2026</v>
      </c>
      <c r="AW265" s="343">
        <f t="shared" si="116"/>
        <v>46204</v>
      </c>
      <c r="AX265" s="121">
        <f t="shared" si="111"/>
        <v>10.912272974442631</v>
      </c>
      <c r="AY265" s="122">
        <v>10.912272974442631</v>
      </c>
      <c r="BA265" s="3">
        <f t="shared" si="104"/>
        <v>2025</v>
      </c>
      <c r="BB265" s="343">
        <v>45808</v>
      </c>
      <c r="BC265" s="3">
        <f t="shared" si="105"/>
        <v>6.3250000000000002</v>
      </c>
      <c r="BD265" s="3">
        <v>6.41</v>
      </c>
      <c r="BE265" s="3">
        <v>6.24</v>
      </c>
      <c r="BG265" s="3">
        <f t="shared" si="106"/>
        <v>2029</v>
      </c>
      <c r="BH265" s="318">
        <v>47209</v>
      </c>
      <c r="BI265" s="3">
        <f t="shared" si="107"/>
        <v>12.68</v>
      </c>
      <c r="BJ265" s="3">
        <v>12.81</v>
      </c>
      <c r="BK265" s="3">
        <v>12.55</v>
      </c>
      <c r="BL265" s="412">
        <f t="shared" si="114"/>
        <v>2035</v>
      </c>
      <c r="BM265" s="427">
        <v>49583</v>
      </c>
      <c r="BN265" s="412">
        <f t="shared" si="118"/>
        <v>5.7270500000000002</v>
      </c>
      <c r="BO265" s="458">
        <v>5.7111000000000001</v>
      </c>
      <c r="BP265" s="458">
        <v>5.7430000000000003</v>
      </c>
      <c r="BQ265" s="469">
        <f t="shared" si="115"/>
        <v>2038</v>
      </c>
      <c r="BR265" s="473">
        <v>50679</v>
      </c>
      <c r="BS265" s="469">
        <f t="shared" si="103"/>
        <v>6.5580499999999997</v>
      </c>
      <c r="BT265" s="474">
        <v>7.0571999999999999</v>
      </c>
      <c r="BU265" s="474">
        <v>6.0589000000000004</v>
      </c>
    </row>
    <row r="266" spans="36:73">
      <c r="AJ266" s="3">
        <f t="shared" si="108"/>
        <v>2026</v>
      </c>
      <c r="AK266" s="345">
        <f t="shared" si="117"/>
        <v>46235</v>
      </c>
      <c r="AL266" s="122">
        <v>87.32</v>
      </c>
      <c r="AM266" s="122">
        <v>83.76</v>
      </c>
      <c r="AN266" s="319">
        <f t="shared" si="112"/>
        <v>85.789199999999994</v>
      </c>
      <c r="AO266" s="305">
        <v>416</v>
      </c>
      <c r="AP266" s="305">
        <v>328</v>
      </c>
      <c r="AQ266" s="305">
        <f t="shared" si="109"/>
        <v>0.55913978494623651</v>
      </c>
      <c r="AR266" s="305">
        <f t="shared" si="110"/>
        <v>0.44086021505376344</v>
      </c>
      <c r="AV266" s="3">
        <f t="shared" si="113"/>
        <v>2026</v>
      </c>
      <c r="AW266" s="343">
        <f t="shared" si="116"/>
        <v>46235</v>
      </c>
      <c r="AX266" s="121">
        <f t="shared" si="111"/>
        <v>10.912272974442631</v>
      </c>
      <c r="AY266" s="122">
        <v>10.912272974442631</v>
      </c>
      <c r="BA266" s="3">
        <f t="shared" si="104"/>
        <v>2025</v>
      </c>
      <c r="BB266" s="343">
        <v>45838</v>
      </c>
      <c r="BC266" s="3">
        <f t="shared" si="105"/>
        <v>6.42</v>
      </c>
      <c r="BD266" s="3">
        <v>6.5</v>
      </c>
      <c r="BE266" s="3">
        <v>6.34</v>
      </c>
      <c r="BG266" s="3">
        <f t="shared" si="106"/>
        <v>2029</v>
      </c>
      <c r="BH266" s="318">
        <v>47239</v>
      </c>
      <c r="BI266" s="3">
        <f t="shared" si="107"/>
        <v>12.68</v>
      </c>
      <c r="BJ266" s="3">
        <v>12.81</v>
      </c>
      <c r="BK266" s="3">
        <v>12.55</v>
      </c>
      <c r="BL266" s="412">
        <f t="shared" si="114"/>
        <v>2035</v>
      </c>
      <c r="BM266" s="427">
        <v>49614</v>
      </c>
      <c r="BN266" s="412">
        <f t="shared" si="118"/>
        <v>5.9503500000000003</v>
      </c>
      <c r="BO266" s="458">
        <v>5.8864999999999998</v>
      </c>
      <c r="BP266" s="458">
        <v>6.0141999999999998</v>
      </c>
      <c r="BQ266" s="469">
        <f t="shared" si="115"/>
        <v>2038</v>
      </c>
      <c r="BR266" s="473">
        <v>50710</v>
      </c>
      <c r="BS266" s="469">
        <f t="shared" si="103"/>
        <v>6.7646499999999996</v>
      </c>
      <c r="BT266" s="474">
        <v>7.2122000000000002</v>
      </c>
      <c r="BU266" s="474">
        <v>6.3170999999999999</v>
      </c>
    </row>
    <row r="267" spans="36:73">
      <c r="AJ267" s="3">
        <f t="shared" si="108"/>
        <v>2026</v>
      </c>
      <c r="AK267" s="345">
        <f t="shared" si="117"/>
        <v>46266</v>
      </c>
      <c r="AL267" s="122">
        <v>86.55</v>
      </c>
      <c r="AM267" s="122">
        <v>81.16</v>
      </c>
      <c r="AN267" s="319">
        <f t="shared" si="112"/>
        <v>84.232299999999995</v>
      </c>
      <c r="AO267" s="305">
        <v>400</v>
      </c>
      <c r="AP267" s="305">
        <v>320</v>
      </c>
      <c r="AQ267" s="305">
        <f t="shared" si="109"/>
        <v>0.55555555555555558</v>
      </c>
      <c r="AR267" s="305">
        <f t="shared" si="110"/>
        <v>0.44444444444444442</v>
      </c>
      <c r="AV267" s="3">
        <f t="shared" si="113"/>
        <v>2026</v>
      </c>
      <c r="AW267" s="343">
        <f t="shared" si="116"/>
        <v>46266</v>
      </c>
      <c r="AX267" s="121">
        <f t="shared" si="111"/>
        <v>10.912272974442631</v>
      </c>
      <c r="AY267" s="122">
        <v>10.912272974442631</v>
      </c>
      <c r="BA267" s="3">
        <f t="shared" si="104"/>
        <v>2025</v>
      </c>
      <c r="BB267" s="343">
        <v>45869</v>
      </c>
      <c r="BC267" s="3">
        <f t="shared" si="105"/>
        <v>6.52</v>
      </c>
      <c r="BD267" s="3">
        <v>6.6</v>
      </c>
      <c r="BE267" s="3">
        <v>6.44</v>
      </c>
      <c r="BG267" s="3">
        <f t="shared" si="106"/>
        <v>2029</v>
      </c>
      <c r="BH267" s="318">
        <v>47270</v>
      </c>
      <c r="BI267" s="3">
        <f t="shared" si="107"/>
        <v>12.875</v>
      </c>
      <c r="BJ267" s="3">
        <v>13</v>
      </c>
      <c r="BK267" s="3">
        <v>12.75</v>
      </c>
      <c r="BL267" s="412">
        <f t="shared" si="114"/>
        <v>2035</v>
      </c>
      <c r="BM267" s="427">
        <v>49644</v>
      </c>
      <c r="BN267" s="412">
        <f t="shared" si="118"/>
        <v>6.2454999999999998</v>
      </c>
      <c r="BO267" s="458">
        <v>6.1897000000000002</v>
      </c>
      <c r="BP267" s="458">
        <v>6.3013000000000003</v>
      </c>
      <c r="BQ267" s="469">
        <f t="shared" si="115"/>
        <v>2038</v>
      </c>
      <c r="BR267" s="473">
        <v>50740</v>
      </c>
      <c r="BS267" s="469">
        <f t="shared" si="103"/>
        <v>7.28965</v>
      </c>
      <c r="BT267" s="474">
        <v>7.7629999999999999</v>
      </c>
      <c r="BU267" s="474">
        <v>6.8163</v>
      </c>
    </row>
    <row r="268" spans="36:73">
      <c r="AJ268" s="3">
        <f t="shared" si="108"/>
        <v>2026</v>
      </c>
      <c r="AK268" s="345">
        <f t="shared" si="117"/>
        <v>46296</v>
      </c>
      <c r="AL268" s="122">
        <v>85.89</v>
      </c>
      <c r="AM268" s="122">
        <v>74.989999999999995</v>
      </c>
      <c r="AN268" s="319">
        <f t="shared" si="112"/>
        <v>81.203000000000003</v>
      </c>
      <c r="AO268" s="305">
        <v>432</v>
      </c>
      <c r="AP268" s="305">
        <v>312</v>
      </c>
      <c r="AQ268" s="305">
        <f t="shared" si="109"/>
        <v>0.58064516129032262</v>
      </c>
      <c r="AR268" s="305">
        <f t="shared" si="110"/>
        <v>0.41935483870967744</v>
      </c>
      <c r="AV268" s="3">
        <f t="shared" si="113"/>
        <v>2026</v>
      </c>
      <c r="AW268" s="343">
        <f t="shared" si="116"/>
        <v>46296</v>
      </c>
      <c r="AX268" s="121">
        <f t="shared" si="111"/>
        <v>11.296313213703097</v>
      </c>
      <c r="AY268" s="122">
        <v>11.296313213703097</v>
      </c>
      <c r="BA268" s="3">
        <f t="shared" si="104"/>
        <v>2025</v>
      </c>
      <c r="BB268" s="343">
        <v>45900</v>
      </c>
      <c r="BC268" s="3">
        <f t="shared" si="105"/>
        <v>6.52</v>
      </c>
      <c r="BD268" s="3">
        <v>6.6</v>
      </c>
      <c r="BE268" s="3">
        <v>6.44</v>
      </c>
      <c r="BG268" s="3">
        <f t="shared" si="106"/>
        <v>2029</v>
      </c>
      <c r="BH268" s="318">
        <v>47300</v>
      </c>
      <c r="BI268" s="3">
        <f t="shared" si="107"/>
        <v>13.074999999999999</v>
      </c>
      <c r="BJ268" s="3">
        <v>13.2</v>
      </c>
      <c r="BK268" s="3">
        <v>12.95</v>
      </c>
      <c r="BL268" s="412">
        <f t="shared" si="114"/>
        <v>2036</v>
      </c>
      <c r="BM268" s="427">
        <v>49675</v>
      </c>
      <c r="BN268" s="412">
        <f t="shared" si="118"/>
        <v>6.5377999999999998</v>
      </c>
      <c r="BO268" s="458">
        <v>6.4725999999999999</v>
      </c>
      <c r="BP268" s="458">
        <v>6.6029999999999998</v>
      </c>
      <c r="BQ268" s="469">
        <f t="shared" si="115"/>
        <v>2039</v>
      </c>
      <c r="BR268" s="473">
        <v>50771</v>
      </c>
      <c r="BS268" s="469">
        <f t="shared" si="103"/>
        <v>7.3340499999999995</v>
      </c>
      <c r="BT268" s="474">
        <v>7.8182999999999998</v>
      </c>
      <c r="BU268" s="474">
        <v>6.8498000000000001</v>
      </c>
    </row>
    <row r="269" spans="36:73">
      <c r="AJ269" s="3">
        <f t="shared" si="108"/>
        <v>2026</v>
      </c>
      <c r="AK269" s="345">
        <f t="shared" si="117"/>
        <v>46327</v>
      </c>
      <c r="AL269" s="122">
        <v>97.01</v>
      </c>
      <c r="AM269" s="122">
        <v>85.07</v>
      </c>
      <c r="AN269" s="319">
        <f t="shared" si="112"/>
        <v>91.875799999999998</v>
      </c>
      <c r="AO269" s="305">
        <v>384</v>
      </c>
      <c r="AP269" s="305">
        <v>336</v>
      </c>
      <c r="AQ269" s="305">
        <f t="shared" si="109"/>
        <v>0.53333333333333333</v>
      </c>
      <c r="AR269" s="305">
        <f t="shared" si="110"/>
        <v>0.46666666666666667</v>
      </c>
      <c r="AV269" s="3">
        <f t="shared" si="113"/>
        <v>2026</v>
      </c>
      <c r="AW269" s="343">
        <f t="shared" si="116"/>
        <v>46327</v>
      </c>
      <c r="AX269" s="121">
        <f t="shared" si="111"/>
        <v>11.462843936922239</v>
      </c>
      <c r="AY269" s="122">
        <v>11.462843936922239</v>
      </c>
      <c r="BA269" s="3">
        <f t="shared" si="104"/>
        <v>2025</v>
      </c>
      <c r="BB269" s="343">
        <v>45930</v>
      </c>
      <c r="BC269" s="3">
        <f t="shared" si="105"/>
        <v>6.52</v>
      </c>
      <c r="BD269" s="3">
        <v>6.6</v>
      </c>
      <c r="BE269" s="3">
        <v>6.44</v>
      </c>
      <c r="BG269" s="3">
        <f t="shared" si="106"/>
        <v>2029</v>
      </c>
      <c r="BH269" s="318">
        <v>47331</v>
      </c>
      <c r="BI269" s="3">
        <f t="shared" si="107"/>
        <v>13.074999999999999</v>
      </c>
      <c r="BJ269" s="3">
        <v>13.2</v>
      </c>
      <c r="BK269" s="3">
        <v>12.95</v>
      </c>
      <c r="BL269" s="412">
        <f t="shared" si="114"/>
        <v>2036</v>
      </c>
      <c r="BM269" s="427">
        <v>49706</v>
      </c>
      <c r="BN269" s="412">
        <f t="shared" si="118"/>
        <v>6.4073499999999992</v>
      </c>
      <c r="BO269" s="458">
        <v>6.3583999999999996</v>
      </c>
      <c r="BP269" s="458">
        <v>6.4562999999999997</v>
      </c>
      <c r="BQ269" s="469">
        <f t="shared" si="115"/>
        <v>2039</v>
      </c>
      <c r="BR269" s="473">
        <v>50802</v>
      </c>
      <c r="BS269" s="469">
        <f t="shared" si="103"/>
        <v>7.3604500000000002</v>
      </c>
      <c r="BT269" s="474">
        <v>7.8711000000000002</v>
      </c>
      <c r="BU269" s="474">
        <v>6.8498000000000001</v>
      </c>
    </row>
    <row r="270" spans="36:73">
      <c r="AJ270" s="3">
        <f t="shared" si="108"/>
        <v>2026</v>
      </c>
      <c r="AK270" s="345">
        <f t="shared" si="117"/>
        <v>46357</v>
      </c>
      <c r="AL270" s="122">
        <v>101.55</v>
      </c>
      <c r="AM270" s="122">
        <v>93.13</v>
      </c>
      <c r="AN270" s="319">
        <f t="shared" si="112"/>
        <v>97.929399999999987</v>
      </c>
      <c r="AO270" s="305">
        <v>416</v>
      </c>
      <c r="AP270" s="305">
        <v>328</v>
      </c>
      <c r="AQ270" s="305">
        <f t="shared" si="109"/>
        <v>0.55913978494623651</v>
      </c>
      <c r="AR270" s="305">
        <f t="shared" si="110"/>
        <v>0.44086021505376344</v>
      </c>
      <c r="AV270" s="3">
        <f t="shared" si="113"/>
        <v>2026</v>
      </c>
      <c r="AW270" s="343">
        <f t="shared" si="116"/>
        <v>46357</v>
      </c>
      <c r="AX270" s="121">
        <f t="shared" si="111"/>
        <v>12.010016313213702</v>
      </c>
      <c r="AY270" s="122">
        <v>12.010016313213702</v>
      </c>
      <c r="BA270" s="3">
        <f t="shared" si="104"/>
        <v>2025</v>
      </c>
      <c r="BB270" s="343">
        <v>45961</v>
      </c>
      <c r="BC270" s="3">
        <f t="shared" si="105"/>
        <v>6.7650000000000006</v>
      </c>
      <c r="BD270" s="3">
        <v>6.79</v>
      </c>
      <c r="BE270" s="3">
        <v>6.74</v>
      </c>
      <c r="BG270" s="3">
        <f t="shared" si="106"/>
        <v>2029</v>
      </c>
      <c r="BH270" s="318">
        <v>47362</v>
      </c>
      <c r="BI270" s="3">
        <f t="shared" si="107"/>
        <v>13.074999999999999</v>
      </c>
      <c r="BJ270" s="3">
        <v>13.2</v>
      </c>
      <c r="BK270" s="3">
        <v>12.95</v>
      </c>
      <c r="BL270" s="412">
        <f t="shared" si="114"/>
        <v>2036</v>
      </c>
      <c r="BM270" s="427">
        <v>49735</v>
      </c>
      <c r="BN270" s="412">
        <f t="shared" si="118"/>
        <v>6.1628000000000007</v>
      </c>
      <c r="BO270" s="458">
        <v>6.1139000000000001</v>
      </c>
      <c r="BP270" s="458">
        <v>6.2117000000000004</v>
      </c>
      <c r="BQ270" s="469">
        <f t="shared" si="115"/>
        <v>2039</v>
      </c>
      <c r="BR270" s="473">
        <v>50830</v>
      </c>
      <c r="BS270" s="469">
        <f t="shared" si="103"/>
        <v>6.9642499999999998</v>
      </c>
      <c r="BT270" s="474">
        <v>7.4309000000000003</v>
      </c>
      <c r="BU270" s="474">
        <v>6.4976000000000003</v>
      </c>
    </row>
    <row r="271" spans="36:73">
      <c r="AJ271" s="3">
        <f t="shared" si="108"/>
        <v>2027</v>
      </c>
      <c r="AK271" s="345">
        <f t="shared" si="117"/>
        <v>46388</v>
      </c>
      <c r="AL271" s="122">
        <v>106.3</v>
      </c>
      <c r="AM271" s="122">
        <v>95.93</v>
      </c>
      <c r="AN271" s="319">
        <f t="shared" si="112"/>
        <v>101.8409</v>
      </c>
      <c r="AO271" s="305">
        <v>400</v>
      </c>
      <c r="AP271" s="305">
        <v>344</v>
      </c>
      <c r="AQ271" s="305">
        <f t="shared" si="109"/>
        <v>0.5376344086021505</v>
      </c>
      <c r="AR271" s="305">
        <f t="shared" si="110"/>
        <v>0.46236559139784944</v>
      </c>
      <c r="AV271" s="3">
        <f t="shared" si="113"/>
        <v>2027</v>
      </c>
      <c r="AW271" s="343">
        <f t="shared" si="116"/>
        <v>46388</v>
      </c>
      <c r="AX271" s="121">
        <f t="shared" si="111"/>
        <v>13.02279499728113</v>
      </c>
      <c r="AY271" s="122">
        <v>13.02279499728113</v>
      </c>
      <c r="BA271" s="3">
        <f t="shared" si="104"/>
        <v>2025</v>
      </c>
      <c r="BB271" s="343">
        <v>45991</v>
      </c>
      <c r="BC271" s="3">
        <f t="shared" si="105"/>
        <v>6.8650000000000002</v>
      </c>
      <c r="BD271" s="3">
        <v>6.89</v>
      </c>
      <c r="BE271" s="3">
        <v>6.84</v>
      </c>
      <c r="BG271" s="3">
        <f t="shared" si="106"/>
        <v>2029</v>
      </c>
      <c r="BH271" s="318">
        <v>47392</v>
      </c>
      <c r="BI271" s="3">
        <f t="shared" si="107"/>
        <v>13.565000000000001</v>
      </c>
      <c r="BJ271" s="3">
        <v>13.58</v>
      </c>
      <c r="BK271" s="3">
        <v>13.55</v>
      </c>
      <c r="BL271" s="412">
        <f t="shared" si="114"/>
        <v>2036</v>
      </c>
      <c r="BM271" s="427">
        <v>49766</v>
      </c>
      <c r="BN271" s="412">
        <f t="shared" si="118"/>
        <v>5.8611500000000003</v>
      </c>
      <c r="BO271" s="458">
        <v>5.8693</v>
      </c>
      <c r="BP271" s="458">
        <v>5.8529999999999998</v>
      </c>
      <c r="BQ271" s="469">
        <f t="shared" si="115"/>
        <v>2039</v>
      </c>
      <c r="BR271" s="473">
        <v>50861</v>
      </c>
      <c r="BS271" s="469">
        <f t="shared" si="103"/>
        <v>6.6120999999999999</v>
      </c>
      <c r="BT271" s="474">
        <v>7.0259</v>
      </c>
      <c r="BU271" s="474">
        <v>6.1982999999999997</v>
      </c>
    </row>
    <row r="272" spans="36:73">
      <c r="AJ272" s="3">
        <f t="shared" si="108"/>
        <v>2027</v>
      </c>
      <c r="AK272" s="345">
        <f t="shared" si="117"/>
        <v>46419</v>
      </c>
      <c r="AL272" s="122">
        <v>100.05</v>
      </c>
      <c r="AM272" s="122">
        <v>87.01</v>
      </c>
      <c r="AN272" s="319">
        <f t="shared" si="112"/>
        <v>94.442800000000005</v>
      </c>
      <c r="AO272" s="305">
        <v>384</v>
      </c>
      <c r="AP272" s="305">
        <v>288</v>
      </c>
      <c r="AQ272" s="305">
        <f t="shared" si="109"/>
        <v>0.5714285714285714</v>
      </c>
      <c r="AR272" s="305">
        <f t="shared" si="110"/>
        <v>0.42857142857142855</v>
      </c>
      <c r="AV272" s="3">
        <f t="shared" si="113"/>
        <v>2027</v>
      </c>
      <c r="AW272" s="343">
        <f t="shared" si="116"/>
        <v>46419</v>
      </c>
      <c r="AX272" s="121">
        <f t="shared" si="111"/>
        <v>12.237721587819468</v>
      </c>
      <c r="AY272" s="122">
        <v>12.237721587819468</v>
      </c>
      <c r="BA272" s="3">
        <f t="shared" si="104"/>
        <v>2025</v>
      </c>
      <c r="BB272" s="343">
        <v>46022</v>
      </c>
      <c r="BC272" s="3">
        <f t="shared" si="105"/>
        <v>7.2050000000000001</v>
      </c>
      <c r="BD272" s="3">
        <v>7.18</v>
      </c>
      <c r="BE272" s="3">
        <v>7.23</v>
      </c>
      <c r="BG272" s="3">
        <f t="shared" si="106"/>
        <v>2029</v>
      </c>
      <c r="BH272" s="318">
        <v>47423</v>
      </c>
      <c r="BI272" s="3">
        <f t="shared" si="107"/>
        <v>13.765000000000001</v>
      </c>
      <c r="BJ272" s="3">
        <v>13.78</v>
      </c>
      <c r="BK272" s="3">
        <v>13.75</v>
      </c>
      <c r="BL272" s="412">
        <f t="shared" si="114"/>
        <v>2036</v>
      </c>
      <c r="BM272" s="427">
        <v>49796</v>
      </c>
      <c r="BN272" s="412">
        <f t="shared" si="118"/>
        <v>5.8285499999999999</v>
      </c>
      <c r="BO272" s="458">
        <v>5.8529999999999998</v>
      </c>
      <c r="BP272" s="458">
        <v>5.8041</v>
      </c>
      <c r="BQ272" s="469">
        <f t="shared" si="115"/>
        <v>2039</v>
      </c>
      <c r="BR272" s="473">
        <v>50891</v>
      </c>
      <c r="BS272" s="469">
        <f t="shared" ref="BS272:BS291" si="119">AVERAGE(BT272:BU272)</f>
        <v>6.6385000000000005</v>
      </c>
      <c r="BT272" s="474">
        <v>7.0610999999999997</v>
      </c>
      <c r="BU272" s="474">
        <v>6.2159000000000004</v>
      </c>
    </row>
    <row r="273" spans="36:73">
      <c r="AJ273" s="3">
        <f t="shared" si="108"/>
        <v>2027</v>
      </c>
      <c r="AK273" s="345">
        <f t="shared" si="117"/>
        <v>46447</v>
      </c>
      <c r="AL273" s="122">
        <v>84.79</v>
      </c>
      <c r="AM273" s="122">
        <v>75.819999999999993</v>
      </c>
      <c r="AN273" s="319">
        <f t="shared" si="112"/>
        <v>80.932899999999989</v>
      </c>
      <c r="AO273" s="305">
        <v>432</v>
      </c>
      <c r="AP273" s="305">
        <v>312</v>
      </c>
      <c r="AQ273" s="305">
        <f t="shared" si="109"/>
        <v>0.58064516129032262</v>
      </c>
      <c r="AR273" s="305">
        <f t="shared" si="110"/>
        <v>0.41935483870967744</v>
      </c>
      <c r="AV273" s="3">
        <f t="shared" si="113"/>
        <v>2027</v>
      </c>
      <c r="AW273" s="343">
        <f t="shared" si="116"/>
        <v>46447</v>
      </c>
      <c r="AX273" s="121">
        <f t="shared" si="111"/>
        <v>11.51042414355628</v>
      </c>
      <c r="AY273" s="122">
        <v>11.51042414355628</v>
      </c>
      <c r="BA273" s="3">
        <f t="shared" ref="BA273:BA336" si="120">YEAR(BB273)</f>
        <v>2026</v>
      </c>
      <c r="BB273" s="343">
        <v>46053</v>
      </c>
      <c r="BC273" s="3">
        <f t="shared" ref="BC273:BC336" si="121">AVERAGE(BD273:BE273)</f>
        <v>8.02</v>
      </c>
      <c r="BD273" s="3">
        <v>7.94</v>
      </c>
      <c r="BE273" s="3">
        <v>8.1</v>
      </c>
      <c r="BG273" s="3">
        <f t="shared" ref="BG273:BG336" si="122">YEAR(BH273)</f>
        <v>2029</v>
      </c>
      <c r="BH273" s="318">
        <v>47453</v>
      </c>
      <c r="BI273" s="3">
        <f t="shared" ref="BI273:BI336" si="123">AVERAGE(BJ273:BK273)</f>
        <v>14.45</v>
      </c>
      <c r="BJ273" s="3">
        <v>14.36</v>
      </c>
      <c r="BK273" s="3">
        <v>14.54</v>
      </c>
      <c r="BL273" s="412">
        <f t="shared" si="114"/>
        <v>2036</v>
      </c>
      <c r="BM273" s="427">
        <v>49827</v>
      </c>
      <c r="BN273" s="412">
        <f t="shared" si="118"/>
        <v>5.7470499999999998</v>
      </c>
      <c r="BO273" s="458">
        <v>5.8204000000000002</v>
      </c>
      <c r="BP273" s="458">
        <v>5.6737000000000002</v>
      </c>
      <c r="BQ273" s="469">
        <f t="shared" si="115"/>
        <v>2039</v>
      </c>
      <c r="BR273" s="473">
        <v>50922</v>
      </c>
      <c r="BS273" s="469">
        <f t="shared" si="119"/>
        <v>6.7264999999999997</v>
      </c>
      <c r="BT273" s="474">
        <v>7.1139000000000001</v>
      </c>
      <c r="BU273" s="474">
        <v>6.3391000000000002</v>
      </c>
    </row>
    <row r="274" spans="36:73">
      <c r="AJ274" s="3">
        <f t="shared" si="108"/>
        <v>2027</v>
      </c>
      <c r="AK274" s="345">
        <f t="shared" si="117"/>
        <v>46478</v>
      </c>
      <c r="AL274" s="122">
        <v>84.34</v>
      </c>
      <c r="AM274" s="122">
        <v>80.349999999999994</v>
      </c>
      <c r="AN274" s="319">
        <f t="shared" si="112"/>
        <v>82.624300000000005</v>
      </c>
      <c r="AO274" s="305">
        <v>416</v>
      </c>
      <c r="AP274" s="305">
        <v>304</v>
      </c>
      <c r="AQ274" s="305">
        <f t="shared" si="109"/>
        <v>0.57777777777777772</v>
      </c>
      <c r="AR274" s="305">
        <f t="shared" si="110"/>
        <v>0.42222222222222222</v>
      </c>
      <c r="AV274" s="3">
        <f t="shared" si="113"/>
        <v>2027</v>
      </c>
      <c r="AW274" s="343">
        <f t="shared" si="116"/>
        <v>46478</v>
      </c>
      <c r="AX274" s="121">
        <f t="shared" si="111"/>
        <v>10.891881457313758</v>
      </c>
      <c r="AY274" s="122">
        <v>10.891881457313758</v>
      </c>
      <c r="BA274" s="3">
        <f t="shared" si="120"/>
        <v>2026</v>
      </c>
      <c r="BB274" s="343">
        <v>46081</v>
      </c>
      <c r="BC274" s="3">
        <f t="shared" si="121"/>
        <v>7.46</v>
      </c>
      <c r="BD274" s="3">
        <v>7.43</v>
      </c>
      <c r="BE274" s="3">
        <v>7.49</v>
      </c>
      <c r="BG274" s="3">
        <f t="shared" si="122"/>
        <v>2030</v>
      </c>
      <c r="BH274" s="318">
        <v>47484</v>
      </c>
      <c r="BI274" s="3">
        <f t="shared" si="123"/>
        <v>15.829999999999998</v>
      </c>
      <c r="BJ274" s="3">
        <v>15.62</v>
      </c>
      <c r="BK274" s="3">
        <v>16.04</v>
      </c>
      <c r="BL274" s="412">
        <f t="shared" si="114"/>
        <v>2036</v>
      </c>
      <c r="BM274" s="427">
        <v>49857</v>
      </c>
      <c r="BN274" s="412">
        <f t="shared" si="118"/>
        <v>5.8041</v>
      </c>
      <c r="BO274" s="458">
        <v>5.8693</v>
      </c>
      <c r="BP274" s="458">
        <v>5.7389000000000001</v>
      </c>
      <c r="BQ274" s="469">
        <f t="shared" si="115"/>
        <v>2039</v>
      </c>
      <c r="BR274" s="473">
        <v>50952</v>
      </c>
      <c r="BS274" s="469">
        <f t="shared" si="119"/>
        <v>7.0523000000000007</v>
      </c>
      <c r="BT274" s="474">
        <v>7.4485000000000001</v>
      </c>
      <c r="BU274" s="474">
        <v>6.6561000000000003</v>
      </c>
    </row>
    <row r="275" spans="36:73">
      <c r="AJ275" s="3">
        <f t="shared" si="108"/>
        <v>2027</v>
      </c>
      <c r="AK275" s="345">
        <f t="shared" si="117"/>
        <v>46508</v>
      </c>
      <c r="AL275" s="122">
        <v>85.88</v>
      </c>
      <c r="AM275" s="122">
        <v>80.78</v>
      </c>
      <c r="AN275" s="319">
        <f t="shared" si="112"/>
        <v>83.686999999999983</v>
      </c>
      <c r="AO275" s="305">
        <v>400</v>
      </c>
      <c r="AP275" s="305">
        <v>344</v>
      </c>
      <c r="AQ275" s="305">
        <f t="shared" si="109"/>
        <v>0.5376344086021505</v>
      </c>
      <c r="AR275" s="305">
        <f t="shared" si="110"/>
        <v>0.46236559139784944</v>
      </c>
      <c r="AV275" s="3">
        <f t="shared" si="113"/>
        <v>2027</v>
      </c>
      <c r="AW275" s="343">
        <f t="shared" si="116"/>
        <v>46508</v>
      </c>
      <c r="AX275" s="121">
        <f t="shared" si="111"/>
        <v>10.77972811310495</v>
      </c>
      <c r="AY275" s="122">
        <v>10.77972811310495</v>
      </c>
      <c r="BA275" s="3">
        <f t="shared" si="120"/>
        <v>2026</v>
      </c>
      <c r="BB275" s="343">
        <v>46112</v>
      </c>
      <c r="BC275" s="3">
        <f t="shared" si="121"/>
        <v>7</v>
      </c>
      <c r="BD275" s="3">
        <v>7.03</v>
      </c>
      <c r="BE275" s="3">
        <v>6.97</v>
      </c>
      <c r="BG275" s="3">
        <f t="shared" si="122"/>
        <v>2030</v>
      </c>
      <c r="BH275" s="318">
        <v>47515</v>
      </c>
      <c r="BI275" s="3">
        <f t="shared" si="123"/>
        <v>14.725000000000001</v>
      </c>
      <c r="BJ275" s="3">
        <v>14.63</v>
      </c>
      <c r="BK275" s="3">
        <v>14.82</v>
      </c>
      <c r="BL275" s="412">
        <f t="shared" si="114"/>
        <v>2036</v>
      </c>
      <c r="BM275" s="427">
        <v>49888</v>
      </c>
      <c r="BN275" s="412">
        <f t="shared" si="118"/>
        <v>5.9997499999999997</v>
      </c>
      <c r="BO275" s="458">
        <v>6.0160999999999998</v>
      </c>
      <c r="BP275" s="458">
        <v>5.9833999999999996</v>
      </c>
      <c r="BQ275" s="469">
        <f t="shared" si="115"/>
        <v>2039</v>
      </c>
      <c r="BR275" s="473">
        <v>50983</v>
      </c>
      <c r="BS275" s="469">
        <f t="shared" si="119"/>
        <v>7.1667500000000004</v>
      </c>
      <c r="BT275" s="474">
        <v>7.5365000000000002</v>
      </c>
      <c r="BU275" s="474">
        <v>6.7969999999999997</v>
      </c>
    </row>
    <row r="276" spans="36:73">
      <c r="AJ276" s="3">
        <f t="shared" ref="AJ276:AJ339" si="124">+YEAR(AK276)</f>
        <v>2027</v>
      </c>
      <c r="AK276" s="345">
        <f t="shared" si="117"/>
        <v>46539</v>
      </c>
      <c r="AL276" s="122">
        <v>92.96</v>
      </c>
      <c r="AM276" s="122">
        <v>82.97</v>
      </c>
      <c r="AN276" s="319">
        <f t="shared" si="112"/>
        <v>88.664299999999997</v>
      </c>
      <c r="AO276" s="305">
        <v>416</v>
      </c>
      <c r="AP276" s="305">
        <v>304</v>
      </c>
      <c r="AQ276" s="305">
        <f t="shared" ref="AQ276:AQ339" si="125">AO276/(AO276+AP276)</f>
        <v>0.57777777777777772</v>
      </c>
      <c r="AR276" s="305">
        <f t="shared" ref="AR276:AR339" si="126">AP276/(AO276+AP276)</f>
        <v>0.42222222222222222</v>
      </c>
      <c r="AV276" s="3">
        <f t="shared" si="113"/>
        <v>2027</v>
      </c>
      <c r="AW276" s="343">
        <f t="shared" si="116"/>
        <v>46539</v>
      </c>
      <c r="AX276" s="121">
        <f t="shared" ref="AX276:AX339" si="127">AY276</f>
        <v>10.949657422512235</v>
      </c>
      <c r="AY276" s="122">
        <v>10.949657422512235</v>
      </c>
      <c r="BA276" s="3">
        <f t="shared" si="120"/>
        <v>2026</v>
      </c>
      <c r="BB276" s="343">
        <v>46142</v>
      </c>
      <c r="BC276" s="3">
        <f t="shared" si="121"/>
        <v>6.5449999999999999</v>
      </c>
      <c r="BD276" s="3">
        <v>6.63</v>
      </c>
      <c r="BE276" s="3">
        <v>6.46</v>
      </c>
      <c r="BG276" s="3">
        <f t="shared" si="122"/>
        <v>2030</v>
      </c>
      <c r="BH276" s="318">
        <v>47543</v>
      </c>
      <c r="BI276" s="3">
        <f t="shared" si="123"/>
        <v>13.82</v>
      </c>
      <c r="BJ276" s="3">
        <v>13.84</v>
      </c>
      <c r="BK276" s="3">
        <v>13.8</v>
      </c>
      <c r="BL276" s="412">
        <f t="shared" si="114"/>
        <v>2036</v>
      </c>
      <c r="BM276" s="427">
        <v>49919</v>
      </c>
      <c r="BN276" s="412">
        <f t="shared" si="118"/>
        <v>5.8774499999999996</v>
      </c>
      <c r="BO276" s="458">
        <v>5.8529999999999998</v>
      </c>
      <c r="BP276" s="458">
        <v>5.9019000000000004</v>
      </c>
      <c r="BQ276" s="469">
        <f t="shared" si="115"/>
        <v>2039</v>
      </c>
      <c r="BR276" s="473">
        <v>51014</v>
      </c>
      <c r="BS276" s="469">
        <f t="shared" si="119"/>
        <v>7.0699000000000005</v>
      </c>
      <c r="BT276" s="474">
        <v>7.4661</v>
      </c>
      <c r="BU276" s="474">
        <v>6.6737000000000002</v>
      </c>
    </row>
    <row r="277" spans="36:73">
      <c r="AJ277" s="3">
        <f t="shared" si="124"/>
        <v>2027</v>
      </c>
      <c r="AK277" s="345">
        <f t="shared" si="117"/>
        <v>46569</v>
      </c>
      <c r="AL277" s="122">
        <v>88.54</v>
      </c>
      <c r="AM277" s="122">
        <v>84.87</v>
      </c>
      <c r="AN277" s="319">
        <f t="shared" si="112"/>
        <v>86.9619</v>
      </c>
      <c r="AO277" s="305">
        <v>416</v>
      </c>
      <c r="AP277" s="305">
        <v>328</v>
      </c>
      <c r="AQ277" s="305">
        <f t="shared" si="125"/>
        <v>0.55913978494623651</v>
      </c>
      <c r="AR277" s="305">
        <f t="shared" si="126"/>
        <v>0.44086021505376344</v>
      </c>
      <c r="AV277" s="3">
        <f t="shared" si="113"/>
        <v>2027</v>
      </c>
      <c r="AW277" s="343">
        <f t="shared" si="116"/>
        <v>46569</v>
      </c>
      <c r="AX277" s="121">
        <f t="shared" si="127"/>
        <v>11.119586731919519</v>
      </c>
      <c r="AY277" s="122">
        <v>11.119586731919519</v>
      </c>
      <c r="BA277" s="3">
        <f t="shared" si="120"/>
        <v>2026</v>
      </c>
      <c r="BB277" s="343">
        <v>46173</v>
      </c>
      <c r="BC277" s="3">
        <f t="shared" si="121"/>
        <v>6.5449999999999999</v>
      </c>
      <c r="BD277" s="3">
        <v>6.63</v>
      </c>
      <c r="BE277" s="3">
        <v>6.46</v>
      </c>
      <c r="BG277" s="3">
        <f t="shared" si="122"/>
        <v>2030</v>
      </c>
      <c r="BH277" s="318">
        <v>47574</v>
      </c>
      <c r="BI277" s="3">
        <f t="shared" si="123"/>
        <v>12.92</v>
      </c>
      <c r="BJ277" s="3">
        <v>13.05</v>
      </c>
      <c r="BK277" s="3">
        <v>12.79</v>
      </c>
      <c r="BL277" s="412">
        <f t="shared" si="114"/>
        <v>2036</v>
      </c>
      <c r="BM277" s="427">
        <v>49949</v>
      </c>
      <c r="BN277" s="412">
        <f t="shared" si="118"/>
        <v>5.97525</v>
      </c>
      <c r="BO277" s="458">
        <v>5.9508000000000001</v>
      </c>
      <c r="BP277" s="458">
        <v>5.9996999999999998</v>
      </c>
      <c r="BQ277" s="469">
        <f t="shared" si="115"/>
        <v>2039</v>
      </c>
      <c r="BR277" s="473">
        <v>51044</v>
      </c>
      <c r="BS277" s="469">
        <f t="shared" si="119"/>
        <v>7.1227</v>
      </c>
      <c r="BT277" s="474">
        <v>7.5189000000000004</v>
      </c>
      <c r="BU277" s="474">
        <v>6.7264999999999997</v>
      </c>
    </row>
    <row r="278" spans="36:73">
      <c r="AJ278" s="3">
        <f t="shared" si="124"/>
        <v>2027</v>
      </c>
      <c r="AK278" s="345">
        <f t="shared" si="117"/>
        <v>46600</v>
      </c>
      <c r="AL278" s="122">
        <v>88.98</v>
      </c>
      <c r="AM278" s="122">
        <v>85.35</v>
      </c>
      <c r="AN278" s="319">
        <f t="shared" si="112"/>
        <v>87.419099999999986</v>
      </c>
      <c r="AO278" s="305">
        <v>416</v>
      </c>
      <c r="AP278" s="305">
        <v>328</v>
      </c>
      <c r="AQ278" s="305">
        <f t="shared" si="125"/>
        <v>0.55913978494623651</v>
      </c>
      <c r="AR278" s="305">
        <f t="shared" si="126"/>
        <v>0.44086021505376344</v>
      </c>
      <c r="AV278" s="3">
        <f t="shared" si="113"/>
        <v>2027</v>
      </c>
      <c r="AW278" s="343">
        <f t="shared" si="116"/>
        <v>46600</v>
      </c>
      <c r="AX278" s="121">
        <f t="shared" si="127"/>
        <v>11.119586731919519</v>
      </c>
      <c r="AY278" s="122">
        <v>11.119586731919519</v>
      </c>
      <c r="BA278" s="3">
        <f t="shared" si="120"/>
        <v>2026</v>
      </c>
      <c r="BB278" s="343">
        <v>46203</v>
      </c>
      <c r="BC278" s="3">
        <f t="shared" si="121"/>
        <v>6.6449999999999996</v>
      </c>
      <c r="BD278" s="3">
        <v>6.73</v>
      </c>
      <c r="BE278" s="3">
        <v>6.56</v>
      </c>
      <c r="BG278" s="3">
        <f t="shared" si="122"/>
        <v>2030</v>
      </c>
      <c r="BH278" s="318">
        <v>47604</v>
      </c>
      <c r="BI278" s="3">
        <f t="shared" si="123"/>
        <v>12.92</v>
      </c>
      <c r="BJ278" s="3">
        <v>13.05</v>
      </c>
      <c r="BK278" s="3">
        <v>12.79</v>
      </c>
      <c r="BL278" s="412">
        <f t="shared" si="114"/>
        <v>2036</v>
      </c>
      <c r="BM278" s="427">
        <v>49980</v>
      </c>
      <c r="BN278" s="412">
        <f t="shared" si="118"/>
        <v>6.1872500000000006</v>
      </c>
      <c r="BO278" s="458">
        <v>6.1302000000000003</v>
      </c>
      <c r="BP278" s="458">
        <v>6.2443</v>
      </c>
      <c r="BQ278" s="469">
        <f t="shared" si="115"/>
        <v>2039</v>
      </c>
      <c r="BR278" s="473">
        <v>51075</v>
      </c>
      <c r="BS278" s="469">
        <f t="shared" si="119"/>
        <v>7.2988</v>
      </c>
      <c r="BT278" s="474">
        <v>7.7477999999999998</v>
      </c>
      <c r="BU278" s="474">
        <v>6.8498000000000001</v>
      </c>
    </row>
    <row r="279" spans="36:73">
      <c r="AJ279" s="3">
        <f t="shared" si="124"/>
        <v>2027</v>
      </c>
      <c r="AK279" s="345">
        <f t="shared" si="117"/>
        <v>46631</v>
      </c>
      <c r="AL279" s="122">
        <v>88.2</v>
      </c>
      <c r="AM279" s="122">
        <v>82.71</v>
      </c>
      <c r="AN279" s="319">
        <f t="shared" si="112"/>
        <v>85.83929999999998</v>
      </c>
      <c r="AO279" s="305">
        <v>400</v>
      </c>
      <c r="AP279" s="305">
        <v>320</v>
      </c>
      <c r="AQ279" s="305">
        <f t="shared" si="125"/>
        <v>0.55555555555555558</v>
      </c>
      <c r="AR279" s="305">
        <f t="shared" si="126"/>
        <v>0.44444444444444442</v>
      </c>
      <c r="AV279" s="3">
        <f t="shared" si="113"/>
        <v>2027</v>
      </c>
      <c r="AW279" s="343">
        <f t="shared" si="116"/>
        <v>46631</v>
      </c>
      <c r="AX279" s="121">
        <f t="shared" si="127"/>
        <v>11.119586731919519</v>
      </c>
      <c r="AY279" s="122">
        <v>11.119586731919519</v>
      </c>
      <c r="BA279" s="3">
        <f t="shared" si="120"/>
        <v>2026</v>
      </c>
      <c r="BB279" s="343">
        <v>46234</v>
      </c>
      <c r="BC279" s="3">
        <f t="shared" si="121"/>
        <v>6.75</v>
      </c>
      <c r="BD279" s="3">
        <v>6.83</v>
      </c>
      <c r="BE279" s="3">
        <v>6.67</v>
      </c>
      <c r="BG279" s="3">
        <f t="shared" si="122"/>
        <v>2030</v>
      </c>
      <c r="BH279" s="318">
        <v>47635</v>
      </c>
      <c r="BI279" s="3">
        <f t="shared" si="123"/>
        <v>13.120000000000001</v>
      </c>
      <c r="BJ279" s="3">
        <v>13.25</v>
      </c>
      <c r="BK279" s="3">
        <v>12.99</v>
      </c>
      <c r="BL279" s="412">
        <f t="shared" si="114"/>
        <v>2036</v>
      </c>
      <c r="BM279" s="427">
        <v>50010</v>
      </c>
      <c r="BN279" s="412">
        <f t="shared" si="118"/>
        <v>6.47255</v>
      </c>
      <c r="BO279" s="458">
        <v>6.4073000000000002</v>
      </c>
      <c r="BP279" s="458">
        <v>6.5377999999999998</v>
      </c>
      <c r="BQ279" s="469">
        <f t="shared" si="115"/>
        <v>2039</v>
      </c>
      <c r="BR279" s="473">
        <v>51105</v>
      </c>
      <c r="BS279" s="469">
        <f t="shared" si="119"/>
        <v>7.7566500000000005</v>
      </c>
      <c r="BT279" s="474">
        <v>8.2408999999999999</v>
      </c>
      <c r="BU279" s="474">
        <v>7.2724000000000002</v>
      </c>
    </row>
    <row r="280" spans="36:73">
      <c r="AJ280" s="3">
        <f t="shared" si="124"/>
        <v>2027</v>
      </c>
      <c r="AK280" s="345">
        <f t="shared" si="117"/>
        <v>46661</v>
      </c>
      <c r="AL280" s="122">
        <v>87.52</v>
      </c>
      <c r="AM280" s="122">
        <v>76.41</v>
      </c>
      <c r="AN280" s="319">
        <f t="shared" si="112"/>
        <v>82.742699999999985</v>
      </c>
      <c r="AO280" s="305">
        <v>416</v>
      </c>
      <c r="AP280" s="305">
        <v>328</v>
      </c>
      <c r="AQ280" s="305">
        <f t="shared" si="125"/>
        <v>0.55913978494623651</v>
      </c>
      <c r="AR280" s="305">
        <f t="shared" si="126"/>
        <v>0.44086021505376344</v>
      </c>
      <c r="AV280" s="3">
        <f t="shared" si="113"/>
        <v>2027</v>
      </c>
      <c r="AW280" s="343">
        <f t="shared" si="116"/>
        <v>46661</v>
      </c>
      <c r="AX280" s="121">
        <f t="shared" si="127"/>
        <v>11.51042414355628</v>
      </c>
      <c r="AY280" s="122">
        <v>11.51042414355628</v>
      </c>
      <c r="BA280" s="3">
        <f t="shared" si="120"/>
        <v>2026</v>
      </c>
      <c r="BB280" s="343">
        <v>46265</v>
      </c>
      <c r="BC280" s="3">
        <f t="shared" si="121"/>
        <v>6.75</v>
      </c>
      <c r="BD280" s="3">
        <v>6.83</v>
      </c>
      <c r="BE280" s="3">
        <v>6.67</v>
      </c>
      <c r="BG280" s="3">
        <f t="shared" si="122"/>
        <v>2030</v>
      </c>
      <c r="BH280" s="318">
        <v>47665</v>
      </c>
      <c r="BI280" s="3">
        <f t="shared" si="123"/>
        <v>13.32</v>
      </c>
      <c r="BJ280" s="3">
        <v>13.45</v>
      </c>
      <c r="BK280" s="3">
        <v>13.19</v>
      </c>
      <c r="BL280" s="412">
        <f t="shared" si="114"/>
        <v>2037</v>
      </c>
      <c r="BM280" s="427">
        <v>50041</v>
      </c>
      <c r="BN280" s="412">
        <f t="shared" si="118"/>
        <v>6.6899499999999996</v>
      </c>
      <c r="BO280" s="458">
        <v>6.6150000000000002</v>
      </c>
      <c r="BP280" s="458">
        <v>6.7648999999999999</v>
      </c>
      <c r="BQ280" s="469">
        <f t="shared" si="115"/>
        <v>2040</v>
      </c>
      <c r="BR280" s="473">
        <v>51136</v>
      </c>
      <c r="BS280" s="469">
        <f t="shared" si="119"/>
        <v>7.8179499999999997</v>
      </c>
      <c r="BT280" s="474">
        <v>8.3042999999999996</v>
      </c>
      <c r="BU280" s="474">
        <v>7.3315999999999999</v>
      </c>
    </row>
    <row r="281" spans="36:73">
      <c r="AJ281" s="3">
        <f t="shared" si="124"/>
        <v>2027</v>
      </c>
      <c r="AK281" s="345">
        <f t="shared" si="117"/>
        <v>46692</v>
      </c>
      <c r="AL281" s="122">
        <v>98.85</v>
      </c>
      <c r="AM281" s="122">
        <v>86.68</v>
      </c>
      <c r="AN281" s="319">
        <f t="shared" si="112"/>
        <v>93.616899999999987</v>
      </c>
      <c r="AO281" s="305">
        <v>400</v>
      </c>
      <c r="AP281" s="305">
        <v>320</v>
      </c>
      <c r="AQ281" s="305">
        <f t="shared" si="125"/>
        <v>0.55555555555555558</v>
      </c>
      <c r="AR281" s="305">
        <f t="shared" si="126"/>
        <v>0.44444444444444442</v>
      </c>
      <c r="AV281" s="3">
        <f t="shared" si="113"/>
        <v>2027</v>
      </c>
      <c r="AW281" s="343">
        <f t="shared" si="116"/>
        <v>46692</v>
      </c>
      <c r="AX281" s="121">
        <f t="shared" si="127"/>
        <v>11.67695486677542</v>
      </c>
      <c r="AY281" s="122">
        <v>11.67695486677542</v>
      </c>
      <c r="BA281" s="3">
        <f t="shared" si="120"/>
        <v>2026</v>
      </c>
      <c r="BB281" s="343">
        <v>46295</v>
      </c>
      <c r="BC281" s="3">
        <f t="shared" si="121"/>
        <v>6.75</v>
      </c>
      <c r="BD281" s="3">
        <v>6.83</v>
      </c>
      <c r="BE281" s="3">
        <v>6.67</v>
      </c>
      <c r="BG281" s="3">
        <f t="shared" si="122"/>
        <v>2030</v>
      </c>
      <c r="BH281" s="318">
        <v>47696</v>
      </c>
      <c r="BI281" s="3">
        <f t="shared" si="123"/>
        <v>13.32</v>
      </c>
      <c r="BJ281" s="3">
        <v>13.45</v>
      </c>
      <c r="BK281" s="3">
        <v>13.19</v>
      </c>
      <c r="BL281" s="412">
        <f t="shared" si="114"/>
        <v>2037</v>
      </c>
      <c r="BM281" s="427">
        <v>50072</v>
      </c>
      <c r="BN281" s="412">
        <f t="shared" si="118"/>
        <v>6.6816500000000003</v>
      </c>
      <c r="BO281" s="458">
        <v>6.6150000000000002</v>
      </c>
      <c r="BP281" s="458">
        <v>6.7483000000000004</v>
      </c>
      <c r="BQ281" s="469">
        <f t="shared" si="115"/>
        <v>2040</v>
      </c>
      <c r="BR281" s="473">
        <v>51167</v>
      </c>
      <c r="BS281" s="469">
        <f t="shared" si="119"/>
        <v>7.8269500000000001</v>
      </c>
      <c r="BT281" s="474">
        <v>8.3402999999999992</v>
      </c>
      <c r="BU281" s="474">
        <v>7.3136000000000001</v>
      </c>
    </row>
    <row r="282" spans="36:73">
      <c r="AJ282" s="3">
        <f t="shared" si="124"/>
        <v>2027</v>
      </c>
      <c r="AK282" s="345">
        <f t="shared" si="117"/>
        <v>46722</v>
      </c>
      <c r="AL282" s="122">
        <v>103.48</v>
      </c>
      <c r="AM282" s="122">
        <v>94.9</v>
      </c>
      <c r="AN282" s="319">
        <f t="shared" si="112"/>
        <v>99.790599999999998</v>
      </c>
      <c r="AO282" s="305">
        <v>416</v>
      </c>
      <c r="AP282" s="305">
        <v>328</v>
      </c>
      <c r="AQ282" s="305">
        <f t="shared" si="125"/>
        <v>0.55913978494623651</v>
      </c>
      <c r="AR282" s="305">
        <f t="shared" si="126"/>
        <v>0.44086021505376344</v>
      </c>
      <c r="AV282" s="3">
        <f t="shared" si="113"/>
        <v>2027</v>
      </c>
      <c r="AW282" s="343">
        <f t="shared" si="116"/>
        <v>46722</v>
      </c>
      <c r="AX282" s="121">
        <f t="shared" si="127"/>
        <v>12.237721587819468</v>
      </c>
      <c r="AY282" s="122">
        <v>12.237721587819468</v>
      </c>
      <c r="BA282" s="3">
        <f t="shared" si="120"/>
        <v>2026</v>
      </c>
      <c r="BB282" s="343">
        <v>46326</v>
      </c>
      <c r="BC282" s="3">
        <f t="shared" si="121"/>
        <v>7</v>
      </c>
      <c r="BD282" s="3">
        <v>7.03</v>
      </c>
      <c r="BE282" s="3">
        <v>6.97</v>
      </c>
      <c r="BG282" s="3">
        <f t="shared" si="122"/>
        <v>2030</v>
      </c>
      <c r="BH282" s="318">
        <v>47727</v>
      </c>
      <c r="BI282" s="3">
        <f t="shared" si="123"/>
        <v>13.32</v>
      </c>
      <c r="BJ282" s="3">
        <v>13.45</v>
      </c>
      <c r="BK282" s="3">
        <v>13.19</v>
      </c>
      <c r="BL282" s="412">
        <f t="shared" si="114"/>
        <v>2037</v>
      </c>
      <c r="BM282" s="427">
        <v>50100</v>
      </c>
      <c r="BN282" s="412">
        <f t="shared" si="118"/>
        <v>6.3066999999999993</v>
      </c>
      <c r="BO282" s="458">
        <v>6.2649999999999997</v>
      </c>
      <c r="BP282" s="458">
        <v>6.3483999999999998</v>
      </c>
      <c r="BQ282" s="469">
        <f t="shared" si="115"/>
        <v>2040</v>
      </c>
      <c r="BR282" s="473">
        <v>51196</v>
      </c>
      <c r="BS282" s="469">
        <f t="shared" si="119"/>
        <v>7.3045499999999999</v>
      </c>
      <c r="BT282" s="474">
        <v>7.7638999999999996</v>
      </c>
      <c r="BU282" s="474">
        <v>6.8452000000000002</v>
      </c>
    </row>
    <row r="283" spans="36:73">
      <c r="AJ283" s="3">
        <f t="shared" si="124"/>
        <v>2028</v>
      </c>
      <c r="AK283" s="345">
        <f t="shared" si="117"/>
        <v>46753</v>
      </c>
      <c r="AL283" s="122">
        <v>108.32</v>
      </c>
      <c r="AM283" s="122">
        <v>97.76</v>
      </c>
      <c r="AN283" s="319">
        <f t="shared" si="112"/>
        <v>103.77919999999999</v>
      </c>
      <c r="AO283" s="305">
        <v>400</v>
      </c>
      <c r="AP283" s="305">
        <v>344</v>
      </c>
      <c r="AQ283" s="305">
        <f t="shared" si="125"/>
        <v>0.5376344086021505</v>
      </c>
      <c r="AR283" s="305">
        <f t="shared" si="126"/>
        <v>0.46236559139784944</v>
      </c>
      <c r="AV283" s="3">
        <f t="shared" si="113"/>
        <v>2028</v>
      </c>
      <c r="AW283" s="343">
        <f t="shared" si="116"/>
        <v>46753</v>
      </c>
      <c r="AX283" s="121">
        <f t="shared" si="127"/>
        <v>13.270891789015767</v>
      </c>
      <c r="AY283" s="122">
        <v>13.270891789015767</v>
      </c>
      <c r="BA283" s="3">
        <f t="shared" si="120"/>
        <v>2026</v>
      </c>
      <c r="BB283" s="343">
        <v>46356</v>
      </c>
      <c r="BC283" s="3">
        <f t="shared" si="121"/>
        <v>7.1050000000000004</v>
      </c>
      <c r="BD283" s="3">
        <v>7.13</v>
      </c>
      <c r="BE283" s="3">
        <v>7.08</v>
      </c>
      <c r="BG283" s="3">
        <f t="shared" si="122"/>
        <v>2030</v>
      </c>
      <c r="BH283" s="318">
        <v>47757</v>
      </c>
      <c r="BI283" s="3">
        <f t="shared" si="123"/>
        <v>13.82</v>
      </c>
      <c r="BJ283" s="3">
        <v>13.84</v>
      </c>
      <c r="BK283" s="3">
        <v>13.8</v>
      </c>
      <c r="BL283" s="412">
        <f t="shared" si="114"/>
        <v>2037</v>
      </c>
      <c r="BM283" s="427">
        <v>50131</v>
      </c>
      <c r="BN283" s="412">
        <f t="shared" si="118"/>
        <v>5.9901</v>
      </c>
      <c r="BO283" s="458">
        <v>5.9650999999999996</v>
      </c>
      <c r="BP283" s="458">
        <v>6.0151000000000003</v>
      </c>
      <c r="BQ283" s="469">
        <f t="shared" si="115"/>
        <v>2040</v>
      </c>
      <c r="BR283" s="473">
        <v>51227</v>
      </c>
      <c r="BS283" s="469">
        <f t="shared" si="119"/>
        <v>6.8542000000000005</v>
      </c>
      <c r="BT283" s="474">
        <v>7.2415000000000003</v>
      </c>
      <c r="BU283" s="474">
        <v>6.4668999999999999</v>
      </c>
    </row>
    <row r="284" spans="36:73">
      <c r="AJ284" s="3">
        <f t="shared" si="124"/>
        <v>2028</v>
      </c>
      <c r="AK284" s="345">
        <f t="shared" si="117"/>
        <v>46784</v>
      </c>
      <c r="AL284" s="122">
        <v>101.95</v>
      </c>
      <c r="AM284" s="122">
        <v>88.67</v>
      </c>
      <c r="AN284" s="319">
        <f t="shared" ref="AN284:AN347" si="128">AL284*0.57+AM284*0.43</f>
        <v>96.239599999999996</v>
      </c>
      <c r="AO284" s="305">
        <v>400</v>
      </c>
      <c r="AP284" s="305">
        <v>296</v>
      </c>
      <c r="AQ284" s="305">
        <f t="shared" si="125"/>
        <v>0.57471264367816088</v>
      </c>
      <c r="AR284" s="305">
        <f t="shared" si="126"/>
        <v>0.42528735632183906</v>
      </c>
      <c r="AV284" s="3">
        <f t="shared" si="113"/>
        <v>2028</v>
      </c>
      <c r="AW284" s="343">
        <f t="shared" si="116"/>
        <v>46784</v>
      </c>
      <c r="AX284" s="121">
        <f t="shared" si="127"/>
        <v>12.472224034801522</v>
      </c>
      <c r="AY284" s="122">
        <v>12.472224034801522</v>
      </c>
      <c r="BA284" s="3">
        <f t="shared" si="120"/>
        <v>2026</v>
      </c>
      <c r="BB284" s="343">
        <v>46387</v>
      </c>
      <c r="BC284" s="3">
        <f t="shared" si="121"/>
        <v>7.46</v>
      </c>
      <c r="BD284" s="3">
        <v>7.43</v>
      </c>
      <c r="BE284" s="3">
        <v>7.49</v>
      </c>
      <c r="BG284" s="3">
        <f t="shared" si="122"/>
        <v>2030</v>
      </c>
      <c r="BH284" s="318">
        <v>47788</v>
      </c>
      <c r="BI284" s="3">
        <f t="shared" si="123"/>
        <v>14.024999999999999</v>
      </c>
      <c r="BJ284" s="3">
        <v>14.04</v>
      </c>
      <c r="BK284" s="3">
        <v>14.01</v>
      </c>
      <c r="BL284" s="412">
        <f t="shared" si="114"/>
        <v>2037</v>
      </c>
      <c r="BM284" s="427">
        <v>50161</v>
      </c>
      <c r="BN284" s="412">
        <f t="shared" si="118"/>
        <v>5.9567999999999994</v>
      </c>
      <c r="BO284" s="458">
        <v>5.9650999999999996</v>
      </c>
      <c r="BP284" s="458">
        <v>5.9485000000000001</v>
      </c>
      <c r="BQ284" s="469">
        <f t="shared" si="115"/>
        <v>2040</v>
      </c>
      <c r="BR284" s="473">
        <v>51257</v>
      </c>
      <c r="BS284" s="469">
        <f t="shared" si="119"/>
        <v>6.8721999999999994</v>
      </c>
      <c r="BT284" s="474">
        <v>7.2774999999999999</v>
      </c>
      <c r="BU284" s="474">
        <v>6.4668999999999999</v>
      </c>
    </row>
    <row r="285" spans="36:73">
      <c r="AJ285" s="3">
        <f t="shared" si="124"/>
        <v>2028</v>
      </c>
      <c r="AK285" s="345">
        <f t="shared" si="117"/>
        <v>46813</v>
      </c>
      <c r="AL285" s="122">
        <v>86.4</v>
      </c>
      <c r="AM285" s="122">
        <v>77.260000000000005</v>
      </c>
      <c r="AN285" s="319">
        <f t="shared" si="128"/>
        <v>82.469799999999992</v>
      </c>
      <c r="AO285" s="305">
        <v>432</v>
      </c>
      <c r="AP285" s="305">
        <v>312</v>
      </c>
      <c r="AQ285" s="305">
        <f t="shared" si="125"/>
        <v>0.58064516129032262</v>
      </c>
      <c r="AR285" s="305">
        <f t="shared" si="126"/>
        <v>0.41935483870967744</v>
      </c>
      <c r="AV285" s="3">
        <f t="shared" si="113"/>
        <v>2028</v>
      </c>
      <c r="AW285" s="343">
        <f t="shared" si="116"/>
        <v>46813</v>
      </c>
      <c r="AX285" s="121">
        <f t="shared" si="127"/>
        <v>11.727933659597609</v>
      </c>
      <c r="AY285" s="122">
        <v>11.727933659597609</v>
      </c>
      <c r="BA285" s="3">
        <f t="shared" si="120"/>
        <v>2027</v>
      </c>
      <c r="BB285" s="343">
        <v>46418</v>
      </c>
      <c r="BC285" s="3">
        <f t="shared" si="121"/>
        <v>8.3000000000000007</v>
      </c>
      <c r="BD285" s="3">
        <v>8.2100000000000009</v>
      </c>
      <c r="BE285" s="3">
        <v>8.39</v>
      </c>
      <c r="BG285" s="3">
        <f t="shared" si="122"/>
        <v>2030</v>
      </c>
      <c r="BH285" s="318">
        <v>47818</v>
      </c>
      <c r="BI285" s="3">
        <f t="shared" si="123"/>
        <v>14.725000000000001</v>
      </c>
      <c r="BJ285" s="3">
        <v>14.63</v>
      </c>
      <c r="BK285" s="3">
        <v>14.82</v>
      </c>
      <c r="BL285" s="412">
        <f t="shared" si="114"/>
        <v>2037</v>
      </c>
      <c r="BM285" s="427">
        <v>50192</v>
      </c>
      <c r="BN285" s="412">
        <f t="shared" si="118"/>
        <v>5.9068000000000005</v>
      </c>
      <c r="BO285" s="458">
        <v>5.9817999999999998</v>
      </c>
      <c r="BP285" s="458">
        <v>5.8318000000000003</v>
      </c>
      <c r="BQ285" s="469">
        <f t="shared" si="115"/>
        <v>2040</v>
      </c>
      <c r="BR285" s="473">
        <v>51288</v>
      </c>
      <c r="BS285" s="469">
        <f t="shared" si="119"/>
        <v>6.9262999999999995</v>
      </c>
      <c r="BT285" s="474">
        <v>7.3315999999999999</v>
      </c>
      <c r="BU285" s="474">
        <v>6.5209999999999999</v>
      </c>
    </row>
    <row r="286" spans="36:73">
      <c r="AJ286" s="3">
        <f t="shared" si="124"/>
        <v>2028</v>
      </c>
      <c r="AK286" s="345">
        <f t="shared" si="117"/>
        <v>46844</v>
      </c>
      <c r="AL286" s="122">
        <v>85.94</v>
      </c>
      <c r="AM286" s="122">
        <v>81.87</v>
      </c>
      <c r="AN286" s="319">
        <f t="shared" si="128"/>
        <v>84.189899999999994</v>
      </c>
      <c r="AO286" s="305">
        <v>400</v>
      </c>
      <c r="AP286" s="305">
        <v>320</v>
      </c>
      <c r="AQ286" s="305">
        <f t="shared" si="125"/>
        <v>0.55555555555555558</v>
      </c>
      <c r="AR286" s="305">
        <f t="shared" si="126"/>
        <v>0.44444444444444442</v>
      </c>
      <c r="AV286" s="3">
        <f t="shared" si="113"/>
        <v>2028</v>
      </c>
      <c r="AW286" s="343">
        <f t="shared" si="116"/>
        <v>46844</v>
      </c>
      <c r="AX286" s="121">
        <f t="shared" si="127"/>
        <v>11.099195214790647</v>
      </c>
      <c r="AY286" s="122">
        <v>11.099195214790647</v>
      </c>
      <c r="BA286" s="3">
        <f t="shared" si="120"/>
        <v>2027</v>
      </c>
      <c r="BB286" s="343">
        <v>46446</v>
      </c>
      <c r="BC286" s="3">
        <f t="shared" si="121"/>
        <v>7.7200000000000006</v>
      </c>
      <c r="BD286" s="3">
        <v>7.69</v>
      </c>
      <c r="BE286" s="3">
        <v>7.75</v>
      </c>
      <c r="BG286" s="3">
        <f t="shared" si="122"/>
        <v>2031</v>
      </c>
      <c r="BH286" s="318">
        <v>47849</v>
      </c>
      <c r="BI286" s="3">
        <f t="shared" si="123"/>
        <v>16.13</v>
      </c>
      <c r="BJ286" s="3">
        <v>15.92</v>
      </c>
      <c r="BK286" s="3">
        <v>16.34</v>
      </c>
      <c r="BL286" s="412">
        <f t="shared" si="114"/>
        <v>2037</v>
      </c>
      <c r="BM286" s="427">
        <v>50222</v>
      </c>
      <c r="BN286" s="412">
        <f t="shared" si="118"/>
        <v>5.9568000000000003</v>
      </c>
      <c r="BO286" s="458">
        <v>6.0151000000000003</v>
      </c>
      <c r="BP286" s="458">
        <v>5.8985000000000003</v>
      </c>
      <c r="BQ286" s="469">
        <f t="shared" si="115"/>
        <v>2040</v>
      </c>
      <c r="BR286" s="473">
        <v>51318</v>
      </c>
      <c r="BS286" s="469">
        <f t="shared" si="119"/>
        <v>7.2684999999999995</v>
      </c>
      <c r="BT286" s="474">
        <v>7.6558000000000002</v>
      </c>
      <c r="BU286" s="474">
        <v>6.8811999999999998</v>
      </c>
    </row>
    <row r="287" spans="36:73">
      <c r="AJ287" s="3">
        <f t="shared" si="124"/>
        <v>2028</v>
      </c>
      <c r="AK287" s="345">
        <f t="shared" si="117"/>
        <v>46874</v>
      </c>
      <c r="AL287" s="122">
        <v>87.51</v>
      </c>
      <c r="AM287" s="122">
        <v>82.32</v>
      </c>
      <c r="AN287" s="319">
        <f t="shared" si="128"/>
        <v>85.278300000000002</v>
      </c>
      <c r="AO287" s="305">
        <v>416</v>
      </c>
      <c r="AP287" s="305">
        <v>328</v>
      </c>
      <c r="AQ287" s="305">
        <f t="shared" si="125"/>
        <v>0.55913978494623651</v>
      </c>
      <c r="AR287" s="305">
        <f t="shared" si="126"/>
        <v>0.44086021505376344</v>
      </c>
      <c r="AV287" s="3">
        <f t="shared" si="113"/>
        <v>2028</v>
      </c>
      <c r="AW287" s="343">
        <f t="shared" si="116"/>
        <v>46874</v>
      </c>
      <c r="AX287" s="121">
        <f t="shared" si="127"/>
        <v>10.983643284393692</v>
      </c>
      <c r="AY287" s="122">
        <v>10.983643284393692</v>
      </c>
      <c r="BA287" s="3">
        <f t="shared" si="120"/>
        <v>2027</v>
      </c>
      <c r="BB287" s="343">
        <v>46477</v>
      </c>
      <c r="BC287" s="3">
        <f t="shared" si="121"/>
        <v>7.25</v>
      </c>
      <c r="BD287" s="3">
        <v>7.28</v>
      </c>
      <c r="BE287" s="3">
        <v>7.22</v>
      </c>
      <c r="BG287" s="3">
        <f t="shared" si="122"/>
        <v>2031</v>
      </c>
      <c r="BH287" s="318">
        <v>47880</v>
      </c>
      <c r="BI287" s="3">
        <f t="shared" si="123"/>
        <v>15.004999999999999</v>
      </c>
      <c r="BJ287" s="3">
        <v>14.91</v>
      </c>
      <c r="BK287" s="3">
        <v>15.1</v>
      </c>
      <c r="BL287" s="412">
        <f t="shared" si="114"/>
        <v>2037</v>
      </c>
      <c r="BM287" s="427">
        <v>50253</v>
      </c>
      <c r="BN287" s="412">
        <f t="shared" si="118"/>
        <v>6.1734</v>
      </c>
      <c r="BO287" s="458">
        <v>6.1817000000000002</v>
      </c>
      <c r="BP287" s="458">
        <v>6.1650999999999998</v>
      </c>
      <c r="BQ287" s="469">
        <f t="shared" si="115"/>
        <v>2040</v>
      </c>
      <c r="BR287" s="473">
        <v>51349</v>
      </c>
      <c r="BS287" s="469">
        <f t="shared" si="119"/>
        <v>7.3315999999999999</v>
      </c>
      <c r="BT287" s="474">
        <v>7.7279</v>
      </c>
      <c r="BU287" s="474">
        <v>6.9352999999999998</v>
      </c>
    </row>
    <row r="288" spans="36:73">
      <c r="AJ288" s="3">
        <f t="shared" si="124"/>
        <v>2028</v>
      </c>
      <c r="AK288" s="345">
        <f t="shared" si="117"/>
        <v>46905</v>
      </c>
      <c r="AL288" s="122">
        <v>94.73</v>
      </c>
      <c r="AM288" s="122">
        <v>84.54</v>
      </c>
      <c r="AN288" s="319">
        <f t="shared" si="128"/>
        <v>90.348299999999995</v>
      </c>
      <c r="AO288" s="305">
        <v>416</v>
      </c>
      <c r="AP288" s="305">
        <v>304</v>
      </c>
      <c r="AQ288" s="305">
        <f t="shared" si="125"/>
        <v>0.57777777777777772</v>
      </c>
      <c r="AR288" s="305">
        <f t="shared" si="126"/>
        <v>0.42222222222222222</v>
      </c>
      <c r="AV288" s="3">
        <f t="shared" ref="AV288:AV351" si="129">+YEAR(AW288)</f>
        <v>2028</v>
      </c>
      <c r="AW288" s="343">
        <f t="shared" si="116"/>
        <v>46905</v>
      </c>
      <c r="AX288" s="121">
        <f t="shared" si="127"/>
        <v>11.156971179989123</v>
      </c>
      <c r="AY288" s="122">
        <v>11.156971179989123</v>
      </c>
      <c r="BA288" s="3">
        <f t="shared" si="120"/>
        <v>2027</v>
      </c>
      <c r="BB288" s="343">
        <v>46507</v>
      </c>
      <c r="BC288" s="3">
        <f t="shared" si="121"/>
        <v>6.7750000000000004</v>
      </c>
      <c r="BD288" s="3">
        <v>6.86</v>
      </c>
      <c r="BE288" s="3">
        <v>6.69</v>
      </c>
      <c r="BG288" s="3">
        <f t="shared" si="122"/>
        <v>2031</v>
      </c>
      <c r="BH288" s="318">
        <v>47908</v>
      </c>
      <c r="BI288" s="3">
        <f t="shared" si="123"/>
        <v>14.09</v>
      </c>
      <c r="BJ288" s="3">
        <v>14.11</v>
      </c>
      <c r="BK288" s="3">
        <v>14.07</v>
      </c>
      <c r="BL288" s="412">
        <f t="shared" ref="BL288:BL351" si="130">YEAR(BM288)</f>
        <v>2037</v>
      </c>
      <c r="BM288" s="427">
        <v>50284</v>
      </c>
      <c r="BN288" s="412">
        <f t="shared" si="118"/>
        <v>6.0401000000000007</v>
      </c>
      <c r="BO288" s="458">
        <v>6.0151000000000003</v>
      </c>
      <c r="BP288" s="458">
        <v>6.0651000000000002</v>
      </c>
      <c r="BQ288" s="469">
        <f t="shared" ref="BQ288:BQ291" si="131">YEAR(BR288)</f>
        <v>2040</v>
      </c>
      <c r="BR288" s="473">
        <v>51380</v>
      </c>
      <c r="BS288" s="469">
        <f t="shared" si="119"/>
        <v>7.1694499999999994</v>
      </c>
      <c r="BT288" s="474">
        <v>7.6197999999999997</v>
      </c>
      <c r="BU288" s="474">
        <v>6.7191000000000001</v>
      </c>
    </row>
    <row r="289" spans="36:73">
      <c r="AJ289" s="3">
        <f t="shared" si="124"/>
        <v>2028</v>
      </c>
      <c r="AK289" s="345">
        <f t="shared" si="117"/>
        <v>46935</v>
      </c>
      <c r="AL289" s="122">
        <v>90.22</v>
      </c>
      <c r="AM289" s="122">
        <v>86.48</v>
      </c>
      <c r="AN289" s="319">
        <f t="shared" si="128"/>
        <v>88.611799999999988</v>
      </c>
      <c r="AO289" s="305">
        <v>400</v>
      </c>
      <c r="AP289" s="305">
        <v>344</v>
      </c>
      <c r="AQ289" s="305">
        <f t="shared" si="125"/>
        <v>0.5376344086021505</v>
      </c>
      <c r="AR289" s="305">
        <f t="shared" si="126"/>
        <v>0.46236559139784944</v>
      </c>
      <c r="AV289" s="3">
        <f t="shared" si="129"/>
        <v>2028</v>
      </c>
      <c r="AW289" s="343">
        <f t="shared" ref="AW289:AW352" si="132">EOMONTH(AW288,0)+1</f>
        <v>46935</v>
      </c>
      <c r="AX289" s="121">
        <f t="shared" si="127"/>
        <v>11.330299075584557</v>
      </c>
      <c r="AY289" s="122">
        <v>11.330299075584557</v>
      </c>
      <c r="BA289" s="3">
        <f t="shared" si="120"/>
        <v>2027</v>
      </c>
      <c r="BB289" s="343">
        <v>46538</v>
      </c>
      <c r="BC289" s="3">
        <f t="shared" si="121"/>
        <v>6.7750000000000004</v>
      </c>
      <c r="BD289" s="3">
        <v>6.86</v>
      </c>
      <c r="BE289" s="3">
        <v>6.69</v>
      </c>
      <c r="BG289" s="3">
        <f t="shared" si="122"/>
        <v>2031</v>
      </c>
      <c r="BH289" s="318">
        <v>47939</v>
      </c>
      <c r="BI289" s="3">
        <f t="shared" si="123"/>
        <v>13.164999999999999</v>
      </c>
      <c r="BJ289" s="3">
        <v>13.3</v>
      </c>
      <c r="BK289" s="3">
        <v>13.03</v>
      </c>
      <c r="BL289" s="412">
        <f t="shared" si="130"/>
        <v>2037</v>
      </c>
      <c r="BM289" s="427">
        <v>50314</v>
      </c>
      <c r="BN289" s="412">
        <f t="shared" si="118"/>
        <v>6.0900999999999996</v>
      </c>
      <c r="BO289" s="458">
        <v>6.0651000000000002</v>
      </c>
      <c r="BP289" s="458">
        <v>6.1151</v>
      </c>
      <c r="BQ289" s="469">
        <f t="shared" si="131"/>
        <v>2040</v>
      </c>
      <c r="BR289" s="473">
        <v>51410</v>
      </c>
      <c r="BS289" s="469">
        <f t="shared" si="119"/>
        <v>7.1693999999999996</v>
      </c>
      <c r="BT289" s="474">
        <v>7.6917999999999997</v>
      </c>
      <c r="BU289" s="474">
        <v>6.6470000000000002</v>
      </c>
    </row>
    <row r="290" spans="36:73">
      <c r="AJ290" s="3">
        <f t="shared" si="124"/>
        <v>2028</v>
      </c>
      <c r="AK290" s="345">
        <f t="shared" si="117"/>
        <v>46966</v>
      </c>
      <c r="AL290" s="122">
        <v>90.67</v>
      </c>
      <c r="AM290" s="122">
        <v>86.97</v>
      </c>
      <c r="AN290" s="319">
        <f t="shared" si="128"/>
        <v>89.079000000000008</v>
      </c>
      <c r="AO290" s="305">
        <v>432</v>
      </c>
      <c r="AP290" s="305">
        <v>312</v>
      </c>
      <c r="AQ290" s="305">
        <f t="shared" si="125"/>
        <v>0.58064516129032262</v>
      </c>
      <c r="AR290" s="305">
        <f t="shared" si="126"/>
        <v>0.41935483870967744</v>
      </c>
      <c r="AV290" s="3">
        <f t="shared" si="129"/>
        <v>2028</v>
      </c>
      <c r="AW290" s="343">
        <f t="shared" si="132"/>
        <v>46966</v>
      </c>
      <c r="AX290" s="121">
        <f t="shared" si="127"/>
        <v>11.330299075584557</v>
      </c>
      <c r="AY290" s="122">
        <v>11.330299075584557</v>
      </c>
      <c r="BA290" s="3">
        <f t="shared" si="120"/>
        <v>2027</v>
      </c>
      <c r="BB290" s="343">
        <v>46568</v>
      </c>
      <c r="BC290" s="3">
        <f t="shared" si="121"/>
        <v>6.88</v>
      </c>
      <c r="BD290" s="3">
        <v>6.97</v>
      </c>
      <c r="BE290" s="3">
        <v>6.79</v>
      </c>
      <c r="BG290" s="3">
        <f t="shared" si="122"/>
        <v>2031</v>
      </c>
      <c r="BH290" s="318">
        <v>47969</v>
      </c>
      <c r="BI290" s="3">
        <f t="shared" si="123"/>
        <v>13.164999999999999</v>
      </c>
      <c r="BJ290" s="3">
        <v>13.3</v>
      </c>
      <c r="BK290" s="3">
        <v>13.03</v>
      </c>
      <c r="BL290" s="412">
        <f t="shared" si="130"/>
        <v>2037</v>
      </c>
      <c r="BM290" s="427">
        <v>50345</v>
      </c>
      <c r="BN290" s="412">
        <f t="shared" si="118"/>
        <v>6.3816500000000005</v>
      </c>
      <c r="BO290" s="458">
        <v>6.3150000000000004</v>
      </c>
      <c r="BP290" s="458">
        <v>6.4482999999999997</v>
      </c>
      <c r="BQ290" s="469">
        <f t="shared" si="131"/>
        <v>2040</v>
      </c>
      <c r="BR290" s="473">
        <v>51441</v>
      </c>
      <c r="BS290" s="469">
        <f t="shared" si="119"/>
        <v>7.4216499999999996</v>
      </c>
      <c r="BT290" s="474">
        <v>7.89</v>
      </c>
      <c r="BU290" s="474">
        <v>6.9532999999999996</v>
      </c>
    </row>
    <row r="291" spans="36:73">
      <c r="AJ291" s="3">
        <f t="shared" si="124"/>
        <v>2028</v>
      </c>
      <c r="AK291" s="345">
        <f t="shared" si="117"/>
        <v>46997</v>
      </c>
      <c r="AL291" s="122">
        <v>89.87</v>
      </c>
      <c r="AM291" s="122">
        <v>84.28</v>
      </c>
      <c r="AN291" s="319">
        <f t="shared" si="128"/>
        <v>87.46629999999999</v>
      </c>
      <c r="AO291" s="305">
        <v>400</v>
      </c>
      <c r="AP291" s="305">
        <v>320</v>
      </c>
      <c r="AQ291" s="305">
        <f t="shared" si="125"/>
        <v>0.55555555555555558</v>
      </c>
      <c r="AR291" s="305">
        <f t="shared" si="126"/>
        <v>0.44444444444444442</v>
      </c>
      <c r="AV291" s="3">
        <f t="shared" si="129"/>
        <v>2028</v>
      </c>
      <c r="AW291" s="343">
        <f t="shared" si="132"/>
        <v>46997</v>
      </c>
      <c r="AX291" s="121">
        <f t="shared" si="127"/>
        <v>11.330299075584557</v>
      </c>
      <c r="AY291" s="122">
        <v>11.330299075584557</v>
      </c>
      <c r="BA291" s="3">
        <f t="shared" si="120"/>
        <v>2027</v>
      </c>
      <c r="BB291" s="343">
        <v>46599</v>
      </c>
      <c r="BC291" s="3">
        <f t="shared" si="121"/>
        <v>6.9850000000000003</v>
      </c>
      <c r="BD291" s="3">
        <v>7.07</v>
      </c>
      <c r="BE291" s="3">
        <v>6.9</v>
      </c>
      <c r="BG291" s="3">
        <f t="shared" si="122"/>
        <v>2031</v>
      </c>
      <c r="BH291" s="318">
        <v>48000</v>
      </c>
      <c r="BI291" s="3">
        <f t="shared" si="123"/>
        <v>13.370000000000001</v>
      </c>
      <c r="BJ291" s="3">
        <v>13.5</v>
      </c>
      <c r="BK291" s="3">
        <v>13.24</v>
      </c>
      <c r="BL291" s="412">
        <f t="shared" si="130"/>
        <v>2037</v>
      </c>
      <c r="BM291" s="427">
        <v>50375</v>
      </c>
      <c r="BN291" s="412">
        <f t="shared" si="118"/>
        <v>6.7065999999999999</v>
      </c>
      <c r="BO291" s="458">
        <v>6.6150000000000002</v>
      </c>
      <c r="BP291" s="458">
        <v>6.7981999999999996</v>
      </c>
      <c r="BQ291" s="469">
        <f t="shared" si="131"/>
        <v>2040</v>
      </c>
      <c r="BR291" s="473">
        <v>51471</v>
      </c>
      <c r="BS291" s="469">
        <f t="shared" si="119"/>
        <v>7.9079999999999995</v>
      </c>
      <c r="BT291" s="474">
        <v>8.4123999999999999</v>
      </c>
      <c r="BU291" s="474">
        <v>7.4036</v>
      </c>
    </row>
    <row r="292" spans="36:73">
      <c r="AJ292" s="3">
        <f t="shared" si="124"/>
        <v>2028</v>
      </c>
      <c r="AK292" s="345">
        <f t="shared" si="117"/>
        <v>47027</v>
      </c>
      <c r="AL292" s="122">
        <v>89.19</v>
      </c>
      <c r="AM292" s="122">
        <v>77.86</v>
      </c>
      <c r="AN292" s="319">
        <f t="shared" si="128"/>
        <v>84.318099999999987</v>
      </c>
      <c r="AO292" s="305">
        <v>416</v>
      </c>
      <c r="AP292" s="305">
        <v>328</v>
      </c>
      <c r="AQ292" s="305">
        <f t="shared" si="125"/>
        <v>0.55913978494623651</v>
      </c>
      <c r="AR292" s="305">
        <f t="shared" si="126"/>
        <v>0.44086021505376344</v>
      </c>
      <c r="AV292" s="3">
        <f t="shared" si="129"/>
        <v>2028</v>
      </c>
      <c r="AW292" s="343">
        <f t="shared" si="132"/>
        <v>47027</v>
      </c>
      <c r="AX292" s="121">
        <f t="shared" si="127"/>
        <v>11.727933659597609</v>
      </c>
      <c r="AY292" s="122">
        <v>11.727933659597609</v>
      </c>
      <c r="BA292" s="3">
        <f t="shared" si="120"/>
        <v>2027</v>
      </c>
      <c r="BB292" s="343">
        <v>46630</v>
      </c>
      <c r="BC292" s="3">
        <f t="shared" si="121"/>
        <v>6.9850000000000003</v>
      </c>
      <c r="BD292" s="3">
        <v>7.07</v>
      </c>
      <c r="BE292" s="3">
        <v>6.9</v>
      </c>
      <c r="BG292" s="3">
        <f t="shared" si="122"/>
        <v>2031</v>
      </c>
      <c r="BH292" s="318">
        <v>48030</v>
      </c>
      <c r="BI292" s="3">
        <f t="shared" si="123"/>
        <v>13.57</v>
      </c>
      <c r="BJ292" s="3">
        <v>13.7</v>
      </c>
      <c r="BK292" s="3">
        <v>13.44</v>
      </c>
      <c r="BL292" s="412">
        <f t="shared" si="130"/>
        <v>2038</v>
      </c>
      <c r="BM292" s="427">
        <v>50406</v>
      </c>
      <c r="BN292" s="412">
        <f t="shared" si="118"/>
        <v>7.0329499999999996</v>
      </c>
      <c r="BO292" s="458">
        <v>6.9478</v>
      </c>
      <c r="BP292" s="458">
        <v>7.1181000000000001</v>
      </c>
      <c r="BQ292" s="469"/>
      <c r="BR292" s="473"/>
      <c r="BS292" s="469"/>
      <c r="BT292" s="474"/>
      <c r="BU292" s="474"/>
    </row>
    <row r="293" spans="36:73">
      <c r="AJ293" s="3">
        <f t="shared" si="124"/>
        <v>2028</v>
      </c>
      <c r="AK293" s="345">
        <f t="shared" si="117"/>
        <v>47058</v>
      </c>
      <c r="AL293" s="122">
        <v>100.73</v>
      </c>
      <c r="AM293" s="122">
        <v>88.33</v>
      </c>
      <c r="AN293" s="319">
        <f t="shared" si="128"/>
        <v>95.397999999999996</v>
      </c>
      <c r="AO293" s="305">
        <v>400</v>
      </c>
      <c r="AP293" s="305">
        <v>320</v>
      </c>
      <c r="AQ293" s="305">
        <f t="shared" si="125"/>
        <v>0.55555555555555558</v>
      </c>
      <c r="AR293" s="305">
        <f t="shared" si="126"/>
        <v>0.44444444444444442</v>
      </c>
      <c r="AV293" s="3">
        <f t="shared" si="129"/>
        <v>2028</v>
      </c>
      <c r="AW293" s="343">
        <f t="shared" si="132"/>
        <v>47058</v>
      </c>
      <c r="AX293" s="121">
        <f t="shared" si="127"/>
        <v>11.897862969004894</v>
      </c>
      <c r="AY293" s="122">
        <v>11.897862969004894</v>
      </c>
      <c r="BA293" s="3">
        <f t="shared" si="120"/>
        <v>2027</v>
      </c>
      <c r="BB293" s="343">
        <v>46660</v>
      </c>
      <c r="BC293" s="3">
        <f t="shared" si="121"/>
        <v>6.9850000000000003</v>
      </c>
      <c r="BD293" s="3">
        <v>7.07</v>
      </c>
      <c r="BE293" s="3">
        <v>6.9</v>
      </c>
      <c r="BG293" s="3">
        <f t="shared" si="122"/>
        <v>2031</v>
      </c>
      <c r="BH293" s="318">
        <v>48061</v>
      </c>
      <c r="BI293" s="3">
        <f t="shared" si="123"/>
        <v>13.57</v>
      </c>
      <c r="BJ293" s="3">
        <v>13.7</v>
      </c>
      <c r="BK293" s="3">
        <v>13.44</v>
      </c>
      <c r="BL293" s="412">
        <f t="shared" si="130"/>
        <v>2038</v>
      </c>
      <c r="BM293" s="427">
        <v>50437</v>
      </c>
      <c r="BN293" s="412">
        <f t="shared" si="118"/>
        <v>7.0244</v>
      </c>
      <c r="BO293" s="458">
        <v>6.9137000000000004</v>
      </c>
      <c r="BP293" s="458">
        <v>7.1351000000000004</v>
      </c>
      <c r="BQ293" s="469"/>
      <c r="BR293" s="473"/>
      <c r="BS293" s="469"/>
      <c r="BT293" s="474"/>
      <c r="BU293" s="474"/>
    </row>
    <row r="294" spans="36:73">
      <c r="AJ294" s="3">
        <f t="shared" si="124"/>
        <v>2028</v>
      </c>
      <c r="AK294" s="345">
        <f t="shared" si="117"/>
        <v>47088</v>
      </c>
      <c r="AL294" s="122">
        <v>105.45</v>
      </c>
      <c r="AM294" s="122">
        <v>96.7</v>
      </c>
      <c r="AN294" s="319">
        <f t="shared" si="128"/>
        <v>101.6875</v>
      </c>
      <c r="AO294" s="305">
        <v>400</v>
      </c>
      <c r="AP294" s="305">
        <v>344</v>
      </c>
      <c r="AQ294" s="305">
        <f t="shared" si="125"/>
        <v>0.5376344086021505</v>
      </c>
      <c r="AR294" s="305">
        <f t="shared" si="126"/>
        <v>0.46236559139784944</v>
      </c>
      <c r="AV294" s="3">
        <f t="shared" si="129"/>
        <v>2028</v>
      </c>
      <c r="AW294" s="343">
        <f t="shared" si="132"/>
        <v>47088</v>
      </c>
      <c r="AX294" s="121">
        <f t="shared" si="127"/>
        <v>12.472224034801522</v>
      </c>
      <c r="AY294" s="122">
        <v>12.472224034801522</v>
      </c>
      <c r="BA294" s="3">
        <f t="shared" si="120"/>
        <v>2027</v>
      </c>
      <c r="BB294" s="343">
        <v>46691</v>
      </c>
      <c r="BC294" s="3">
        <f t="shared" si="121"/>
        <v>7.25</v>
      </c>
      <c r="BD294" s="3">
        <v>7.28</v>
      </c>
      <c r="BE294" s="3">
        <v>7.22</v>
      </c>
      <c r="BG294" s="3">
        <f t="shared" si="122"/>
        <v>2031</v>
      </c>
      <c r="BH294" s="318">
        <v>48092</v>
      </c>
      <c r="BI294" s="3">
        <f t="shared" si="123"/>
        <v>13.57</v>
      </c>
      <c r="BJ294" s="3">
        <v>13.7</v>
      </c>
      <c r="BK294" s="3">
        <v>13.44</v>
      </c>
      <c r="BL294" s="412">
        <f t="shared" si="130"/>
        <v>2038</v>
      </c>
      <c r="BM294" s="427">
        <v>50465</v>
      </c>
      <c r="BN294" s="412">
        <f t="shared" si="118"/>
        <v>6.5987</v>
      </c>
      <c r="BO294" s="458">
        <v>6.5560999999999998</v>
      </c>
      <c r="BP294" s="458">
        <v>6.6413000000000002</v>
      </c>
      <c r="BQ294" s="469"/>
      <c r="BR294" s="473"/>
      <c r="BS294" s="469"/>
      <c r="BT294" s="474"/>
      <c r="BU294" s="474"/>
    </row>
    <row r="295" spans="36:73">
      <c r="AJ295" s="3">
        <f t="shared" si="124"/>
        <v>2029</v>
      </c>
      <c r="AK295" s="345">
        <f t="shared" si="117"/>
        <v>47119</v>
      </c>
      <c r="AL295" s="122">
        <v>110.37</v>
      </c>
      <c r="AM295" s="122">
        <v>99.61</v>
      </c>
      <c r="AN295" s="319">
        <f t="shared" si="128"/>
        <v>105.7432</v>
      </c>
      <c r="AO295" s="305">
        <v>416</v>
      </c>
      <c r="AP295" s="305">
        <v>328</v>
      </c>
      <c r="AQ295" s="305">
        <f t="shared" si="125"/>
        <v>0.55913978494623651</v>
      </c>
      <c r="AR295" s="305">
        <f t="shared" si="126"/>
        <v>0.44086021505376344</v>
      </c>
      <c r="AV295" s="3">
        <f t="shared" si="129"/>
        <v>2029</v>
      </c>
      <c r="AW295" s="343">
        <f t="shared" si="132"/>
        <v>47119</v>
      </c>
      <c r="AX295" s="121">
        <f t="shared" si="127"/>
        <v>13.522387166938554</v>
      </c>
      <c r="AY295" s="122">
        <v>13.522387166938554</v>
      </c>
      <c r="BA295" s="3">
        <f t="shared" si="120"/>
        <v>2027</v>
      </c>
      <c r="BB295" s="343">
        <v>46721</v>
      </c>
      <c r="BC295" s="3">
        <f t="shared" si="121"/>
        <v>7.35</v>
      </c>
      <c r="BD295" s="3">
        <v>7.38</v>
      </c>
      <c r="BE295" s="3">
        <v>7.32</v>
      </c>
      <c r="BG295" s="3">
        <f t="shared" si="122"/>
        <v>2031</v>
      </c>
      <c r="BH295" s="318">
        <v>48122</v>
      </c>
      <c r="BI295" s="3">
        <f t="shared" si="123"/>
        <v>14.09</v>
      </c>
      <c r="BJ295" s="3">
        <v>14.11</v>
      </c>
      <c r="BK295" s="3">
        <v>14.07</v>
      </c>
      <c r="BL295" s="412">
        <f t="shared" si="130"/>
        <v>2038</v>
      </c>
      <c r="BM295" s="427">
        <v>50496</v>
      </c>
      <c r="BN295" s="412">
        <f t="shared" si="118"/>
        <v>6.3092500000000005</v>
      </c>
      <c r="BO295" s="458">
        <v>6.2836999999999996</v>
      </c>
      <c r="BP295" s="458">
        <v>6.3348000000000004</v>
      </c>
      <c r="BQ295" s="469"/>
      <c r="BR295" s="473"/>
      <c r="BS295" s="469"/>
      <c r="BT295" s="474"/>
      <c r="BU295" s="474"/>
    </row>
    <row r="296" spans="36:73">
      <c r="AJ296" s="3">
        <f t="shared" si="124"/>
        <v>2029</v>
      </c>
      <c r="AK296" s="345">
        <f t="shared" si="117"/>
        <v>47150</v>
      </c>
      <c r="AL296" s="122">
        <v>103.88</v>
      </c>
      <c r="AM296" s="122">
        <v>90.35</v>
      </c>
      <c r="AN296" s="319">
        <f t="shared" si="128"/>
        <v>98.062099999999987</v>
      </c>
      <c r="AO296" s="305">
        <v>384</v>
      </c>
      <c r="AP296" s="305">
        <v>288</v>
      </c>
      <c r="AQ296" s="305">
        <f t="shared" si="125"/>
        <v>0.5714285714285714</v>
      </c>
      <c r="AR296" s="305">
        <f t="shared" si="126"/>
        <v>0.42857142857142855</v>
      </c>
      <c r="AV296" s="3">
        <f t="shared" si="129"/>
        <v>2029</v>
      </c>
      <c r="AW296" s="343">
        <f t="shared" si="132"/>
        <v>47150</v>
      </c>
      <c r="AX296" s="121">
        <f t="shared" si="127"/>
        <v>12.706726481783576</v>
      </c>
      <c r="AY296" s="122">
        <v>12.706726481783576</v>
      </c>
      <c r="BA296" s="3">
        <f t="shared" si="120"/>
        <v>2027</v>
      </c>
      <c r="BB296" s="343">
        <v>46752</v>
      </c>
      <c r="BC296" s="3">
        <f t="shared" si="121"/>
        <v>7.7200000000000006</v>
      </c>
      <c r="BD296" s="3">
        <v>7.69</v>
      </c>
      <c r="BE296" s="3">
        <v>7.75</v>
      </c>
      <c r="BG296" s="3">
        <f t="shared" si="122"/>
        <v>2031</v>
      </c>
      <c r="BH296" s="318">
        <v>48153</v>
      </c>
      <c r="BI296" s="3">
        <f t="shared" si="123"/>
        <v>14.29</v>
      </c>
      <c r="BJ296" s="3">
        <v>14.31</v>
      </c>
      <c r="BK296" s="3">
        <v>14.27</v>
      </c>
      <c r="BL296" s="412">
        <f t="shared" si="130"/>
        <v>2038</v>
      </c>
      <c r="BM296" s="427">
        <v>50526</v>
      </c>
      <c r="BN296" s="412">
        <f t="shared" si="118"/>
        <v>6.2155500000000004</v>
      </c>
      <c r="BO296" s="458">
        <v>6.2325999999999997</v>
      </c>
      <c r="BP296" s="458">
        <v>6.1985000000000001</v>
      </c>
      <c r="BQ296" s="469"/>
      <c r="BR296" s="473"/>
      <c r="BS296" s="469"/>
      <c r="BT296" s="474"/>
      <c r="BU296" s="474"/>
    </row>
    <row r="297" spans="36:73">
      <c r="AJ297" s="3">
        <f t="shared" si="124"/>
        <v>2029</v>
      </c>
      <c r="AK297" s="345">
        <f t="shared" si="117"/>
        <v>47178</v>
      </c>
      <c r="AL297" s="122">
        <v>88.05</v>
      </c>
      <c r="AM297" s="122">
        <v>78.73</v>
      </c>
      <c r="AN297" s="319">
        <f t="shared" si="128"/>
        <v>84.042399999999986</v>
      </c>
      <c r="AO297" s="305">
        <v>432</v>
      </c>
      <c r="AP297" s="305">
        <v>312</v>
      </c>
      <c r="AQ297" s="305">
        <f t="shared" si="125"/>
        <v>0.58064516129032262</v>
      </c>
      <c r="AR297" s="305">
        <f t="shared" si="126"/>
        <v>0.41935483870967744</v>
      </c>
      <c r="AV297" s="3">
        <f t="shared" si="129"/>
        <v>2029</v>
      </c>
      <c r="AW297" s="343">
        <f t="shared" si="132"/>
        <v>47178</v>
      </c>
      <c r="AX297" s="121">
        <f t="shared" si="127"/>
        <v>11.952240348015225</v>
      </c>
      <c r="AY297" s="122">
        <v>11.952240348015225</v>
      </c>
      <c r="BA297" s="3">
        <f t="shared" si="120"/>
        <v>2028</v>
      </c>
      <c r="BB297" s="343">
        <v>46783</v>
      </c>
      <c r="BC297" s="3">
        <f t="shared" si="121"/>
        <v>8.59</v>
      </c>
      <c r="BD297" s="3">
        <v>8.5</v>
      </c>
      <c r="BE297" s="3">
        <v>8.68</v>
      </c>
      <c r="BG297" s="3">
        <f t="shared" si="122"/>
        <v>2031</v>
      </c>
      <c r="BH297" s="318">
        <v>48183</v>
      </c>
      <c r="BI297" s="3">
        <f t="shared" si="123"/>
        <v>15.004999999999999</v>
      </c>
      <c r="BJ297" s="3">
        <v>14.91</v>
      </c>
      <c r="BK297" s="3">
        <v>15.1</v>
      </c>
      <c r="BL297" s="412">
        <f t="shared" si="130"/>
        <v>2038</v>
      </c>
      <c r="BM297" s="427">
        <v>50557</v>
      </c>
      <c r="BN297" s="412">
        <f t="shared" si="118"/>
        <v>6.1814999999999998</v>
      </c>
      <c r="BO297" s="458">
        <v>6.2325999999999997</v>
      </c>
      <c r="BP297" s="458">
        <v>6.1303999999999998</v>
      </c>
      <c r="BQ297" s="469"/>
      <c r="BR297" s="473"/>
      <c r="BS297" s="469"/>
      <c r="BT297" s="474"/>
      <c r="BU297" s="474"/>
    </row>
    <row r="298" spans="36:73">
      <c r="AJ298" s="3">
        <f t="shared" si="124"/>
        <v>2029</v>
      </c>
      <c r="AK298" s="345">
        <f t="shared" si="117"/>
        <v>47209</v>
      </c>
      <c r="AL298" s="122">
        <v>87.57</v>
      </c>
      <c r="AM298" s="122">
        <v>83.43</v>
      </c>
      <c r="AN298" s="319">
        <f t="shared" si="128"/>
        <v>85.789799999999985</v>
      </c>
      <c r="AO298" s="305">
        <v>400</v>
      </c>
      <c r="AP298" s="305">
        <v>320</v>
      </c>
      <c r="AQ298" s="305">
        <f t="shared" si="125"/>
        <v>0.55555555555555558</v>
      </c>
      <c r="AR298" s="305">
        <f t="shared" si="126"/>
        <v>0.44444444444444442</v>
      </c>
      <c r="AV298" s="3">
        <f t="shared" si="129"/>
        <v>2029</v>
      </c>
      <c r="AW298" s="343">
        <f t="shared" si="132"/>
        <v>47209</v>
      </c>
      <c r="AX298" s="121">
        <f t="shared" si="127"/>
        <v>11.309907558455681</v>
      </c>
      <c r="AY298" s="122">
        <v>11.309907558455681</v>
      </c>
      <c r="BA298" s="3">
        <f t="shared" si="120"/>
        <v>2028</v>
      </c>
      <c r="BB298" s="343">
        <v>46812</v>
      </c>
      <c r="BC298" s="3">
        <f t="shared" si="121"/>
        <v>7.99</v>
      </c>
      <c r="BD298" s="3">
        <v>7.96</v>
      </c>
      <c r="BE298" s="3">
        <v>8.02</v>
      </c>
      <c r="BG298" s="3">
        <f t="shared" si="122"/>
        <v>2032</v>
      </c>
      <c r="BH298" s="318">
        <v>48214</v>
      </c>
      <c r="BI298" s="3">
        <f t="shared" si="123"/>
        <v>16.434999999999999</v>
      </c>
      <c r="BJ298" s="3">
        <v>16.22</v>
      </c>
      <c r="BK298" s="3">
        <v>16.649999999999999</v>
      </c>
      <c r="BL298" s="412">
        <f t="shared" si="130"/>
        <v>2038</v>
      </c>
      <c r="BM298" s="427">
        <v>50587</v>
      </c>
      <c r="BN298" s="412">
        <f t="shared" si="118"/>
        <v>6.2751999999999999</v>
      </c>
      <c r="BO298" s="458">
        <v>6.3348000000000004</v>
      </c>
      <c r="BP298" s="458">
        <v>6.2156000000000002</v>
      </c>
      <c r="BQ298" s="469"/>
      <c r="BR298" s="473"/>
      <c r="BS298" s="469"/>
      <c r="BT298" s="474"/>
      <c r="BU298" s="474"/>
    </row>
    <row r="299" spans="36:73">
      <c r="AJ299" s="3">
        <f t="shared" si="124"/>
        <v>2029</v>
      </c>
      <c r="AK299" s="345">
        <f t="shared" si="117"/>
        <v>47239</v>
      </c>
      <c r="AL299" s="122">
        <v>89.18</v>
      </c>
      <c r="AM299" s="122">
        <v>83.88</v>
      </c>
      <c r="AN299" s="319">
        <f t="shared" si="128"/>
        <v>86.900999999999996</v>
      </c>
      <c r="AO299" s="305">
        <v>416</v>
      </c>
      <c r="AP299" s="305">
        <v>328</v>
      </c>
      <c r="AQ299" s="305">
        <f t="shared" si="125"/>
        <v>0.55913978494623651</v>
      </c>
      <c r="AR299" s="305">
        <f t="shared" si="126"/>
        <v>0.44086021505376344</v>
      </c>
      <c r="AV299" s="3">
        <f t="shared" si="129"/>
        <v>2029</v>
      </c>
      <c r="AW299" s="343">
        <f t="shared" si="132"/>
        <v>47239</v>
      </c>
      <c r="AX299" s="121">
        <f t="shared" si="127"/>
        <v>11.194355628058725</v>
      </c>
      <c r="AY299" s="122">
        <v>11.194355628058725</v>
      </c>
      <c r="BA299" s="3">
        <f t="shared" si="120"/>
        <v>2028</v>
      </c>
      <c r="BB299" s="343">
        <v>46843</v>
      </c>
      <c r="BC299" s="3">
        <f t="shared" si="121"/>
        <v>7.5</v>
      </c>
      <c r="BD299" s="3">
        <v>7.53</v>
      </c>
      <c r="BE299" s="3">
        <v>7.47</v>
      </c>
      <c r="BG299" s="3">
        <f t="shared" si="122"/>
        <v>2032</v>
      </c>
      <c r="BH299" s="318">
        <v>48245</v>
      </c>
      <c r="BI299" s="3">
        <f t="shared" si="123"/>
        <v>15.29</v>
      </c>
      <c r="BJ299" s="3">
        <v>15.19</v>
      </c>
      <c r="BK299" s="3">
        <v>15.39</v>
      </c>
      <c r="BL299" s="412">
        <f t="shared" si="130"/>
        <v>2038</v>
      </c>
      <c r="BM299" s="427">
        <v>50618</v>
      </c>
      <c r="BN299" s="412">
        <f t="shared" ref="BN299:BN354" si="133">AVERAGE(BO299:BP299)</f>
        <v>6.4625000000000004</v>
      </c>
      <c r="BO299" s="458">
        <v>6.4539999999999997</v>
      </c>
      <c r="BP299" s="458">
        <v>6.4710000000000001</v>
      </c>
      <c r="BQ299" s="469"/>
      <c r="BR299" s="473"/>
      <c r="BS299" s="469"/>
      <c r="BT299" s="474"/>
      <c r="BU299" s="474"/>
    </row>
    <row r="300" spans="36:73">
      <c r="AJ300" s="3">
        <f t="shared" si="124"/>
        <v>2029</v>
      </c>
      <c r="AK300" s="345">
        <f t="shared" ref="AK300:AK363" si="134">EOMONTH(AK299,0)+1</f>
        <v>47270</v>
      </c>
      <c r="AL300" s="122">
        <v>96.53</v>
      </c>
      <c r="AM300" s="122">
        <v>86.15</v>
      </c>
      <c r="AN300" s="319">
        <f t="shared" si="128"/>
        <v>92.066599999999994</v>
      </c>
      <c r="AO300" s="305">
        <v>416</v>
      </c>
      <c r="AP300" s="305">
        <v>304</v>
      </c>
      <c r="AQ300" s="305">
        <f t="shared" si="125"/>
        <v>0.57777777777777772</v>
      </c>
      <c r="AR300" s="305">
        <f t="shared" si="126"/>
        <v>0.42222222222222222</v>
      </c>
      <c r="AV300" s="3">
        <f t="shared" si="129"/>
        <v>2029</v>
      </c>
      <c r="AW300" s="343">
        <f t="shared" si="132"/>
        <v>47270</v>
      </c>
      <c r="AX300" s="121">
        <f t="shared" si="127"/>
        <v>11.367683523654158</v>
      </c>
      <c r="AY300" s="122">
        <v>11.367683523654158</v>
      </c>
      <c r="BA300" s="3">
        <f t="shared" si="120"/>
        <v>2028</v>
      </c>
      <c r="BB300" s="343">
        <v>46873</v>
      </c>
      <c r="BC300" s="3">
        <f t="shared" si="121"/>
        <v>7.01</v>
      </c>
      <c r="BD300" s="3">
        <v>7.1</v>
      </c>
      <c r="BE300" s="3">
        <v>6.92</v>
      </c>
      <c r="BG300" s="3">
        <f t="shared" si="122"/>
        <v>2032</v>
      </c>
      <c r="BH300" s="318">
        <v>48274</v>
      </c>
      <c r="BI300" s="3">
        <f t="shared" si="123"/>
        <v>14.35</v>
      </c>
      <c r="BJ300" s="3">
        <v>14.37</v>
      </c>
      <c r="BK300" s="3">
        <v>14.33</v>
      </c>
      <c r="BL300" s="412">
        <f t="shared" si="130"/>
        <v>2038</v>
      </c>
      <c r="BM300" s="427">
        <v>50649</v>
      </c>
      <c r="BN300" s="412">
        <f t="shared" si="133"/>
        <v>6.3262499999999999</v>
      </c>
      <c r="BO300" s="458">
        <v>6.3007</v>
      </c>
      <c r="BP300" s="458">
        <v>6.3517999999999999</v>
      </c>
      <c r="BQ300" s="469"/>
      <c r="BR300" s="473"/>
      <c r="BS300" s="469"/>
      <c r="BT300" s="474"/>
      <c r="BU300" s="474"/>
    </row>
    <row r="301" spans="36:73">
      <c r="AJ301" s="3">
        <f t="shared" si="124"/>
        <v>2029</v>
      </c>
      <c r="AK301" s="345">
        <f t="shared" si="134"/>
        <v>47300</v>
      </c>
      <c r="AL301" s="122">
        <v>91.94</v>
      </c>
      <c r="AM301" s="122">
        <v>88.12</v>
      </c>
      <c r="AN301" s="319">
        <f t="shared" si="128"/>
        <v>90.297399999999996</v>
      </c>
      <c r="AO301" s="305">
        <v>400</v>
      </c>
      <c r="AP301" s="305">
        <v>344</v>
      </c>
      <c r="AQ301" s="305">
        <f t="shared" si="125"/>
        <v>0.5376344086021505</v>
      </c>
      <c r="AR301" s="305">
        <f t="shared" si="126"/>
        <v>0.46236559139784944</v>
      </c>
      <c r="AV301" s="3">
        <f t="shared" si="129"/>
        <v>2029</v>
      </c>
      <c r="AW301" s="343">
        <f t="shared" si="132"/>
        <v>47300</v>
      </c>
      <c r="AX301" s="121">
        <f t="shared" si="127"/>
        <v>11.541011419249593</v>
      </c>
      <c r="AY301" s="122">
        <v>11.541011419249593</v>
      </c>
      <c r="BA301" s="3">
        <f t="shared" si="120"/>
        <v>2028</v>
      </c>
      <c r="BB301" s="343">
        <v>46904</v>
      </c>
      <c r="BC301" s="3">
        <f t="shared" si="121"/>
        <v>7.01</v>
      </c>
      <c r="BD301" s="3">
        <v>7.1</v>
      </c>
      <c r="BE301" s="3">
        <v>6.92</v>
      </c>
      <c r="BG301" s="3">
        <f t="shared" si="122"/>
        <v>2032</v>
      </c>
      <c r="BH301" s="318">
        <v>48305</v>
      </c>
      <c r="BI301" s="3">
        <f t="shared" si="123"/>
        <v>13.414999999999999</v>
      </c>
      <c r="BJ301" s="3">
        <v>13.55</v>
      </c>
      <c r="BK301" s="3">
        <v>13.28</v>
      </c>
      <c r="BL301" s="412">
        <f t="shared" si="130"/>
        <v>2038</v>
      </c>
      <c r="BM301" s="427">
        <v>50679</v>
      </c>
      <c r="BN301" s="412">
        <f t="shared" si="133"/>
        <v>6.4625000000000004</v>
      </c>
      <c r="BO301" s="458">
        <v>6.4028999999999998</v>
      </c>
      <c r="BP301" s="458">
        <v>6.5221</v>
      </c>
      <c r="BQ301" s="469"/>
      <c r="BR301" s="473"/>
      <c r="BS301" s="469"/>
      <c r="BT301" s="474"/>
      <c r="BU301" s="474"/>
    </row>
    <row r="302" spans="36:73">
      <c r="AJ302" s="3">
        <f t="shared" si="124"/>
        <v>2029</v>
      </c>
      <c r="AK302" s="345">
        <f t="shared" si="134"/>
        <v>47331</v>
      </c>
      <c r="AL302" s="122">
        <v>92.39</v>
      </c>
      <c r="AM302" s="122">
        <v>88.63</v>
      </c>
      <c r="AN302" s="319">
        <f t="shared" si="128"/>
        <v>90.773200000000003</v>
      </c>
      <c r="AO302" s="305">
        <v>432</v>
      </c>
      <c r="AP302" s="305">
        <v>312</v>
      </c>
      <c r="AQ302" s="305">
        <f t="shared" si="125"/>
        <v>0.58064516129032262</v>
      </c>
      <c r="AR302" s="305">
        <f t="shared" si="126"/>
        <v>0.41935483870967744</v>
      </c>
      <c r="AV302" s="3">
        <f t="shared" si="129"/>
        <v>2029</v>
      </c>
      <c r="AW302" s="343">
        <f t="shared" si="132"/>
        <v>47331</v>
      </c>
      <c r="AX302" s="121">
        <f t="shared" si="127"/>
        <v>11.541011419249593</v>
      </c>
      <c r="AY302" s="122">
        <v>11.541011419249593</v>
      </c>
      <c r="BA302" s="3">
        <f t="shared" si="120"/>
        <v>2028</v>
      </c>
      <c r="BB302" s="343">
        <v>46934</v>
      </c>
      <c r="BC302" s="3">
        <f t="shared" si="121"/>
        <v>7.12</v>
      </c>
      <c r="BD302" s="3">
        <v>7.21</v>
      </c>
      <c r="BE302" s="3">
        <v>7.03</v>
      </c>
      <c r="BG302" s="3">
        <f t="shared" si="122"/>
        <v>2032</v>
      </c>
      <c r="BH302" s="318">
        <v>48335</v>
      </c>
      <c r="BI302" s="3">
        <f t="shared" si="123"/>
        <v>13.414999999999999</v>
      </c>
      <c r="BJ302" s="3">
        <v>13.55</v>
      </c>
      <c r="BK302" s="3">
        <v>13.28</v>
      </c>
      <c r="BL302" s="412">
        <f t="shared" si="130"/>
        <v>2038</v>
      </c>
      <c r="BM302" s="427">
        <v>50710</v>
      </c>
      <c r="BN302" s="412">
        <f t="shared" si="133"/>
        <v>6.7605000000000004</v>
      </c>
      <c r="BO302" s="458">
        <v>6.6582999999999997</v>
      </c>
      <c r="BP302" s="458">
        <v>6.8627000000000002</v>
      </c>
      <c r="BQ302" s="469"/>
      <c r="BR302" s="473"/>
      <c r="BS302" s="469"/>
      <c r="BT302" s="474"/>
      <c r="BU302" s="474"/>
    </row>
    <row r="303" spans="36:73">
      <c r="AJ303" s="3">
        <f t="shared" si="124"/>
        <v>2029</v>
      </c>
      <c r="AK303" s="345">
        <f t="shared" si="134"/>
        <v>47362</v>
      </c>
      <c r="AL303" s="122">
        <v>91.58</v>
      </c>
      <c r="AM303" s="122">
        <v>85.88</v>
      </c>
      <c r="AN303" s="319">
        <f t="shared" si="128"/>
        <v>89.128999999999991</v>
      </c>
      <c r="AO303" s="305">
        <v>384</v>
      </c>
      <c r="AP303" s="305">
        <v>336</v>
      </c>
      <c r="AQ303" s="305">
        <f t="shared" si="125"/>
        <v>0.53333333333333333</v>
      </c>
      <c r="AR303" s="305">
        <f t="shared" si="126"/>
        <v>0.46666666666666667</v>
      </c>
      <c r="AV303" s="3">
        <f t="shared" si="129"/>
        <v>2029</v>
      </c>
      <c r="AW303" s="343">
        <f t="shared" si="132"/>
        <v>47362</v>
      </c>
      <c r="AX303" s="121">
        <f t="shared" si="127"/>
        <v>11.541011419249593</v>
      </c>
      <c r="AY303" s="122">
        <v>11.541011419249593</v>
      </c>
      <c r="BA303" s="3">
        <f t="shared" si="120"/>
        <v>2028</v>
      </c>
      <c r="BB303" s="343">
        <v>46965</v>
      </c>
      <c r="BC303" s="3">
        <f t="shared" si="121"/>
        <v>7.23</v>
      </c>
      <c r="BD303" s="3">
        <v>7.32</v>
      </c>
      <c r="BE303" s="3">
        <v>7.14</v>
      </c>
      <c r="BG303" s="3">
        <f t="shared" si="122"/>
        <v>2032</v>
      </c>
      <c r="BH303" s="318">
        <v>48366</v>
      </c>
      <c r="BI303" s="3">
        <f t="shared" si="123"/>
        <v>13.625</v>
      </c>
      <c r="BJ303" s="3">
        <v>13.76</v>
      </c>
      <c r="BK303" s="3">
        <v>13.49</v>
      </c>
      <c r="BL303" s="412">
        <f t="shared" si="130"/>
        <v>2038</v>
      </c>
      <c r="BM303" s="427">
        <v>50740</v>
      </c>
      <c r="BN303" s="412">
        <f t="shared" si="133"/>
        <v>7.0755499999999998</v>
      </c>
      <c r="BO303" s="458">
        <v>6.9819000000000004</v>
      </c>
      <c r="BP303" s="458">
        <v>7.1692</v>
      </c>
      <c r="BQ303" s="469"/>
      <c r="BR303" s="473"/>
      <c r="BS303" s="469"/>
      <c r="BT303" s="474"/>
      <c r="BU303" s="474"/>
    </row>
    <row r="304" spans="36:73">
      <c r="AJ304" s="3">
        <f t="shared" si="124"/>
        <v>2029</v>
      </c>
      <c r="AK304" s="345">
        <f t="shared" si="134"/>
        <v>47392</v>
      </c>
      <c r="AL304" s="122">
        <v>90.88</v>
      </c>
      <c r="AM304" s="122">
        <v>79.34</v>
      </c>
      <c r="AN304" s="319">
        <f t="shared" si="128"/>
        <v>85.9178</v>
      </c>
      <c r="AO304" s="305">
        <v>432</v>
      </c>
      <c r="AP304" s="305">
        <v>312</v>
      </c>
      <c r="AQ304" s="305">
        <f t="shared" si="125"/>
        <v>0.58064516129032262</v>
      </c>
      <c r="AR304" s="305">
        <f t="shared" si="126"/>
        <v>0.41935483870967744</v>
      </c>
      <c r="AV304" s="3">
        <f t="shared" si="129"/>
        <v>2029</v>
      </c>
      <c r="AW304" s="343">
        <f t="shared" si="132"/>
        <v>47392</v>
      </c>
      <c r="AX304" s="121">
        <f t="shared" si="127"/>
        <v>11.952240348015225</v>
      </c>
      <c r="AY304" s="122">
        <v>11.952240348015225</v>
      </c>
      <c r="BA304" s="3">
        <f t="shared" si="120"/>
        <v>2028</v>
      </c>
      <c r="BB304" s="343">
        <v>46996</v>
      </c>
      <c r="BC304" s="3">
        <f t="shared" si="121"/>
        <v>7.23</v>
      </c>
      <c r="BD304" s="3">
        <v>7.32</v>
      </c>
      <c r="BE304" s="3">
        <v>7.14</v>
      </c>
      <c r="BG304" s="3">
        <f t="shared" si="122"/>
        <v>2032</v>
      </c>
      <c r="BH304" s="318">
        <v>48396</v>
      </c>
      <c r="BI304" s="3">
        <f t="shared" si="123"/>
        <v>13.83</v>
      </c>
      <c r="BJ304" s="3">
        <v>13.96</v>
      </c>
      <c r="BK304" s="3">
        <v>13.7</v>
      </c>
      <c r="BL304" s="412">
        <f t="shared" si="130"/>
        <v>2039</v>
      </c>
      <c r="BM304" s="427">
        <v>50771</v>
      </c>
      <c r="BN304" s="412">
        <f t="shared" si="133"/>
        <v>7.1859999999999999</v>
      </c>
      <c r="BO304" s="458">
        <v>7.1772999999999998</v>
      </c>
      <c r="BP304" s="458">
        <v>7.1947000000000001</v>
      </c>
      <c r="BQ304" s="469"/>
      <c r="BR304" s="473"/>
      <c r="BS304" s="469"/>
      <c r="BT304" s="474"/>
      <c r="BU304" s="474"/>
    </row>
    <row r="305" spans="36:73">
      <c r="AJ305" s="3">
        <f t="shared" si="124"/>
        <v>2029</v>
      </c>
      <c r="AK305" s="345">
        <f t="shared" si="134"/>
        <v>47423</v>
      </c>
      <c r="AL305" s="122">
        <v>102.64</v>
      </c>
      <c r="AM305" s="122">
        <v>90.01</v>
      </c>
      <c r="AN305" s="319">
        <f t="shared" si="128"/>
        <v>97.209100000000007</v>
      </c>
      <c r="AO305" s="305">
        <v>400</v>
      </c>
      <c r="AP305" s="305">
        <v>320</v>
      </c>
      <c r="AQ305" s="305">
        <f t="shared" si="125"/>
        <v>0.55555555555555558</v>
      </c>
      <c r="AR305" s="305">
        <f t="shared" si="126"/>
        <v>0.44444444444444442</v>
      </c>
      <c r="AV305" s="3">
        <f t="shared" si="129"/>
        <v>2029</v>
      </c>
      <c r="AW305" s="343">
        <f t="shared" si="132"/>
        <v>47423</v>
      </c>
      <c r="AX305" s="121">
        <f t="shared" si="127"/>
        <v>12.125568243610658</v>
      </c>
      <c r="AY305" s="122">
        <v>12.125568243610658</v>
      </c>
      <c r="BA305" s="3">
        <f t="shared" si="120"/>
        <v>2028</v>
      </c>
      <c r="BB305" s="343">
        <v>47026</v>
      </c>
      <c r="BC305" s="3">
        <f t="shared" si="121"/>
        <v>7.23</v>
      </c>
      <c r="BD305" s="3">
        <v>7.32</v>
      </c>
      <c r="BE305" s="3">
        <v>7.14</v>
      </c>
      <c r="BG305" s="3">
        <f t="shared" si="122"/>
        <v>2032</v>
      </c>
      <c r="BH305" s="318">
        <v>48427</v>
      </c>
      <c r="BI305" s="3">
        <f t="shared" si="123"/>
        <v>13.83</v>
      </c>
      <c r="BJ305" s="3">
        <v>13.96</v>
      </c>
      <c r="BK305" s="3">
        <v>13.7</v>
      </c>
      <c r="BL305" s="412">
        <f t="shared" si="130"/>
        <v>2039</v>
      </c>
      <c r="BM305" s="427">
        <v>50802</v>
      </c>
      <c r="BN305" s="412">
        <f t="shared" si="133"/>
        <v>7.2991999999999999</v>
      </c>
      <c r="BO305" s="458">
        <v>7.1947000000000001</v>
      </c>
      <c r="BP305" s="458">
        <v>7.4036999999999997</v>
      </c>
      <c r="BQ305" s="469"/>
      <c r="BR305" s="473"/>
      <c r="BS305" s="469"/>
      <c r="BT305" s="474"/>
      <c r="BU305" s="474"/>
    </row>
    <row r="306" spans="36:73">
      <c r="AJ306" s="3">
        <f t="shared" si="124"/>
        <v>2029</v>
      </c>
      <c r="AK306" s="345">
        <f t="shared" si="134"/>
        <v>47453</v>
      </c>
      <c r="AL306" s="122">
        <v>107.45</v>
      </c>
      <c r="AM306" s="122">
        <v>98.54</v>
      </c>
      <c r="AN306" s="319">
        <f t="shared" si="128"/>
        <v>103.61869999999999</v>
      </c>
      <c r="AO306" s="305">
        <v>400</v>
      </c>
      <c r="AP306" s="305">
        <v>344</v>
      </c>
      <c r="AQ306" s="305">
        <f t="shared" si="125"/>
        <v>0.5376344086021505</v>
      </c>
      <c r="AR306" s="305">
        <f t="shared" si="126"/>
        <v>0.46236559139784944</v>
      </c>
      <c r="AV306" s="3">
        <f t="shared" si="129"/>
        <v>2029</v>
      </c>
      <c r="AW306" s="343">
        <f t="shared" si="132"/>
        <v>47453</v>
      </c>
      <c r="AX306" s="121">
        <f t="shared" si="127"/>
        <v>12.706726481783576</v>
      </c>
      <c r="AY306" s="122">
        <v>12.706726481783576</v>
      </c>
      <c r="BA306" s="3">
        <f t="shared" si="120"/>
        <v>2028</v>
      </c>
      <c r="BB306" s="343">
        <v>47057</v>
      </c>
      <c r="BC306" s="3">
        <f t="shared" si="121"/>
        <v>7.5</v>
      </c>
      <c r="BD306" s="3">
        <v>7.53</v>
      </c>
      <c r="BE306" s="3">
        <v>7.47</v>
      </c>
      <c r="BG306" s="3">
        <f t="shared" si="122"/>
        <v>2032</v>
      </c>
      <c r="BH306" s="318">
        <v>48458</v>
      </c>
      <c r="BI306" s="3">
        <f t="shared" si="123"/>
        <v>13.83</v>
      </c>
      <c r="BJ306" s="3">
        <v>13.96</v>
      </c>
      <c r="BK306" s="3">
        <v>13.7</v>
      </c>
      <c r="BL306" s="412">
        <f t="shared" si="130"/>
        <v>2039</v>
      </c>
      <c r="BM306" s="427">
        <v>50830</v>
      </c>
      <c r="BN306" s="412">
        <f t="shared" si="133"/>
        <v>6.8027499999999996</v>
      </c>
      <c r="BO306" s="458">
        <v>6.7591999999999999</v>
      </c>
      <c r="BP306" s="458">
        <v>6.8463000000000003</v>
      </c>
      <c r="BQ306" s="469"/>
      <c r="BR306" s="473"/>
      <c r="BS306" s="469"/>
      <c r="BT306" s="474"/>
      <c r="BU306" s="474"/>
    </row>
    <row r="307" spans="36:73">
      <c r="AJ307" s="3">
        <f t="shared" si="124"/>
        <v>2030</v>
      </c>
      <c r="AK307" s="345">
        <f t="shared" si="134"/>
        <v>47484</v>
      </c>
      <c r="AL307" s="122">
        <v>112.58</v>
      </c>
      <c r="AM307" s="122">
        <v>101.61</v>
      </c>
      <c r="AN307" s="319">
        <f t="shared" si="128"/>
        <v>107.8629</v>
      </c>
      <c r="AO307" s="305">
        <v>416</v>
      </c>
      <c r="AP307" s="305">
        <v>328</v>
      </c>
      <c r="AQ307" s="305">
        <f t="shared" si="125"/>
        <v>0.55913978494623651</v>
      </c>
      <c r="AR307" s="305">
        <f t="shared" si="126"/>
        <v>0.44086021505376344</v>
      </c>
      <c r="AV307" s="3">
        <f t="shared" si="129"/>
        <v>2030</v>
      </c>
      <c r="AW307" s="343">
        <f t="shared" si="132"/>
        <v>47484</v>
      </c>
      <c r="AX307" s="121">
        <f t="shared" si="127"/>
        <v>13.790875475802068</v>
      </c>
      <c r="AY307" s="122">
        <v>13.790875475802068</v>
      </c>
      <c r="BA307" s="3">
        <f t="shared" si="120"/>
        <v>2028</v>
      </c>
      <c r="BB307" s="343">
        <v>47087</v>
      </c>
      <c r="BC307" s="3">
        <f t="shared" si="121"/>
        <v>7.6099999999999994</v>
      </c>
      <c r="BD307" s="3">
        <v>7.64</v>
      </c>
      <c r="BE307" s="3">
        <v>7.58</v>
      </c>
      <c r="BG307" s="3">
        <f t="shared" si="122"/>
        <v>2032</v>
      </c>
      <c r="BH307" s="318">
        <v>48488</v>
      </c>
      <c r="BI307" s="3">
        <f t="shared" si="123"/>
        <v>14.35</v>
      </c>
      <c r="BJ307" s="3">
        <v>14.37</v>
      </c>
      <c r="BK307" s="3">
        <v>14.33</v>
      </c>
      <c r="BL307" s="412">
        <f t="shared" si="130"/>
        <v>2039</v>
      </c>
      <c r="BM307" s="427">
        <v>50861</v>
      </c>
      <c r="BN307" s="412">
        <f t="shared" si="133"/>
        <v>6.4891500000000004</v>
      </c>
      <c r="BO307" s="458">
        <v>6.4455999999999998</v>
      </c>
      <c r="BP307" s="458">
        <v>6.5327000000000002</v>
      </c>
      <c r="BQ307" s="469"/>
      <c r="BR307" s="473"/>
      <c r="BS307" s="469"/>
      <c r="BT307" s="474"/>
      <c r="BU307" s="474"/>
    </row>
    <row r="308" spans="36:73">
      <c r="AJ308" s="3">
        <f t="shared" si="124"/>
        <v>2030</v>
      </c>
      <c r="AK308" s="345">
        <f t="shared" si="134"/>
        <v>47515</v>
      </c>
      <c r="AL308" s="122">
        <v>105.96</v>
      </c>
      <c r="AM308" s="122">
        <v>92.16</v>
      </c>
      <c r="AN308" s="319">
        <f t="shared" si="128"/>
        <v>100.02599999999998</v>
      </c>
      <c r="AO308" s="305">
        <v>384</v>
      </c>
      <c r="AP308" s="305">
        <v>288</v>
      </c>
      <c r="AQ308" s="305">
        <f t="shared" si="125"/>
        <v>0.5714285714285714</v>
      </c>
      <c r="AR308" s="305">
        <f t="shared" si="126"/>
        <v>0.42857142857142855</v>
      </c>
      <c r="AV308" s="3">
        <f t="shared" si="129"/>
        <v>2030</v>
      </c>
      <c r="AW308" s="343">
        <f t="shared" si="132"/>
        <v>47515</v>
      </c>
      <c r="AX308" s="121">
        <f t="shared" si="127"/>
        <v>12.961620445894505</v>
      </c>
      <c r="AY308" s="122">
        <v>12.961620445894505</v>
      </c>
      <c r="BA308" s="3">
        <f t="shared" si="120"/>
        <v>2028</v>
      </c>
      <c r="BB308" s="343">
        <v>47118</v>
      </c>
      <c r="BC308" s="3">
        <f t="shared" si="121"/>
        <v>7.99</v>
      </c>
      <c r="BD308" s="3">
        <v>7.96</v>
      </c>
      <c r="BE308" s="3">
        <v>8.02</v>
      </c>
      <c r="BG308" s="3">
        <f t="shared" si="122"/>
        <v>2032</v>
      </c>
      <c r="BH308" s="318">
        <v>48519</v>
      </c>
      <c r="BI308" s="3">
        <f t="shared" si="123"/>
        <v>14.559999999999999</v>
      </c>
      <c r="BJ308" s="3">
        <v>14.58</v>
      </c>
      <c r="BK308" s="3">
        <v>14.54</v>
      </c>
      <c r="BL308" s="412">
        <f t="shared" si="130"/>
        <v>2039</v>
      </c>
      <c r="BM308" s="427">
        <v>50891</v>
      </c>
      <c r="BN308" s="412">
        <f t="shared" si="133"/>
        <v>6.4455999999999998</v>
      </c>
      <c r="BO308" s="458">
        <v>6.4455999999999998</v>
      </c>
      <c r="BP308" s="458">
        <v>6.4455999999999998</v>
      </c>
      <c r="BQ308" s="469"/>
      <c r="BR308" s="473"/>
      <c r="BS308" s="469"/>
      <c r="BT308" s="474"/>
      <c r="BU308" s="474"/>
    </row>
    <row r="309" spans="36:73">
      <c r="AJ309" s="3">
        <f t="shared" si="124"/>
        <v>2030</v>
      </c>
      <c r="AK309" s="345">
        <f t="shared" si="134"/>
        <v>47543</v>
      </c>
      <c r="AL309" s="122">
        <v>89.81</v>
      </c>
      <c r="AM309" s="122">
        <v>80.3</v>
      </c>
      <c r="AN309" s="319">
        <f t="shared" si="128"/>
        <v>85.720699999999994</v>
      </c>
      <c r="AO309" s="305">
        <v>416</v>
      </c>
      <c r="AP309" s="305">
        <v>328</v>
      </c>
      <c r="AQ309" s="305">
        <f t="shared" si="125"/>
        <v>0.55913978494623651</v>
      </c>
      <c r="AR309" s="305">
        <f t="shared" si="126"/>
        <v>0.44086021505376344</v>
      </c>
      <c r="AV309" s="3">
        <f t="shared" si="129"/>
        <v>2030</v>
      </c>
      <c r="AW309" s="343">
        <f t="shared" si="132"/>
        <v>47543</v>
      </c>
      <c r="AX309" s="121">
        <f t="shared" si="127"/>
        <v>12.190141381185427</v>
      </c>
      <c r="AY309" s="122">
        <v>12.190141381185427</v>
      </c>
      <c r="BA309" s="3">
        <f t="shared" si="120"/>
        <v>2029</v>
      </c>
      <c r="BB309" s="343">
        <v>47149</v>
      </c>
      <c r="BC309" s="3">
        <f t="shared" si="121"/>
        <v>8.89</v>
      </c>
      <c r="BD309" s="3">
        <v>8.8000000000000007</v>
      </c>
      <c r="BE309" s="3">
        <v>8.98</v>
      </c>
      <c r="BG309" s="3">
        <f t="shared" si="122"/>
        <v>2032</v>
      </c>
      <c r="BH309" s="318">
        <v>48549</v>
      </c>
      <c r="BI309" s="3">
        <f t="shared" si="123"/>
        <v>15.29</v>
      </c>
      <c r="BJ309" s="3">
        <v>15.19</v>
      </c>
      <c r="BK309" s="3">
        <v>15.39</v>
      </c>
      <c r="BL309" s="412">
        <f t="shared" si="130"/>
        <v>2039</v>
      </c>
      <c r="BM309" s="427">
        <v>50922</v>
      </c>
      <c r="BN309" s="412">
        <f t="shared" si="133"/>
        <v>6.3846500000000006</v>
      </c>
      <c r="BO309" s="458">
        <v>6.4282000000000004</v>
      </c>
      <c r="BP309" s="458">
        <v>6.3411</v>
      </c>
      <c r="BQ309" s="469"/>
      <c r="BR309" s="473"/>
      <c r="BS309" s="469"/>
      <c r="BT309" s="474"/>
      <c r="BU309" s="474"/>
    </row>
    <row r="310" spans="36:73">
      <c r="AJ310" s="3">
        <f t="shared" si="124"/>
        <v>2030</v>
      </c>
      <c r="AK310" s="345">
        <f t="shared" si="134"/>
        <v>47574</v>
      </c>
      <c r="AL310" s="122">
        <v>89.32</v>
      </c>
      <c r="AM310" s="122">
        <v>85.1</v>
      </c>
      <c r="AN310" s="319">
        <f t="shared" si="128"/>
        <v>87.50539999999998</v>
      </c>
      <c r="AO310" s="305">
        <v>416</v>
      </c>
      <c r="AP310" s="305">
        <v>304</v>
      </c>
      <c r="AQ310" s="305">
        <f t="shared" si="125"/>
        <v>0.57777777777777772</v>
      </c>
      <c r="AR310" s="305">
        <f t="shared" si="126"/>
        <v>0.42222222222222222</v>
      </c>
      <c r="AV310" s="3">
        <f t="shared" si="129"/>
        <v>2030</v>
      </c>
      <c r="AW310" s="343">
        <f t="shared" si="132"/>
        <v>47574</v>
      </c>
      <c r="AX310" s="121">
        <f t="shared" si="127"/>
        <v>11.537612833061447</v>
      </c>
      <c r="AY310" s="122">
        <v>11.537612833061447</v>
      </c>
      <c r="BA310" s="3">
        <f t="shared" si="120"/>
        <v>2029</v>
      </c>
      <c r="BB310" s="343">
        <v>47177</v>
      </c>
      <c r="BC310" s="3">
        <f t="shared" si="121"/>
        <v>8.27</v>
      </c>
      <c r="BD310" s="3">
        <v>8.24</v>
      </c>
      <c r="BE310" s="3">
        <v>8.3000000000000007</v>
      </c>
      <c r="BG310" s="3">
        <f t="shared" si="122"/>
        <v>2033</v>
      </c>
      <c r="BH310" s="318">
        <v>48580</v>
      </c>
      <c r="BI310" s="3">
        <f t="shared" si="123"/>
        <v>16.73</v>
      </c>
      <c r="BJ310" s="3">
        <v>16.510000000000002</v>
      </c>
      <c r="BK310" s="3">
        <v>16.95</v>
      </c>
      <c r="BL310" s="412">
        <f t="shared" si="130"/>
        <v>2039</v>
      </c>
      <c r="BM310" s="427">
        <v>50952</v>
      </c>
      <c r="BN310" s="412">
        <f t="shared" si="133"/>
        <v>6.4717500000000001</v>
      </c>
      <c r="BO310" s="458">
        <v>6.5152999999999999</v>
      </c>
      <c r="BP310" s="458">
        <v>6.4282000000000004</v>
      </c>
      <c r="BQ310" s="469"/>
      <c r="BR310" s="473"/>
      <c r="BS310" s="469"/>
      <c r="BT310" s="474"/>
      <c r="BU310" s="474"/>
    </row>
    <row r="311" spans="36:73">
      <c r="AJ311" s="3">
        <f t="shared" si="124"/>
        <v>2030</v>
      </c>
      <c r="AK311" s="345">
        <f t="shared" si="134"/>
        <v>47604</v>
      </c>
      <c r="AL311" s="122">
        <v>90.96</v>
      </c>
      <c r="AM311" s="122">
        <v>85.56</v>
      </c>
      <c r="AN311" s="319">
        <f t="shared" si="128"/>
        <v>88.637999999999991</v>
      </c>
      <c r="AO311" s="305">
        <v>416</v>
      </c>
      <c r="AP311" s="305">
        <v>328</v>
      </c>
      <c r="AQ311" s="305">
        <f t="shared" si="125"/>
        <v>0.55913978494623651</v>
      </c>
      <c r="AR311" s="305">
        <f t="shared" si="126"/>
        <v>0.44086021505376344</v>
      </c>
      <c r="AV311" s="3">
        <f t="shared" si="129"/>
        <v>2030</v>
      </c>
      <c r="AW311" s="343">
        <f t="shared" si="132"/>
        <v>47604</v>
      </c>
      <c r="AX311" s="121">
        <f t="shared" si="127"/>
        <v>11.418662316476347</v>
      </c>
      <c r="AY311" s="122">
        <v>11.418662316476347</v>
      </c>
      <c r="BA311" s="3">
        <f t="shared" si="120"/>
        <v>2029</v>
      </c>
      <c r="BB311" s="343">
        <v>47208</v>
      </c>
      <c r="BC311" s="3">
        <f t="shared" si="121"/>
        <v>7.7650000000000006</v>
      </c>
      <c r="BD311" s="3">
        <v>7.8</v>
      </c>
      <c r="BE311" s="3">
        <v>7.73</v>
      </c>
      <c r="BG311" s="3">
        <f t="shared" si="122"/>
        <v>2033</v>
      </c>
      <c r="BH311" s="318">
        <v>48611</v>
      </c>
      <c r="BI311" s="3">
        <f t="shared" si="123"/>
        <v>15.565000000000001</v>
      </c>
      <c r="BJ311" s="3">
        <v>15.47</v>
      </c>
      <c r="BK311" s="3">
        <v>15.66</v>
      </c>
      <c r="BL311" s="412">
        <f t="shared" si="130"/>
        <v>2039</v>
      </c>
      <c r="BM311" s="427">
        <v>50983</v>
      </c>
      <c r="BN311" s="412">
        <f t="shared" si="133"/>
        <v>6.6546500000000002</v>
      </c>
      <c r="BO311" s="458">
        <v>6.6372</v>
      </c>
      <c r="BP311" s="458">
        <v>6.6721000000000004</v>
      </c>
      <c r="BQ311" s="469"/>
      <c r="BR311" s="473"/>
      <c r="BS311" s="469"/>
      <c r="BT311" s="474"/>
      <c r="BU311" s="474"/>
    </row>
    <row r="312" spans="36:73">
      <c r="AJ312" s="3">
        <f t="shared" si="124"/>
        <v>2030</v>
      </c>
      <c r="AK312" s="345">
        <f t="shared" si="134"/>
        <v>47635</v>
      </c>
      <c r="AL312" s="122">
        <v>98.46</v>
      </c>
      <c r="AM312" s="122">
        <v>87.87</v>
      </c>
      <c r="AN312" s="319">
        <f t="shared" si="128"/>
        <v>93.906299999999987</v>
      </c>
      <c r="AO312" s="305">
        <v>400</v>
      </c>
      <c r="AP312" s="305">
        <v>320</v>
      </c>
      <c r="AQ312" s="305">
        <f t="shared" si="125"/>
        <v>0.55555555555555558</v>
      </c>
      <c r="AR312" s="305">
        <f t="shared" si="126"/>
        <v>0.44444444444444442</v>
      </c>
      <c r="AV312" s="3">
        <f t="shared" si="129"/>
        <v>2030</v>
      </c>
      <c r="AW312" s="343">
        <f t="shared" si="132"/>
        <v>47635</v>
      </c>
      <c r="AX312" s="121">
        <f t="shared" si="127"/>
        <v>11.595388798259924</v>
      </c>
      <c r="AY312" s="122">
        <v>11.595388798259924</v>
      </c>
      <c r="BA312" s="3">
        <f t="shared" si="120"/>
        <v>2029</v>
      </c>
      <c r="BB312" s="343">
        <v>47238</v>
      </c>
      <c r="BC312" s="3">
        <f t="shared" si="121"/>
        <v>7.2549999999999999</v>
      </c>
      <c r="BD312" s="3">
        <v>7.35</v>
      </c>
      <c r="BE312" s="3">
        <v>7.16</v>
      </c>
      <c r="BG312" s="3">
        <f t="shared" si="122"/>
        <v>2033</v>
      </c>
      <c r="BH312" s="318">
        <v>48639</v>
      </c>
      <c r="BI312" s="3">
        <f t="shared" si="123"/>
        <v>14.61</v>
      </c>
      <c r="BJ312" s="3">
        <v>14.63</v>
      </c>
      <c r="BK312" s="3">
        <v>14.59</v>
      </c>
      <c r="BL312" s="412">
        <f t="shared" si="130"/>
        <v>2039</v>
      </c>
      <c r="BM312" s="427">
        <v>51014</v>
      </c>
      <c r="BN312" s="412">
        <f t="shared" si="133"/>
        <v>6.5152999999999999</v>
      </c>
      <c r="BO312" s="458">
        <v>6.4805000000000001</v>
      </c>
      <c r="BP312" s="458">
        <v>6.5500999999999996</v>
      </c>
      <c r="BQ312" s="469"/>
      <c r="BR312" s="473"/>
      <c r="BS312" s="469"/>
      <c r="BT312" s="474"/>
      <c r="BU312" s="474"/>
    </row>
    <row r="313" spans="36:73">
      <c r="AJ313" s="3">
        <f t="shared" si="124"/>
        <v>2030</v>
      </c>
      <c r="AK313" s="345">
        <f t="shared" si="134"/>
        <v>47665</v>
      </c>
      <c r="AL313" s="122">
        <v>93.78</v>
      </c>
      <c r="AM313" s="122">
        <v>89.88</v>
      </c>
      <c r="AN313" s="319">
        <f t="shared" si="128"/>
        <v>92.102999999999994</v>
      </c>
      <c r="AO313" s="305">
        <v>416</v>
      </c>
      <c r="AP313" s="305">
        <v>328</v>
      </c>
      <c r="AQ313" s="305">
        <f t="shared" si="125"/>
        <v>0.55913978494623651</v>
      </c>
      <c r="AR313" s="305">
        <f t="shared" si="126"/>
        <v>0.44086021505376344</v>
      </c>
      <c r="AV313" s="3">
        <f t="shared" si="129"/>
        <v>2030</v>
      </c>
      <c r="AW313" s="343">
        <f t="shared" si="132"/>
        <v>47665</v>
      </c>
      <c r="AX313" s="121">
        <f t="shared" si="127"/>
        <v>11.775513866231645</v>
      </c>
      <c r="AY313" s="122">
        <v>11.775513866231645</v>
      </c>
      <c r="BA313" s="3">
        <f t="shared" si="120"/>
        <v>2029</v>
      </c>
      <c r="BB313" s="343">
        <v>47269</v>
      </c>
      <c r="BC313" s="3">
        <f t="shared" si="121"/>
        <v>7.2549999999999999</v>
      </c>
      <c r="BD313" s="3">
        <v>7.35</v>
      </c>
      <c r="BE313" s="3">
        <v>7.16</v>
      </c>
      <c r="BG313" s="3">
        <f t="shared" si="122"/>
        <v>2033</v>
      </c>
      <c r="BH313" s="318">
        <v>48670</v>
      </c>
      <c r="BI313" s="3">
        <f t="shared" si="123"/>
        <v>13.66</v>
      </c>
      <c r="BJ313" s="3">
        <v>13.8</v>
      </c>
      <c r="BK313" s="3">
        <v>13.52</v>
      </c>
      <c r="BL313" s="412">
        <f t="shared" si="130"/>
        <v>2039</v>
      </c>
      <c r="BM313" s="427">
        <v>51044</v>
      </c>
      <c r="BN313" s="412">
        <f t="shared" si="133"/>
        <v>6.7156500000000001</v>
      </c>
      <c r="BO313" s="458">
        <v>6.6721000000000004</v>
      </c>
      <c r="BP313" s="458">
        <v>6.7591999999999999</v>
      </c>
      <c r="BQ313" s="469"/>
      <c r="BR313" s="473"/>
      <c r="BS313" s="469"/>
      <c r="BT313" s="474"/>
      <c r="BU313" s="474"/>
    </row>
    <row r="314" spans="36:73">
      <c r="AJ314" s="3">
        <f t="shared" si="124"/>
        <v>2030</v>
      </c>
      <c r="AK314" s="345">
        <f t="shared" si="134"/>
        <v>47696</v>
      </c>
      <c r="AL314" s="122">
        <v>94.24</v>
      </c>
      <c r="AM314" s="122">
        <v>90.4</v>
      </c>
      <c r="AN314" s="319">
        <f t="shared" si="128"/>
        <v>92.588799999999992</v>
      </c>
      <c r="AO314" s="305">
        <v>432</v>
      </c>
      <c r="AP314" s="305">
        <v>312</v>
      </c>
      <c r="AQ314" s="305">
        <f t="shared" si="125"/>
        <v>0.58064516129032262</v>
      </c>
      <c r="AR314" s="305">
        <f t="shared" si="126"/>
        <v>0.41935483870967744</v>
      </c>
      <c r="AV314" s="3">
        <f t="shared" si="129"/>
        <v>2030</v>
      </c>
      <c r="AW314" s="343">
        <f t="shared" si="132"/>
        <v>47696</v>
      </c>
      <c r="AX314" s="121">
        <f t="shared" si="127"/>
        <v>11.775513866231645</v>
      </c>
      <c r="AY314" s="122">
        <v>11.775513866231645</v>
      </c>
      <c r="BA314" s="3">
        <f t="shared" si="120"/>
        <v>2029</v>
      </c>
      <c r="BB314" s="343">
        <v>47299</v>
      </c>
      <c r="BC314" s="3">
        <f t="shared" si="121"/>
        <v>7.37</v>
      </c>
      <c r="BD314" s="3">
        <v>7.46</v>
      </c>
      <c r="BE314" s="3">
        <v>7.28</v>
      </c>
      <c r="BG314" s="3">
        <f t="shared" si="122"/>
        <v>2033</v>
      </c>
      <c r="BH314" s="318">
        <v>48700</v>
      </c>
      <c r="BI314" s="3">
        <f t="shared" si="123"/>
        <v>13.66</v>
      </c>
      <c r="BJ314" s="3">
        <v>13.8</v>
      </c>
      <c r="BK314" s="3">
        <v>13.52</v>
      </c>
      <c r="BL314" s="412">
        <f t="shared" si="130"/>
        <v>2039</v>
      </c>
      <c r="BM314" s="427">
        <v>51075</v>
      </c>
      <c r="BN314" s="412">
        <f t="shared" si="133"/>
        <v>6.9856499999999997</v>
      </c>
      <c r="BO314" s="458">
        <v>6.9160000000000004</v>
      </c>
      <c r="BP314" s="458">
        <v>7.0552999999999999</v>
      </c>
      <c r="BQ314" s="469"/>
      <c r="BR314" s="473"/>
      <c r="BS314" s="469"/>
      <c r="BT314" s="474"/>
      <c r="BU314" s="474"/>
    </row>
    <row r="315" spans="36:73">
      <c r="AJ315" s="3">
        <f t="shared" si="124"/>
        <v>2030</v>
      </c>
      <c r="AK315" s="345">
        <f t="shared" si="134"/>
        <v>47727</v>
      </c>
      <c r="AL315" s="122">
        <v>93.41</v>
      </c>
      <c r="AM315" s="122">
        <v>87.6</v>
      </c>
      <c r="AN315" s="319">
        <f t="shared" si="128"/>
        <v>90.911699999999996</v>
      </c>
      <c r="AO315" s="305">
        <v>384</v>
      </c>
      <c r="AP315" s="305">
        <v>336</v>
      </c>
      <c r="AQ315" s="305">
        <f t="shared" si="125"/>
        <v>0.53333333333333333</v>
      </c>
      <c r="AR315" s="305">
        <f t="shared" si="126"/>
        <v>0.46666666666666667</v>
      </c>
      <c r="AV315" s="3">
        <f t="shared" si="129"/>
        <v>2030</v>
      </c>
      <c r="AW315" s="343">
        <f t="shared" si="132"/>
        <v>47727</v>
      </c>
      <c r="AX315" s="121">
        <f t="shared" si="127"/>
        <v>11.775513866231645</v>
      </c>
      <c r="AY315" s="122">
        <v>11.775513866231645</v>
      </c>
      <c r="BA315" s="3">
        <f t="shared" si="120"/>
        <v>2029</v>
      </c>
      <c r="BB315" s="343">
        <v>47330</v>
      </c>
      <c r="BC315" s="3">
        <f t="shared" si="121"/>
        <v>7.48</v>
      </c>
      <c r="BD315" s="3">
        <v>7.57</v>
      </c>
      <c r="BE315" s="3">
        <v>7.39</v>
      </c>
      <c r="BG315" s="3">
        <f t="shared" si="122"/>
        <v>2033</v>
      </c>
      <c r="BH315" s="318">
        <v>48731</v>
      </c>
      <c r="BI315" s="3">
        <f t="shared" si="123"/>
        <v>13.865</v>
      </c>
      <c r="BJ315" s="3">
        <v>14</v>
      </c>
      <c r="BK315" s="3">
        <v>13.73</v>
      </c>
      <c r="BL315" s="412">
        <f t="shared" si="130"/>
        <v>2039</v>
      </c>
      <c r="BM315" s="427">
        <v>51105</v>
      </c>
      <c r="BN315" s="412">
        <f t="shared" si="133"/>
        <v>7.3166500000000001</v>
      </c>
      <c r="BO315" s="458">
        <v>7.2121000000000004</v>
      </c>
      <c r="BP315" s="458">
        <v>7.4211999999999998</v>
      </c>
      <c r="BQ315" s="469"/>
      <c r="BR315" s="473"/>
      <c r="BS315" s="469"/>
      <c r="BT315" s="474"/>
      <c r="BU315" s="474"/>
    </row>
    <row r="316" spans="36:73">
      <c r="AJ316" s="3">
        <f t="shared" si="124"/>
        <v>2030</v>
      </c>
      <c r="AK316" s="345">
        <f t="shared" si="134"/>
        <v>47757</v>
      </c>
      <c r="AL316" s="122">
        <v>92.7</v>
      </c>
      <c r="AM316" s="122">
        <v>80.930000000000007</v>
      </c>
      <c r="AN316" s="319">
        <f t="shared" si="128"/>
        <v>87.638900000000007</v>
      </c>
      <c r="AO316" s="305">
        <v>432</v>
      </c>
      <c r="AP316" s="305">
        <v>312</v>
      </c>
      <c r="AQ316" s="305">
        <f t="shared" si="125"/>
        <v>0.58064516129032262</v>
      </c>
      <c r="AR316" s="305">
        <f t="shared" si="126"/>
        <v>0.41935483870967744</v>
      </c>
      <c r="AV316" s="3">
        <f t="shared" si="129"/>
        <v>2030</v>
      </c>
      <c r="AW316" s="343">
        <f t="shared" si="132"/>
        <v>47757</v>
      </c>
      <c r="AX316" s="121">
        <f t="shared" si="127"/>
        <v>12.190141381185427</v>
      </c>
      <c r="AY316" s="122">
        <v>12.190141381185427</v>
      </c>
      <c r="BA316" s="3">
        <f t="shared" si="120"/>
        <v>2029</v>
      </c>
      <c r="BB316" s="343">
        <v>47361</v>
      </c>
      <c r="BC316" s="3">
        <f t="shared" si="121"/>
        <v>7.48</v>
      </c>
      <c r="BD316" s="3">
        <v>7.57</v>
      </c>
      <c r="BE316" s="3">
        <v>7.39</v>
      </c>
      <c r="BG316" s="3">
        <f t="shared" si="122"/>
        <v>2033</v>
      </c>
      <c r="BH316" s="318">
        <v>48761</v>
      </c>
      <c r="BI316" s="3">
        <f t="shared" si="123"/>
        <v>14.08</v>
      </c>
      <c r="BJ316" s="3">
        <v>14.21</v>
      </c>
      <c r="BK316" s="3">
        <v>13.95</v>
      </c>
      <c r="BL316" s="412">
        <f t="shared" si="130"/>
        <v>2040</v>
      </c>
      <c r="BM316" s="427">
        <v>51136</v>
      </c>
      <c r="BN316" s="412">
        <f t="shared" si="133"/>
        <v>7.4493</v>
      </c>
      <c r="BO316" s="458">
        <v>7.4671000000000003</v>
      </c>
      <c r="BP316" s="458">
        <v>7.4314999999999998</v>
      </c>
      <c r="BQ316" s="469"/>
      <c r="BR316" s="473"/>
      <c r="BS316" s="469"/>
      <c r="BT316" s="474"/>
      <c r="BU316" s="474"/>
    </row>
    <row r="317" spans="36:73">
      <c r="AJ317" s="3">
        <f t="shared" si="124"/>
        <v>2030</v>
      </c>
      <c r="AK317" s="345">
        <f t="shared" si="134"/>
        <v>47788</v>
      </c>
      <c r="AL317" s="122">
        <v>104.7</v>
      </c>
      <c r="AM317" s="122">
        <v>91.81</v>
      </c>
      <c r="AN317" s="319">
        <f t="shared" si="128"/>
        <v>99.157299999999992</v>
      </c>
      <c r="AO317" s="305">
        <v>400</v>
      </c>
      <c r="AP317" s="305">
        <v>320</v>
      </c>
      <c r="AQ317" s="305">
        <f t="shared" si="125"/>
        <v>0.55555555555555558</v>
      </c>
      <c r="AR317" s="305">
        <f t="shared" si="126"/>
        <v>0.44444444444444442</v>
      </c>
      <c r="AV317" s="3">
        <f t="shared" si="129"/>
        <v>2030</v>
      </c>
      <c r="AW317" s="343">
        <f t="shared" si="132"/>
        <v>47788</v>
      </c>
      <c r="AX317" s="121">
        <f t="shared" si="127"/>
        <v>12.366867862969004</v>
      </c>
      <c r="AY317" s="122">
        <v>12.366867862969004</v>
      </c>
      <c r="BA317" s="3">
        <f t="shared" si="120"/>
        <v>2029</v>
      </c>
      <c r="BB317" s="343">
        <v>47391</v>
      </c>
      <c r="BC317" s="3">
        <f t="shared" si="121"/>
        <v>7.48</v>
      </c>
      <c r="BD317" s="3">
        <v>7.57</v>
      </c>
      <c r="BE317" s="3">
        <v>7.39</v>
      </c>
      <c r="BG317" s="3">
        <f t="shared" si="122"/>
        <v>2033</v>
      </c>
      <c r="BH317" s="318">
        <v>48792</v>
      </c>
      <c r="BI317" s="3">
        <f t="shared" si="123"/>
        <v>14.08</v>
      </c>
      <c r="BJ317" s="3">
        <v>14.21</v>
      </c>
      <c r="BK317" s="3">
        <v>13.95</v>
      </c>
      <c r="BL317" s="412">
        <f t="shared" si="130"/>
        <v>2040</v>
      </c>
      <c r="BM317" s="427">
        <v>51167</v>
      </c>
      <c r="BN317" s="412">
        <f t="shared" si="133"/>
        <v>7.6631499999999999</v>
      </c>
      <c r="BO317" s="458">
        <v>7.5384000000000002</v>
      </c>
      <c r="BP317" s="458">
        <v>7.7878999999999996</v>
      </c>
      <c r="BQ317" s="469"/>
      <c r="BR317" s="473"/>
      <c r="BS317" s="469"/>
      <c r="BT317" s="474"/>
      <c r="BU317" s="474"/>
    </row>
    <row r="318" spans="36:73">
      <c r="AJ318" s="3">
        <f t="shared" si="124"/>
        <v>2030</v>
      </c>
      <c r="AK318" s="345">
        <f t="shared" si="134"/>
        <v>47818</v>
      </c>
      <c r="AL318" s="122">
        <v>109.6</v>
      </c>
      <c r="AM318" s="122">
        <v>100.51</v>
      </c>
      <c r="AN318" s="319">
        <f t="shared" si="128"/>
        <v>105.6913</v>
      </c>
      <c r="AO318" s="305">
        <v>400</v>
      </c>
      <c r="AP318" s="305">
        <v>344</v>
      </c>
      <c r="AQ318" s="305">
        <f t="shared" si="125"/>
        <v>0.5376344086021505</v>
      </c>
      <c r="AR318" s="305">
        <f t="shared" si="126"/>
        <v>0.46236559139784944</v>
      </c>
      <c r="AV318" s="3">
        <f t="shared" si="129"/>
        <v>2030</v>
      </c>
      <c r="AW318" s="343">
        <f t="shared" si="132"/>
        <v>47818</v>
      </c>
      <c r="AX318" s="121">
        <f t="shared" si="127"/>
        <v>12.961620445894505</v>
      </c>
      <c r="AY318" s="122">
        <v>12.961620445894505</v>
      </c>
      <c r="BA318" s="3">
        <f t="shared" si="120"/>
        <v>2029</v>
      </c>
      <c r="BB318" s="343">
        <v>47422</v>
      </c>
      <c r="BC318" s="3">
        <f t="shared" si="121"/>
        <v>7.7650000000000006</v>
      </c>
      <c r="BD318" s="3">
        <v>7.8</v>
      </c>
      <c r="BE318" s="3">
        <v>7.73</v>
      </c>
      <c r="BG318" s="3">
        <f t="shared" si="122"/>
        <v>2033</v>
      </c>
      <c r="BH318" s="318">
        <v>48823</v>
      </c>
      <c r="BI318" s="3">
        <f t="shared" si="123"/>
        <v>14.08</v>
      </c>
      <c r="BJ318" s="3">
        <v>14.21</v>
      </c>
      <c r="BK318" s="3">
        <v>13.95</v>
      </c>
      <c r="BL318" s="412">
        <f t="shared" si="130"/>
        <v>2040</v>
      </c>
      <c r="BM318" s="427">
        <v>51196</v>
      </c>
      <c r="BN318" s="412">
        <f t="shared" si="133"/>
        <v>7.1730499999999999</v>
      </c>
      <c r="BO318" s="458">
        <v>7.1106999999999996</v>
      </c>
      <c r="BP318" s="458">
        <v>7.2354000000000003</v>
      </c>
      <c r="BQ318" s="469"/>
      <c r="BR318" s="473"/>
      <c r="BS318" s="469"/>
      <c r="BT318" s="474"/>
      <c r="BU318" s="474"/>
    </row>
    <row r="319" spans="36:73">
      <c r="AJ319" s="3">
        <f t="shared" si="124"/>
        <v>2031</v>
      </c>
      <c r="AK319" s="345">
        <f t="shared" si="134"/>
        <v>47849</v>
      </c>
      <c r="AL319" s="122">
        <v>114.83</v>
      </c>
      <c r="AM319" s="122">
        <v>103.64</v>
      </c>
      <c r="AN319" s="319">
        <f t="shared" si="128"/>
        <v>110.01829999999998</v>
      </c>
      <c r="AO319" s="305">
        <v>416</v>
      </c>
      <c r="AP319" s="305">
        <v>328</v>
      </c>
      <c r="AQ319" s="305">
        <f t="shared" si="125"/>
        <v>0.55913978494623651</v>
      </c>
      <c r="AR319" s="305">
        <f t="shared" si="126"/>
        <v>0.44086021505376344</v>
      </c>
      <c r="AV319" s="3">
        <f t="shared" si="129"/>
        <v>2031</v>
      </c>
      <c r="AW319" s="343">
        <f t="shared" si="132"/>
        <v>47849</v>
      </c>
      <c r="AX319" s="121">
        <f t="shared" si="127"/>
        <v>14.069559543230017</v>
      </c>
      <c r="AY319" s="122">
        <v>14.069559543230017</v>
      </c>
      <c r="BA319" s="3">
        <f t="shared" si="120"/>
        <v>2029</v>
      </c>
      <c r="BB319" s="343">
        <v>47452</v>
      </c>
      <c r="BC319" s="3">
        <f t="shared" si="121"/>
        <v>7.88</v>
      </c>
      <c r="BD319" s="3">
        <v>7.91</v>
      </c>
      <c r="BE319" s="3">
        <v>7.85</v>
      </c>
      <c r="BG319" s="3">
        <f t="shared" si="122"/>
        <v>2033</v>
      </c>
      <c r="BH319" s="318">
        <v>48853</v>
      </c>
      <c r="BI319" s="3">
        <f t="shared" si="123"/>
        <v>14.61</v>
      </c>
      <c r="BJ319" s="3">
        <v>14.63</v>
      </c>
      <c r="BK319" s="3">
        <v>14.59</v>
      </c>
      <c r="BL319" s="412">
        <f t="shared" si="130"/>
        <v>2040</v>
      </c>
      <c r="BM319" s="427">
        <v>51227</v>
      </c>
      <c r="BN319" s="412">
        <f t="shared" si="133"/>
        <v>6.7720500000000001</v>
      </c>
      <c r="BO319" s="458">
        <v>6.7363999999999997</v>
      </c>
      <c r="BP319" s="458">
        <v>6.8076999999999996</v>
      </c>
      <c r="BQ319" s="469"/>
      <c r="BR319" s="473"/>
      <c r="BS319" s="469"/>
      <c r="BT319" s="474"/>
      <c r="BU319" s="474"/>
    </row>
    <row r="320" spans="36:73">
      <c r="AJ320" s="3">
        <f t="shared" si="124"/>
        <v>2031</v>
      </c>
      <c r="AK320" s="345">
        <f t="shared" si="134"/>
        <v>47880</v>
      </c>
      <c r="AL320" s="122">
        <v>108.08</v>
      </c>
      <c r="AM320" s="122">
        <v>94</v>
      </c>
      <c r="AN320" s="319">
        <f t="shared" si="128"/>
        <v>102.0256</v>
      </c>
      <c r="AO320" s="305">
        <v>384</v>
      </c>
      <c r="AP320" s="305">
        <v>288</v>
      </c>
      <c r="AQ320" s="305">
        <f t="shared" si="125"/>
        <v>0.5714285714285714</v>
      </c>
      <c r="AR320" s="305">
        <f t="shared" si="126"/>
        <v>0.42857142857142855</v>
      </c>
      <c r="AV320" s="3">
        <f t="shared" si="129"/>
        <v>2031</v>
      </c>
      <c r="AW320" s="343">
        <f t="shared" si="132"/>
        <v>47880</v>
      </c>
      <c r="AX320" s="121">
        <f t="shared" si="127"/>
        <v>13.216514410005436</v>
      </c>
      <c r="AY320" s="122">
        <v>13.216514410005436</v>
      </c>
      <c r="BA320" s="3">
        <f t="shared" si="120"/>
        <v>2029</v>
      </c>
      <c r="BB320" s="343">
        <v>47483</v>
      </c>
      <c r="BC320" s="3">
        <f t="shared" si="121"/>
        <v>8.27</v>
      </c>
      <c r="BD320" s="3">
        <v>8.24</v>
      </c>
      <c r="BE320" s="3">
        <v>8.3000000000000007</v>
      </c>
      <c r="BG320" s="3">
        <f t="shared" si="122"/>
        <v>2033</v>
      </c>
      <c r="BH320" s="318">
        <v>48884</v>
      </c>
      <c r="BI320" s="3">
        <f t="shared" si="123"/>
        <v>14.824999999999999</v>
      </c>
      <c r="BJ320" s="3">
        <v>14.84</v>
      </c>
      <c r="BK320" s="3">
        <v>14.81</v>
      </c>
      <c r="BL320" s="412">
        <f t="shared" si="130"/>
        <v>2040</v>
      </c>
      <c r="BM320" s="427">
        <v>51257</v>
      </c>
      <c r="BN320" s="412">
        <f t="shared" si="133"/>
        <v>6.7275</v>
      </c>
      <c r="BO320" s="458">
        <v>6.7186000000000003</v>
      </c>
      <c r="BP320" s="458">
        <v>6.7363999999999997</v>
      </c>
      <c r="BQ320" s="469"/>
      <c r="BR320" s="473"/>
      <c r="BS320" s="469"/>
      <c r="BT320" s="474"/>
      <c r="BU320" s="474"/>
    </row>
    <row r="321" spans="36:73">
      <c r="AJ321" s="3">
        <f t="shared" si="124"/>
        <v>2031</v>
      </c>
      <c r="AK321" s="345">
        <f t="shared" si="134"/>
        <v>47908</v>
      </c>
      <c r="AL321" s="122">
        <v>91.6</v>
      </c>
      <c r="AM321" s="122">
        <v>81.91</v>
      </c>
      <c r="AN321" s="319">
        <f t="shared" si="128"/>
        <v>87.433299999999988</v>
      </c>
      <c r="AO321" s="305">
        <v>416</v>
      </c>
      <c r="AP321" s="305">
        <v>328</v>
      </c>
      <c r="AQ321" s="305">
        <f t="shared" si="125"/>
        <v>0.55913978494623651</v>
      </c>
      <c r="AR321" s="305">
        <f t="shared" si="126"/>
        <v>0.44086021505376344</v>
      </c>
      <c r="AV321" s="3">
        <f t="shared" si="129"/>
        <v>2031</v>
      </c>
      <c r="AW321" s="343">
        <f t="shared" si="132"/>
        <v>47908</v>
      </c>
      <c r="AX321" s="121">
        <f t="shared" si="127"/>
        <v>12.431441000543773</v>
      </c>
      <c r="AY321" s="122">
        <v>12.431441000543773</v>
      </c>
      <c r="BA321" s="3">
        <f t="shared" si="120"/>
        <v>2030</v>
      </c>
      <c r="BB321" s="343">
        <v>47514</v>
      </c>
      <c r="BC321" s="3">
        <f t="shared" si="121"/>
        <v>9.2050000000000001</v>
      </c>
      <c r="BD321" s="3">
        <v>9.11</v>
      </c>
      <c r="BE321" s="3">
        <v>9.3000000000000007</v>
      </c>
      <c r="BG321" s="3">
        <f t="shared" si="122"/>
        <v>2033</v>
      </c>
      <c r="BH321" s="318">
        <v>48914</v>
      </c>
      <c r="BI321" s="3">
        <f t="shared" si="123"/>
        <v>15.565000000000001</v>
      </c>
      <c r="BJ321" s="3">
        <v>15.47</v>
      </c>
      <c r="BK321" s="3">
        <v>15.66</v>
      </c>
      <c r="BL321" s="412">
        <f t="shared" si="130"/>
        <v>2040</v>
      </c>
      <c r="BM321" s="427">
        <v>51288</v>
      </c>
      <c r="BN321" s="412">
        <f t="shared" si="133"/>
        <v>6.6473499999999994</v>
      </c>
      <c r="BO321" s="458">
        <v>6.6829999999999998</v>
      </c>
      <c r="BP321" s="458">
        <v>6.6116999999999999</v>
      </c>
      <c r="BQ321" s="469"/>
      <c r="BR321" s="473"/>
      <c r="BS321" s="469"/>
      <c r="BT321" s="474"/>
      <c r="BU321" s="474"/>
    </row>
    <row r="322" spans="36:73">
      <c r="AJ322" s="3">
        <f t="shared" si="124"/>
        <v>2031</v>
      </c>
      <c r="AK322" s="345">
        <f t="shared" si="134"/>
        <v>47939</v>
      </c>
      <c r="AL322" s="122">
        <v>91.11</v>
      </c>
      <c r="AM322" s="122">
        <v>86.8</v>
      </c>
      <c r="AN322" s="319">
        <f t="shared" si="128"/>
        <v>89.256699999999995</v>
      </c>
      <c r="AO322" s="305">
        <v>416</v>
      </c>
      <c r="AP322" s="305">
        <v>304</v>
      </c>
      <c r="AQ322" s="305">
        <f t="shared" si="125"/>
        <v>0.57777777777777772</v>
      </c>
      <c r="AR322" s="305">
        <f t="shared" si="126"/>
        <v>0.42222222222222222</v>
      </c>
      <c r="AV322" s="3">
        <f t="shared" si="129"/>
        <v>2031</v>
      </c>
      <c r="AW322" s="343">
        <f t="shared" si="132"/>
        <v>47939</v>
      </c>
      <c r="AX322" s="121">
        <f t="shared" si="127"/>
        <v>11.765318107667209</v>
      </c>
      <c r="AY322" s="122">
        <v>11.765318107667209</v>
      </c>
      <c r="BA322" s="3">
        <f t="shared" si="120"/>
        <v>2030</v>
      </c>
      <c r="BB322" s="343">
        <v>47542</v>
      </c>
      <c r="BC322" s="3">
        <f t="shared" si="121"/>
        <v>8.5599999999999987</v>
      </c>
      <c r="BD322" s="3">
        <v>8.5299999999999994</v>
      </c>
      <c r="BE322" s="3">
        <v>8.59</v>
      </c>
      <c r="BG322" s="3">
        <f t="shared" si="122"/>
        <v>2034</v>
      </c>
      <c r="BH322" s="318">
        <v>48945</v>
      </c>
      <c r="BI322" s="3">
        <f t="shared" si="123"/>
        <v>17.035</v>
      </c>
      <c r="BJ322" s="3">
        <v>16.809999999999999</v>
      </c>
      <c r="BK322" s="3">
        <v>17.260000000000002</v>
      </c>
      <c r="BL322" s="412">
        <f t="shared" si="130"/>
        <v>2040</v>
      </c>
      <c r="BM322" s="427">
        <v>51318</v>
      </c>
      <c r="BN322" s="412">
        <f t="shared" si="133"/>
        <v>6.7275499999999999</v>
      </c>
      <c r="BO322" s="458">
        <v>6.7721</v>
      </c>
      <c r="BP322" s="458">
        <v>6.6829999999999998</v>
      </c>
      <c r="BQ322" s="469"/>
      <c r="BR322" s="473"/>
      <c r="BS322" s="469"/>
      <c r="BT322" s="474"/>
      <c r="BU322" s="474"/>
    </row>
    <row r="323" spans="36:73">
      <c r="AJ323" s="3">
        <f t="shared" si="124"/>
        <v>2031</v>
      </c>
      <c r="AK323" s="345">
        <f t="shared" si="134"/>
        <v>47969</v>
      </c>
      <c r="AL323" s="122">
        <v>92.78</v>
      </c>
      <c r="AM323" s="122">
        <v>87.27</v>
      </c>
      <c r="AN323" s="319">
        <f t="shared" si="128"/>
        <v>90.410699999999991</v>
      </c>
      <c r="AO323" s="305">
        <v>416</v>
      </c>
      <c r="AP323" s="305">
        <v>328</v>
      </c>
      <c r="AQ323" s="305">
        <f t="shared" si="125"/>
        <v>0.55913978494623651</v>
      </c>
      <c r="AR323" s="305">
        <f t="shared" si="126"/>
        <v>0.44086021505376344</v>
      </c>
      <c r="AV323" s="3">
        <f t="shared" si="129"/>
        <v>2031</v>
      </c>
      <c r="AW323" s="343">
        <f t="shared" si="132"/>
        <v>47969</v>
      </c>
      <c r="AX323" s="121">
        <f t="shared" si="127"/>
        <v>11.646367591082109</v>
      </c>
      <c r="AY323" s="122">
        <v>11.646367591082109</v>
      </c>
      <c r="BA323" s="3">
        <f t="shared" si="120"/>
        <v>2030</v>
      </c>
      <c r="BB323" s="343">
        <v>47573</v>
      </c>
      <c r="BC323" s="3">
        <f t="shared" si="121"/>
        <v>8.0350000000000001</v>
      </c>
      <c r="BD323" s="3">
        <v>8.07</v>
      </c>
      <c r="BE323" s="3">
        <v>8</v>
      </c>
      <c r="BG323" s="3">
        <f t="shared" si="122"/>
        <v>2034</v>
      </c>
      <c r="BH323" s="318">
        <v>48976</v>
      </c>
      <c r="BI323" s="3">
        <f t="shared" si="123"/>
        <v>15.85</v>
      </c>
      <c r="BJ323" s="3">
        <v>15.75</v>
      </c>
      <c r="BK323" s="3">
        <v>15.95</v>
      </c>
      <c r="BL323" s="412">
        <f t="shared" si="130"/>
        <v>2040</v>
      </c>
      <c r="BM323" s="427">
        <v>51349</v>
      </c>
      <c r="BN323" s="412">
        <f t="shared" si="133"/>
        <v>6.9413499999999999</v>
      </c>
      <c r="BO323" s="458">
        <v>6.9146000000000001</v>
      </c>
      <c r="BP323" s="458">
        <v>6.9680999999999997</v>
      </c>
      <c r="BQ323" s="469"/>
      <c r="BR323" s="473"/>
      <c r="BS323" s="469"/>
      <c r="BT323" s="474"/>
      <c r="BU323" s="474"/>
    </row>
    <row r="324" spans="36:73">
      <c r="AJ324" s="3">
        <f t="shared" si="124"/>
        <v>2031</v>
      </c>
      <c r="AK324" s="345">
        <f t="shared" si="134"/>
        <v>48000</v>
      </c>
      <c r="AL324" s="122">
        <v>100.43</v>
      </c>
      <c r="AM324" s="122">
        <v>89.63</v>
      </c>
      <c r="AN324" s="319">
        <f t="shared" si="128"/>
        <v>95.786000000000001</v>
      </c>
      <c r="AO324" s="305">
        <v>400</v>
      </c>
      <c r="AP324" s="305">
        <v>320</v>
      </c>
      <c r="AQ324" s="305">
        <f t="shared" si="125"/>
        <v>0.55555555555555558</v>
      </c>
      <c r="AR324" s="305">
        <f t="shared" si="126"/>
        <v>0.44444444444444442</v>
      </c>
      <c r="AV324" s="3">
        <f t="shared" si="129"/>
        <v>2031</v>
      </c>
      <c r="AW324" s="343">
        <f t="shared" si="132"/>
        <v>48000</v>
      </c>
      <c r="AX324" s="121">
        <f t="shared" si="127"/>
        <v>11.826492659053834</v>
      </c>
      <c r="AY324" s="122">
        <v>11.826492659053834</v>
      </c>
      <c r="BA324" s="3">
        <f t="shared" si="120"/>
        <v>2030</v>
      </c>
      <c r="BB324" s="343">
        <v>47603</v>
      </c>
      <c r="BC324" s="3">
        <f t="shared" si="121"/>
        <v>7.51</v>
      </c>
      <c r="BD324" s="3">
        <v>7.61</v>
      </c>
      <c r="BE324" s="3">
        <v>7.41</v>
      </c>
      <c r="BG324" s="3">
        <f t="shared" si="122"/>
        <v>2034</v>
      </c>
      <c r="BH324" s="318">
        <v>49004</v>
      </c>
      <c r="BI324" s="3">
        <f t="shared" si="123"/>
        <v>14.875</v>
      </c>
      <c r="BJ324" s="3">
        <v>14.9</v>
      </c>
      <c r="BK324" s="3">
        <v>14.85</v>
      </c>
      <c r="BL324" s="412">
        <f t="shared" si="130"/>
        <v>2040</v>
      </c>
      <c r="BM324" s="427">
        <v>51380</v>
      </c>
      <c r="BN324" s="412">
        <f t="shared" si="133"/>
        <v>6.7721</v>
      </c>
      <c r="BO324" s="458">
        <v>6.7542999999999997</v>
      </c>
      <c r="BP324" s="458">
        <v>6.7899000000000003</v>
      </c>
      <c r="BQ324" s="469"/>
      <c r="BR324" s="473"/>
      <c r="BS324" s="469"/>
      <c r="BT324" s="474"/>
      <c r="BU324" s="474"/>
    </row>
    <row r="325" spans="36:73">
      <c r="AJ325" s="3">
        <f t="shared" si="124"/>
        <v>2031</v>
      </c>
      <c r="AK325" s="345">
        <f t="shared" si="134"/>
        <v>48030</v>
      </c>
      <c r="AL325" s="122">
        <v>95.65</v>
      </c>
      <c r="AM325" s="122">
        <v>91.68</v>
      </c>
      <c r="AN325" s="319">
        <f t="shared" si="128"/>
        <v>93.942900000000009</v>
      </c>
      <c r="AO325" s="305">
        <v>416</v>
      </c>
      <c r="AP325" s="305">
        <v>328</v>
      </c>
      <c r="AQ325" s="305">
        <f t="shared" si="125"/>
        <v>0.55913978494623651</v>
      </c>
      <c r="AR325" s="305">
        <f t="shared" si="126"/>
        <v>0.44086021505376344</v>
      </c>
      <c r="AV325" s="3">
        <f t="shared" si="129"/>
        <v>2031</v>
      </c>
      <c r="AW325" s="343">
        <f t="shared" si="132"/>
        <v>48030</v>
      </c>
      <c r="AX325" s="121">
        <f t="shared" si="127"/>
        <v>12.006617727025555</v>
      </c>
      <c r="AY325" s="122">
        <v>12.006617727025555</v>
      </c>
      <c r="BA325" s="3">
        <f t="shared" si="120"/>
        <v>2030</v>
      </c>
      <c r="BB325" s="343">
        <v>47634</v>
      </c>
      <c r="BC325" s="3">
        <f t="shared" si="121"/>
        <v>7.51</v>
      </c>
      <c r="BD325" s="3">
        <v>7.61</v>
      </c>
      <c r="BE325" s="3">
        <v>7.41</v>
      </c>
      <c r="BG325" s="3">
        <f t="shared" si="122"/>
        <v>2034</v>
      </c>
      <c r="BH325" s="318">
        <v>49035</v>
      </c>
      <c r="BI325" s="3">
        <f t="shared" si="123"/>
        <v>13.899999999999999</v>
      </c>
      <c r="BJ325" s="3">
        <v>14.04</v>
      </c>
      <c r="BK325" s="3">
        <v>13.76</v>
      </c>
      <c r="BL325" s="412">
        <f t="shared" si="130"/>
        <v>2040</v>
      </c>
      <c r="BM325" s="427">
        <v>51410</v>
      </c>
      <c r="BN325" s="412">
        <f t="shared" si="133"/>
        <v>7.0393999999999997</v>
      </c>
      <c r="BO325" s="458">
        <v>6.9680999999999997</v>
      </c>
      <c r="BP325" s="458">
        <v>7.1106999999999996</v>
      </c>
      <c r="BQ325" s="469"/>
      <c r="BR325" s="473"/>
      <c r="BS325" s="469"/>
      <c r="BT325" s="474"/>
      <c r="BU325" s="474"/>
    </row>
    <row r="326" spans="36:73">
      <c r="AJ326" s="3">
        <f t="shared" si="124"/>
        <v>2031</v>
      </c>
      <c r="AK326" s="345">
        <f t="shared" si="134"/>
        <v>48061</v>
      </c>
      <c r="AL326" s="122">
        <v>96.12</v>
      </c>
      <c r="AM326" s="122">
        <v>92.21</v>
      </c>
      <c r="AN326" s="319">
        <f t="shared" si="128"/>
        <v>94.438699999999983</v>
      </c>
      <c r="AO326" s="305">
        <v>416</v>
      </c>
      <c r="AP326" s="305">
        <v>328</v>
      </c>
      <c r="AQ326" s="305">
        <f t="shared" si="125"/>
        <v>0.55913978494623651</v>
      </c>
      <c r="AR326" s="305">
        <f t="shared" si="126"/>
        <v>0.44086021505376344</v>
      </c>
      <c r="AV326" s="3">
        <f t="shared" si="129"/>
        <v>2031</v>
      </c>
      <c r="AW326" s="343">
        <f t="shared" si="132"/>
        <v>48061</v>
      </c>
      <c r="AX326" s="121">
        <f t="shared" si="127"/>
        <v>12.006617727025555</v>
      </c>
      <c r="AY326" s="122">
        <v>12.006617727025555</v>
      </c>
      <c r="BA326" s="3">
        <f t="shared" si="120"/>
        <v>2030</v>
      </c>
      <c r="BB326" s="343">
        <v>47664</v>
      </c>
      <c r="BC326" s="3">
        <f t="shared" si="121"/>
        <v>7.625</v>
      </c>
      <c r="BD326" s="3">
        <v>7.72</v>
      </c>
      <c r="BE326" s="3">
        <v>7.53</v>
      </c>
      <c r="BG326" s="3">
        <f t="shared" si="122"/>
        <v>2034</v>
      </c>
      <c r="BH326" s="318">
        <v>49065</v>
      </c>
      <c r="BI326" s="3">
        <f t="shared" si="123"/>
        <v>13.899999999999999</v>
      </c>
      <c r="BJ326" s="3">
        <v>14.04</v>
      </c>
      <c r="BK326" s="3">
        <v>13.76</v>
      </c>
      <c r="BL326" s="412">
        <f t="shared" si="130"/>
        <v>2040</v>
      </c>
      <c r="BM326" s="427">
        <v>51441</v>
      </c>
      <c r="BN326" s="412">
        <f t="shared" si="133"/>
        <v>7.3155999999999999</v>
      </c>
      <c r="BO326" s="458">
        <v>7.2176</v>
      </c>
      <c r="BP326" s="458">
        <v>7.4135999999999997</v>
      </c>
      <c r="BQ326" s="469"/>
      <c r="BR326" s="473"/>
      <c r="BS326" s="469"/>
      <c r="BT326" s="474"/>
      <c r="BU326" s="474"/>
    </row>
    <row r="327" spans="36:73">
      <c r="AJ327" s="3">
        <f t="shared" si="124"/>
        <v>2031</v>
      </c>
      <c r="AK327" s="345">
        <f t="shared" si="134"/>
        <v>48092</v>
      </c>
      <c r="AL327" s="122">
        <v>95.28</v>
      </c>
      <c r="AM327" s="122">
        <v>89.35</v>
      </c>
      <c r="AN327" s="319">
        <f t="shared" si="128"/>
        <v>92.730099999999993</v>
      </c>
      <c r="AO327" s="305">
        <v>400</v>
      </c>
      <c r="AP327" s="305">
        <v>320</v>
      </c>
      <c r="AQ327" s="305">
        <f t="shared" si="125"/>
        <v>0.55555555555555558</v>
      </c>
      <c r="AR327" s="305">
        <f t="shared" si="126"/>
        <v>0.44444444444444442</v>
      </c>
      <c r="AV327" s="3">
        <f t="shared" si="129"/>
        <v>2031</v>
      </c>
      <c r="AW327" s="343">
        <f t="shared" si="132"/>
        <v>48092</v>
      </c>
      <c r="AX327" s="121">
        <f t="shared" si="127"/>
        <v>12.006617727025555</v>
      </c>
      <c r="AY327" s="122">
        <v>12.006617727025555</v>
      </c>
      <c r="BA327" s="3">
        <f t="shared" si="120"/>
        <v>2030</v>
      </c>
      <c r="BB327" s="343">
        <v>47695</v>
      </c>
      <c r="BC327" s="3">
        <f t="shared" si="121"/>
        <v>7.7450000000000001</v>
      </c>
      <c r="BD327" s="3">
        <v>7.84</v>
      </c>
      <c r="BE327" s="3">
        <v>7.65</v>
      </c>
      <c r="BG327" s="3">
        <f t="shared" si="122"/>
        <v>2034</v>
      </c>
      <c r="BH327" s="318">
        <v>49096</v>
      </c>
      <c r="BI327" s="3">
        <f t="shared" si="123"/>
        <v>14.120000000000001</v>
      </c>
      <c r="BJ327" s="3">
        <v>14.26</v>
      </c>
      <c r="BK327" s="3">
        <v>13.98</v>
      </c>
      <c r="BL327" s="412">
        <f t="shared" si="130"/>
        <v>2040</v>
      </c>
      <c r="BM327" s="427">
        <v>51471</v>
      </c>
      <c r="BN327" s="412">
        <f t="shared" si="133"/>
        <v>7.6809499999999993</v>
      </c>
      <c r="BO327" s="458">
        <v>7.5739999999999998</v>
      </c>
      <c r="BP327" s="458">
        <v>7.7878999999999996</v>
      </c>
      <c r="BQ327" s="469"/>
      <c r="BR327" s="473"/>
      <c r="BS327" s="469"/>
      <c r="BT327" s="474"/>
      <c r="BU327" s="474"/>
    </row>
    <row r="328" spans="36:73">
      <c r="AJ328" s="3">
        <f t="shared" si="124"/>
        <v>2031</v>
      </c>
      <c r="AK328" s="345">
        <f t="shared" si="134"/>
        <v>48122</v>
      </c>
      <c r="AL328" s="122">
        <v>94.55</v>
      </c>
      <c r="AM328" s="122">
        <v>82.55</v>
      </c>
      <c r="AN328" s="319">
        <f t="shared" si="128"/>
        <v>89.389999999999986</v>
      </c>
      <c r="AO328" s="305">
        <v>432</v>
      </c>
      <c r="AP328" s="305">
        <v>312</v>
      </c>
      <c r="AQ328" s="305">
        <f t="shared" si="125"/>
        <v>0.58064516129032262</v>
      </c>
      <c r="AR328" s="305">
        <f t="shared" si="126"/>
        <v>0.41935483870967744</v>
      </c>
      <c r="AV328" s="3">
        <f t="shared" si="129"/>
        <v>2031</v>
      </c>
      <c r="AW328" s="343">
        <f t="shared" si="132"/>
        <v>48122</v>
      </c>
      <c r="AX328" s="121">
        <f t="shared" si="127"/>
        <v>12.431441000543773</v>
      </c>
      <c r="AY328" s="122">
        <v>12.431441000543773</v>
      </c>
      <c r="BA328" s="3">
        <f t="shared" si="120"/>
        <v>2030</v>
      </c>
      <c r="BB328" s="343">
        <v>47726</v>
      </c>
      <c r="BC328" s="3">
        <f t="shared" si="121"/>
        <v>7.7450000000000001</v>
      </c>
      <c r="BD328" s="3">
        <v>7.84</v>
      </c>
      <c r="BE328" s="3">
        <v>7.65</v>
      </c>
      <c r="BG328" s="3">
        <f t="shared" si="122"/>
        <v>2034</v>
      </c>
      <c r="BH328" s="318">
        <v>49126</v>
      </c>
      <c r="BI328" s="3">
        <f t="shared" si="123"/>
        <v>14.335000000000001</v>
      </c>
      <c r="BJ328" s="3">
        <v>14.47</v>
      </c>
      <c r="BK328" s="3">
        <v>14.2</v>
      </c>
      <c r="BL328" s="412">
        <f t="shared" si="130"/>
        <v>2041</v>
      </c>
      <c r="BM328" s="427">
        <v>51502</v>
      </c>
      <c r="BN328" s="412">
        <f t="shared" si="133"/>
        <v>7.6206499999999995</v>
      </c>
      <c r="BO328" s="458">
        <v>7.6388999999999996</v>
      </c>
      <c r="BP328" s="458">
        <v>7.6024000000000003</v>
      </c>
      <c r="BQ328" s="469"/>
      <c r="BR328" s="473"/>
      <c r="BS328" s="469"/>
      <c r="BT328" s="474"/>
      <c r="BU328" s="474"/>
    </row>
    <row r="329" spans="36:73">
      <c r="AJ329" s="3">
        <f t="shared" si="124"/>
        <v>2031</v>
      </c>
      <c r="AK329" s="345">
        <f t="shared" si="134"/>
        <v>48153</v>
      </c>
      <c r="AL329" s="122">
        <v>106.79</v>
      </c>
      <c r="AM329" s="122">
        <v>93.64</v>
      </c>
      <c r="AN329" s="319">
        <f t="shared" si="128"/>
        <v>101.13550000000001</v>
      </c>
      <c r="AO329" s="305">
        <v>384</v>
      </c>
      <c r="AP329" s="305">
        <v>336</v>
      </c>
      <c r="AQ329" s="305">
        <f t="shared" si="125"/>
        <v>0.53333333333333333</v>
      </c>
      <c r="AR329" s="305">
        <f t="shared" si="126"/>
        <v>0.46666666666666667</v>
      </c>
      <c r="AV329" s="3">
        <f t="shared" si="129"/>
        <v>2031</v>
      </c>
      <c r="AW329" s="343">
        <f t="shared" si="132"/>
        <v>48153</v>
      </c>
      <c r="AX329" s="121">
        <f t="shared" si="127"/>
        <v>12.614964654703643</v>
      </c>
      <c r="AY329" s="122">
        <v>12.614964654703643</v>
      </c>
      <c r="BA329" s="3">
        <f t="shared" si="120"/>
        <v>2030</v>
      </c>
      <c r="BB329" s="343">
        <v>47756</v>
      </c>
      <c r="BC329" s="3">
        <f t="shared" si="121"/>
        <v>7.7450000000000001</v>
      </c>
      <c r="BD329" s="3">
        <v>7.84</v>
      </c>
      <c r="BE329" s="3">
        <v>7.65</v>
      </c>
      <c r="BG329" s="3">
        <f t="shared" si="122"/>
        <v>2034</v>
      </c>
      <c r="BH329" s="318">
        <v>49157</v>
      </c>
      <c r="BI329" s="3">
        <f t="shared" si="123"/>
        <v>14.335000000000001</v>
      </c>
      <c r="BJ329" s="3">
        <v>14.47</v>
      </c>
      <c r="BK329" s="3">
        <v>14.2</v>
      </c>
      <c r="BL329" s="412">
        <f t="shared" si="130"/>
        <v>2041</v>
      </c>
      <c r="BM329" s="427">
        <v>51533</v>
      </c>
      <c r="BN329" s="412">
        <f t="shared" si="133"/>
        <v>7.8393999999999995</v>
      </c>
      <c r="BO329" s="458">
        <v>7.7118000000000002</v>
      </c>
      <c r="BP329" s="458">
        <v>7.9669999999999996</v>
      </c>
      <c r="BQ329" s="469"/>
      <c r="BR329" s="473"/>
      <c r="BS329" s="469"/>
      <c r="BT329" s="474"/>
      <c r="BU329" s="474"/>
    </row>
    <row r="330" spans="36:73">
      <c r="AJ330" s="3">
        <f t="shared" si="124"/>
        <v>2031</v>
      </c>
      <c r="AK330" s="345">
        <f t="shared" si="134"/>
        <v>48183</v>
      </c>
      <c r="AL330" s="122">
        <v>111.79</v>
      </c>
      <c r="AM330" s="122">
        <v>102.52</v>
      </c>
      <c r="AN330" s="319">
        <f t="shared" si="128"/>
        <v>107.8039</v>
      </c>
      <c r="AO330" s="305">
        <v>416</v>
      </c>
      <c r="AP330" s="305">
        <v>328</v>
      </c>
      <c r="AQ330" s="305">
        <f t="shared" si="125"/>
        <v>0.55913978494623651</v>
      </c>
      <c r="AR330" s="305">
        <f t="shared" si="126"/>
        <v>0.44086021505376344</v>
      </c>
      <c r="AV330" s="3">
        <f t="shared" si="129"/>
        <v>2031</v>
      </c>
      <c r="AW330" s="343">
        <f t="shared" si="132"/>
        <v>48183</v>
      </c>
      <c r="AX330" s="121">
        <f t="shared" si="127"/>
        <v>13.216514410005436</v>
      </c>
      <c r="AY330" s="122">
        <v>13.216514410005436</v>
      </c>
      <c r="BA330" s="3">
        <f t="shared" si="120"/>
        <v>2030</v>
      </c>
      <c r="BB330" s="343">
        <v>47787</v>
      </c>
      <c r="BC330" s="3">
        <f t="shared" si="121"/>
        <v>8.0350000000000001</v>
      </c>
      <c r="BD330" s="3">
        <v>8.07</v>
      </c>
      <c r="BE330" s="3">
        <v>8</v>
      </c>
      <c r="BG330" s="3">
        <f t="shared" si="122"/>
        <v>2034</v>
      </c>
      <c r="BH330" s="318">
        <v>49188</v>
      </c>
      <c r="BI330" s="3">
        <f t="shared" si="123"/>
        <v>14.335000000000001</v>
      </c>
      <c r="BJ330" s="3">
        <v>14.47</v>
      </c>
      <c r="BK330" s="3">
        <v>14.2</v>
      </c>
      <c r="BL330" s="412">
        <f t="shared" si="130"/>
        <v>2041</v>
      </c>
      <c r="BM330" s="427">
        <v>51561</v>
      </c>
      <c r="BN330" s="412">
        <f t="shared" si="133"/>
        <v>7.3380000000000001</v>
      </c>
      <c r="BO330" s="458">
        <v>7.2742000000000004</v>
      </c>
      <c r="BP330" s="458">
        <v>7.4017999999999997</v>
      </c>
      <c r="BQ330" s="469"/>
      <c r="BR330" s="473"/>
      <c r="BS330" s="469"/>
      <c r="BT330" s="474"/>
      <c r="BU330" s="474"/>
    </row>
    <row r="331" spans="36:73">
      <c r="AJ331" s="3">
        <f t="shared" si="124"/>
        <v>2032</v>
      </c>
      <c r="AK331" s="345">
        <f t="shared" si="134"/>
        <v>48214</v>
      </c>
      <c r="AL331" s="122">
        <v>117.25</v>
      </c>
      <c r="AM331" s="122">
        <v>105.82</v>
      </c>
      <c r="AN331" s="319">
        <f t="shared" si="128"/>
        <v>112.33509999999998</v>
      </c>
      <c r="AO331" s="305">
        <v>416</v>
      </c>
      <c r="AP331" s="305">
        <v>328</v>
      </c>
      <c r="AQ331" s="305">
        <f t="shared" si="125"/>
        <v>0.55913978494623651</v>
      </c>
      <c r="AR331" s="305">
        <f t="shared" si="126"/>
        <v>0.44086021505376344</v>
      </c>
      <c r="AV331" s="3">
        <f t="shared" si="129"/>
        <v>2032</v>
      </c>
      <c r="AW331" s="343">
        <f t="shared" si="132"/>
        <v>48214</v>
      </c>
      <c r="AX331" s="121">
        <f t="shared" si="127"/>
        <v>14.361837955410548</v>
      </c>
      <c r="AY331" s="122">
        <v>14.361837955410548</v>
      </c>
      <c r="BA331" s="3">
        <f t="shared" si="120"/>
        <v>2030</v>
      </c>
      <c r="BB331" s="343">
        <v>47817</v>
      </c>
      <c r="BC331" s="3">
        <f t="shared" si="121"/>
        <v>8.1499999999999986</v>
      </c>
      <c r="BD331" s="3">
        <v>8.18</v>
      </c>
      <c r="BE331" s="3">
        <v>8.1199999999999992</v>
      </c>
      <c r="BG331" s="3">
        <f t="shared" si="122"/>
        <v>2034</v>
      </c>
      <c r="BH331" s="318">
        <v>49218</v>
      </c>
      <c r="BI331" s="3">
        <f t="shared" si="123"/>
        <v>14.875</v>
      </c>
      <c r="BJ331" s="3">
        <v>14.9</v>
      </c>
      <c r="BK331" s="3">
        <v>14.85</v>
      </c>
      <c r="BL331" s="412">
        <f t="shared" si="130"/>
        <v>2041</v>
      </c>
      <c r="BM331" s="427">
        <v>51592</v>
      </c>
      <c r="BN331" s="412">
        <f t="shared" si="133"/>
        <v>6.9278499999999994</v>
      </c>
      <c r="BO331" s="458">
        <v>6.8914</v>
      </c>
      <c r="BP331" s="458">
        <v>6.9642999999999997</v>
      </c>
      <c r="BQ331" s="469"/>
      <c r="BR331" s="473"/>
      <c r="BS331" s="469"/>
      <c r="BT331" s="474"/>
      <c r="BU331" s="474"/>
    </row>
    <row r="332" spans="36:73">
      <c r="AJ332" s="3">
        <f t="shared" si="124"/>
        <v>2032</v>
      </c>
      <c r="AK332" s="345">
        <f t="shared" si="134"/>
        <v>48245</v>
      </c>
      <c r="AL332" s="122">
        <v>110.35</v>
      </c>
      <c r="AM332" s="122">
        <v>95.98</v>
      </c>
      <c r="AN332" s="319">
        <f t="shared" si="128"/>
        <v>104.17089999999999</v>
      </c>
      <c r="AO332" s="305">
        <v>384</v>
      </c>
      <c r="AP332" s="305">
        <v>312</v>
      </c>
      <c r="AQ332" s="305">
        <f t="shared" si="125"/>
        <v>0.55172413793103448</v>
      </c>
      <c r="AR332" s="305">
        <f t="shared" si="126"/>
        <v>0.44827586206896552</v>
      </c>
      <c r="AV332" s="3">
        <f t="shared" si="129"/>
        <v>2032</v>
      </c>
      <c r="AW332" s="343">
        <f t="shared" si="132"/>
        <v>48245</v>
      </c>
      <c r="AX332" s="121">
        <f t="shared" si="127"/>
        <v>13.495198477433386</v>
      </c>
      <c r="AY332" s="122">
        <v>13.495198477433386</v>
      </c>
      <c r="BA332" s="3">
        <f t="shared" si="120"/>
        <v>2030</v>
      </c>
      <c r="BB332" s="343">
        <v>47848</v>
      </c>
      <c r="BC332" s="3">
        <f t="shared" si="121"/>
        <v>8.5599999999999987</v>
      </c>
      <c r="BD332" s="3">
        <v>8.5299999999999994</v>
      </c>
      <c r="BE332" s="3">
        <v>8.59</v>
      </c>
      <c r="BG332" s="3">
        <f t="shared" si="122"/>
        <v>2034</v>
      </c>
      <c r="BH332" s="318">
        <v>49249</v>
      </c>
      <c r="BI332" s="3">
        <f t="shared" si="123"/>
        <v>15.09</v>
      </c>
      <c r="BJ332" s="3">
        <v>15.11</v>
      </c>
      <c r="BK332" s="3">
        <v>15.07</v>
      </c>
      <c r="BL332" s="412">
        <f t="shared" si="130"/>
        <v>2041</v>
      </c>
      <c r="BM332" s="427">
        <v>51622</v>
      </c>
      <c r="BN332" s="412">
        <f t="shared" si="133"/>
        <v>6.88225</v>
      </c>
      <c r="BO332" s="458">
        <v>6.8731</v>
      </c>
      <c r="BP332" s="458">
        <v>6.8914</v>
      </c>
      <c r="BQ332" s="469"/>
      <c r="BR332" s="473"/>
      <c r="BS332" s="469"/>
      <c r="BT332" s="474"/>
      <c r="BU332" s="474"/>
    </row>
    <row r="333" spans="36:73">
      <c r="AJ333" s="3">
        <f t="shared" si="124"/>
        <v>2032</v>
      </c>
      <c r="AK333" s="345">
        <f t="shared" si="134"/>
        <v>48274</v>
      </c>
      <c r="AL333" s="122">
        <v>93.53</v>
      </c>
      <c r="AM333" s="122">
        <v>83.63</v>
      </c>
      <c r="AN333" s="319">
        <f t="shared" si="128"/>
        <v>89.272999999999996</v>
      </c>
      <c r="AO333" s="305">
        <v>432</v>
      </c>
      <c r="AP333" s="305">
        <v>312</v>
      </c>
      <c r="AQ333" s="305">
        <f t="shared" si="125"/>
        <v>0.58064516129032262</v>
      </c>
      <c r="AR333" s="305">
        <f t="shared" si="126"/>
        <v>0.41935483870967744</v>
      </c>
      <c r="AV333" s="3">
        <f t="shared" si="129"/>
        <v>2032</v>
      </c>
      <c r="AW333" s="343">
        <f t="shared" si="132"/>
        <v>48274</v>
      </c>
      <c r="AX333" s="121">
        <f t="shared" si="127"/>
        <v>12.693132137030997</v>
      </c>
      <c r="AY333" s="122">
        <v>12.693132137030997</v>
      </c>
      <c r="BA333" s="3">
        <f t="shared" si="120"/>
        <v>2031</v>
      </c>
      <c r="BB333" s="343">
        <v>47879</v>
      </c>
      <c r="BC333" s="3">
        <f t="shared" si="121"/>
        <v>9.5249999999999986</v>
      </c>
      <c r="BD333" s="3">
        <v>9.43</v>
      </c>
      <c r="BE333" s="3">
        <v>9.6199999999999992</v>
      </c>
      <c r="BG333" s="3">
        <f t="shared" si="122"/>
        <v>2034</v>
      </c>
      <c r="BH333" s="318">
        <v>49279</v>
      </c>
      <c r="BI333" s="3">
        <f t="shared" si="123"/>
        <v>15.85</v>
      </c>
      <c r="BJ333" s="3">
        <v>15.75</v>
      </c>
      <c r="BK333" s="3">
        <v>15.95</v>
      </c>
      <c r="BL333" s="412">
        <f t="shared" si="130"/>
        <v>2041</v>
      </c>
      <c r="BM333" s="427">
        <v>51653</v>
      </c>
      <c r="BN333" s="412">
        <f t="shared" si="133"/>
        <v>6.8002500000000001</v>
      </c>
      <c r="BO333" s="458">
        <v>6.8367000000000004</v>
      </c>
      <c r="BP333" s="458">
        <v>6.7637999999999998</v>
      </c>
      <c r="BQ333" s="469"/>
      <c r="BR333" s="473"/>
      <c r="BS333" s="469"/>
      <c r="BT333" s="474"/>
      <c r="BU333" s="474"/>
    </row>
    <row r="334" spans="36:73">
      <c r="AJ334" s="3">
        <f t="shared" si="124"/>
        <v>2032</v>
      </c>
      <c r="AK334" s="345">
        <f t="shared" si="134"/>
        <v>48305</v>
      </c>
      <c r="AL334" s="122">
        <v>93.02</v>
      </c>
      <c r="AM334" s="122">
        <v>88.62</v>
      </c>
      <c r="AN334" s="319">
        <f t="shared" si="128"/>
        <v>91.127999999999986</v>
      </c>
      <c r="AO334" s="305">
        <v>416</v>
      </c>
      <c r="AP334" s="305">
        <v>304</v>
      </c>
      <c r="AQ334" s="305">
        <f t="shared" si="125"/>
        <v>0.57777777777777772</v>
      </c>
      <c r="AR334" s="305">
        <f t="shared" si="126"/>
        <v>0.42222222222222222</v>
      </c>
      <c r="AV334" s="3">
        <f t="shared" si="129"/>
        <v>2032</v>
      </c>
      <c r="AW334" s="343">
        <f t="shared" si="132"/>
        <v>48305</v>
      </c>
      <c r="AX334" s="121">
        <f t="shared" si="127"/>
        <v>12.01341489940185</v>
      </c>
      <c r="AY334" s="122">
        <v>12.01341489940185</v>
      </c>
      <c r="BA334" s="3">
        <f t="shared" si="120"/>
        <v>2031</v>
      </c>
      <c r="BB334" s="343">
        <v>47907</v>
      </c>
      <c r="BC334" s="3">
        <f t="shared" si="121"/>
        <v>8.86</v>
      </c>
      <c r="BD334" s="3">
        <v>8.83</v>
      </c>
      <c r="BE334" s="3">
        <v>8.89</v>
      </c>
      <c r="BG334" s="3">
        <f t="shared" si="122"/>
        <v>2035</v>
      </c>
      <c r="BH334" s="318">
        <v>49310</v>
      </c>
      <c r="BI334" s="3">
        <f t="shared" si="123"/>
        <v>17.34</v>
      </c>
      <c r="BJ334" s="3">
        <v>17.11</v>
      </c>
      <c r="BK334" s="3">
        <v>17.57</v>
      </c>
      <c r="BL334" s="412">
        <f t="shared" si="130"/>
        <v>2041</v>
      </c>
      <c r="BM334" s="427">
        <v>51683</v>
      </c>
      <c r="BN334" s="412">
        <f t="shared" si="133"/>
        <v>6.8822500000000009</v>
      </c>
      <c r="BO334" s="458">
        <v>6.9278000000000004</v>
      </c>
      <c r="BP334" s="458">
        <v>6.8367000000000004</v>
      </c>
      <c r="BQ334" s="469"/>
      <c r="BR334" s="473"/>
      <c r="BS334" s="469"/>
      <c r="BT334" s="474"/>
      <c r="BU334" s="474"/>
    </row>
    <row r="335" spans="36:73">
      <c r="AJ335" s="3">
        <f t="shared" si="124"/>
        <v>2032</v>
      </c>
      <c r="AK335" s="345">
        <f t="shared" si="134"/>
        <v>48335</v>
      </c>
      <c r="AL335" s="122">
        <v>94.73</v>
      </c>
      <c r="AM335" s="122">
        <v>89.11</v>
      </c>
      <c r="AN335" s="319">
        <f t="shared" si="128"/>
        <v>92.313400000000001</v>
      </c>
      <c r="AO335" s="305">
        <v>400</v>
      </c>
      <c r="AP335" s="305">
        <v>344</v>
      </c>
      <c r="AQ335" s="305">
        <f t="shared" si="125"/>
        <v>0.5376344086021505</v>
      </c>
      <c r="AR335" s="305">
        <f t="shared" si="126"/>
        <v>0.46236559139784944</v>
      </c>
      <c r="AV335" s="3">
        <f t="shared" si="129"/>
        <v>2032</v>
      </c>
      <c r="AW335" s="343">
        <f t="shared" si="132"/>
        <v>48335</v>
      </c>
      <c r="AX335" s="121">
        <f t="shared" si="127"/>
        <v>11.887667210440457</v>
      </c>
      <c r="AY335" s="122">
        <v>11.887667210440457</v>
      </c>
      <c r="BA335" s="3">
        <f t="shared" si="120"/>
        <v>2031</v>
      </c>
      <c r="BB335" s="343">
        <v>47938</v>
      </c>
      <c r="BC335" s="3">
        <f t="shared" si="121"/>
        <v>8.3149999999999995</v>
      </c>
      <c r="BD335" s="3">
        <v>8.35</v>
      </c>
      <c r="BE335" s="3">
        <v>8.2799999999999994</v>
      </c>
      <c r="BG335" s="3">
        <f t="shared" si="122"/>
        <v>2035</v>
      </c>
      <c r="BH335" s="318">
        <v>49341</v>
      </c>
      <c r="BI335" s="3">
        <f t="shared" si="123"/>
        <v>16.130000000000003</v>
      </c>
      <c r="BJ335" s="3">
        <v>16.03</v>
      </c>
      <c r="BK335" s="3">
        <v>16.23</v>
      </c>
      <c r="BL335" s="412">
        <f t="shared" si="130"/>
        <v>2041</v>
      </c>
      <c r="BM335" s="427">
        <v>51714</v>
      </c>
      <c r="BN335" s="412">
        <f t="shared" si="133"/>
        <v>7.1010499999999999</v>
      </c>
      <c r="BO335" s="458">
        <v>7.0736999999999997</v>
      </c>
      <c r="BP335" s="458">
        <v>7.1284000000000001</v>
      </c>
      <c r="BQ335" s="469"/>
      <c r="BR335" s="473"/>
      <c r="BS335" s="469"/>
      <c r="BT335" s="474"/>
      <c r="BU335" s="474"/>
    </row>
    <row r="336" spans="36:73">
      <c r="AJ336" s="3">
        <f t="shared" si="124"/>
        <v>2032</v>
      </c>
      <c r="AK336" s="345">
        <f t="shared" si="134"/>
        <v>48366</v>
      </c>
      <c r="AL336" s="122">
        <v>102.54</v>
      </c>
      <c r="AM336" s="122">
        <v>91.51</v>
      </c>
      <c r="AN336" s="319">
        <f t="shared" si="128"/>
        <v>97.7971</v>
      </c>
      <c r="AO336" s="305">
        <v>416</v>
      </c>
      <c r="AP336" s="305">
        <v>304</v>
      </c>
      <c r="AQ336" s="305">
        <f t="shared" si="125"/>
        <v>0.57777777777777772</v>
      </c>
      <c r="AR336" s="305">
        <f t="shared" si="126"/>
        <v>0.42222222222222222</v>
      </c>
      <c r="AV336" s="3">
        <f t="shared" si="129"/>
        <v>2032</v>
      </c>
      <c r="AW336" s="343">
        <f t="shared" si="132"/>
        <v>48366</v>
      </c>
      <c r="AX336" s="121">
        <f t="shared" si="127"/>
        <v>12.077988036976619</v>
      </c>
      <c r="AY336" s="122">
        <v>12.077988036976619</v>
      </c>
      <c r="BA336" s="3">
        <f t="shared" si="120"/>
        <v>2031</v>
      </c>
      <c r="BB336" s="343">
        <v>47968</v>
      </c>
      <c r="BC336" s="3">
        <f t="shared" si="121"/>
        <v>7.77</v>
      </c>
      <c r="BD336" s="3">
        <v>7.87</v>
      </c>
      <c r="BE336" s="3">
        <v>7.67</v>
      </c>
      <c r="BG336" s="3">
        <f t="shared" si="122"/>
        <v>2035</v>
      </c>
      <c r="BH336" s="318">
        <v>49369</v>
      </c>
      <c r="BI336" s="3">
        <f t="shared" si="123"/>
        <v>15.14</v>
      </c>
      <c r="BJ336" s="3">
        <v>15.16</v>
      </c>
      <c r="BK336" s="3">
        <v>15.12</v>
      </c>
      <c r="BL336" s="412">
        <f t="shared" si="130"/>
        <v>2041</v>
      </c>
      <c r="BM336" s="427">
        <v>51745</v>
      </c>
      <c r="BN336" s="412">
        <f t="shared" si="133"/>
        <v>6.9278500000000003</v>
      </c>
      <c r="BO336" s="458">
        <v>6.9096000000000002</v>
      </c>
      <c r="BP336" s="458">
        <v>6.9461000000000004</v>
      </c>
      <c r="BQ336" s="469"/>
      <c r="BR336" s="473"/>
      <c r="BS336" s="469"/>
      <c r="BT336" s="474"/>
      <c r="BU336" s="474"/>
    </row>
    <row r="337" spans="36:73">
      <c r="AJ337" s="3">
        <f t="shared" si="124"/>
        <v>2032</v>
      </c>
      <c r="AK337" s="345">
        <f t="shared" si="134"/>
        <v>48396</v>
      </c>
      <c r="AL337" s="122">
        <v>97.66</v>
      </c>
      <c r="AM337" s="122">
        <v>93.61</v>
      </c>
      <c r="AN337" s="319">
        <f t="shared" si="128"/>
        <v>95.918499999999995</v>
      </c>
      <c r="AO337" s="305">
        <v>416</v>
      </c>
      <c r="AP337" s="305">
        <v>328</v>
      </c>
      <c r="AQ337" s="305">
        <f t="shared" si="125"/>
        <v>0.55913978494623651</v>
      </c>
      <c r="AR337" s="305">
        <f t="shared" si="126"/>
        <v>0.44086021505376344</v>
      </c>
      <c r="AV337" s="3">
        <f t="shared" si="129"/>
        <v>2032</v>
      </c>
      <c r="AW337" s="343">
        <f t="shared" si="132"/>
        <v>48396</v>
      </c>
      <c r="AX337" s="121">
        <f t="shared" si="127"/>
        <v>12.261511691136484</v>
      </c>
      <c r="AY337" s="122">
        <v>12.261511691136484</v>
      </c>
      <c r="BA337" s="3">
        <f t="shared" ref="BA337:BA375" si="135">YEAR(BB337)</f>
        <v>2031</v>
      </c>
      <c r="BB337" s="343">
        <v>47999</v>
      </c>
      <c r="BC337" s="3">
        <f t="shared" ref="BC337:BC375" si="136">AVERAGE(BD337:BE337)</f>
        <v>7.77</v>
      </c>
      <c r="BD337" s="3">
        <v>7.87</v>
      </c>
      <c r="BE337" s="3">
        <v>7.67</v>
      </c>
      <c r="BG337" s="3">
        <f t="shared" ref="BG337:BG376" si="137">YEAR(BH337)</f>
        <v>2035</v>
      </c>
      <c r="BH337" s="318">
        <v>49400</v>
      </c>
      <c r="BI337" s="3">
        <f t="shared" ref="BI337:BI376" si="138">AVERAGE(BJ337:BK337)</f>
        <v>14.155000000000001</v>
      </c>
      <c r="BJ337" s="3">
        <v>14.3</v>
      </c>
      <c r="BK337" s="3">
        <v>14.01</v>
      </c>
      <c r="BL337" s="412">
        <f t="shared" si="130"/>
        <v>2041</v>
      </c>
      <c r="BM337" s="427">
        <v>51775</v>
      </c>
      <c r="BN337" s="412">
        <f t="shared" si="133"/>
        <v>7.2012999999999998</v>
      </c>
      <c r="BO337" s="458">
        <v>7.1284000000000001</v>
      </c>
      <c r="BP337" s="458">
        <v>7.2742000000000004</v>
      </c>
      <c r="BQ337" s="469"/>
      <c r="BR337" s="473"/>
      <c r="BS337" s="469"/>
      <c r="BT337" s="474"/>
      <c r="BU337" s="474"/>
    </row>
    <row r="338" spans="36:73">
      <c r="AJ338" s="3">
        <f t="shared" si="124"/>
        <v>2032</v>
      </c>
      <c r="AK338" s="345">
        <f t="shared" si="134"/>
        <v>48427</v>
      </c>
      <c r="AL338" s="122">
        <v>98.14</v>
      </c>
      <c r="AM338" s="122">
        <v>94.14</v>
      </c>
      <c r="AN338" s="319">
        <f t="shared" si="128"/>
        <v>96.419999999999987</v>
      </c>
      <c r="AO338" s="305">
        <v>416</v>
      </c>
      <c r="AP338" s="305">
        <v>328</v>
      </c>
      <c r="AQ338" s="305">
        <f t="shared" si="125"/>
        <v>0.55913978494623651</v>
      </c>
      <c r="AR338" s="305">
        <f t="shared" si="126"/>
        <v>0.44086021505376344</v>
      </c>
      <c r="AV338" s="3">
        <f t="shared" si="129"/>
        <v>2032</v>
      </c>
      <c r="AW338" s="343">
        <f t="shared" si="132"/>
        <v>48427</v>
      </c>
      <c r="AX338" s="121">
        <f t="shared" si="127"/>
        <v>12.261511691136484</v>
      </c>
      <c r="AY338" s="122">
        <v>12.261511691136484</v>
      </c>
      <c r="BA338" s="3">
        <f t="shared" si="135"/>
        <v>2031</v>
      </c>
      <c r="BB338" s="343">
        <v>48029</v>
      </c>
      <c r="BC338" s="3">
        <f t="shared" si="136"/>
        <v>7.8949999999999996</v>
      </c>
      <c r="BD338" s="3">
        <v>7.99</v>
      </c>
      <c r="BE338" s="3">
        <v>7.8</v>
      </c>
      <c r="BG338" s="3">
        <f t="shared" si="137"/>
        <v>2035</v>
      </c>
      <c r="BH338" s="318">
        <v>49430</v>
      </c>
      <c r="BI338" s="3">
        <f t="shared" si="138"/>
        <v>14.155000000000001</v>
      </c>
      <c r="BJ338" s="3">
        <v>14.3</v>
      </c>
      <c r="BK338" s="3">
        <v>14.01</v>
      </c>
      <c r="BL338" s="412">
        <f t="shared" si="130"/>
        <v>2041</v>
      </c>
      <c r="BM338" s="427">
        <v>51806</v>
      </c>
      <c r="BN338" s="412">
        <f t="shared" si="133"/>
        <v>7.4839000000000002</v>
      </c>
      <c r="BO338" s="458">
        <v>7.3836000000000004</v>
      </c>
      <c r="BP338" s="458">
        <v>7.5842000000000001</v>
      </c>
      <c r="BQ338" s="469"/>
      <c r="BR338" s="473"/>
      <c r="BS338" s="469"/>
      <c r="BT338" s="474"/>
      <c r="BU338" s="474"/>
    </row>
    <row r="339" spans="36:73">
      <c r="AJ339" s="3">
        <f t="shared" si="124"/>
        <v>2032</v>
      </c>
      <c r="AK339" s="345">
        <f t="shared" si="134"/>
        <v>48458</v>
      </c>
      <c r="AL339" s="122">
        <v>97.28</v>
      </c>
      <c r="AM339" s="122">
        <v>91.22</v>
      </c>
      <c r="AN339" s="319">
        <f t="shared" si="128"/>
        <v>94.674199999999999</v>
      </c>
      <c r="AO339" s="305">
        <v>400</v>
      </c>
      <c r="AP339" s="305">
        <v>320</v>
      </c>
      <c r="AQ339" s="305">
        <f t="shared" si="125"/>
        <v>0.55555555555555558</v>
      </c>
      <c r="AR339" s="305">
        <f t="shared" si="126"/>
        <v>0.44444444444444442</v>
      </c>
      <c r="AV339" s="3">
        <f t="shared" si="129"/>
        <v>2032</v>
      </c>
      <c r="AW339" s="343">
        <f t="shared" si="132"/>
        <v>48458</v>
      </c>
      <c r="AX339" s="121">
        <f t="shared" si="127"/>
        <v>12.261511691136484</v>
      </c>
      <c r="AY339" s="122">
        <v>12.261511691136484</v>
      </c>
      <c r="BA339" s="3">
        <f t="shared" si="135"/>
        <v>2031</v>
      </c>
      <c r="BB339" s="343">
        <v>48060</v>
      </c>
      <c r="BC339" s="3">
        <f t="shared" si="136"/>
        <v>8.0150000000000006</v>
      </c>
      <c r="BD339" s="3">
        <v>8.11</v>
      </c>
      <c r="BE339" s="3">
        <v>7.92</v>
      </c>
      <c r="BG339" s="3">
        <f t="shared" si="137"/>
        <v>2035</v>
      </c>
      <c r="BH339" s="318">
        <v>49461</v>
      </c>
      <c r="BI339" s="3">
        <f t="shared" si="138"/>
        <v>14.370000000000001</v>
      </c>
      <c r="BJ339" s="3">
        <v>14.51</v>
      </c>
      <c r="BK339" s="3">
        <v>14.23</v>
      </c>
      <c r="BL339" s="412">
        <f t="shared" si="130"/>
        <v>2041</v>
      </c>
      <c r="BM339" s="427">
        <v>51836</v>
      </c>
      <c r="BN339" s="412">
        <f t="shared" si="133"/>
        <v>7.8575999999999997</v>
      </c>
      <c r="BO339" s="458">
        <v>7.7481999999999998</v>
      </c>
      <c r="BP339" s="458">
        <v>7.9669999999999996</v>
      </c>
      <c r="BQ339" s="469"/>
      <c r="BR339" s="473"/>
      <c r="BS339" s="469"/>
      <c r="BT339" s="474"/>
      <c r="BU339" s="474"/>
    </row>
    <row r="340" spans="36:73">
      <c r="AJ340" s="3">
        <f t="shared" ref="AJ340:AJ387" si="139">+YEAR(AK340)</f>
        <v>2032</v>
      </c>
      <c r="AK340" s="345">
        <f t="shared" si="134"/>
        <v>48488</v>
      </c>
      <c r="AL340" s="122">
        <v>96.54</v>
      </c>
      <c r="AM340" s="122">
        <v>84.28</v>
      </c>
      <c r="AN340" s="319">
        <f t="shared" si="128"/>
        <v>91.268200000000007</v>
      </c>
      <c r="AO340" s="305">
        <v>416</v>
      </c>
      <c r="AP340" s="305">
        <v>328</v>
      </c>
      <c r="AQ340" s="305">
        <f t="shared" ref="AQ340:AQ387" si="140">AO340/(AO340+AP340)</f>
        <v>0.55913978494623651</v>
      </c>
      <c r="AR340" s="305">
        <f t="shared" ref="AR340:AR387" si="141">AP340/(AO340+AP340)</f>
        <v>0.44086021505376344</v>
      </c>
      <c r="AV340" s="3">
        <f t="shared" si="129"/>
        <v>2032</v>
      </c>
      <c r="AW340" s="343">
        <f t="shared" si="132"/>
        <v>48488</v>
      </c>
      <c r="AX340" s="121">
        <f t="shared" ref="AX340:AX387" si="142">AY340</f>
        <v>12.693132137030997</v>
      </c>
      <c r="AY340" s="122">
        <v>12.693132137030997</v>
      </c>
      <c r="BA340" s="3">
        <f t="shared" si="135"/>
        <v>2031</v>
      </c>
      <c r="BB340" s="343">
        <v>48091</v>
      </c>
      <c r="BC340" s="3">
        <f t="shared" si="136"/>
        <v>8.0150000000000006</v>
      </c>
      <c r="BD340" s="3">
        <v>8.11</v>
      </c>
      <c r="BE340" s="3">
        <v>7.92</v>
      </c>
      <c r="BG340" s="3">
        <f t="shared" si="137"/>
        <v>2035</v>
      </c>
      <c r="BH340" s="318">
        <v>49491</v>
      </c>
      <c r="BI340" s="3">
        <f t="shared" si="138"/>
        <v>14.59</v>
      </c>
      <c r="BJ340" s="3">
        <v>14.73</v>
      </c>
      <c r="BK340" s="3">
        <v>14.45</v>
      </c>
      <c r="BL340" s="412">
        <f t="shared" si="130"/>
        <v>2042</v>
      </c>
      <c r="BM340" s="427">
        <v>51867</v>
      </c>
      <c r="BN340" s="412">
        <f t="shared" si="133"/>
        <v>7.7958499999999997</v>
      </c>
      <c r="BO340" s="458">
        <v>7.8144999999999998</v>
      </c>
      <c r="BP340" s="458">
        <v>7.7771999999999997</v>
      </c>
      <c r="BQ340" s="469"/>
      <c r="BR340" s="473"/>
      <c r="BS340" s="469"/>
      <c r="BT340" s="474"/>
      <c r="BU340" s="474"/>
    </row>
    <row r="341" spans="36:73">
      <c r="AJ341" s="3">
        <f t="shared" si="139"/>
        <v>2032</v>
      </c>
      <c r="AK341" s="345">
        <f t="shared" si="134"/>
        <v>48519</v>
      </c>
      <c r="AL341" s="122">
        <v>109.03</v>
      </c>
      <c r="AM341" s="122">
        <v>95.61</v>
      </c>
      <c r="AN341" s="319">
        <f t="shared" si="128"/>
        <v>103.2594</v>
      </c>
      <c r="AO341" s="305">
        <v>400</v>
      </c>
      <c r="AP341" s="305">
        <v>320</v>
      </c>
      <c r="AQ341" s="305">
        <f t="shared" si="140"/>
        <v>0.55555555555555558</v>
      </c>
      <c r="AR341" s="305">
        <f t="shared" si="141"/>
        <v>0.44444444444444442</v>
      </c>
      <c r="AV341" s="3">
        <f t="shared" si="129"/>
        <v>2032</v>
      </c>
      <c r="AW341" s="343">
        <f t="shared" si="132"/>
        <v>48519</v>
      </c>
      <c r="AX341" s="121">
        <f t="shared" si="142"/>
        <v>12.876655791190865</v>
      </c>
      <c r="AY341" s="122">
        <v>12.876655791190865</v>
      </c>
      <c r="BA341" s="3">
        <f t="shared" si="135"/>
        <v>2031</v>
      </c>
      <c r="BB341" s="343">
        <v>48121</v>
      </c>
      <c r="BC341" s="3">
        <f t="shared" si="136"/>
        <v>8.0150000000000006</v>
      </c>
      <c r="BD341" s="3">
        <v>8.11</v>
      </c>
      <c r="BE341" s="3">
        <v>7.92</v>
      </c>
      <c r="BG341" s="3">
        <f t="shared" si="137"/>
        <v>2035</v>
      </c>
      <c r="BH341" s="318">
        <v>49522</v>
      </c>
      <c r="BI341" s="3">
        <f t="shared" si="138"/>
        <v>14.59</v>
      </c>
      <c r="BJ341" s="3">
        <v>14.73</v>
      </c>
      <c r="BK341" s="3">
        <v>14.45</v>
      </c>
      <c r="BL341" s="412">
        <f t="shared" si="130"/>
        <v>2042</v>
      </c>
      <c r="BM341" s="427">
        <v>51898</v>
      </c>
      <c r="BN341" s="412">
        <f t="shared" si="133"/>
        <v>8.0197000000000003</v>
      </c>
      <c r="BO341" s="458">
        <v>7.8891</v>
      </c>
      <c r="BP341" s="458">
        <v>8.1502999999999997</v>
      </c>
      <c r="BQ341" s="469"/>
      <c r="BR341" s="473"/>
      <c r="BS341" s="469"/>
      <c r="BT341" s="474"/>
      <c r="BU341" s="474"/>
    </row>
    <row r="342" spans="36:73">
      <c r="AJ342" s="3">
        <f t="shared" si="139"/>
        <v>2032</v>
      </c>
      <c r="AK342" s="345">
        <f t="shared" si="134"/>
        <v>48549</v>
      </c>
      <c r="AL342" s="122">
        <v>114.14</v>
      </c>
      <c r="AM342" s="122">
        <v>104.67</v>
      </c>
      <c r="AN342" s="319">
        <f t="shared" si="128"/>
        <v>110.06789999999999</v>
      </c>
      <c r="AO342" s="305">
        <v>416</v>
      </c>
      <c r="AP342" s="305">
        <v>328</v>
      </c>
      <c r="AQ342" s="305">
        <f t="shared" si="140"/>
        <v>0.55913978494623651</v>
      </c>
      <c r="AR342" s="305">
        <f t="shared" si="141"/>
        <v>0.44086021505376344</v>
      </c>
      <c r="AV342" s="3">
        <f t="shared" si="129"/>
        <v>2032</v>
      </c>
      <c r="AW342" s="343">
        <f t="shared" si="132"/>
        <v>48549</v>
      </c>
      <c r="AX342" s="121">
        <f t="shared" si="142"/>
        <v>13.495198477433386</v>
      </c>
      <c r="AY342" s="122">
        <v>13.495198477433386</v>
      </c>
      <c r="BA342" s="3">
        <f t="shared" si="135"/>
        <v>2031</v>
      </c>
      <c r="BB342" s="343">
        <v>48152</v>
      </c>
      <c r="BC342" s="3">
        <f t="shared" si="136"/>
        <v>8.3149999999999995</v>
      </c>
      <c r="BD342" s="3">
        <v>8.35</v>
      </c>
      <c r="BE342" s="3">
        <v>8.2799999999999994</v>
      </c>
      <c r="BG342" s="3">
        <f t="shared" si="137"/>
        <v>2035</v>
      </c>
      <c r="BH342" s="318">
        <v>49553</v>
      </c>
      <c r="BI342" s="3">
        <f t="shared" si="138"/>
        <v>14.59</v>
      </c>
      <c r="BJ342" s="3">
        <v>14.73</v>
      </c>
      <c r="BK342" s="3">
        <v>14.45</v>
      </c>
      <c r="BL342" s="412">
        <f t="shared" si="130"/>
        <v>2042</v>
      </c>
      <c r="BM342" s="427">
        <v>51926</v>
      </c>
      <c r="BN342" s="412">
        <f t="shared" si="133"/>
        <v>7.5068000000000001</v>
      </c>
      <c r="BO342" s="458">
        <v>7.4414999999999996</v>
      </c>
      <c r="BP342" s="458">
        <v>7.5720999999999998</v>
      </c>
      <c r="BQ342" s="469"/>
      <c r="BR342" s="473"/>
      <c r="BS342" s="469"/>
      <c r="BT342" s="474"/>
      <c r="BU342" s="474"/>
    </row>
    <row r="343" spans="36:73">
      <c r="AJ343" s="3">
        <f t="shared" si="139"/>
        <v>2033</v>
      </c>
      <c r="AK343" s="345">
        <f t="shared" si="134"/>
        <v>48580</v>
      </c>
      <c r="AL343" s="122">
        <v>119.71</v>
      </c>
      <c r="AM343" s="122">
        <v>108.04</v>
      </c>
      <c r="AN343" s="319">
        <f t="shared" si="128"/>
        <v>114.69189999999999</v>
      </c>
      <c r="AO343" s="305">
        <v>400</v>
      </c>
      <c r="AP343" s="305">
        <v>344</v>
      </c>
      <c r="AQ343" s="305">
        <f t="shared" si="140"/>
        <v>0.5376344086021505</v>
      </c>
      <c r="AR343" s="305">
        <f t="shared" si="141"/>
        <v>0.46236559139784944</v>
      </c>
      <c r="AV343" s="3">
        <f t="shared" si="129"/>
        <v>2033</v>
      </c>
      <c r="AW343" s="343">
        <f t="shared" si="132"/>
        <v>48580</v>
      </c>
      <c r="AX343" s="121">
        <f t="shared" si="142"/>
        <v>14.664312126155517</v>
      </c>
      <c r="AY343" s="122">
        <v>14.664312126155517</v>
      </c>
      <c r="BA343" s="3">
        <f t="shared" si="135"/>
        <v>2031</v>
      </c>
      <c r="BB343" s="343">
        <v>48182</v>
      </c>
      <c r="BC343" s="3">
        <f t="shared" si="136"/>
        <v>8.4350000000000005</v>
      </c>
      <c r="BD343" s="3">
        <v>8.4700000000000006</v>
      </c>
      <c r="BE343" s="3">
        <v>8.4</v>
      </c>
      <c r="BG343" s="3">
        <f t="shared" si="137"/>
        <v>2035</v>
      </c>
      <c r="BH343" s="318">
        <v>49583</v>
      </c>
      <c r="BI343" s="3">
        <f t="shared" si="138"/>
        <v>15.14</v>
      </c>
      <c r="BJ343" s="3">
        <v>15.16</v>
      </c>
      <c r="BK343" s="3">
        <v>15.12</v>
      </c>
      <c r="BL343" s="412">
        <f t="shared" si="130"/>
        <v>2042</v>
      </c>
      <c r="BM343" s="427">
        <v>51957</v>
      </c>
      <c r="BN343" s="412">
        <f t="shared" si="133"/>
        <v>7.0872000000000002</v>
      </c>
      <c r="BO343" s="458">
        <v>7.0499000000000001</v>
      </c>
      <c r="BP343" s="458">
        <v>7.1245000000000003</v>
      </c>
      <c r="BQ343" s="469"/>
      <c r="BR343" s="473"/>
      <c r="BS343" s="469"/>
      <c r="BT343" s="474"/>
      <c r="BU343" s="474"/>
    </row>
    <row r="344" spans="36:73">
      <c r="AJ344" s="3">
        <f t="shared" si="139"/>
        <v>2033</v>
      </c>
      <c r="AK344" s="345">
        <f t="shared" si="134"/>
        <v>48611</v>
      </c>
      <c r="AL344" s="122">
        <v>112.67</v>
      </c>
      <c r="AM344" s="122">
        <v>97.99</v>
      </c>
      <c r="AN344" s="319">
        <f t="shared" si="128"/>
        <v>106.35759999999999</v>
      </c>
      <c r="AO344" s="305">
        <v>384</v>
      </c>
      <c r="AP344" s="305">
        <v>288</v>
      </c>
      <c r="AQ344" s="305">
        <f t="shared" si="140"/>
        <v>0.5714285714285714</v>
      </c>
      <c r="AR344" s="305">
        <f t="shared" si="141"/>
        <v>0.42857142857142855</v>
      </c>
      <c r="AV344" s="3">
        <f t="shared" si="129"/>
        <v>2033</v>
      </c>
      <c r="AW344" s="343">
        <f t="shared" si="132"/>
        <v>48611</v>
      </c>
      <c r="AX344" s="121">
        <f t="shared" si="142"/>
        <v>13.780679717237627</v>
      </c>
      <c r="AY344" s="122">
        <v>13.780679717237627</v>
      </c>
      <c r="BA344" s="3">
        <f t="shared" si="135"/>
        <v>2031</v>
      </c>
      <c r="BB344" s="343">
        <v>48213</v>
      </c>
      <c r="BC344" s="3">
        <f t="shared" si="136"/>
        <v>8.86</v>
      </c>
      <c r="BD344" s="3">
        <v>8.83</v>
      </c>
      <c r="BE344" s="3">
        <v>8.89</v>
      </c>
      <c r="BG344" s="3">
        <f t="shared" si="137"/>
        <v>2035</v>
      </c>
      <c r="BH344" s="318">
        <v>49614</v>
      </c>
      <c r="BI344" s="3">
        <f t="shared" si="138"/>
        <v>15.36</v>
      </c>
      <c r="BJ344" s="3">
        <v>15.38</v>
      </c>
      <c r="BK344" s="3">
        <v>15.34</v>
      </c>
      <c r="BL344" s="412">
        <f t="shared" si="130"/>
        <v>2042</v>
      </c>
      <c r="BM344" s="427">
        <v>51987</v>
      </c>
      <c r="BN344" s="412">
        <f t="shared" si="133"/>
        <v>7.0405499999999996</v>
      </c>
      <c r="BO344" s="458">
        <v>7.0312000000000001</v>
      </c>
      <c r="BP344" s="458">
        <v>7.0499000000000001</v>
      </c>
      <c r="BQ344" s="469"/>
      <c r="BR344" s="473"/>
      <c r="BS344" s="469"/>
      <c r="BT344" s="474"/>
      <c r="BU344" s="474"/>
    </row>
    <row r="345" spans="36:73">
      <c r="AJ345" s="3">
        <f t="shared" si="139"/>
        <v>2033</v>
      </c>
      <c r="AK345" s="345">
        <f t="shared" si="134"/>
        <v>48639</v>
      </c>
      <c r="AL345" s="122">
        <v>95.49</v>
      </c>
      <c r="AM345" s="122">
        <v>85.39</v>
      </c>
      <c r="AN345" s="319">
        <f t="shared" si="128"/>
        <v>91.146999999999991</v>
      </c>
      <c r="AO345" s="305">
        <v>432</v>
      </c>
      <c r="AP345" s="305">
        <v>312</v>
      </c>
      <c r="AQ345" s="305">
        <f t="shared" si="140"/>
        <v>0.58064516129032262</v>
      </c>
      <c r="AR345" s="305">
        <f t="shared" si="141"/>
        <v>0.41935483870967744</v>
      </c>
      <c r="AV345" s="3">
        <f t="shared" si="129"/>
        <v>2033</v>
      </c>
      <c r="AW345" s="343">
        <f t="shared" si="132"/>
        <v>48639</v>
      </c>
      <c r="AX345" s="121">
        <f t="shared" si="142"/>
        <v>12.958221859706361</v>
      </c>
      <c r="AY345" s="122">
        <v>12.958221859706361</v>
      </c>
      <c r="BA345" s="3">
        <f t="shared" si="135"/>
        <v>2032</v>
      </c>
      <c r="BB345" s="343">
        <v>48244</v>
      </c>
      <c r="BC345" s="3">
        <f t="shared" si="136"/>
        <v>9.86</v>
      </c>
      <c r="BD345" s="3">
        <v>9.76</v>
      </c>
      <c r="BE345" s="3">
        <v>9.9600000000000009</v>
      </c>
      <c r="BG345" s="3">
        <f t="shared" si="137"/>
        <v>2035</v>
      </c>
      <c r="BH345" s="318">
        <v>49644</v>
      </c>
      <c r="BI345" s="3">
        <f t="shared" si="138"/>
        <v>16.130000000000003</v>
      </c>
      <c r="BJ345" s="3">
        <v>16.03</v>
      </c>
      <c r="BK345" s="3">
        <v>16.23</v>
      </c>
      <c r="BL345" s="412">
        <f t="shared" si="130"/>
        <v>2042</v>
      </c>
      <c r="BM345" s="427">
        <v>52018</v>
      </c>
      <c r="BN345" s="412">
        <f t="shared" si="133"/>
        <v>6.9565999999999999</v>
      </c>
      <c r="BO345" s="458">
        <v>6.9939</v>
      </c>
      <c r="BP345" s="458">
        <v>6.9192999999999998</v>
      </c>
      <c r="BQ345" s="469"/>
      <c r="BR345" s="473"/>
      <c r="BS345" s="469"/>
      <c r="BT345" s="474"/>
      <c r="BU345" s="474"/>
    </row>
    <row r="346" spans="36:73">
      <c r="AJ346" s="3">
        <f t="shared" si="139"/>
        <v>2033</v>
      </c>
      <c r="AK346" s="345">
        <f t="shared" si="134"/>
        <v>48670</v>
      </c>
      <c r="AL346" s="122">
        <v>94.98</v>
      </c>
      <c r="AM346" s="122">
        <v>90.49</v>
      </c>
      <c r="AN346" s="319">
        <f t="shared" si="128"/>
        <v>93.049299999999988</v>
      </c>
      <c r="AO346" s="305">
        <v>416</v>
      </c>
      <c r="AP346" s="305">
        <v>304</v>
      </c>
      <c r="AQ346" s="305">
        <f t="shared" si="140"/>
        <v>0.57777777777777772</v>
      </c>
      <c r="AR346" s="305">
        <f t="shared" si="141"/>
        <v>0.42222222222222222</v>
      </c>
      <c r="AV346" s="3">
        <f t="shared" si="129"/>
        <v>2033</v>
      </c>
      <c r="AW346" s="343">
        <f t="shared" si="132"/>
        <v>48670</v>
      </c>
      <c r="AX346" s="121">
        <f t="shared" si="142"/>
        <v>12.264910277324633</v>
      </c>
      <c r="AY346" s="122">
        <v>12.264910277324633</v>
      </c>
      <c r="BA346" s="3">
        <f t="shared" si="135"/>
        <v>2032</v>
      </c>
      <c r="BB346" s="343">
        <v>48273</v>
      </c>
      <c r="BC346" s="3">
        <f t="shared" si="136"/>
        <v>9.17</v>
      </c>
      <c r="BD346" s="3">
        <v>9.14</v>
      </c>
      <c r="BE346" s="3">
        <v>9.1999999999999993</v>
      </c>
      <c r="BG346" s="3">
        <f t="shared" si="137"/>
        <v>2036</v>
      </c>
      <c r="BH346" s="318">
        <v>49675</v>
      </c>
      <c r="BI346" s="3">
        <f t="shared" si="138"/>
        <v>17.649999999999999</v>
      </c>
      <c r="BJ346" s="3">
        <v>17.420000000000002</v>
      </c>
      <c r="BK346" s="3">
        <v>17.88</v>
      </c>
      <c r="BL346" s="412">
        <f t="shared" si="130"/>
        <v>2042</v>
      </c>
      <c r="BM346" s="427">
        <v>52048</v>
      </c>
      <c r="BN346" s="412">
        <f t="shared" si="133"/>
        <v>7.0405499999999996</v>
      </c>
      <c r="BO346" s="458">
        <v>7.0872000000000002</v>
      </c>
      <c r="BP346" s="458">
        <v>6.9939</v>
      </c>
      <c r="BQ346" s="469"/>
      <c r="BR346" s="473"/>
      <c r="BS346" s="469"/>
      <c r="BT346" s="474"/>
      <c r="BU346" s="474"/>
    </row>
    <row r="347" spans="36:73">
      <c r="AJ347" s="3">
        <f t="shared" si="139"/>
        <v>2033</v>
      </c>
      <c r="AK347" s="345">
        <f t="shared" si="134"/>
        <v>48700</v>
      </c>
      <c r="AL347" s="122">
        <v>96.72</v>
      </c>
      <c r="AM347" s="122">
        <v>90.98</v>
      </c>
      <c r="AN347" s="319">
        <f t="shared" si="128"/>
        <v>94.251800000000003</v>
      </c>
      <c r="AO347" s="305">
        <v>400</v>
      </c>
      <c r="AP347" s="305">
        <v>344</v>
      </c>
      <c r="AQ347" s="305">
        <f t="shared" si="140"/>
        <v>0.5376344086021505</v>
      </c>
      <c r="AR347" s="305">
        <f t="shared" si="141"/>
        <v>0.46236559139784944</v>
      </c>
      <c r="AV347" s="3">
        <f t="shared" si="129"/>
        <v>2033</v>
      </c>
      <c r="AW347" s="343">
        <f t="shared" si="132"/>
        <v>48700</v>
      </c>
      <c r="AX347" s="121">
        <f t="shared" si="142"/>
        <v>12.135764002175096</v>
      </c>
      <c r="AY347" s="122">
        <v>12.135764002175096</v>
      </c>
      <c r="BA347" s="3">
        <f t="shared" si="135"/>
        <v>2032</v>
      </c>
      <c r="BB347" s="343">
        <v>48304</v>
      </c>
      <c r="BC347" s="3">
        <f t="shared" si="136"/>
        <v>8.6050000000000004</v>
      </c>
      <c r="BD347" s="3">
        <v>8.64</v>
      </c>
      <c r="BE347" s="3">
        <v>8.57</v>
      </c>
      <c r="BG347" s="3">
        <f t="shared" si="137"/>
        <v>2036</v>
      </c>
      <c r="BH347" s="318">
        <v>49706</v>
      </c>
      <c r="BI347" s="3">
        <f t="shared" si="138"/>
        <v>16.420000000000002</v>
      </c>
      <c r="BJ347" s="3">
        <v>16.32</v>
      </c>
      <c r="BK347" s="3">
        <v>16.52</v>
      </c>
      <c r="BL347" s="412">
        <f t="shared" si="130"/>
        <v>2042</v>
      </c>
      <c r="BM347" s="427">
        <v>52079</v>
      </c>
      <c r="BN347" s="412">
        <f t="shared" si="133"/>
        <v>7.2643500000000003</v>
      </c>
      <c r="BO347" s="458">
        <v>7.2363999999999997</v>
      </c>
      <c r="BP347" s="458">
        <v>7.2923</v>
      </c>
      <c r="BQ347" s="469"/>
      <c r="BR347" s="473"/>
      <c r="BS347" s="469"/>
      <c r="BT347" s="474"/>
      <c r="BU347" s="474"/>
    </row>
    <row r="348" spans="36:73">
      <c r="AJ348" s="3">
        <f t="shared" si="139"/>
        <v>2033</v>
      </c>
      <c r="AK348" s="345">
        <f t="shared" si="134"/>
        <v>48731</v>
      </c>
      <c r="AL348" s="122">
        <v>104.69</v>
      </c>
      <c r="AM348" s="122">
        <v>93.43</v>
      </c>
      <c r="AN348" s="319">
        <f t="shared" ref="AN348:AN387" si="143">AL348*0.57+AM348*0.43</f>
        <v>99.848199999999991</v>
      </c>
      <c r="AO348" s="305">
        <v>416</v>
      </c>
      <c r="AP348" s="305">
        <v>304</v>
      </c>
      <c r="AQ348" s="305">
        <f t="shared" si="140"/>
        <v>0.57777777777777772</v>
      </c>
      <c r="AR348" s="305">
        <f t="shared" si="141"/>
        <v>0.42222222222222222</v>
      </c>
      <c r="AV348" s="3">
        <f t="shared" si="129"/>
        <v>2033</v>
      </c>
      <c r="AW348" s="343">
        <f t="shared" si="132"/>
        <v>48731</v>
      </c>
      <c r="AX348" s="121">
        <f t="shared" si="142"/>
        <v>12.326084828711256</v>
      </c>
      <c r="AY348" s="122">
        <v>12.326084828711256</v>
      </c>
      <c r="BA348" s="3">
        <f t="shared" si="135"/>
        <v>2032</v>
      </c>
      <c r="BB348" s="343">
        <v>48334</v>
      </c>
      <c r="BC348" s="3">
        <f t="shared" si="136"/>
        <v>8.0449999999999999</v>
      </c>
      <c r="BD348" s="3">
        <v>8.15</v>
      </c>
      <c r="BE348" s="3">
        <v>7.94</v>
      </c>
      <c r="BG348" s="3">
        <f t="shared" si="137"/>
        <v>2036</v>
      </c>
      <c r="BH348" s="318">
        <v>49735</v>
      </c>
      <c r="BI348" s="3">
        <f t="shared" si="138"/>
        <v>15.414999999999999</v>
      </c>
      <c r="BJ348" s="3">
        <v>15.44</v>
      </c>
      <c r="BK348" s="3">
        <v>15.39</v>
      </c>
      <c r="BL348" s="412">
        <f t="shared" si="130"/>
        <v>2042</v>
      </c>
      <c r="BM348" s="427">
        <v>52110</v>
      </c>
      <c r="BN348" s="412">
        <f t="shared" si="133"/>
        <v>7.0871500000000003</v>
      </c>
      <c r="BO348" s="458">
        <v>7.0685000000000002</v>
      </c>
      <c r="BP348" s="458">
        <v>7.1058000000000003</v>
      </c>
      <c r="BQ348" s="469"/>
      <c r="BR348" s="473"/>
      <c r="BS348" s="469"/>
      <c r="BT348" s="474"/>
      <c r="BU348" s="474"/>
    </row>
    <row r="349" spans="36:73">
      <c r="AJ349" s="3">
        <f t="shared" si="139"/>
        <v>2033</v>
      </c>
      <c r="AK349" s="345">
        <f t="shared" si="134"/>
        <v>48761</v>
      </c>
      <c r="AL349" s="122">
        <v>99.71</v>
      </c>
      <c r="AM349" s="122">
        <v>95.57</v>
      </c>
      <c r="AN349" s="319">
        <f t="shared" si="143"/>
        <v>97.929799999999986</v>
      </c>
      <c r="AO349" s="305">
        <v>400</v>
      </c>
      <c r="AP349" s="305">
        <v>344</v>
      </c>
      <c r="AQ349" s="305">
        <f t="shared" si="140"/>
        <v>0.5376344086021505</v>
      </c>
      <c r="AR349" s="305">
        <f t="shared" si="141"/>
        <v>0.46236559139784944</v>
      </c>
      <c r="AV349" s="3">
        <f t="shared" si="129"/>
        <v>2033</v>
      </c>
      <c r="AW349" s="343">
        <f t="shared" si="132"/>
        <v>48761</v>
      </c>
      <c r="AX349" s="121">
        <f t="shared" si="142"/>
        <v>12.519804241435562</v>
      </c>
      <c r="AY349" s="122">
        <v>12.519804241435562</v>
      </c>
      <c r="BA349" s="3">
        <f t="shared" si="135"/>
        <v>2032</v>
      </c>
      <c r="BB349" s="343">
        <v>48365</v>
      </c>
      <c r="BC349" s="3">
        <f t="shared" si="136"/>
        <v>8.0449999999999999</v>
      </c>
      <c r="BD349" s="3">
        <v>8.15</v>
      </c>
      <c r="BE349" s="3">
        <v>7.94</v>
      </c>
      <c r="BG349" s="3">
        <f t="shared" si="137"/>
        <v>2036</v>
      </c>
      <c r="BH349" s="318">
        <v>49766</v>
      </c>
      <c r="BI349" s="3">
        <f t="shared" si="138"/>
        <v>14.405000000000001</v>
      </c>
      <c r="BJ349" s="3">
        <v>14.55</v>
      </c>
      <c r="BK349" s="3">
        <v>14.26</v>
      </c>
      <c r="BL349" s="412">
        <f t="shared" si="130"/>
        <v>2042</v>
      </c>
      <c r="BM349" s="427">
        <v>52140</v>
      </c>
      <c r="BN349" s="412">
        <f t="shared" si="133"/>
        <v>7.3668999999999993</v>
      </c>
      <c r="BO349" s="458">
        <v>7.2923</v>
      </c>
      <c r="BP349" s="458">
        <v>7.4414999999999996</v>
      </c>
      <c r="BQ349" s="469"/>
      <c r="BR349" s="473"/>
      <c r="BS349" s="469"/>
      <c r="BT349" s="474"/>
      <c r="BU349" s="474"/>
    </row>
    <row r="350" spans="36:73">
      <c r="AJ350" s="3">
        <f t="shared" si="139"/>
        <v>2033</v>
      </c>
      <c r="AK350" s="345">
        <f t="shared" si="134"/>
        <v>48792</v>
      </c>
      <c r="AL350" s="122">
        <v>100.2</v>
      </c>
      <c r="AM350" s="122">
        <v>96.12</v>
      </c>
      <c r="AN350" s="319">
        <f t="shared" si="143"/>
        <v>98.445599999999999</v>
      </c>
      <c r="AO350" s="305">
        <v>432</v>
      </c>
      <c r="AP350" s="305">
        <v>312</v>
      </c>
      <c r="AQ350" s="305">
        <f t="shared" si="140"/>
        <v>0.58064516129032262</v>
      </c>
      <c r="AR350" s="305">
        <f t="shared" si="141"/>
        <v>0.41935483870967744</v>
      </c>
      <c r="AV350" s="3">
        <f t="shared" si="129"/>
        <v>2033</v>
      </c>
      <c r="AW350" s="343">
        <f t="shared" si="132"/>
        <v>48792</v>
      </c>
      <c r="AX350" s="121">
        <f t="shared" si="142"/>
        <v>12.519804241435562</v>
      </c>
      <c r="AY350" s="122">
        <v>12.519804241435562</v>
      </c>
      <c r="BA350" s="3">
        <f t="shared" si="135"/>
        <v>2032</v>
      </c>
      <c r="BB350" s="343">
        <v>48395</v>
      </c>
      <c r="BC350" s="3">
        <f t="shared" si="136"/>
        <v>8.17</v>
      </c>
      <c r="BD350" s="3">
        <v>8.27</v>
      </c>
      <c r="BE350" s="3">
        <v>8.07</v>
      </c>
      <c r="BG350" s="3">
        <f t="shared" si="137"/>
        <v>2036</v>
      </c>
      <c r="BH350" s="318">
        <v>49796</v>
      </c>
      <c r="BI350" s="3">
        <f t="shared" si="138"/>
        <v>14.405000000000001</v>
      </c>
      <c r="BJ350" s="3">
        <v>14.55</v>
      </c>
      <c r="BK350" s="3">
        <v>14.26</v>
      </c>
      <c r="BL350" s="412">
        <f t="shared" si="130"/>
        <v>2042</v>
      </c>
      <c r="BM350" s="427">
        <v>52171</v>
      </c>
      <c r="BN350" s="412">
        <f t="shared" si="133"/>
        <v>7.6560000000000006</v>
      </c>
      <c r="BO350" s="458">
        <v>7.5533999999999999</v>
      </c>
      <c r="BP350" s="458">
        <v>7.7586000000000004</v>
      </c>
      <c r="BQ350" s="469"/>
      <c r="BR350" s="473"/>
      <c r="BS350" s="469"/>
      <c r="BT350" s="474"/>
      <c r="BU350" s="474"/>
    </row>
    <row r="351" spans="36:73">
      <c r="AJ351" s="3">
        <f t="shared" si="139"/>
        <v>2033</v>
      </c>
      <c r="AK351" s="345">
        <f t="shared" si="134"/>
        <v>48823</v>
      </c>
      <c r="AL351" s="122">
        <v>99.33</v>
      </c>
      <c r="AM351" s="122">
        <v>93.14</v>
      </c>
      <c r="AN351" s="319">
        <f t="shared" si="143"/>
        <v>96.668299999999988</v>
      </c>
      <c r="AO351" s="305">
        <v>400</v>
      </c>
      <c r="AP351" s="305">
        <v>320</v>
      </c>
      <c r="AQ351" s="305">
        <f t="shared" si="140"/>
        <v>0.55555555555555558</v>
      </c>
      <c r="AR351" s="305">
        <f t="shared" si="141"/>
        <v>0.44444444444444442</v>
      </c>
      <c r="AV351" s="3">
        <f t="shared" si="129"/>
        <v>2033</v>
      </c>
      <c r="AW351" s="343">
        <f t="shared" si="132"/>
        <v>48823</v>
      </c>
      <c r="AX351" s="121">
        <f t="shared" si="142"/>
        <v>12.519804241435562</v>
      </c>
      <c r="AY351" s="122">
        <v>12.519804241435562</v>
      </c>
      <c r="BA351" s="3">
        <f t="shared" si="135"/>
        <v>2032</v>
      </c>
      <c r="BB351" s="343">
        <v>48426</v>
      </c>
      <c r="BC351" s="3">
        <f t="shared" si="136"/>
        <v>8.2949999999999999</v>
      </c>
      <c r="BD351" s="3">
        <v>8.4</v>
      </c>
      <c r="BE351" s="3">
        <v>8.19</v>
      </c>
      <c r="BG351" s="3">
        <f t="shared" si="137"/>
        <v>2036</v>
      </c>
      <c r="BH351" s="318">
        <v>49827</v>
      </c>
      <c r="BI351" s="3">
        <f t="shared" si="138"/>
        <v>14.629999999999999</v>
      </c>
      <c r="BJ351" s="3">
        <v>14.77</v>
      </c>
      <c r="BK351" s="3">
        <v>14.49</v>
      </c>
      <c r="BL351" s="412">
        <f t="shared" si="130"/>
        <v>2042</v>
      </c>
      <c r="BM351" s="427">
        <v>52201</v>
      </c>
      <c r="BN351" s="412">
        <f t="shared" si="133"/>
        <v>8.0383499999999994</v>
      </c>
      <c r="BO351" s="458">
        <v>7.9264000000000001</v>
      </c>
      <c r="BP351" s="458">
        <v>8.1502999999999997</v>
      </c>
      <c r="BQ351" s="469"/>
      <c r="BR351" s="473"/>
      <c r="BS351" s="469"/>
      <c r="BT351" s="474"/>
      <c r="BU351" s="474"/>
    </row>
    <row r="352" spans="36:73">
      <c r="AJ352" s="3">
        <f t="shared" si="139"/>
        <v>2033</v>
      </c>
      <c r="AK352" s="345">
        <f t="shared" si="134"/>
        <v>48853</v>
      </c>
      <c r="AL352" s="122">
        <v>98.57</v>
      </c>
      <c r="AM352" s="122">
        <v>86.05</v>
      </c>
      <c r="AN352" s="319">
        <f t="shared" si="143"/>
        <v>93.186399999999992</v>
      </c>
      <c r="AO352" s="305">
        <v>416</v>
      </c>
      <c r="AP352" s="305">
        <v>328</v>
      </c>
      <c r="AQ352" s="305">
        <f t="shared" si="140"/>
        <v>0.55913978494623651</v>
      </c>
      <c r="AR352" s="305">
        <f t="shared" si="141"/>
        <v>0.44086021505376344</v>
      </c>
      <c r="AV352" s="3">
        <f t="shared" ref="AV352:AV387" si="144">+YEAR(AW352)</f>
        <v>2033</v>
      </c>
      <c r="AW352" s="343">
        <f t="shared" si="132"/>
        <v>48853</v>
      </c>
      <c r="AX352" s="121">
        <f t="shared" si="142"/>
        <v>12.958221859706361</v>
      </c>
      <c r="AY352" s="122">
        <v>12.958221859706361</v>
      </c>
      <c r="BA352" s="3">
        <f t="shared" si="135"/>
        <v>2032</v>
      </c>
      <c r="BB352" s="343">
        <v>48457</v>
      </c>
      <c r="BC352" s="3">
        <f t="shared" si="136"/>
        <v>8.2949999999999999</v>
      </c>
      <c r="BD352" s="3">
        <v>8.4</v>
      </c>
      <c r="BE352" s="3">
        <v>8.19</v>
      </c>
      <c r="BG352" s="3">
        <f t="shared" si="137"/>
        <v>2036</v>
      </c>
      <c r="BH352" s="318">
        <v>49857</v>
      </c>
      <c r="BI352" s="3">
        <f t="shared" si="138"/>
        <v>14.855</v>
      </c>
      <c r="BJ352" s="3">
        <v>15</v>
      </c>
      <c r="BK352" s="3">
        <v>14.71</v>
      </c>
      <c r="BL352" s="412">
        <f t="shared" ref="BL352:BL354" si="145">YEAR(BM352)</f>
        <v>2043</v>
      </c>
      <c r="BM352" s="427">
        <v>52232</v>
      </c>
      <c r="BN352" s="412">
        <f t="shared" si="133"/>
        <v>7.9752000000000001</v>
      </c>
      <c r="BO352" s="458">
        <v>7.9943</v>
      </c>
      <c r="BP352" s="458">
        <v>7.9561000000000002</v>
      </c>
      <c r="BQ352" s="469"/>
      <c r="BR352" s="473"/>
      <c r="BS352" s="469"/>
      <c r="BT352" s="474"/>
      <c r="BU352" s="474"/>
    </row>
    <row r="353" spans="36:73">
      <c r="AJ353" s="3">
        <f t="shared" si="139"/>
        <v>2033</v>
      </c>
      <c r="AK353" s="345">
        <f t="shared" si="134"/>
        <v>48884</v>
      </c>
      <c r="AL353" s="122">
        <v>111.32</v>
      </c>
      <c r="AM353" s="122">
        <v>97.62</v>
      </c>
      <c r="AN353" s="319">
        <f t="shared" si="143"/>
        <v>105.429</v>
      </c>
      <c r="AO353" s="305">
        <v>400</v>
      </c>
      <c r="AP353" s="305">
        <v>320</v>
      </c>
      <c r="AQ353" s="305">
        <f t="shared" si="140"/>
        <v>0.55555555555555558</v>
      </c>
      <c r="AR353" s="305">
        <f t="shared" si="141"/>
        <v>0.44444444444444442</v>
      </c>
      <c r="AV353" s="3">
        <f t="shared" si="144"/>
        <v>2033</v>
      </c>
      <c r="AW353" s="343">
        <f t="shared" ref="AW353:AW387" si="146">EOMONTH(AW352,0)+1</f>
        <v>48884</v>
      </c>
      <c r="AX353" s="121">
        <f t="shared" si="142"/>
        <v>13.148542686242523</v>
      </c>
      <c r="AY353" s="122">
        <v>13.148542686242523</v>
      </c>
      <c r="BA353" s="3">
        <f t="shared" si="135"/>
        <v>2032</v>
      </c>
      <c r="BB353" s="343">
        <v>48487</v>
      </c>
      <c r="BC353" s="3">
        <f t="shared" si="136"/>
        <v>8.2949999999999999</v>
      </c>
      <c r="BD353" s="3">
        <v>8.4</v>
      </c>
      <c r="BE353" s="3">
        <v>8.19</v>
      </c>
      <c r="BG353" s="3">
        <f t="shared" si="137"/>
        <v>2036</v>
      </c>
      <c r="BH353" s="318">
        <v>49888</v>
      </c>
      <c r="BI353" s="3">
        <f t="shared" si="138"/>
        <v>14.855</v>
      </c>
      <c r="BJ353" s="3">
        <v>15</v>
      </c>
      <c r="BK353" s="3">
        <v>14.71</v>
      </c>
      <c r="BL353" s="412">
        <f t="shared" si="145"/>
        <v>2043</v>
      </c>
      <c r="BM353" s="427">
        <v>52263</v>
      </c>
      <c r="BN353" s="412">
        <f t="shared" si="133"/>
        <v>8.2041500000000003</v>
      </c>
      <c r="BO353" s="458">
        <v>8.0706000000000007</v>
      </c>
      <c r="BP353" s="458">
        <v>8.3376999999999999</v>
      </c>
      <c r="BQ353" s="469"/>
      <c r="BR353" s="473"/>
      <c r="BS353" s="469"/>
      <c r="BT353" s="474"/>
      <c r="BU353" s="474"/>
    </row>
    <row r="354" spans="36:73">
      <c r="AJ354" s="3">
        <f t="shared" si="139"/>
        <v>2033</v>
      </c>
      <c r="AK354" s="345">
        <f t="shared" si="134"/>
        <v>48914</v>
      </c>
      <c r="AL354" s="122">
        <v>116.54</v>
      </c>
      <c r="AM354" s="122">
        <v>106.87</v>
      </c>
      <c r="AN354" s="319">
        <f t="shared" si="143"/>
        <v>112.3819</v>
      </c>
      <c r="AO354" s="305">
        <v>416</v>
      </c>
      <c r="AP354" s="305">
        <v>328</v>
      </c>
      <c r="AQ354" s="305">
        <f t="shared" si="140"/>
        <v>0.55913978494623651</v>
      </c>
      <c r="AR354" s="305">
        <f t="shared" si="141"/>
        <v>0.44086021505376344</v>
      </c>
      <c r="AV354" s="3">
        <f t="shared" si="144"/>
        <v>2033</v>
      </c>
      <c r="AW354" s="343">
        <f t="shared" si="146"/>
        <v>48914</v>
      </c>
      <c r="AX354" s="121">
        <f t="shared" si="142"/>
        <v>13.780679717237627</v>
      </c>
      <c r="AY354" s="122">
        <v>13.780679717237627</v>
      </c>
      <c r="BA354" s="3">
        <f t="shared" si="135"/>
        <v>2032</v>
      </c>
      <c r="BB354" s="343">
        <v>48518</v>
      </c>
      <c r="BC354" s="3">
        <f t="shared" si="136"/>
        <v>8.6050000000000004</v>
      </c>
      <c r="BD354" s="3">
        <v>8.64</v>
      </c>
      <c r="BE354" s="3">
        <v>8.57</v>
      </c>
      <c r="BG354" s="3">
        <f t="shared" si="137"/>
        <v>2036</v>
      </c>
      <c r="BH354" s="318">
        <v>49919</v>
      </c>
      <c r="BI354" s="3">
        <f t="shared" si="138"/>
        <v>14.855</v>
      </c>
      <c r="BJ354" s="3">
        <v>15</v>
      </c>
      <c r="BK354" s="3">
        <v>14.71</v>
      </c>
      <c r="BL354" s="412">
        <f t="shared" si="145"/>
        <v>2043</v>
      </c>
      <c r="BM354" s="427">
        <v>52291</v>
      </c>
      <c r="BN354" s="412">
        <f t="shared" si="133"/>
        <v>7.6794500000000001</v>
      </c>
      <c r="BO354" s="458">
        <v>7.6127000000000002</v>
      </c>
      <c r="BP354" s="458">
        <v>7.7462</v>
      </c>
      <c r="BQ354" s="469"/>
      <c r="BR354" s="473"/>
      <c r="BS354" s="469"/>
      <c r="BT354" s="474"/>
      <c r="BU354" s="474"/>
    </row>
    <row r="355" spans="36:73">
      <c r="AJ355" s="3">
        <f t="shared" si="139"/>
        <v>2034</v>
      </c>
      <c r="AK355" s="345">
        <f t="shared" si="134"/>
        <v>48945</v>
      </c>
      <c r="AL355" s="122">
        <v>122.22</v>
      </c>
      <c r="AM355" s="122">
        <v>110.31</v>
      </c>
      <c r="AN355" s="319">
        <f t="shared" si="143"/>
        <v>117.09869999999999</v>
      </c>
      <c r="AO355" s="305">
        <v>400</v>
      </c>
      <c r="AP355" s="305">
        <v>344</v>
      </c>
      <c r="AQ355" s="305">
        <f t="shared" si="140"/>
        <v>0.5376344086021505</v>
      </c>
      <c r="AR355" s="305">
        <f t="shared" si="141"/>
        <v>0.46236559139784944</v>
      </c>
      <c r="AV355" s="3">
        <f t="shared" si="144"/>
        <v>2034</v>
      </c>
      <c r="AW355" s="343">
        <f t="shared" si="146"/>
        <v>48945</v>
      </c>
      <c r="AX355" s="121">
        <f t="shared" si="142"/>
        <v>14.970184883088635</v>
      </c>
      <c r="AY355" s="122">
        <v>14.970184883088635</v>
      </c>
      <c r="BA355" s="3">
        <f t="shared" si="135"/>
        <v>2032</v>
      </c>
      <c r="BB355" s="343">
        <v>48548</v>
      </c>
      <c r="BC355" s="3">
        <f t="shared" si="136"/>
        <v>8.7349999999999994</v>
      </c>
      <c r="BD355" s="3">
        <v>8.77</v>
      </c>
      <c r="BE355" s="3">
        <v>8.6999999999999993</v>
      </c>
      <c r="BG355" s="3">
        <f t="shared" si="137"/>
        <v>2036</v>
      </c>
      <c r="BH355" s="318">
        <v>49949</v>
      </c>
      <c r="BI355" s="3">
        <f t="shared" si="138"/>
        <v>15.414999999999999</v>
      </c>
      <c r="BJ355" s="3">
        <v>15.44</v>
      </c>
      <c r="BK355" s="3">
        <v>15.39</v>
      </c>
      <c r="BL355" s="412"/>
      <c r="BM355" s="427"/>
      <c r="BO355" s="458"/>
      <c r="BQ355" s="469"/>
      <c r="BR355" s="473"/>
      <c r="BS355" s="469"/>
      <c r="BT355" s="474"/>
      <c r="BU355" s="469"/>
    </row>
    <row r="356" spans="36:73">
      <c r="AJ356" s="3">
        <f t="shared" si="139"/>
        <v>2034</v>
      </c>
      <c r="AK356" s="345">
        <f t="shared" si="134"/>
        <v>48976</v>
      </c>
      <c r="AL356" s="122">
        <v>115.03</v>
      </c>
      <c r="AM356" s="122">
        <v>100.05</v>
      </c>
      <c r="AN356" s="319">
        <f t="shared" si="143"/>
        <v>108.58859999999999</v>
      </c>
      <c r="AO356" s="305">
        <v>384</v>
      </c>
      <c r="AP356" s="305">
        <v>288</v>
      </c>
      <c r="AQ356" s="305">
        <f t="shared" si="140"/>
        <v>0.5714285714285714</v>
      </c>
      <c r="AR356" s="305">
        <f t="shared" si="141"/>
        <v>0.42857142857142855</v>
      </c>
      <c r="AV356" s="3">
        <f t="shared" si="144"/>
        <v>2034</v>
      </c>
      <c r="AW356" s="343">
        <f t="shared" si="146"/>
        <v>48976</v>
      </c>
      <c r="AX356" s="121">
        <f t="shared" si="142"/>
        <v>14.06616095704187</v>
      </c>
      <c r="AY356" s="122">
        <v>14.06616095704187</v>
      </c>
      <c r="BA356" s="3">
        <f t="shared" si="135"/>
        <v>2032</v>
      </c>
      <c r="BB356" s="343">
        <v>48579</v>
      </c>
      <c r="BC356" s="3">
        <f t="shared" si="136"/>
        <v>9.17</v>
      </c>
      <c r="BD356" s="3">
        <v>9.14</v>
      </c>
      <c r="BE356" s="3">
        <v>9.1999999999999993</v>
      </c>
      <c r="BG356" s="3">
        <f t="shared" si="137"/>
        <v>2036</v>
      </c>
      <c r="BH356" s="318">
        <v>49980</v>
      </c>
      <c r="BI356" s="3">
        <f t="shared" si="138"/>
        <v>15.64</v>
      </c>
      <c r="BJ356" s="3">
        <v>15.66</v>
      </c>
      <c r="BK356" s="3">
        <v>15.62</v>
      </c>
      <c r="BL356" s="412"/>
      <c r="BM356" s="427"/>
      <c r="BO356" s="458"/>
      <c r="BQ356" s="469"/>
      <c r="BR356" s="473"/>
      <c r="BS356" s="469"/>
      <c r="BT356" s="474"/>
      <c r="BU356" s="469"/>
    </row>
    <row r="357" spans="36:73">
      <c r="AJ357" s="3">
        <f t="shared" si="139"/>
        <v>2034</v>
      </c>
      <c r="AK357" s="345">
        <f t="shared" si="134"/>
        <v>49004</v>
      </c>
      <c r="AL357" s="122">
        <v>97.5</v>
      </c>
      <c r="AM357" s="122">
        <v>87.18</v>
      </c>
      <c r="AN357" s="319">
        <f t="shared" si="143"/>
        <v>93.062399999999997</v>
      </c>
      <c r="AO357" s="305">
        <v>432</v>
      </c>
      <c r="AP357" s="305">
        <v>312</v>
      </c>
      <c r="AQ357" s="305">
        <f t="shared" si="140"/>
        <v>0.58064516129032262</v>
      </c>
      <c r="AR357" s="305">
        <f t="shared" si="141"/>
        <v>0.41935483870967744</v>
      </c>
      <c r="AV357" s="3">
        <f t="shared" si="144"/>
        <v>2034</v>
      </c>
      <c r="AW357" s="343">
        <f t="shared" si="146"/>
        <v>49004</v>
      </c>
      <c r="AX357" s="121">
        <f t="shared" si="142"/>
        <v>13.230108754758021</v>
      </c>
      <c r="AY357" s="122">
        <v>13.230108754758021</v>
      </c>
      <c r="BA357" s="3">
        <f t="shared" si="135"/>
        <v>2033</v>
      </c>
      <c r="BB357" s="343">
        <v>48610</v>
      </c>
      <c r="BC357" s="3">
        <f t="shared" si="136"/>
        <v>10.205</v>
      </c>
      <c r="BD357" s="3">
        <v>10.1</v>
      </c>
      <c r="BE357" s="3">
        <v>10.31</v>
      </c>
      <c r="BG357" s="3">
        <f t="shared" si="137"/>
        <v>2036</v>
      </c>
      <c r="BH357" s="318">
        <v>50010</v>
      </c>
      <c r="BI357" s="3">
        <f t="shared" si="138"/>
        <v>16.420000000000002</v>
      </c>
      <c r="BJ357" s="3">
        <v>16.32</v>
      </c>
      <c r="BK357" s="3">
        <v>16.52</v>
      </c>
      <c r="BL357" s="412"/>
      <c r="BM357" s="427"/>
      <c r="BO357" s="458"/>
      <c r="BQ357" s="469"/>
      <c r="BR357" s="473"/>
      <c r="BS357" s="469"/>
      <c r="BT357" s="474"/>
      <c r="BU357" s="469"/>
    </row>
    <row r="358" spans="36:73">
      <c r="AJ358" s="3">
        <f t="shared" si="139"/>
        <v>2034</v>
      </c>
      <c r="AK358" s="345">
        <f t="shared" si="134"/>
        <v>49035</v>
      </c>
      <c r="AL358" s="122">
        <v>96.97</v>
      </c>
      <c r="AM358" s="122">
        <v>92.39</v>
      </c>
      <c r="AN358" s="319">
        <f t="shared" si="143"/>
        <v>95.000599999999991</v>
      </c>
      <c r="AO358" s="305">
        <v>400</v>
      </c>
      <c r="AP358" s="305">
        <v>320</v>
      </c>
      <c r="AQ358" s="305">
        <f t="shared" si="140"/>
        <v>0.55555555555555558</v>
      </c>
      <c r="AR358" s="305">
        <f t="shared" si="141"/>
        <v>0.44444444444444442</v>
      </c>
      <c r="AV358" s="3">
        <f t="shared" si="144"/>
        <v>2034</v>
      </c>
      <c r="AW358" s="343">
        <f t="shared" si="146"/>
        <v>49035</v>
      </c>
      <c r="AX358" s="121">
        <f t="shared" si="142"/>
        <v>12.519804241435562</v>
      </c>
      <c r="AY358" s="122">
        <v>12.519804241435562</v>
      </c>
      <c r="BA358" s="3">
        <f t="shared" si="135"/>
        <v>2033</v>
      </c>
      <c r="BB358" s="343">
        <v>48638</v>
      </c>
      <c r="BC358" s="3">
        <f t="shared" si="136"/>
        <v>9.495000000000001</v>
      </c>
      <c r="BD358" s="3">
        <v>9.4600000000000009</v>
      </c>
      <c r="BE358" s="3">
        <v>9.5299999999999994</v>
      </c>
      <c r="BG358" s="3">
        <f t="shared" si="137"/>
        <v>2037</v>
      </c>
      <c r="BH358" s="318">
        <v>50041</v>
      </c>
      <c r="BI358" s="3">
        <f t="shared" si="138"/>
        <v>17.984999999999999</v>
      </c>
      <c r="BJ358" s="3">
        <v>17.75</v>
      </c>
      <c r="BK358" s="3">
        <v>18.22</v>
      </c>
      <c r="BL358" s="412"/>
      <c r="BM358" s="427"/>
      <c r="BO358" s="458"/>
      <c r="BQ358" s="469"/>
      <c r="BR358" s="473"/>
      <c r="BS358" s="469"/>
      <c r="BT358" s="474"/>
      <c r="BU358" s="469"/>
    </row>
    <row r="359" spans="36:73">
      <c r="AJ359" s="3">
        <f t="shared" si="139"/>
        <v>2034</v>
      </c>
      <c r="AK359" s="345">
        <f t="shared" si="134"/>
        <v>49065</v>
      </c>
      <c r="AL359" s="122">
        <v>98.75</v>
      </c>
      <c r="AM359" s="122">
        <v>92.89</v>
      </c>
      <c r="AN359" s="319">
        <f t="shared" si="143"/>
        <v>96.230199999999996</v>
      </c>
      <c r="AO359" s="305">
        <v>416</v>
      </c>
      <c r="AP359" s="305">
        <v>328</v>
      </c>
      <c r="AQ359" s="305">
        <f t="shared" si="140"/>
        <v>0.55913978494623651</v>
      </c>
      <c r="AR359" s="305">
        <f t="shared" si="141"/>
        <v>0.44086021505376344</v>
      </c>
      <c r="AV359" s="3">
        <f t="shared" si="144"/>
        <v>2034</v>
      </c>
      <c r="AW359" s="343">
        <f t="shared" si="146"/>
        <v>49065</v>
      </c>
      <c r="AX359" s="121">
        <f t="shared" si="142"/>
        <v>12.390657966286026</v>
      </c>
      <c r="AY359" s="122">
        <v>12.390657966286026</v>
      </c>
      <c r="BA359" s="3">
        <f t="shared" si="135"/>
        <v>2033</v>
      </c>
      <c r="BB359" s="343">
        <v>48669</v>
      </c>
      <c r="BC359" s="3">
        <f t="shared" si="136"/>
        <v>8.91</v>
      </c>
      <c r="BD359" s="3">
        <v>8.9499999999999993</v>
      </c>
      <c r="BE359" s="3">
        <v>8.8699999999999992</v>
      </c>
      <c r="BG359" s="3">
        <f t="shared" si="137"/>
        <v>2037</v>
      </c>
      <c r="BH359" s="318">
        <v>50072</v>
      </c>
      <c r="BI359" s="3">
        <f t="shared" si="138"/>
        <v>16.734999999999999</v>
      </c>
      <c r="BJ359" s="3">
        <v>16.63</v>
      </c>
      <c r="BK359" s="3">
        <v>16.84</v>
      </c>
      <c r="BL359" s="412"/>
      <c r="BM359" s="427"/>
      <c r="BO359" s="458"/>
      <c r="BQ359" s="469"/>
      <c r="BR359" s="473"/>
      <c r="BS359" s="469"/>
      <c r="BT359" s="474"/>
      <c r="BU359" s="469"/>
    </row>
    <row r="360" spans="36:73">
      <c r="AJ360" s="3">
        <f t="shared" si="139"/>
        <v>2034</v>
      </c>
      <c r="AK360" s="345">
        <f t="shared" si="134"/>
        <v>49096</v>
      </c>
      <c r="AL360" s="122">
        <v>106.89</v>
      </c>
      <c r="AM360" s="122">
        <v>95.39</v>
      </c>
      <c r="AN360" s="319">
        <f t="shared" si="143"/>
        <v>101.94499999999999</v>
      </c>
      <c r="AO360" s="305">
        <v>416</v>
      </c>
      <c r="AP360" s="305">
        <v>304</v>
      </c>
      <c r="AQ360" s="305">
        <f t="shared" si="140"/>
        <v>0.57777777777777772</v>
      </c>
      <c r="AR360" s="305">
        <f t="shared" si="141"/>
        <v>0.42222222222222222</v>
      </c>
      <c r="AV360" s="3">
        <f t="shared" si="144"/>
        <v>2034</v>
      </c>
      <c r="AW360" s="343">
        <f t="shared" si="146"/>
        <v>49096</v>
      </c>
      <c r="AX360" s="121">
        <f t="shared" si="142"/>
        <v>12.584377379010331</v>
      </c>
      <c r="AY360" s="122">
        <v>12.584377379010331</v>
      </c>
      <c r="BA360" s="3">
        <f t="shared" si="135"/>
        <v>2033</v>
      </c>
      <c r="BB360" s="343">
        <v>48699</v>
      </c>
      <c r="BC360" s="3">
        <f t="shared" si="136"/>
        <v>8.33</v>
      </c>
      <c r="BD360" s="3">
        <v>8.44</v>
      </c>
      <c r="BE360" s="3">
        <v>8.2200000000000006</v>
      </c>
      <c r="BG360" s="3">
        <f t="shared" si="137"/>
        <v>2037</v>
      </c>
      <c r="BH360" s="318">
        <v>50100</v>
      </c>
      <c r="BI360" s="3">
        <f t="shared" si="138"/>
        <v>15.71</v>
      </c>
      <c r="BJ360" s="3">
        <v>15.73</v>
      </c>
      <c r="BK360" s="3">
        <v>15.69</v>
      </c>
      <c r="BL360" s="412"/>
      <c r="BM360" s="427"/>
      <c r="BO360" s="458"/>
      <c r="BQ360" s="469"/>
      <c r="BR360" s="473"/>
      <c r="BS360" s="469"/>
      <c r="BT360" s="474"/>
      <c r="BU360" s="469"/>
    </row>
    <row r="361" spans="36:73">
      <c r="AJ361" s="3">
        <f t="shared" si="139"/>
        <v>2034</v>
      </c>
      <c r="AK361" s="345">
        <f t="shared" si="134"/>
        <v>49126</v>
      </c>
      <c r="AL361" s="122">
        <v>101.81</v>
      </c>
      <c r="AM361" s="122">
        <v>97.58</v>
      </c>
      <c r="AN361" s="319">
        <f t="shared" si="143"/>
        <v>99.991099999999989</v>
      </c>
      <c r="AO361" s="305">
        <v>400</v>
      </c>
      <c r="AP361" s="305">
        <v>344</v>
      </c>
      <c r="AQ361" s="305">
        <f t="shared" si="140"/>
        <v>0.5376344086021505</v>
      </c>
      <c r="AR361" s="305">
        <f t="shared" si="141"/>
        <v>0.46236559139784944</v>
      </c>
      <c r="AV361" s="3">
        <f t="shared" si="144"/>
        <v>2034</v>
      </c>
      <c r="AW361" s="343">
        <f t="shared" si="146"/>
        <v>49126</v>
      </c>
      <c r="AX361" s="121">
        <f t="shared" si="142"/>
        <v>12.77809679173464</v>
      </c>
      <c r="AY361" s="122">
        <v>12.77809679173464</v>
      </c>
      <c r="BA361" s="3">
        <f t="shared" si="135"/>
        <v>2033</v>
      </c>
      <c r="BB361" s="343">
        <v>48730</v>
      </c>
      <c r="BC361" s="3">
        <f t="shared" si="136"/>
        <v>8.33</v>
      </c>
      <c r="BD361" s="3">
        <v>8.44</v>
      </c>
      <c r="BE361" s="3">
        <v>8.2200000000000006</v>
      </c>
      <c r="BG361" s="3">
        <f t="shared" si="137"/>
        <v>2037</v>
      </c>
      <c r="BH361" s="318">
        <v>50131</v>
      </c>
      <c r="BI361" s="3">
        <f t="shared" si="138"/>
        <v>14.68</v>
      </c>
      <c r="BJ361" s="3">
        <v>14.83</v>
      </c>
      <c r="BK361" s="3">
        <v>14.53</v>
      </c>
      <c r="BL361" s="412"/>
      <c r="BM361" s="427"/>
      <c r="BO361" s="458"/>
      <c r="BQ361" s="469"/>
      <c r="BR361" s="473"/>
      <c r="BS361" s="469"/>
      <c r="BT361" s="474"/>
      <c r="BU361" s="469"/>
    </row>
    <row r="362" spans="36:73">
      <c r="AJ362" s="3">
        <f t="shared" si="139"/>
        <v>2034</v>
      </c>
      <c r="AK362" s="345">
        <f t="shared" si="134"/>
        <v>49157</v>
      </c>
      <c r="AL362" s="122">
        <v>102.31</v>
      </c>
      <c r="AM362" s="122">
        <v>98.14</v>
      </c>
      <c r="AN362" s="319">
        <f t="shared" si="143"/>
        <v>100.51689999999999</v>
      </c>
      <c r="AO362" s="305">
        <v>432</v>
      </c>
      <c r="AP362" s="305">
        <v>312</v>
      </c>
      <c r="AQ362" s="305">
        <f t="shared" si="140"/>
        <v>0.58064516129032262</v>
      </c>
      <c r="AR362" s="305">
        <f t="shared" si="141"/>
        <v>0.41935483870967744</v>
      </c>
      <c r="AV362" s="3">
        <f t="shared" si="144"/>
        <v>2034</v>
      </c>
      <c r="AW362" s="343">
        <f t="shared" si="146"/>
        <v>49157</v>
      </c>
      <c r="AX362" s="121">
        <f t="shared" si="142"/>
        <v>12.77809679173464</v>
      </c>
      <c r="AY362" s="122">
        <v>12.77809679173464</v>
      </c>
      <c r="BA362" s="3">
        <f t="shared" si="135"/>
        <v>2033</v>
      </c>
      <c r="BB362" s="343">
        <v>48760</v>
      </c>
      <c r="BC362" s="3">
        <f t="shared" si="136"/>
        <v>8.4550000000000001</v>
      </c>
      <c r="BD362" s="3">
        <v>8.56</v>
      </c>
      <c r="BE362" s="3">
        <v>8.35</v>
      </c>
      <c r="BG362" s="3">
        <f t="shared" si="137"/>
        <v>2037</v>
      </c>
      <c r="BH362" s="318">
        <v>50161</v>
      </c>
      <c r="BI362" s="3">
        <f t="shared" si="138"/>
        <v>14.68</v>
      </c>
      <c r="BJ362" s="3">
        <v>14.83</v>
      </c>
      <c r="BK362" s="3">
        <v>14.53</v>
      </c>
      <c r="BL362" s="412"/>
      <c r="BM362" s="427"/>
      <c r="BO362" s="458"/>
      <c r="BQ362" s="469"/>
      <c r="BR362" s="473"/>
      <c r="BS362" s="469"/>
      <c r="BT362" s="474"/>
      <c r="BU362" s="469"/>
    </row>
    <row r="363" spans="36:73">
      <c r="AJ363" s="3">
        <f t="shared" si="139"/>
        <v>2034</v>
      </c>
      <c r="AK363" s="345">
        <f t="shared" si="134"/>
        <v>49188</v>
      </c>
      <c r="AL363" s="122">
        <v>101.41</v>
      </c>
      <c r="AM363" s="122">
        <v>95.1</v>
      </c>
      <c r="AN363" s="319">
        <f t="shared" si="143"/>
        <v>98.696699999999993</v>
      </c>
      <c r="AO363" s="305">
        <v>400</v>
      </c>
      <c r="AP363" s="305">
        <v>320</v>
      </c>
      <c r="AQ363" s="305">
        <f t="shared" si="140"/>
        <v>0.55555555555555558</v>
      </c>
      <c r="AR363" s="305">
        <f t="shared" si="141"/>
        <v>0.44444444444444442</v>
      </c>
      <c r="AV363" s="3">
        <f t="shared" si="144"/>
        <v>2034</v>
      </c>
      <c r="AW363" s="343">
        <f t="shared" si="146"/>
        <v>49188</v>
      </c>
      <c r="AX363" s="121">
        <f t="shared" si="142"/>
        <v>12.77809679173464</v>
      </c>
      <c r="AY363" s="122">
        <v>12.77809679173464</v>
      </c>
      <c r="BA363" s="3">
        <f t="shared" si="135"/>
        <v>2033</v>
      </c>
      <c r="BB363" s="343">
        <v>48791</v>
      </c>
      <c r="BC363" s="3">
        <f t="shared" si="136"/>
        <v>8.5850000000000009</v>
      </c>
      <c r="BD363" s="3">
        <v>8.69</v>
      </c>
      <c r="BE363" s="3">
        <v>8.48</v>
      </c>
      <c r="BG363" s="3">
        <f t="shared" si="137"/>
        <v>2037</v>
      </c>
      <c r="BH363" s="318">
        <v>50192</v>
      </c>
      <c r="BI363" s="3">
        <f t="shared" si="138"/>
        <v>14.91</v>
      </c>
      <c r="BJ363" s="3">
        <v>15.06</v>
      </c>
      <c r="BK363" s="3">
        <v>14.76</v>
      </c>
      <c r="BL363" s="412"/>
      <c r="BM363" s="427"/>
      <c r="BO363" s="458"/>
      <c r="BQ363" s="469"/>
      <c r="BR363" s="473"/>
      <c r="BS363" s="469"/>
      <c r="BT363" s="474"/>
      <c r="BU363" s="469"/>
    </row>
    <row r="364" spans="36:73">
      <c r="AJ364" s="3">
        <f t="shared" si="139"/>
        <v>2034</v>
      </c>
      <c r="AK364" s="345">
        <f t="shared" ref="AK364:AK427" si="147">EOMONTH(AK363,0)+1</f>
        <v>49218</v>
      </c>
      <c r="AL364" s="122">
        <v>100.64</v>
      </c>
      <c r="AM364" s="122">
        <v>87.86</v>
      </c>
      <c r="AN364" s="319">
        <f t="shared" si="143"/>
        <v>95.144599999999997</v>
      </c>
      <c r="AO364" s="305">
        <v>416</v>
      </c>
      <c r="AP364" s="305">
        <v>328</v>
      </c>
      <c r="AQ364" s="305">
        <f t="shared" si="140"/>
        <v>0.55913978494623651</v>
      </c>
      <c r="AR364" s="305">
        <f t="shared" si="141"/>
        <v>0.44086021505376344</v>
      </c>
      <c r="AV364" s="3">
        <f t="shared" si="144"/>
        <v>2034</v>
      </c>
      <c r="AW364" s="343">
        <f t="shared" si="146"/>
        <v>49218</v>
      </c>
      <c r="AX364" s="121">
        <f t="shared" si="142"/>
        <v>13.230108754758021</v>
      </c>
      <c r="AY364" s="122">
        <v>13.230108754758021</v>
      </c>
      <c r="BA364" s="3">
        <f t="shared" si="135"/>
        <v>2033</v>
      </c>
      <c r="BB364" s="343">
        <v>48822</v>
      </c>
      <c r="BC364" s="3">
        <f t="shared" si="136"/>
        <v>8.5850000000000009</v>
      </c>
      <c r="BD364" s="3">
        <v>8.69</v>
      </c>
      <c r="BE364" s="3">
        <v>8.48</v>
      </c>
      <c r="BG364" s="3">
        <f t="shared" si="137"/>
        <v>2037</v>
      </c>
      <c r="BH364" s="318">
        <v>50222</v>
      </c>
      <c r="BI364" s="3">
        <f t="shared" si="138"/>
        <v>15.135</v>
      </c>
      <c r="BJ364" s="3">
        <v>15.28</v>
      </c>
      <c r="BK364" s="3">
        <v>14.99</v>
      </c>
      <c r="BL364" s="412"/>
      <c r="BM364" s="427"/>
      <c r="BQ364" s="469"/>
      <c r="BR364" s="473"/>
      <c r="BS364" s="469"/>
      <c r="BT364" s="469"/>
      <c r="BU364" s="469"/>
    </row>
    <row r="365" spans="36:73">
      <c r="AJ365" s="3">
        <f t="shared" si="139"/>
        <v>2034</v>
      </c>
      <c r="AK365" s="345">
        <f t="shared" si="147"/>
        <v>49249</v>
      </c>
      <c r="AL365" s="122">
        <v>113.66</v>
      </c>
      <c r="AM365" s="122">
        <v>99.67</v>
      </c>
      <c r="AN365" s="319">
        <f t="shared" si="143"/>
        <v>107.64429999999999</v>
      </c>
      <c r="AO365" s="305">
        <v>400</v>
      </c>
      <c r="AP365" s="305">
        <v>320</v>
      </c>
      <c r="AQ365" s="305">
        <f t="shared" si="140"/>
        <v>0.55555555555555558</v>
      </c>
      <c r="AR365" s="305">
        <f t="shared" si="141"/>
        <v>0.44444444444444442</v>
      </c>
      <c r="AV365" s="3">
        <f t="shared" si="144"/>
        <v>2034</v>
      </c>
      <c r="AW365" s="343">
        <f t="shared" si="146"/>
        <v>49249</v>
      </c>
      <c r="AX365" s="121">
        <f t="shared" si="142"/>
        <v>13.423828167482325</v>
      </c>
      <c r="AY365" s="122">
        <v>13.423828167482325</v>
      </c>
      <c r="BA365" s="3">
        <f t="shared" si="135"/>
        <v>2033</v>
      </c>
      <c r="BB365" s="343">
        <v>48852</v>
      </c>
      <c r="BC365" s="3">
        <f t="shared" si="136"/>
        <v>8.5850000000000009</v>
      </c>
      <c r="BD365" s="3">
        <v>8.69</v>
      </c>
      <c r="BE365" s="3">
        <v>8.48</v>
      </c>
      <c r="BG365" s="3">
        <f t="shared" si="137"/>
        <v>2037</v>
      </c>
      <c r="BH365" s="318">
        <v>50253</v>
      </c>
      <c r="BI365" s="3">
        <f t="shared" si="138"/>
        <v>15.135</v>
      </c>
      <c r="BJ365" s="3">
        <v>15.28</v>
      </c>
      <c r="BK365" s="3">
        <v>14.99</v>
      </c>
      <c r="BL365" s="412"/>
      <c r="BM365" s="427"/>
      <c r="BQ365" s="469"/>
      <c r="BR365" s="473"/>
      <c r="BS365" s="469"/>
      <c r="BT365" s="469"/>
      <c r="BU365" s="469"/>
    </row>
    <row r="366" spans="36:73">
      <c r="AJ366" s="3">
        <f t="shared" si="139"/>
        <v>2034</v>
      </c>
      <c r="AK366" s="345">
        <f t="shared" si="147"/>
        <v>49279</v>
      </c>
      <c r="AL366" s="122">
        <v>118.99</v>
      </c>
      <c r="AM366" s="122">
        <v>109.11</v>
      </c>
      <c r="AN366" s="319">
        <f t="shared" si="143"/>
        <v>114.74159999999999</v>
      </c>
      <c r="AO366" s="305">
        <v>400</v>
      </c>
      <c r="AP366" s="305">
        <v>344</v>
      </c>
      <c r="AQ366" s="305">
        <f t="shared" si="140"/>
        <v>0.5376344086021505</v>
      </c>
      <c r="AR366" s="305">
        <f t="shared" si="141"/>
        <v>0.46236559139784944</v>
      </c>
      <c r="AV366" s="3">
        <f t="shared" si="144"/>
        <v>2034</v>
      </c>
      <c r="AW366" s="343">
        <f t="shared" si="146"/>
        <v>49279</v>
      </c>
      <c r="AX366" s="121">
        <f t="shared" si="142"/>
        <v>14.06616095704187</v>
      </c>
      <c r="AY366" s="122">
        <v>14.06616095704187</v>
      </c>
      <c r="BA366" s="3">
        <f t="shared" si="135"/>
        <v>2033</v>
      </c>
      <c r="BB366" s="343">
        <v>48883</v>
      </c>
      <c r="BC366" s="3">
        <f t="shared" si="136"/>
        <v>8.91</v>
      </c>
      <c r="BD366" s="3">
        <v>8.9499999999999993</v>
      </c>
      <c r="BE366" s="3">
        <v>8.8699999999999992</v>
      </c>
      <c r="BG366" s="3">
        <f t="shared" si="137"/>
        <v>2037</v>
      </c>
      <c r="BH366" s="318">
        <v>50284</v>
      </c>
      <c r="BI366" s="3">
        <f t="shared" si="138"/>
        <v>15.135</v>
      </c>
      <c r="BJ366" s="3">
        <v>15.28</v>
      </c>
      <c r="BK366" s="3">
        <v>14.99</v>
      </c>
      <c r="BL366" s="412"/>
      <c r="BM366" s="427"/>
      <c r="BQ366" s="469"/>
      <c r="BR366" s="473"/>
      <c r="BS366" s="469"/>
      <c r="BT366" s="469"/>
      <c r="BU366" s="469"/>
    </row>
    <row r="367" spans="36:73">
      <c r="AJ367" s="3">
        <f t="shared" si="139"/>
        <v>2035</v>
      </c>
      <c r="AK367" s="345">
        <f t="shared" si="147"/>
        <v>49310</v>
      </c>
      <c r="AL367" s="122">
        <v>124.79</v>
      </c>
      <c r="AM367" s="122">
        <v>112.62</v>
      </c>
      <c r="AN367" s="319">
        <f t="shared" si="143"/>
        <v>119.55689999999998</v>
      </c>
      <c r="AO367" s="305">
        <v>416</v>
      </c>
      <c r="AP367" s="305">
        <v>328</v>
      </c>
      <c r="AQ367" s="305">
        <f t="shared" si="140"/>
        <v>0.55913978494623651</v>
      </c>
      <c r="AR367" s="305">
        <f t="shared" si="141"/>
        <v>0.44086021505376344</v>
      </c>
      <c r="AV367" s="3">
        <f t="shared" si="144"/>
        <v>2035</v>
      </c>
      <c r="AW367" s="343">
        <f t="shared" si="146"/>
        <v>49310</v>
      </c>
      <c r="AX367" s="121">
        <f t="shared" si="142"/>
        <v>15.282854812398041</v>
      </c>
      <c r="AY367" s="122">
        <v>15.282854812398041</v>
      </c>
      <c r="BA367" s="3">
        <f t="shared" si="135"/>
        <v>2033</v>
      </c>
      <c r="BB367" s="343">
        <v>48913</v>
      </c>
      <c r="BC367" s="3">
        <f t="shared" si="136"/>
        <v>9.0350000000000001</v>
      </c>
      <c r="BD367" s="3">
        <v>9.07</v>
      </c>
      <c r="BE367" s="3">
        <v>9</v>
      </c>
      <c r="BG367" s="3">
        <f t="shared" si="137"/>
        <v>2037</v>
      </c>
      <c r="BH367" s="318">
        <v>50314</v>
      </c>
      <c r="BI367" s="3">
        <f t="shared" si="138"/>
        <v>15.71</v>
      </c>
      <c r="BJ367" s="3">
        <v>15.73</v>
      </c>
      <c r="BK367" s="3">
        <v>15.69</v>
      </c>
      <c r="BL367" s="412"/>
      <c r="BQ367" s="469"/>
      <c r="BR367" s="469"/>
      <c r="BS367" s="469"/>
      <c r="BT367" s="469"/>
      <c r="BU367" s="469"/>
    </row>
    <row r="368" spans="36:73">
      <c r="AJ368" s="3">
        <f t="shared" si="139"/>
        <v>2035</v>
      </c>
      <c r="AK368" s="345">
        <f t="shared" si="147"/>
        <v>49341</v>
      </c>
      <c r="AL368" s="122">
        <v>117.45</v>
      </c>
      <c r="AM368" s="122">
        <v>102.15</v>
      </c>
      <c r="AN368" s="319">
        <f t="shared" si="143"/>
        <v>110.87100000000001</v>
      </c>
      <c r="AO368" s="305">
        <v>384</v>
      </c>
      <c r="AP368" s="305">
        <v>288</v>
      </c>
      <c r="AQ368" s="305">
        <f t="shared" si="140"/>
        <v>0.5714285714285714</v>
      </c>
      <c r="AR368" s="305">
        <f t="shared" si="141"/>
        <v>0.42857142857142855</v>
      </c>
      <c r="AV368" s="3">
        <f t="shared" si="144"/>
        <v>2035</v>
      </c>
      <c r="AW368" s="343">
        <f t="shared" si="146"/>
        <v>49341</v>
      </c>
      <c r="AX368" s="121">
        <f t="shared" si="142"/>
        <v>14.361837955410548</v>
      </c>
      <c r="AY368" s="122">
        <v>14.361837955410548</v>
      </c>
      <c r="BA368" s="3">
        <f t="shared" si="135"/>
        <v>2033</v>
      </c>
      <c r="BB368" s="343">
        <v>48944</v>
      </c>
      <c r="BC368" s="3">
        <f t="shared" si="136"/>
        <v>9.495000000000001</v>
      </c>
      <c r="BD368" s="3">
        <v>9.4600000000000009</v>
      </c>
      <c r="BE368" s="3">
        <v>9.5299999999999994</v>
      </c>
      <c r="BG368" s="3">
        <f t="shared" si="137"/>
        <v>2037</v>
      </c>
      <c r="BH368" s="318">
        <v>50345</v>
      </c>
      <c r="BI368" s="3">
        <f t="shared" si="138"/>
        <v>15.934999999999999</v>
      </c>
      <c r="BJ368" s="3">
        <v>15.95</v>
      </c>
      <c r="BK368" s="3">
        <v>15.92</v>
      </c>
      <c r="BL368" s="412"/>
      <c r="BQ368" s="469"/>
      <c r="BR368" s="469"/>
      <c r="BS368" s="469"/>
      <c r="BT368" s="469"/>
      <c r="BU368" s="469"/>
    </row>
    <row r="369" spans="36:73">
      <c r="AJ369" s="3">
        <f t="shared" si="139"/>
        <v>2035</v>
      </c>
      <c r="AK369" s="345">
        <f t="shared" si="147"/>
        <v>49369</v>
      </c>
      <c r="AL369" s="122">
        <v>99.54</v>
      </c>
      <c r="AM369" s="122">
        <v>89.01</v>
      </c>
      <c r="AN369" s="319">
        <f t="shared" si="143"/>
        <v>95.012100000000004</v>
      </c>
      <c r="AO369" s="305">
        <v>432</v>
      </c>
      <c r="AP369" s="305">
        <v>312</v>
      </c>
      <c r="AQ369" s="305">
        <f t="shared" si="140"/>
        <v>0.58064516129032262</v>
      </c>
      <c r="AR369" s="305">
        <f t="shared" si="141"/>
        <v>0.41935483870967744</v>
      </c>
      <c r="AV369" s="3">
        <f t="shared" si="144"/>
        <v>2035</v>
      </c>
      <c r="AW369" s="343">
        <f t="shared" si="146"/>
        <v>49369</v>
      </c>
      <c r="AX369" s="121">
        <f t="shared" si="142"/>
        <v>13.508792822185971</v>
      </c>
      <c r="AY369" s="122">
        <v>13.508792822185971</v>
      </c>
      <c r="BA369" s="3">
        <f t="shared" si="135"/>
        <v>2034</v>
      </c>
      <c r="BB369" s="343">
        <v>48975</v>
      </c>
      <c r="BC369" s="3">
        <f t="shared" si="136"/>
        <v>10.559999999999999</v>
      </c>
      <c r="BD369" s="3">
        <v>10.45</v>
      </c>
      <c r="BE369" s="3">
        <v>10.67</v>
      </c>
      <c r="BG369" s="3">
        <f t="shared" si="137"/>
        <v>2037</v>
      </c>
      <c r="BH369" s="318">
        <v>50375</v>
      </c>
      <c r="BI369" s="3">
        <f t="shared" si="138"/>
        <v>16.734999999999999</v>
      </c>
      <c r="BJ369" s="3">
        <v>16.63</v>
      </c>
      <c r="BK369" s="3">
        <v>16.84</v>
      </c>
      <c r="BL369" s="412"/>
      <c r="BQ369" s="469"/>
      <c r="BR369" s="469"/>
      <c r="BS369" s="469"/>
      <c r="BT369" s="469"/>
      <c r="BU369" s="469"/>
    </row>
    <row r="370" spans="36:73">
      <c r="AJ370" s="3">
        <f t="shared" si="139"/>
        <v>2035</v>
      </c>
      <c r="AK370" s="345">
        <f t="shared" si="147"/>
        <v>49400</v>
      </c>
      <c r="AL370" s="122">
        <v>99.01</v>
      </c>
      <c r="AM370" s="122">
        <v>94.33</v>
      </c>
      <c r="AN370" s="319">
        <f t="shared" si="143"/>
        <v>96.997600000000006</v>
      </c>
      <c r="AO370" s="305">
        <v>400</v>
      </c>
      <c r="AP370" s="305">
        <v>320</v>
      </c>
      <c r="AQ370" s="305">
        <f t="shared" si="140"/>
        <v>0.55555555555555558</v>
      </c>
      <c r="AR370" s="305">
        <f t="shared" si="141"/>
        <v>0.44444444444444442</v>
      </c>
      <c r="AV370" s="3">
        <f t="shared" si="144"/>
        <v>2035</v>
      </c>
      <c r="AW370" s="343">
        <f t="shared" si="146"/>
        <v>49400</v>
      </c>
      <c r="AX370" s="121">
        <f t="shared" si="142"/>
        <v>12.784893964110928</v>
      </c>
      <c r="AY370" s="122">
        <v>12.784893964110928</v>
      </c>
      <c r="BA370" s="3">
        <f t="shared" si="135"/>
        <v>2034</v>
      </c>
      <c r="BB370" s="343">
        <v>49003</v>
      </c>
      <c r="BC370" s="3">
        <f t="shared" si="136"/>
        <v>9.8249999999999993</v>
      </c>
      <c r="BD370" s="3">
        <v>9.7899999999999991</v>
      </c>
      <c r="BE370" s="3">
        <v>9.86</v>
      </c>
      <c r="BG370" s="3">
        <f t="shared" si="137"/>
        <v>2038</v>
      </c>
      <c r="BH370" s="318">
        <v>50406</v>
      </c>
      <c r="BI370" s="3">
        <f t="shared" si="138"/>
        <v>18.310000000000002</v>
      </c>
      <c r="BJ370" s="3">
        <v>18.07</v>
      </c>
      <c r="BK370" s="3">
        <v>18.55</v>
      </c>
      <c r="BL370" s="412"/>
      <c r="BQ370" s="469"/>
      <c r="BR370" s="469"/>
      <c r="BS370" s="469"/>
      <c r="BT370" s="469"/>
      <c r="BU370" s="469"/>
    </row>
    <row r="371" spans="36:73">
      <c r="AJ371" s="3">
        <f t="shared" si="139"/>
        <v>2035</v>
      </c>
      <c r="AK371" s="345">
        <f t="shared" si="147"/>
        <v>49430</v>
      </c>
      <c r="AL371" s="122">
        <v>100.82</v>
      </c>
      <c r="AM371" s="122">
        <v>94.84</v>
      </c>
      <c r="AN371" s="319">
        <f t="shared" si="143"/>
        <v>98.248599999999982</v>
      </c>
      <c r="AO371" s="305">
        <v>416</v>
      </c>
      <c r="AP371" s="305">
        <v>328</v>
      </c>
      <c r="AQ371" s="305">
        <f t="shared" si="140"/>
        <v>0.55913978494623651</v>
      </c>
      <c r="AR371" s="305">
        <f t="shared" si="141"/>
        <v>0.44086021505376344</v>
      </c>
      <c r="AV371" s="3">
        <f t="shared" si="144"/>
        <v>2035</v>
      </c>
      <c r="AW371" s="343">
        <f t="shared" si="146"/>
        <v>49430</v>
      </c>
      <c r="AX371" s="121">
        <f t="shared" si="142"/>
        <v>12.652349102773247</v>
      </c>
      <c r="AY371" s="122">
        <v>12.652349102773247</v>
      </c>
      <c r="BA371" s="3">
        <f t="shared" si="135"/>
        <v>2034</v>
      </c>
      <c r="BB371" s="343">
        <v>49034</v>
      </c>
      <c r="BC371" s="3">
        <f t="shared" si="136"/>
        <v>9.2199999999999989</v>
      </c>
      <c r="BD371" s="3">
        <v>9.26</v>
      </c>
      <c r="BE371" s="3">
        <v>9.18</v>
      </c>
      <c r="BG371" s="3">
        <f t="shared" si="137"/>
        <v>2038</v>
      </c>
      <c r="BH371" s="318">
        <v>50437</v>
      </c>
      <c r="BI371" s="3">
        <f t="shared" si="138"/>
        <v>17.035</v>
      </c>
      <c r="BJ371" s="3">
        <v>16.93</v>
      </c>
      <c r="BK371" s="3">
        <v>17.14</v>
      </c>
      <c r="BL371" s="412"/>
      <c r="BQ371" s="469"/>
      <c r="BR371" s="469"/>
      <c r="BS371" s="469"/>
      <c r="BT371" s="469"/>
      <c r="BU371" s="469"/>
    </row>
    <row r="372" spans="36:73">
      <c r="AJ372" s="3">
        <f t="shared" si="139"/>
        <v>2035</v>
      </c>
      <c r="AK372" s="345">
        <f t="shared" si="147"/>
        <v>49461</v>
      </c>
      <c r="AL372" s="122">
        <v>109.14</v>
      </c>
      <c r="AM372" s="122">
        <v>97.4</v>
      </c>
      <c r="AN372" s="319">
        <f t="shared" si="143"/>
        <v>104.09180000000001</v>
      </c>
      <c r="AO372" s="305">
        <v>416</v>
      </c>
      <c r="AP372" s="305">
        <v>304</v>
      </c>
      <c r="AQ372" s="305">
        <f t="shared" si="140"/>
        <v>0.57777777777777772</v>
      </c>
      <c r="AR372" s="305">
        <f t="shared" si="141"/>
        <v>0.42222222222222222</v>
      </c>
      <c r="AV372" s="3">
        <f t="shared" si="144"/>
        <v>2035</v>
      </c>
      <c r="AW372" s="343">
        <f t="shared" si="146"/>
        <v>49461</v>
      </c>
      <c r="AX372" s="121">
        <f t="shared" si="142"/>
        <v>12.849467101685697</v>
      </c>
      <c r="AY372" s="122">
        <v>12.849467101685697</v>
      </c>
      <c r="BA372" s="3">
        <f t="shared" si="135"/>
        <v>2034</v>
      </c>
      <c r="BB372" s="343">
        <v>49064</v>
      </c>
      <c r="BC372" s="3">
        <f t="shared" si="136"/>
        <v>8.620000000000001</v>
      </c>
      <c r="BD372" s="3">
        <v>8.73</v>
      </c>
      <c r="BE372" s="3">
        <v>8.51</v>
      </c>
      <c r="BG372" s="3">
        <f t="shared" si="137"/>
        <v>2038</v>
      </c>
      <c r="BH372" s="318">
        <v>50465</v>
      </c>
      <c r="BI372" s="3">
        <f t="shared" si="138"/>
        <v>15.990000000000002</v>
      </c>
      <c r="BJ372" s="3">
        <v>16.010000000000002</v>
      </c>
      <c r="BK372" s="3">
        <v>15.97</v>
      </c>
      <c r="BL372" s="412"/>
      <c r="BQ372" s="469"/>
      <c r="BR372" s="469"/>
      <c r="BS372" s="469"/>
      <c r="BT372" s="469"/>
      <c r="BU372" s="469"/>
    </row>
    <row r="373" spans="36:73">
      <c r="AJ373" s="3">
        <f t="shared" si="139"/>
        <v>2035</v>
      </c>
      <c r="AK373" s="345">
        <f t="shared" si="147"/>
        <v>49491</v>
      </c>
      <c r="AL373" s="122">
        <v>103.94</v>
      </c>
      <c r="AM373" s="122">
        <v>99.63</v>
      </c>
      <c r="AN373" s="319">
        <f t="shared" si="143"/>
        <v>102.08669999999999</v>
      </c>
      <c r="AO373" s="305">
        <v>400</v>
      </c>
      <c r="AP373" s="305">
        <v>344</v>
      </c>
      <c r="AQ373" s="305">
        <f t="shared" si="140"/>
        <v>0.5376344086021505</v>
      </c>
      <c r="AR373" s="305">
        <f t="shared" si="141"/>
        <v>0.46236559139784944</v>
      </c>
      <c r="AV373" s="3">
        <f t="shared" si="144"/>
        <v>2035</v>
      </c>
      <c r="AW373" s="343">
        <f t="shared" si="146"/>
        <v>49491</v>
      </c>
      <c r="AX373" s="121">
        <f t="shared" si="142"/>
        <v>13.049983686786298</v>
      </c>
      <c r="AY373" s="122">
        <v>13.049983686786298</v>
      </c>
      <c r="BA373" s="3">
        <f t="shared" si="135"/>
        <v>2034</v>
      </c>
      <c r="BB373" s="343">
        <v>49095</v>
      </c>
      <c r="BC373" s="3">
        <f t="shared" si="136"/>
        <v>8.620000000000001</v>
      </c>
      <c r="BD373" s="3">
        <v>8.73</v>
      </c>
      <c r="BE373" s="3">
        <v>8.51</v>
      </c>
      <c r="BG373" s="3">
        <f t="shared" si="137"/>
        <v>2038</v>
      </c>
      <c r="BH373" s="318">
        <v>50496</v>
      </c>
      <c r="BI373" s="3">
        <f t="shared" si="138"/>
        <v>14.945</v>
      </c>
      <c r="BJ373" s="3">
        <v>15.1</v>
      </c>
      <c r="BK373" s="3">
        <v>14.79</v>
      </c>
      <c r="BL373" s="412"/>
      <c r="BQ373" s="469"/>
      <c r="BR373" s="469"/>
      <c r="BS373" s="469"/>
      <c r="BT373" s="469"/>
      <c r="BU373" s="469"/>
    </row>
    <row r="374" spans="36:73">
      <c r="AJ374" s="3">
        <f t="shared" si="139"/>
        <v>2035</v>
      </c>
      <c r="AK374" s="345">
        <f t="shared" si="147"/>
        <v>49522</v>
      </c>
      <c r="AL374" s="122">
        <v>104.46</v>
      </c>
      <c r="AM374" s="122">
        <v>100.2</v>
      </c>
      <c r="AN374" s="319">
        <f t="shared" si="143"/>
        <v>102.62819999999999</v>
      </c>
      <c r="AO374" s="305">
        <v>432</v>
      </c>
      <c r="AP374" s="305">
        <v>312</v>
      </c>
      <c r="AQ374" s="305">
        <f t="shared" si="140"/>
        <v>0.58064516129032262</v>
      </c>
      <c r="AR374" s="305">
        <f t="shared" si="141"/>
        <v>0.41935483870967744</v>
      </c>
      <c r="AV374" s="3">
        <f t="shared" si="144"/>
        <v>2035</v>
      </c>
      <c r="AW374" s="343">
        <f t="shared" si="146"/>
        <v>49522</v>
      </c>
      <c r="AX374" s="121">
        <f t="shared" si="142"/>
        <v>13.049983686786298</v>
      </c>
      <c r="AY374" s="122">
        <v>13.049983686786298</v>
      </c>
      <c r="BA374" s="3">
        <f t="shared" si="135"/>
        <v>2034</v>
      </c>
      <c r="BB374" s="343">
        <v>49125</v>
      </c>
      <c r="BC374" s="3">
        <f t="shared" si="136"/>
        <v>8.75</v>
      </c>
      <c r="BD374" s="3">
        <v>8.86</v>
      </c>
      <c r="BE374" s="3">
        <v>8.64</v>
      </c>
      <c r="BG374" s="3">
        <f t="shared" si="137"/>
        <v>2038</v>
      </c>
      <c r="BH374" s="318">
        <v>50526</v>
      </c>
      <c r="BI374" s="3">
        <f t="shared" si="138"/>
        <v>14.945</v>
      </c>
      <c r="BJ374" s="3">
        <v>15.1</v>
      </c>
      <c r="BK374" s="3">
        <v>14.79</v>
      </c>
      <c r="BL374" s="412"/>
      <c r="BQ374" s="469"/>
      <c r="BR374" s="469"/>
      <c r="BS374" s="469"/>
      <c r="BT374" s="469"/>
      <c r="BU374" s="469"/>
    </row>
    <row r="375" spans="36:73">
      <c r="AJ375" s="3">
        <f t="shared" si="139"/>
        <v>2035</v>
      </c>
      <c r="AK375" s="345">
        <f t="shared" si="147"/>
        <v>49553</v>
      </c>
      <c r="AL375" s="122">
        <v>103.54</v>
      </c>
      <c r="AM375" s="122">
        <v>97.09</v>
      </c>
      <c r="AN375" s="319">
        <f t="shared" si="143"/>
        <v>100.76650000000001</v>
      </c>
      <c r="AO375" s="305">
        <v>384</v>
      </c>
      <c r="AP375" s="305">
        <v>336</v>
      </c>
      <c r="AQ375" s="305">
        <f t="shared" si="140"/>
        <v>0.53333333333333333</v>
      </c>
      <c r="AR375" s="305">
        <f t="shared" si="141"/>
        <v>0.46666666666666667</v>
      </c>
      <c r="AV375" s="3">
        <f t="shared" si="144"/>
        <v>2035</v>
      </c>
      <c r="AW375" s="343">
        <f t="shared" si="146"/>
        <v>49553</v>
      </c>
      <c r="AX375" s="121">
        <f t="shared" si="142"/>
        <v>13.049983686786298</v>
      </c>
      <c r="AY375" s="122">
        <v>13.049983686786298</v>
      </c>
      <c r="BA375" s="3">
        <f t="shared" si="135"/>
        <v>2034</v>
      </c>
      <c r="BB375" s="343">
        <v>49156</v>
      </c>
      <c r="BC375" s="3">
        <f t="shared" si="136"/>
        <v>8.8849999999999998</v>
      </c>
      <c r="BD375" s="3">
        <v>8.99</v>
      </c>
      <c r="BE375" s="3">
        <v>8.7799999999999994</v>
      </c>
      <c r="BG375" s="3">
        <f t="shared" si="137"/>
        <v>2038</v>
      </c>
      <c r="BH375" s="318">
        <v>50557</v>
      </c>
      <c r="BI375" s="3">
        <f t="shared" si="138"/>
        <v>15.18</v>
      </c>
      <c r="BJ375" s="3">
        <v>15.33</v>
      </c>
      <c r="BK375" s="3">
        <v>15.03</v>
      </c>
      <c r="BL375" s="412"/>
      <c r="BQ375" s="469"/>
      <c r="BR375" s="469"/>
      <c r="BS375" s="469"/>
      <c r="BT375" s="469"/>
      <c r="BU375" s="469"/>
    </row>
    <row r="376" spans="36:73">
      <c r="AJ376" s="3">
        <f t="shared" si="139"/>
        <v>2035</v>
      </c>
      <c r="AK376" s="345">
        <f t="shared" si="147"/>
        <v>49583</v>
      </c>
      <c r="AL376" s="122">
        <v>102.75</v>
      </c>
      <c r="AM376" s="122">
        <v>89.71</v>
      </c>
      <c r="AN376" s="319">
        <f t="shared" si="143"/>
        <v>97.142799999999994</v>
      </c>
      <c r="AO376" s="305">
        <v>432</v>
      </c>
      <c r="AP376" s="305">
        <v>312</v>
      </c>
      <c r="AQ376" s="305">
        <f t="shared" si="140"/>
        <v>0.58064516129032262</v>
      </c>
      <c r="AR376" s="305">
        <f t="shared" si="141"/>
        <v>0.41935483870967744</v>
      </c>
      <c r="AV376" s="3">
        <f t="shared" si="144"/>
        <v>2035</v>
      </c>
      <c r="AW376" s="343">
        <f t="shared" si="146"/>
        <v>49583</v>
      </c>
      <c r="AX376" s="121">
        <f t="shared" si="142"/>
        <v>13.508792822185971</v>
      </c>
      <c r="AY376" s="122">
        <v>13.508792822185971</v>
      </c>
      <c r="BG376" s="3">
        <f t="shared" si="137"/>
        <v>2038</v>
      </c>
      <c r="BH376" s="318">
        <v>50587</v>
      </c>
      <c r="BI376" s="3">
        <f t="shared" si="138"/>
        <v>15.41</v>
      </c>
      <c r="BJ376" s="3">
        <v>15.56</v>
      </c>
      <c r="BK376" s="3">
        <v>15.26</v>
      </c>
      <c r="BL376" s="412"/>
      <c r="BQ376" s="469"/>
      <c r="BR376" s="469"/>
      <c r="BS376" s="469"/>
      <c r="BT376" s="469"/>
      <c r="BU376" s="469"/>
    </row>
    <row r="377" spans="36:73">
      <c r="AJ377" s="3">
        <f t="shared" si="139"/>
        <v>2035</v>
      </c>
      <c r="AK377" s="345">
        <f t="shared" si="147"/>
        <v>49614</v>
      </c>
      <c r="AL377" s="122">
        <v>116.05</v>
      </c>
      <c r="AM377" s="122">
        <v>101.76</v>
      </c>
      <c r="AN377" s="319">
        <f t="shared" si="143"/>
        <v>109.9053</v>
      </c>
      <c r="AO377" s="305">
        <v>400</v>
      </c>
      <c r="AP377" s="305">
        <v>320</v>
      </c>
      <c r="AQ377" s="305">
        <f t="shared" si="140"/>
        <v>0.55555555555555558</v>
      </c>
      <c r="AR377" s="305">
        <f t="shared" si="141"/>
        <v>0.44444444444444442</v>
      </c>
      <c r="AV377" s="3">
        <f t="shared" si="144"/>
        <v>2035</v>
      </c>
      <c r="AW377" s="343">
        <f t="shared" si="146"/>
        <v>49614</v>
      </c>
      <c r="AX377" s="121">
        <f t="shared" si="142"/>
        <v>13.705910821098422</v>
      </c>
      <c r="AY377" s="122">
        <v>13.705910821098422</v>
      </c>
      <c r="BL377" s="412"/>
      <c r="BQ377" s="469"/>
      <c r="BR377" s="469"/>
      <c r="BS377" s="469"/>
      <c r="BT377" s="469"/>
      <c r="BU377" s="469"/>
    </row>
    <row r="378" spans="36:73">
      <c r="AJ378" s="3">
        <f t="shared" si="139"/>
        <v>2035</v>
      </c>
      <c r="AK378" s="345">
        <f t="shared" si="147"/>
        <v>49644</v>
      </c>
      <c r="AL378" s="122">
        <v>121.48</v>
      </c>
      <c r="AM378" s="122">
        <v>111.4</v>
      </c>
      <c r="AN378" s="319">
        <f t="shared" si="143"/>
        <v>117.1456</v>
      </c>
      <c r="AO378" s="305">
        <v>400</v>
      </c>
      <c r="AP378" s="305">
        <v>344</v>
      </c>
      <c r="AQ378" s="305">
        <f t="shared" si="140"/>
        <v>0.5376344086021505</v>
      </c>
      <c r="AR378" s="305">
        <f t="shared" si="141"/>
        <v>0.46236559139784944</v>
      </c>
      <c r="AV378" s="3">
        <f t="shared" si="144"/>
        <v>2035</v>
      </c>
      <c r="AW378" s="343">
        <f t="shared" si="146"/>
        <v>49644</v>
      </c>
      <c r="AX378" s="121">
        <f t="shared" si="142"/>
        <v>14.361837955410548</v>
      </c>
      <c r="AY378" s="122">
        <v>14.361837955410548</v>
      </c>
      <c r="BL378" s="412"/>
      <c r="BQ378" s="469"/>
      <c r="BR378" s="469"/>
      <c r="BS378" s="469"/>
      <c r="BT378" s="469"/>
      <c r="BU378" s="469"/>
    </row>
    <row r="379" spans="36:73">
      <c r="AJ379" s="3">
        <f t="shared" si="139"/>
        <v>2036</v>
      </c>
      <c r="AK379" s="345">
        <f t="shared" si="147"/>
        <v>49675</v>
      </c>
      <c r="AL379" s="122">
        <v>127.41</v>
      </c>
      <c r="AM379" s="122">
        <v>114.99</v>
      </c>
      <c r="AN379" s="319">
        <f t="shared" si="143"/>
        <v>122.06939999999997</v>
      </c>
      <c r="AO379" s="305">
        <v>416</v>
      </c>
      <c r="AP379" s="305">
        <v>328</v>
      </c>
      <c r="AQ379" s="305">
        <f t="shared" si="140"/>
        <v>0.55913978494623651</v>
      </c>
      <c r="AR379" s="305">
        <f t="shared" si="141"/>
        <v>0.44086021505376344</v>
      </c>
      <c r="AV379" s="3">
        <f t="shared" si="144"/>
        <v>2036</v>
      </c>
      <c r="AW379" s="343">
        <f t="shared" si="146"/>
        <v>49675</v>
      </c>
      <c r="AX379" s="121">
        <f t="shared" si="142"/>
        <v>15.60232191408374</v>
      </c>
      <c r="AY379" s="122">
        <v>15.60232191408374</v>
      </c>
    </row>
    <row r="380" spans="36:73">
      <c r="AJ380" s="3">
        <f t="shared" si="139"/>
        <v>2036</v>
      </c>
      <c r="AK380" s="345">
        <f t="shared" si="147"/>
        <v>49706</v>
      </c>
      <c r="AL380" s="122">
        <v>119.92</v>
      </c>
      <c r="AM380" s="122">
        <v>104.3</v>
      </c>
      <c r="AN380" s="319">
        <f t="shared" si="143"/>
        <v>113.20339999999999</v>
      </c>
      <c r="AO380" s="305">
        <v>384</v>
      </c>
      <c r="AP380" s="305">
        <v>288</v>
      </c>
      <c r="AQ380" s="305">
        <f t="shared" si="140"/>
        <v>0.5714285714285714</v>
      </c>
      <c r="AR380" s="305">
        <f t="shared" si="141"/>
        <v>0.42857142857142855</v>
      </c>
      <c r="AV380" s="3">
        <f t="shared" si="144"/>
        <v>2036</v>
      </c>
      <c r="AW380" s="343">
        <f t="shared" si="146"/>
        <v>49706</v>
      </c>
      <c r="AX380" s="121">
        <f t="shared" si="142"/>
        <v>14.660913539967373</v>
      </c>
      <c r="AY380" s="122">
        <v>14.660913539967373</v>
      </c>
    </row>
    <row r="381" spans="36:73">
      <c r="AJ381" s="3">
        <f t="shared" si="139"/>
        <v>2036</v>
      </c>
      <c r="AK381" s="345">
        <f t="shared" si="147"/>
        <v>49735</v>
      </c>
      <c r="AL381" s="122">
        <v>101.63</v>
      </c>
      <c r="AM381" s="122">
        <v>90.88</v>
      </c>
      <c r="AN381" s="319">
        <f t="shared" si="143"/>
        <v>97.007499999999993</v>
      </c>
      <c r="AO381" s="305">
        <v>428</v>
      </c>
      <c r="AP381" s="305">
        <v>316</v>
      </c>
      <c r="AQ381" s="305">
        <f t="shared" si="140"/>
        <v>0.57526881720430112</v>
      </c>
      <c r="AR381" s="305">
        <f t="shared" si="141"/>
        <v>0.42473118279569894</v>
      </c>
      <c r="AV381" s="3">
        <f t="shared" si="144"/>
        <v>2036</v>
      </c>
      <c r="AW381" s="343">
        <f t="shared" si="146"/>
        <v>49735</v>
      </c>
      <c r="AX381" s="121">
        <f t="shared" si="142"/>
        <v>13.790875475802062</v>
      </c>
      <c r="AY381" s="122">
        <v>13.790875475802062</v>
      </c>
    </row>
    <row r="382" spans="36:73">
      <c r="AJ382" s="3">
        <f t="shared" si="139"/>
        <v>2036</v>
      </c>
      <c r="AK382" s="345">
        <f t="shared" si="147"/>
        <v>49766</v>
      </c>
      <c r="AL382" s="122">
        <v>101.09</v>
      </c>
      <c r="AM382" s="122">
        <v>96.31</v>
      </c>
      <c r="AN382" s="319">
        <f t="shared" si="143"/>
        <v>99.034599999999998</v>
      </c>
      <c r="AO382" s="305">
        <v>416</v>
      </c>
      <c r="AP382" s="305">
        <v>304</v>
      </c>
      <c r="AQ382" s="305">
        <f t="shared" si="140"/>
        <v>0.57777777777777772</v>
      </c>
      <c r="AR382" s="305">
        <f t="shared" si="141"/>
        <v>0.42222222222222222</v>
      </c>
      <c r="AV382" s="3">
        <f t="shared" si="144"/>
        <v>2036</v>
      </c>
      <c r="AW382" s="343">
        <f t="shared" si="146"/>
        <v>49766</v>
      </c>
      <c r="AX382" s="121">
        <f t="shared" si="142"/>
        <v>13.049983686786298</v>
      </c>
      <c r="AY382" s="122">
        <v>13.049983686786298</v>
      </c>
    </row>
    <row r="383" spans="36:73">
      <c r="AJ383" s="3">
        <f t="shared" si="139"/>
        <v>2036</v>
      </c>
      <c r="AK383" s="345">
        <f t="shared" si="147"/>
        <v>49796</v>
      </c>
      <c r="AL383" s="122">
        <v>102.94</v>
      </c>
      <c r="AM383" s="122">
        <v>96.83</v>
      </c>
      <c r="AN383" s="319">
        <f t="shared" si="143"/>
        <v>100.31269999999999</v>
      </c>
      <c r="AO383" s="305">
        <v>416</v>
      </c>
      <c r="AP383" s="305">
        <v>328</v>
      </c>
      <c r="AQ383" s="305">
        <f t="shared" si="140"/>
        <v>0.55913978494623651</v>
      </c>
      <c r="AR383" s="305">
        <f t="shared" si="141"/>
        <v>0.44086021505376344</v>
      </c>
      <c r="AV383" s="3">
        <f t="shared" si="144"/>
        <v>2036</v>
      </c>
      <c r="AW383" s="343">
        <f t="shared" si="146"/>
        <v>49796</v>
      </c>
      <c r="AX383" s="121">
        <f t="shared" si="142"/>
        <v>12.917438825448613</v>
      </c>
      <c r="AY383" s="122">
        <v>12.917438825448613</v>
      </c>
    </row>
    <row r="384" spans="36:73">
      <c r="AJ384" s="3">
        <f t="shared" si="139"/>
        <v>2036</v>
      </c>
      <c r="AK384" s="345">
        <f t="shared" si="147"/>
        <v>49827</v>
      </c>
      <c r="AL384" s="122">
        <v>111.43</v>
      </c>
      <c r="AM384" s="122">
        <v>99.44</v>
      </c>
      <c r="AN384" s="319">
        <f t="shared" si="143"/>
        <v>106.2743</v>
      </c>
      <c r="AO384" s="305">
        <v>416</v>
      </c>
      <c r="AP384" s="305">
        <v>304</v>
      </c>
      <c r="AQ384" s="305">
        <f t="shared" si="140"/>
        <v>0.57777777777777772</v>
      </c>
      <c r="AR384" s="305">
        <f t="shared" si="141"/>
        <v>0.42222222222222222</v>
      </c>
      <c r="AV384" s="3">
        <f t="shared" si="144"/>
        <v>2036</v>
      </c>
      <c r="AW384" s="343">
        <f t="shared" si="146"/>
        <v>49827</v>
      </c>
      <c r="AX384" s="121">
        <f t="shared" si="142"/>
        <v>13.117955410549211</v>
      </c>
      <c r="AY384" s="122">
        <v>13.117955410549211</v>
      </c>
    </row>
    <row r="385" spans="36:51">
      <c r="AJ385" s="3">
        <f t="shared" si="139"/>
        <v>2036</v>
      </c>
      <c r="AK385" s="345">
        <f t="shared" si="147"/>
        <v>49857</v>
      </c>
      <c r="AL385" s="122">
        <v>106.13</v>
      </c>
      <c r="AM385" s="122">
        <v>101.72</v>
      </c>
      <c r="AN385" s="319">
        <f t="shared" si="143"/>
        <v>104.23369999999998</v>
      </c>
      <c r="AO385" s="305">
        <v>416</v>
      </c>
      <c r="AP385" s="305">
        <v>328</v>
      </c>
      <c r="AQ385" s="305">
        <f t="shared" si="140"/>
        <v>0.55913978494623651</v>
      </c>
      <c r="AR385" s="305">
        <f t="shared" si="141"/>
        <v>0.44086021505376344</v>
      </c>
      <c r="AV385" s="3">
        <f t="shared" si="144"/>
        <v>2036</v>
      </c>
      <c r="AW385" s="343">
        <f t="shared" si="146"/>
        <v>49857</v>
      </c>
      <c r="AX385" s="121">
        <f t="shared" si="142"/>
        <v>13.318471995649809</v>
      </c>
      <c r="AY385" s="122">
        <v>13.318471995649809</v>
      </c>
    </row>
    <row r="386" spans="36:51">
      <c r="AJ386" s="3">
        <f t="shared" si="139"/>
        <v>2036</v>
      </c>
      <c r="AK386" s="345">
        <f t="shared" si="147"/>
        <v>49888</v>
      </c>
      <c r="AL386" s="122">
        <v>106.65</v>
      </c>
      <c r="AM386" s="122">
        <v>102.31</v>
      </c>
      <c r="AN386" s="319">
        <f t="shared" si="143"/>
        <v>104.7838</v>
      </c>
      <c r="AO386" s="305">
        <v>428</v>
      </c>
      <c r="AP386" s="305">
        <v>316</v>
      </c>
      <c r="AQ386" s="305">
        <f t="shared" si="140"/>
        <v>0.57526881720430112</v>
      </c>
      <c r="AR386" s="305">
        <f t="shared" si="141"/>
        <v>0.42473118279569894</v>
      </c>
      <c r="AV386" s="3">
        <f t="shared" si="144"/>
        <v>2036</v>
      </c>
      <c r="AW386" s="343">
        <f t="shared" si="146"/>
        <v>49888</v>
      </c>
      <c r="AX386" s="121">
        <f t="shared" si="142"/>
        <v>13.318471995649809</v>
      </c>
      <c r="AY386" s="122">
        <v>13.318471995649809</v>
      </c>
    </row>
    <row r="387" spans="36:51">
      <c r="AJ387" s="3">
        <f t="shared" si="139"/>
        <v>2036</v>
      </c>
      <c r="AK387" s="345">
        <f t="shared" si="147"/>
        <v>49919</v>
      </c>
      <c r="AL387" s="122">
        <v>105.71433999999999</v>
      </c>
      <c r="AM387" s="122">
        <v>99.128889999999998</v>
      </c>
      <c r="AN387" s="319">
        <f t="shared" si="143"/>
        <v>102.88259649999999</v>
      </c>
      <c r="AO387" s="305">
        <v>400</v>
      </c>
      <c r="AP387" s="305">
        <v>320</v>
      </c>
      <c r="AQ387" s="305">
        <f t="shared" si="140"/>
        <v>0.55555555555555558</v>
      </c>
      <c r="AR387" s="305">
        <f t="shared" si="141"/>
        <v>0.44444444444444442</v>
      </c>
      <c r="AV387" s="3">
        <f t="shared" si="144"/>
        <v>2036</v>
      </c>
      <c r="AW387" s="343">
        <f t="shared" si="146"/>
        <v>49919</v>
      </c>
      <c r="AX387" s="121">
        <f t="shared" si="142"/>
        <v>13.323403344208808</v>
      </c>
      <c r="AY387" s="122">
        <v>13.323403344208808</v>
      </c>
    </row>
    <row r="388" spans="36:51">
      <c r="AJ388" s="3">
        <f t="shared" ref="AJ388:AJ438" si="148">+YEAR(AK388)</f>
        <v>2036</v>
      </c>
      <c r="AK388" s="345">
        <f t="shared" si="147"/>
        <v>49949</v>
      </c>
      <c r="AO388" s="305">
        <v>432</v>
      </c>
      <c r="AP388" s="305">
        <v>312</v>
      </c>
      <c r="AQ388" s="305">
        <f t="shared" ref="AQ388:AQ451" si="149">AO388/(AO388+AP388)</f>
        <v>0.58064516129032262</v>
      </c>
      <c r="AR388" s="305">
        <f t="shared" ref="AR388:AR451" si="150">AP388/(AO388+AP388)</f>
        <v>0.41935483870967744</v>
      </c>
    </row>
    <row r="389" spans="36:51">
      <c r="AJ389" s="3">
        <f t="shared" si="148"/>
        <v>2036</v>
      </c>
      <c r="AK389" s="345">
        <f t="shared" si="147"/>
        <v>49980</v>
      </c>
      <c r="AO389" s="305">
        <v>400</v>
      </c>
      <c r="AP389" s="305">
        <v>320</v>
      </c>
      <c r="AQ389" s="305">
        <f t="shared" si="149"/>
        <v>0.55555555555555558</v>
      </c>
      <c r="AR389" s="305">
        <f t="shared" si="150"/>
        <v>0.44444444444444442</v>
      </c>
    </row>
    <row r="390" spans="36:51">
      <c r="AJ390" s="3">
        <f t="shared" si="148"/>
        <v>2036</v>
      </c>
      <c r="AK390" s="345">
        <f t="shared" si="147"/>
        <v>50010</v>
      </c>
      <c r="AO390" s="305">
        <v>416</v>
      </c>
      <c r="AP390" s="305">
        <v>328</v>
      </c>
      <c r="AQ390" s="305">
        <f t="shared" si="149"/>
        <v>0.55913978494623651</v>
      </c>
      <c r="AR390" s="305">
        <f t="shared" si="150"/>
        <v>0.44086021505376344</v>
      </c>
    </row>
    <row r="391" spans="36:51">
      <c r="AJ391" s="3">
        <f t="shared" si="148"/>
        <v>2037</v>
      </c>
      <c r="AK391" s="345">
        <f t="shared" si="147"/>
        <v>50041</v>
      </c>
      <c r="AO391" s="305">
        <v>416</v>
      </c>
      <c r="AP391" s="305">
        <v>328</v>
      </c>
      <c r="AQ391" s="305">
        <f t="shared" si="149"/>
        <v>0.55913978494623651</v>
      </c>
      <c r="AR391" s="305">
        <f t="shared" si="150"/>
        <v>0.44086021505376344</v>
      </c>
    </row>
    <row r="392" spans="36:51">
      <c r="AJ392" s="3">
        <f t="shared" si="148"/>
        <v>2037</v>
      </c>
      <c r="AK392" s="345">
        <f t="shared" si="147"/>
        <v>50072</v>
      </c>
      <c r="AO392" s="305">
        <v>384</v>
      </c>
      <c r="AP392" s="305">
        <v>288</v>
      </c>
      <c r="AQ392" s="305">
        <f t="shared" si="149"/>
        <v>0.5714285714285714</v>
      </c>
      <c r="AR392" s="305">
        <f t="shared" si="150"/>
        <v>0.42857142857142855</v>
      </c>
    </row>
    <row r="393" spans="36:51">
      <c r="AJ393" s="3">
        <f t="shared" si="148"/>
        <v>2037</v>
      </c>
      <c r="AK393" s="345">
        <f t="shared" si="147"/>
        <v>50100</v>
      </c>
      <c r="AO393" s="305">
        <v>432</v>
      </c>
      <c r="AP393" s="305">
        <v>312</v>
      </c>
      <c r="AQ393" s="305">
        <f t="shared" si="149"/>
        <v>0.58064516129032262</v>
      </c>
      <c r="AR393" s="305">
        <f t="shared" si="150"/>
        <v>0.41935483870967744</v>
      </c>
    </row>
    <row r="394" spans="36:51">
      <c r="AJ394" s="3">
        <f t="shared" si="148"/>
        <v>2037</v>
      </c>
      <c r="AK394" s="345">
        <f t="shared" si="147"/>
        <v>50131</v>
      </c>
      <c r="AO394" s="305">
        <v>416</v>
      </c>
      <c r="AP394" s="305">
        <v>304</v>
      </c>
      <c r="AQ394" s="305">
        <f t="shared" si="149"/>
        <v>0.57777777777777772</v>
      </c>
      <c r="AR394" s="305">
        <f t="shared" si="150"/>
        <v>0.42222222222222222</v>
      </c>
    </row>
    <row r="395" spans="36:51">
      <c r="AJ395" s="3">
        <f t="shared" si="148"/>
        <v>2037</v>
      </c>
      <c r="AK395" s="345">
        <f t="shared" si="147"/>
        <v>50161</v>
      </c>
      <c r="AO395" s="305">
        <v>416</v>
      </c>
      <c r="AP395" s="305">
        <v>328</v>
      </c>
      <c r="AQ395" s="305">
        <f t="shared" si="149"/>
        <v>0.55913978494623651</v>
      </c>
      <c r="AR395" s="305">
        <f t="shared" si="150"/>
        <v>0.44086021505376344</v>
      </c>
    </row>
    <row r="396" spans="36:51">
      <c r="AJ396" s="3">
        <f t="shared" si="148"/>
        <v>2037</v>
      </c>
      <c r="AK396" s="345">
        <f t="shared" si="147"/>
        <v>50192</v>
      </c>
      <c r="AO396" s="305">
        <v>416</v>
      </c>
      <c r="AP396" s="305">
        <v>304</v>
      </c>
      <c r="AQ396" s="305">
        <f t="shared" si="149"/>
        <v>0.57777777777777772</v>
      </c>
      <c r="AR396" s="305">
        <f t="shared" si="150"/>
        <v>0.42222222222222222</v>
      </c>
    </row>
    <row r="397" spans="36:51">
      <c r="AJ397" s="3">
        <f t="shared" si="148"/>
        <v>2037</v>
      </c>
      <c r="AK397" s="345">
        <f t="shared" si="147"/>
        <v>50222</v>
      </c>
      <c r="AO397" s="305">
        <v>416</v>
      </c>
      <c r="AP397" s="305">
        <v>328</v>
      </c>
      <c r="AQ397" s="305">
        <f t="shared" si="149"/>
        <v>0.55913978494623651</v>
      </c>
      <c r="AR397" s="305">
        <f t="shared" si="150"/>
        <v>0.44086021505376344</v>
      </c>
    </row>
    <row r="398" spans="36:51">
      <c r="AJ398" s="3">
        <f t="shared" si="148"/>
        <v>2037</v>
      </c>
      <c r="AK398" s="345">
        <f t="shared" si="147"/>
        <v>50253</v>
      </c>
      <c r="AO398" s="305">
        <v>424</v>
      </c>
      <c r="AP398" s="305">
        <v>320</v>
      </c>
      <c r="AQ398" s="305">
        <f t="shared" si="149"/>
        <v>0.56989247311827962</v>
      </c>
      <c r="AR398" s="305">
        <f t="shared" si="150"/>
        <v>0.43010752688172044</v>
      </c>
    </row>
    <row r="399" spans="36:51">
      <c r="AJ399" s="3">
        <f t="shared" si="148"/>
        <v>2037</v>
      </c>
      <c r="AK399" s="345">
        <f t="shared" si="147"/>
        <v>50284</v>
      </c>
      <c r="AO399" s="305">
        <v>400</v>
      </c>
      <c r="AP399" s="305">
        <v>320</v>
      </c>
      <c r="AQ399" s="305">
        <f t="shared" si="149"/>
        <v>0.55555555555555558</v>
      </c>
      <c r="AR399" s="305">
        <f t="shared" si="150"/>
        <v>0.44444444444444442</v>
      </c>
    </row>
    <row r="400" spans="36:51">
      <c r="AJ400" s="3">
        <f t="shared" si="148"/>
        <v>2037</v>
      </c>
      <c r="AK400" s="345">
        <f t="shared" si="147"/>
        <v>50314</v>
      </c>
      <c r="AO400" s="305">
        <v>428</v>
      </c>
      <c r="AP400" s="305">
        <v>316</v>
      </c>
      <c r="AQ400" s="305">
        <f t="shared" si="149"/>
        <v>0.57526881720430112</v>
      </c>
      <c r="AR400" s="305">
        <f t="shared" si="150"/>
        <v>0.42473118279569894</v>
      </c>
    </row>
    <row r="401" spans="36:44">
      <c r="AJ401" s="3">
        <f t="shared" si="148"/>
        <v>2037</v>
      </c>
      <c r="AK401" s="345">
        <f t="shared" si="147"/>
        <v>50345</v>
      </c>
      <c r="AO401" s="305">
        <v>400</v>
      </c>
      <c r="AP401" s="305">
        <v>320</v>
      </c>
      <c r="AQ401" s="305">
        <f t="shared" si="149"/>
        <v>0.55555555555555558</v>
      </c>
      <c r="AR401" s="305">
        <f t="shared" si="150"/>
        <v>0.44444444444444442</v>
      </c>
    </row>
    <row r="402" spans="36:44">
      <c r="AJ402" s="3">
        <f t="shared" si="148"/>
        <v>2037</v>
      </c>
      <c r="AK402" s="345">
        <f t="shared" si="147"/>
        <v>50375</v>
      </c>
      <c r="AO402" s="305">
        <v>416</v>
      </c>
      <c r="AP402" s="305">
        <v>328</v>
      </c>
      <c r="AQ402" s="305">
        <f t="shared" si="149"/>
        <v>0.55913978494623651</v>
      </c>
      <c r="AR402" s="305">
        <f t="shared" si="150"/>
        <v>0.44086021505376344</v>
      </c>
    </row>
    <row r="403" spans="36:44">
      <c r="AJ403" s="3">
        <f t="shared" si="148"/>
        <v>2038</v>
      </c>
      <c r="AK403" s="345">
        <f t="shared" si="147"/>
        <v>50406</v>
      </c>
      <c r="AO403" s="305">
        <v>416</v>
      </c>
      <c r="AP403" s="305">
        <v>328</v>
      </c>
      <c r="AQ403" s="305">
        <f t="shared" si="149"/>
        <v>0.55913978494623651</v>
      </c>
      <c r="AR403" s="305">
        <f t="shared" si="150"/>
        <v>0.44086021505376344</v>
      </c>
    </row>
    <row r="404" spans="36:44">
      <c r="AJ404" s="3">
        <f t="shared" si="148"/>
        <v>2038</v>
      </c>
      <c r="AK404" s="345">
        <f t="shared" si="147"/>
        <v>50437</v>
      </c>
      <c r="AO404" s="305">
        <v>384</v>
      </c>
      <c r="AP404" s="305">
        <v>288</v>
      </c>
      <c r="AQ404" s="305">
        <f t="shared" si="149"/>
        <v>0.5714285714285714</v>
      </c>
      <c r="AR404" s="305">
        <f t="shared" si="150"/>
        <v>0.42857142857142855</v>
      </c>
    </row>
    <row r="405" spans="36:44">
      <c r="AJ405" s="3">
        <f t="shared" si="148"/>
        <v>2038</v>
      </c>
      <c r="AK405" s="345">
        <f t="shared" si="147"/>
        <v>50465</v>
      </c>
      <c r="AO405" s="305">
        <v>430</v>
      </c>
      <c r="AP405" s="305">
        <v>314</v>
      </c>
      <c r="AQ405" s="305">
        <f t="shared" si="149"/>
        <v>0.57795698924731187</v>
      </c>
      <c r="AR405" s="305">
        <f t="shared" si="150"/>
        <v>0.42204301075268819</v>
      </c>
    </row>
    <row r="406" spans="36:44">
      <c r="AJ406" s="3">
        <f t="shared" si="148"/>
        <v>2038</v>
      </c>
      <c r="AK406" s="345">
        <f t="shared" si="147"/>
        <v>50496</v>
      </c>
      <c r="AO406" s="305">
        <v>416</v>
      </c>
      <c r="AP406" s="305">
        <v>304</v>
      </c>
      <c r="AQ406" s="305">
        <f t="shared" si="149"/>
        <v>0.57777777777777772</v>
      </c>
      <c r="AR406" s="305">
        <f t="shared" si="150"/>
        <v>0.42222222222222222</v>
      </c>
    </row>
    <row r="407" spans="36:44">
      <c r="AJ407" s="3">
        <f t="shared" si="148"/>
        <v>2038</v>
      </c>
      <c r="AK407" s="345">
        <f t="shared" si="147"/>
        <v>50526</v>
      </c>
      <c r="AO407" s="305">
        <v>416</v>
      </c>
      <c r="AP407" s="305">
        <v>328</v>
      </c>
      <c r="AQ407" s="305">
        <f t="shared" si="149"/>
        <v>0.55913978494623651</v>
      </c>
      <c r="AR407" s="305">
        <f t="shared" si="150"/>
        <v>0.44086021505376344</v>
      </c>
    </row>
    <row r="408" spans="36:44">
      <c r="AJ408" s="3">
        <f t="shared" si="148"/>
        <v>2038</v>
      </c>
      <c r="AK408" s="345">
        <f t="shared" si="147"/>
        <v>50557</v>
      </c>
      <c r="AO408" s="305">
        <v>416</v>
      </c>
      <c r="AP408" s="305">
        <v>304</v>
      </c>
      <c r="AQ408" s="305">
        <f t="shared" si="149"/>
        <v>0.57777777777777772</v>
      </c>
      <c r="AR408" s="305">
        <f t="shared" si="150"/>
        <v>0.42222222222222222</v>
      </c>
    </row>
    <row r="409" spans="36:44">
      <c r="AJ409" s="3">
        <f t="shared" si="148"/>
        <v>2038</v>
      </c>
      <c r="AK409" s="345">
        <f t="shared" si="147"/>
        <v>50587</v>
      </c>
      <c r="AO409" s="305">
        <v>416</v>
      </c>
      <c r="AP409" s="305">
        <v>328</v>
      </c>
      <c r="AQ409" s="305">
        <f t="shared" si="149"/>
        <v>0.55913978494623651</v>
      </c>
      <c r="AR409" s="305">
        <f t="shared" si="150"/>
        <v>0.44086021505376344</v>
      </c>
    </row>
    <row r="410" spans="36:44">
      <c r="AJ410" s="3">
        <f t="shared" si="148"/>
        <v>2038</v>
      </c>
      <c r="AK410" s="345">
        <f t="shared" si="147"/>
        <v>50618</v>
      </c>
      <c r="AO410" s="305">
        <v>426</v>
      </c>
      <c r="AP410" s="305">
        <v>318</v>
      </c>
      <c r="AQ410" s="305">
        <f t="shared" si="149"/>
        <v>0.57258064516129037</v>
      </c>
      <c r="AR410" s="305">
        <f t="shared" si="150"/>
        <v>0.42741935483870969</v>
      </c>
    </row>
    <row r="411" spans="36:44">
      <c r="AJ411" s="3">
        <f t="shared" si="148"/>
        <v>2038</v>
      </c>
      <c r="AK411" s="345">
        <f t="shared" si="147"/>
        <v>50649</v>
      </c>
      <c r="AO411" s="305">
        <v>400</v>
      </c>
      <c r="AP411" s="305">
        <v>320</v>
      </c>
      <c r="AQ411" s="305">
        <f t="shared" si="149"/>
        <v>0.55555555555555558</v>
      </c>
      <c r="AR411" s="305">
        <f t="shared" si="150"/>
        <v>0.44444444444444442</v>
      </c>
    </row>
    <row r="412" spans="36:44">
      <c r="AJ412" s="3">
        <f t="shared" si="148"/>
        <v>2038</v>
      </c>
      <c r="AK412" s="345">
        <f t="shared" si="147"/>
        <v>50679</v>
      </c>
      <c r="AO412" s="305">
        <v>432</v>
      </c>
      <c r="AP412" s="305">
        <v>312</v>
      </c>
      <c r="AQ412" s="305">
        <f t="shared" si="149"/>
        <v>0.58064516129032262</v>
      </c>
      <c r="AR412" s="305">
        <f t="shared" si="150"/>
        <v>0.41935483870967744</v>
      </c>
    </row>
    <row r="413" spans="36:44">
      <c r="AJ413" s="3">
        <f t="shared" si="148"/>
        <v>2038</v>
      </c>
      <c r="AK413" s="345">
        <f t="shared" si="147"/>
        <v>50710</v>
      </c>
      <c r="AO413" s="305">
        <v>400</v>
      </c>
      <c r="AP413" s="305">
        <v>320</v>
      </c>
      <c r="AQ413" s="305">
        <f t="shared" si="149"/>
        <v>0.55555555555555558</v>
      </c>
      <c r="AR413" s="305">
        <f t="shared" si="150"/>
        <v>0.44444444444444442</v>
      </c>
    </row>
    <row r="414" spans="36:44">
      <c r="AJ414" s="3">
        <f t="shared" si="148"/>
        <v>2038</v>
      </c>
      <c r="AK414" s="345">
        <f t="shared" si="147"/>
        <v>50740</v>
      </c>
      <c r="AO414" s="305">
        <v>416</v>
      </c>
      <c r="AP414" s="305">
        <v>328</v>
      </c>
      <c r="AQ414" s="305">
        <f t="shared" si="149"/>
        <v>0.55913978494623651</v>
      </c>
      <c r="AR414" s="305">
        <f t="shared" si="150"/>
        <v>0.44086021505376344</v>
      </c>
    </row>
    <row r="415" spans="36:44">
      <c r="AJ415" s="3">
        <f t="shared" si="148"/>
        <v>2039</v>
      </c>
      <c r="AK415" s="345">
        <f t="shared" si="147"/>
        <v>50771</v>
      </c>
      <c r="AO415" s="305">
        <v>416</v>
      </c>
      <c r="AP415" s="305">
        <v>328</v>
      </c>
      <c r="AQ415" s="305">
        <f t="shared" si="149"/>
        <v>0.55913978494623651</v>
      </c>
      <c r="AR415" s="305">
        <f t="shared" si="150"/>
        <v>0.44086021505376344</v>
      </c>
    </row>
    <row r="416" spans="36:44">
      <c r="AJ416" s="3">
        <f t="shared" si="148"/>
        <v>2039</v>
      </c>
      <c r="AK416" s="345">
        <f t="shared" si="147"/>
        <v>50802</v>
      </c>
      <c r="AO416" s="305">
        <v>384</v>
      </c>
      <c r="AP416" s="305">
        <v>288</v>
      </c>
      <c r="AQ416" s="305">
        <f t="shared" si="149"/>
        <v>0.5714285714285714</v>
      </c>
      <c r="AR416" s="305">
        <f t="shared" si="150"/>
        <v>0.42857142857142855</v>
      </c>
    </row>
    <row r="417" spans="36:44">
      <c r="AJ417" s="3">
        <f t="shared" si="148"/>
        <v>2039</v>
      </c>
      <c r="AK417" s="345">
        <f t="shared" si="147"/>
        <v>50830</v>
      </c>
      <c r="AO417" s="305">
        <v>432</v>
      </c>
      <c r="AP417" s="305">
        <v>312</v>
      </c>
      <c r="AQ417" s="305">
        <f t="shared" si="149"/>
        <v>0.58064516129032262</v>
      </c>
      <c r="AR417" s="305">
        <f t="shared" si="150"/>
        <v>0.41935483870967744</v>
      </c>
    </row>
    <row r="418" spans="36:44">
      <c r="AJ418" s="3">
        <f t="shared" si="148"/>
        <v>2039</v>
      </c>
      <c r="AK418" s="345">
        <f t="shared" si="147"/>
        <v>50861</v>
      </c>
      <c r="AO418" s="305">
        <v>416</v>
      </c>
      <c r="AP418" s="305">
        <v>304</v>
      </c>
      <c r="AQ418" s="305">
        <f t="shared" si="149"/>
        <v>0.57777777777777772</v>
      </c>
      <c r="AR418" s="305">
        <f t="shared" si="150"/>
        <v>0.42222222222222222</v>
      </c>
    </row>
    <row r="419" spans="36:44">
      <c r="AJ419" s="3">
        <f t="shared" si="148"/>
        <v>2039</v>
      </c>
      <c r="AK419" s="345">
        <f t="shared" si="147"/>
        <v>50891</v>
      </c>
      <c r="AO419" s="305">
        <v>416</v>
      </c>
      <c r="AP419" s="305">
        <v>328</v>
      </c>
      <c r="AQ419" s="305">
        <f t="shared" si="149"/>
        <v>0.55913978494623651</v>
      </c>
      <c r="AR419" s="305">
        <f t="shared" si="150"/>
        <v>0.44086021505376344</v>
      </c>
    </row>
    <row r="420" spans="36:44">
      <c r="AJ420" s="3">
        <f t="shared" si="148"/>
        <v>2039</v>
      </c>
      <c r="AK420" s="345">
        <f t="shared" si="147"/>
        <v>50922</v>
      </c>
      <c r="AO420" s="305">
        <v>416</v>
      </c>
      <c r="AP420" s="305">
        <v>304</v>
      </c>
      <c r="AQ420" s="305">
        <f t="shared" si="149"/>
        <v>0.57777777777777772</v>
      </c>
      <c r="AR420" s="305">
        <f t="shared" si="150"/>
        <v>0.42222222222222222</v>
      </c>
    </row>
    <row r="421" spans="36:44">
      <c r="AJ421" s="3">
        <f t="shared" si="148"/>
        <v>2039</v>
      </c>
      <c r="AK421" s="345">
        <f t="shared" si="147"/>
        <v>50952</v>
      </c>
      <c r="AO421" s="305">
        <v>416</v>
      </c>
      <c r="AP421" s="305">
        <v>328</v>
      </c>
      <c r="AQ421" s="305">
        <f t="shared" si="149"/>
        <v>0.55913978494623651</v>
      </c>
      <c r="AR421" s="305">
        <f t="shared" si="150"/>
        <v>0.44086021505376344</v>
      </c>
    </row>
    <row r="422" spans="36:44">
      <c r="AJ422" s="3">
        <f t="shared" si="148"/>
        <v>2039</v>
      </c>
      <c r="AK422" s="345">
        <f t="shared" si="147"/>
        <v>50983</v>
      </c>
      <c r="AO422" s="305">
        <v>424</v>
      </c>
      <c r="AP422" s="305">
        <v>320</v>
      </c>
      <c r="AQ422" s="305">
        <f t="shared" si="149"/>
        <v>0.56989247311827962</v>
      </c>
      <c r="AR422" s="305">
        <f t="shared" si="150"/>
        <v>0.43010752688172044</v>
      </c>
    </row>
    <row r="423" spans="36:44">
      <c r="AJ423" s="3">
        <f t="shared" si="148"/>
        <v>2039</v>
      </c>
      <c r="AK423" s="345">
        <f t="shared" si="147"/>
        <v>51014</v>
      </c>
      <c r="AO423" s="305">
        <v>400</v>
      </c>
      <c r="AP423" s="305">
        <v>320</v>
      </c>
      <c r="AQ423" s="305">
        <f t="shared" si="149"/>
        <v>0.55555555555555558</v>
      </c>
      <c r="AR423" s="305">
        <f t="shared" si="150"/>
        <v>0.44444444444444442</v>
      </c>
    </row>
    <row r="424" spans="36:44">
      <c r="AJ424" s="3">
        <f t="shared" si="148"/>
        <v>2039</v>
      </c>
      <c r="AK424" s="345">
        <f t="shared" si="147"/>
        <v>51044</v>
      </c>
      <c r="AO424" s="305">
        <v>430</v>
      </c>
      <c r="AP424" s="305">
        <v>314</v>
      </c>
      <c r="AQ424" s="305">
        <f t="shared" si="149"/>
        <v>0.57795698924731187</v>
      </c>
      <c r="AR424" s="305">
        <f t="shared" si="150"/>
        <v>0.42204301075268819</v>
      </c>
    </row>
    <row r="425" spans="36:44">
      <c r="AJ425" s="3">
        <f t="shared" si="148"/>
        <v>2039</v>
      </c>
      <c r="AK425" s="345">
        <f t="shared" si="147"/>
        <v>51075</v>
      </c>
      <c r="AO425" s="305">
        <v>400</v>
      </c>
      <c r="AP425" s="305">
        <v>320</v>
      </c>
      <c r="AQ425" s="305">
        <f t="shared" si="149"/>
        <v>0.55555555555555558</v>
      </c>
      <c r="AR425" s="305">
        <f t="shared" si="150"/>
        <v>0.44444444444444442</v>
      </c>
    </row>
    <row r="426" spans="36:44">
      <c r="AJ426" s="3">
        <f t="shared" si="148"/>
        <v>2039</v>
      </c>
      <c r="AK426" s="345">
        <f t="shared" si="147"/>
        <v>51105</v>
      </c>
      <c r="AO426" s="305">
        <v>416</v>
      </c>
      <c r="AP426" s="305">
        <v>328</v>
      </c>
      <c r="AQ426" s="305">
        <f t="shared" si="149"/>
        <v>0.55913978494623651</v>
      </c>
      <c r="AR426" s="305">
        <f t="shared" si="150"/>
        <v>0.44086021505376344</v>
      </c>
    </row>
    <row r="427" spans="36:44">
      <c r="AJ427" s="3">
        <f t="shared" si="148"/>
        <v>2040</v>
      </c>
      <c r="AK427" s="345">
        <f t="shared" si="147"/>
        <v>51136</v>
      </c>
      <c r="AO427" s="305">
        <v>416</v>
      </c>
      <c r="AP427" s="305">
        <v>328</v>
      </c>
      <c r="AQ427" s="305">
        <f t="shared" si="149"/>
        <v>0.55913978494623651</v>
      </c>
      <c r="AR427" s="305">
        <f t="shared" si="150"/>
        <v>0.44086021505376344</v>
      </c>
    </row>
    <row r="428" spans="36:44">
      <c r="AJ428" s="3">
        <f t="shared" si="148"/>
        <v>2040</v>
      </c>
      <c r="AK428" s="345">
        <f t="shared" ref="AK428:AK491" si="151">EOMONTH(AK427,0)+1</f>
        <v>51167</v>
      </c>
      <c r="AO428" s="305">
        <v>384</v>
      </c>
      <c r="AP428" s="305">
        <v>288</v>
      </c>
      <c r="AQ428" s="305">
        <f t="shared" si="149"/>
        <v>0.5714285714285714</v>
      </c>
      <c r="AR428" s="305">
        <f t="shared" si="150"/>
        <v>0.42857142857142855</v>
      </c>
    </row>
    <row r="429" spans="36:44">
      <c r="AJ429" s="3">
        <f t="shared" si="148"/>
        <v>2040</v>
      </c>
      <c r="AK429" s="345">
        <f t="shared" si="151"/>
        <v>51196</v>
      </c>
      <c r="AO429" s="305">
        <v>431</v>
      </c>
      <c r="AP429" s="305">
        <v>313</v>
      </c>
      <c r="AQ429" s="305">
        <f t="shared" si="149"/>
        <v>0.57930107526881724</v>
      </c>
      <c r="AR429" s="305">
        <f t="shared" si="150"/>
        <v>0.42069892473118281</v>
      </c>
    </row>
    <row r="430" spans="36:44">
      <c r="AJ430" s="3">
        <f t="shared" si="148"/>
        <v>2040</v>
      </c>
      <c r="AK430" s="345">
        <f t="shared" si="151"/>
        <v>51227</v>
      </c>
      <c r="AO430" s="305">
        <v>416</v>
      </c>
      <c r="AP430" s="305">
        <v>304</v>
      </c>
      <c r="AQ430" s="305">
        <f t="shared" si="149"/>
        <v>0.57777777777777772</v>
      </c>
      <c r="AR430" s="305">
        <f t="shared" si="150"/>
        <v>0.42222222222222222</v>
      </c>
    </row>
    <row r="431" spans="36:44">
      <c r="AJ431" s="3">
        <f t="shared" si="148"/>
        <v>2040</v>
      </c>
      <c r="AK431" s="345">
        <f t="shared" si="151"/>
        <v>51257</v>
      </c>
      <c r="AO431" s="305">
        <v>416</v>
      </c>
      <c r="AP431" s="305">
        <v>328</v>
      </c>
      <c r="AQ431" s="305">
        <f t="shared" si="149"/>
        <v>0.55913978494623651</v>
      </c>
      <c r="AR431" s="305">
        <f t="shared" si="150"/>
        <v>0.44086021505376344</v>
      </c>
    </row>
    <row r="432" spans="36:44">
      <c r="AJ432" s="3">
        <f t="shared" si="148"/>
        <v>2040</v>
      </c>
      <c r="AK432" s="345">
        <f t="shared" si="151"/>
        <v>51288</v>
      </c>
      <c r="AO432" s="305">
        <v>416</v>
      </c>
      <c r="AP432" s="305">
        <v>304</v>
      </c>
      <c r="AQ432" s="305">
        <f t="shared" si="149"/>
        <v>0.57777777777777772</v>
      </c>
      <c r="AR432" s="305">
        <f t="shared" si="150"/>
        <v>0.42222222222222222</v>
      </c>
    </row>
    <row r="433" spans="36:44">
      <c r="AJ433" s="3">
        <f t="shared" si="148"/>
        <v>2040</v>
      </c>
      <c r="AK433" s="345">
        <f t="shared" si="151"/>
        <v>51318</v>
      </c>
      <c r="AO433" s="305">
        <v>416</v>
      </c>
      <c r="AP433" s="305">
        <v>328</v>
      </c>
      <c r="AQ433" s="305">
        <f t="shared" si="149"/>
        <v>0.55913978494623651</v>
      </c>
      <c r="AR433" s="305">
        <f t="shared" si="150"/>
        <v>0.44086021505376344</v>
      </c>
    </row>
    <row r="434" spans="36:44">
      <c r="AJ434" s="3">
        <f t="shared" si="148"/>
        <v>2040</v>
      </c>
      <c r="AK434" s="345">
        <f t="shared" si="151"/>
        <v>51349</v>
      </c>
      <c r="AO434" s="305">
        <v>425</v>
      </c>
      <c r="AP434" s="305">
        <v>319</v>
      </c>
      <c r="AQ434" s="305">
        <f t="shared" si="149"/>
        <v>0.57123655913978499</v>
      </c>
      <c r="AR434" s="305">
        <f t="shared" si="150"/>
        <v>0.42876344086021506</v>
      </c>
    </row>
    <row r="435" spans="36:44">
      <c r="AJ435" s="3">
        <f t="shared" si="148"/>
        <v>2040</v>
      </c>
      <c r="AK435" s="345">
        <f t="shared" si="151"/>
        <v>51380</v>
      </c>
      <c r="AO435" s="305">
        <v>400</v>
      </c>
      <c r="AP435" s="305">
        <v>320</v>
      </c>
      <c r="AQ435" s="305">
        <f t="shared" si="149"/>
        <v>0.55555555555555558</v>
      </c>
      <c r="AR435" s="305">
        <f t="shared" si="150"/>
        <v>0.44444444444444442</v>
      </c>
    </row>
    <row r="436" spans="36:44">
      <c r="AJ436" s="3">
        <f t="shared" si="148"/>
        <v>2040</v>
      </c>
      <c r="AK436" s="345">
        <f t="shared" si="151"/>
        <v>51410</v>
      </c>
      <c r="AO436" s="305">
        <v>432</v>
      </c>
      <c r="AP436" s="305">
        <v>312</v>
      </c>
      <c r="AQ436" s="305">
        <f t="shared" si="149"/>
        <v>0.58064516129032262</v>
      </c>
      <c r="AR436" s="305">
        <f t="shared" si="150"/>
        <v>0.41935483870967744</v>
      </c>
    </row>
    <row r="437" spans="36:44">
      <c r="AJ437" s="3">
        <f t="shared" si="148"/>
        <v>2040</v>
      </c>
      <c r="AK437" s="345">
        <f t="shared" si="151"/>
        <v>51441</v>
      </c>
      <c r="AO437" s="305">
        <v>400</v>
      </c>
      <c r="AP437" s="305">
        <v>320</v>
      </c>
      <c r="AQ437" s="305">
        <f t="shared" si="149"/>
        <v>0.55555555555555558</v>
      </c>
      <c r="AR437" s="305">
        <f t="shared" si="150"/>
        <v>0.44444444444444442</v>
      </c>
    </row>
    <row r="438" spans="36:44">
      <c r="AJ438" s="3">
        <f t="shared" si="148"/>
        <v>2040</v>
      </c>
      <c r="AK438" s="345">
        <f t="shared" si="151"/>
        <v>51471</v>
      </c>
      <c r="AO438" s="305">
        <v>416</v>
      </c>
      <c r="AP438" s="305">
        <v>328</v>
      </c>
      <c r="AQ438" s="305">
        <f t="shared" si="149"/>
        <v>0.55913978494623651</v>
      </c>
      <c r="AR438" s="305">
        <f t="shared" si="150"/>
        <v>0.44086021505376344</v>
      </c>
    </row>
    <row r="439" spans="36:44">
      <c r="AJ439" s="3">
        <f t="shared" ref="AJ439:AJ502" si="152">+YEAR(AK439)</f>
        <v>2041</v>
      </c>
      <c r="AK439" s="345">
        <f t="shared" si="151"/>
        <v>51502</v>
      </c>
      <c r="AO439" s="305">
        <v>416</v>
      </c>
      <c r="AP439" s="305">
        <v>328</v>
      </c>
      <c r="AQ439" s="305">
        <f t="shared" si="149"/>
        <v>0.55913978494623651</v>
      </c>
      <c r="AR439" s="305">
        <f t="shared" si="150"/>
        <v>0.44086021505376344</v>
      </c>
    </row>
    <row r="440" spans="36:44">
      <c r="AJ440" s="3">
        <f t="shared" si="152"/>
        <v>2041</v>
      </c>
      <c r="AK440" s="345">
        <f t="shared" si="151"/>
        <v>51533</v>
      </c>
      <c r="AO440" s="305">
        <v>384</v>
      </c>
      <c r="AP440" s="305">
        <v>288</v>
      </c>
      <c r="AQ440" s="305">
        <f t="shared" si="149"/>
        <v>0.5714285714285714</v>
      </c>
      <c r="AR440" s="305">
        <f t="shared" si="150"/>
        <v>0.42857142857142855</v>
      </c>
    </row>
    <row r="441" spans="36:44">
      <c r="AJ441" s="3">
        <f t="shared" si="152"/>
        <v>2041</v>
      </c>
      <c r="AK441" s="345">
        <f t="shared" si="151"/>
        <v>51561</v>
      </c>
      <c r="AO441" s="305">
        <v>432</v>
      </c>
      <c r="AP441" s="305">
        <v>312</v>
      </c>
      <c r="AQ441" s="305">
        <f t="shared" si="149"/>
        <v>0.58064516129032262</v>
      </c>
      <c r="AR441" s="305">
        <f t="shared" si="150"/>
        <v>0.41935483870967744</v>
      </c>
    </row>
    <row r="442" spans="36:44">
      <c r="AJ442" s="3">
        <f t="shared" si="152"/>
        <v>2041</v>
      </c>
      <c r="AK442" s="345">
        <f t="shared" si="151"/>
        <v>51592</v>
      </c>
      <c r="AO442" s="305">
        <v>416</v>
      </c>
      <c r="AP442" s="305">
        <v>304</v>
      </c>
      <c r="AQ442" s="305">
        <f t="shared" si="149"/>
        <v>0.57777777777777772</v>
      </c>
      <c r="AR442" s="305">
        <f t="shared" si="150"/>
        <v>0.42222222222222222</v>
      </c>
    </row>
    <row r="443" spans="36:44">
      <c r="AJ443" s="3">
        <f t="shared" si="152"/>
        <v>2041</v>
      </c>
      <c r="AK443" s="345">
        <f t="shared" si="151"/>
        <v>51622</v>
      </c>
      <c r="AO443" s="305">
        <v>416</v>
      </c>
      <c r="AP443" s="305">
        <v>328</v>
      </c>
      <c r="AQ443" s="305">
        <f t="shared" si="149"/>
        <v>0.55913978494623651</v>
      </c>
      <c r="AR443" s="305">
        <f t="shared" si="150"/>
        <v>0.44086021505376344</v>
      </c>
    </row>
    <row r="444" spans="36:44">
      <c r="AJ444" s="3">
        <f t="shared" si="152"/>
        <v>2041</v>
      </c>
      <c r="AK444" s="345">
        <f t="shared" si="151"/>
        <v>51653</v>
      </c>
      <c r="AO444" s="305">
        <v>416</v>
      </c>
      <c r="AP444" s="305">
        <v>304</v>
      </c>
      <c r="AQ444" s="305">
        <f t="shared" si="149"/>
        <v>0.57777777777777772</v>
      </c>
      <c r="AR444" s="305">
        <f t="shared" si="150"/>
        <v>0.42222222222222222</v>
      </c>
    </row>
    <row r="445" spans="36:44">
      <c r="AJ445" s="3">
        <f t="shared" si="152"/>
        <v>2041</v>
      </c>
      <c r="AK445" s="345">
        <f t="shared" si="151"/>
        <v>51683</v>
      </c>
      <c r="AO445" s="305">
        <v>416</v>
      </c>
      <c r="AP445" s="305">
        <v>328</v>
      </c>
      <c r="AQ445" s="305">
        <f t="shared" si="149"/>
        <v>0.55913978494623651</v>
      </c>
      <c r="AR445" s="305">
        <f t="shared" si="150"/>
        <v>0.44086021505376344</v>
      </c>
    </row>
    <row r="446" spans="36:44">
      <c r="AJ446" s="3">
        <f t="shared" si="152"/>
        <v>2041</v>
      </c>
      <c r="AK446" s="345">
        <f t="shared" si="151"/>
        <v>51714</v>
      </c>
      <c r="AO446" s="305">
        <v>424</v>
      </c>
      <c r="AP446" s="305">
        <v>320</v>
      </c>
      <c r="AQ446" s="305">
        <f t="shared" si="149"/>
        <v>0.56989247311827962</v>
      </c>
      <c r="AR446" s="305">
        <f t="shared" si="150"/>
        <v>0.43010752688172044</v>
      </c>
    </row>
    <row r="447" spans="36:44">
      <c r="AJ447" s="3">
        <f t="shared" si="152"/>
        <v>2041</v>
      </c>
      <c r="AK447" s="345">
        <f t="shared" si="151"/>
        <v>51745</v>
      </c>
      <c r="AO447" s="305">
        <v>400</v>
      </c>
      <c r="AP447" s="305">
        <v>320</v>
      </c>
      <c r="AQ447" s="305">
        <f t="shared" si="149"/>
        <v>0.55555555555555558</v>
      </c>
      <c r="AR447" s="305">
        <f t="shared" si="150"/>
        <v>0.44444444444444442</v>
      </c>
    </row>
    <row r="448" spans="36:44">
      <c r="AJ448" s="3">
        <f t="shared" si="152"/>
        <v>2041</v>
      </c>
      <c r="AK448" s="345">
        <f t="shared" si="151"/>
        <v>51775</v>
      </c>
      <c r="AO448" s="305">
        <v>431</v>
      </c>
      <c r="AP448" s="305">
        <v>313</v>
      </c>
      <c r="AQ448" s="305">
        <f t="shared" si="149"/>
        <v>0.57930107526881724</v>
      </c>
      <c r="AR448" s="305">
        <f t="shared" si="150"/>
        <v>0.42069892473118281</v>
      </c>
    </row>
    <row r="449" spans="36:44">
      <c r="AJ449" s="3">
        <f t="shared" si="152"/>
        <v>2041</v>
      </c>
      <c r="AK449" s="345">
        <f t="shared" si="151"/>
        <v>51806</v>
      </c>
      <c r="AO449" s="305">
        <v>400</v>
      </c>
      <c r="AP449" s="305">
        <v>320</v>
      </c>
      <c r="AQ449" s="305">
        <f t="shared" si="149"/>
        <v>0.55555555555555558</v>
      </c>
      <c r="AR449" s="305">
        <f t="shared" si="150"/>
        <v>0.44444444444444442</v>
      </c>
    </row>
    <row r="450" spans="36:44">
      <c r="AJ450" s="3">
        <f t="shared" si="152"/>
        <v>2041</v>
      </c>
      <c r="AK450" s="345">
        <f t="shared" si="151"/>
        <v>51836</v>
      </c>
      <c r="AO450" s="305">
        <v>416</v>
      </c>
      <c r="AP450" s="305">
        <v>328</v>
      </c>
      <c r="AQ450" s="305">
        <f t="shared" si="149"/>
        <v>0.55913978494623651</v>
      </c>
      <c r="AR450" s="305">
        <f t="shared" si="150"/>
        <v>0.44086021505376344</v>
      </c>
    </row>
    <row r="451" spans="36:44">
      <c r="AJ451" s="3">
        <f t="shared" si="152"/>
        <v>2042</v>
      </c>
      <c r="AK451" s="345">
        <f t="shared" si="151"/>
        <v>51867</v>
      </c>
      <c r="AO451" s="305">
        <v>416</v>
      </c>
      <c r="AP451" s="305">
        <v>328</v>
      </c>
      <c r="AQ451" s="305">
        <f t="shared" si="149"/>
        <v>0.55913978494623651</v>
      </c>
      <c r="AR451" s="305">
        <f t="shared" si="150"/>
        <v>0.44086021505376344</v>
      </c>
    </row>
    <row r="452" spans="36:44">
      <c r="AJ452" s="3">
        <f t="shared" si="152"/>
        <v>2042</v>
      </c>
      <c r="AK452" s="345">
        <f t="shared" si="151"/>
        <v>51898</v>
      </c>
      <c r="AO452" s="305">
        <v>384</v>
      </c>
      <c r="AP452" s="305">
        <v>288</v>
      </c>
      <c r="AQ452" s="305">
        <f t="shared" ref="AQ452:AQ515" si="153">AO452/(AO452+AP452)</f>
        <v>0.5714285714285714</v>
      </c>
      <c r="AR452" s="305">
        <f t="shared" ref="AR452:AR515" si="154">AP452/(AO452+AP452)</f>
        <v>0.42857142857142855</v>
      </c>
    </row>
    <row r="453" spans="36:44">
      <c r="AJ453" s="3">
        <f t="shared" si="152"/>
        <v>2042</v>
      </c>
      <c r="AK453" s="345">
        <f t="shared" si="151"/>
        <v>51926</v>
      </c>
      <c r="AO453" s="305">
        <v>431.5</v>
      </c>
      <c r="AP453" s="305">
        <v>312.5</v>
      </c>
      <c r="AQ453" s="305">
        <f t="shared" si="153"/>
        <v>0.57997311827956988</v>
      </c>
      <c r="AR453" s="305">
        <f t="shared" si="154"/>
        <v>0.42002688172043012</v>
      </c>
    </row>
    <row r="454" spans="36:44">
      <c r="AJ454" s="3">
        <f t="shared" si="152"/>
        <v>2042</v>
      </c>
      <c r="AK454" s="345">
        <f t="shared" si="151"/>
        <v>51957</v>
      </c>
      <c r="AO454" s="305">
        <v>416</v>
      </c>
      <c r="AP454" s="305">
        <v>304</v>
      </c>
      <c r="AQ454" s="305">
        <f t="shared" si="153"/>
        <v>0.57777777777777772</v>
      </c>
      <c r="AR454" s="305">
        <f t="shared" si="154"/>
        <v>0.42222222222222222</v>
      </c>
    </row>
    <row r="455" spans="36:44">
      <c r="AJ455" s="3">
        <f t="shared" si="152"/>
        <v>2042</v>
      </c>
      <c r="AK455" s="345">
        <f t="shared" si="151"/>
        <v>51987</v>
      </c>
      <c r="AO455" s="305">
        <v>416</v>
      </c>
      <c r="AP455" s="305">
        <v>328</v>
      </c>
      <c r="AQ455" s="305">
        <f t="shared" si="153"/>
        <v>0.55913978494623651</v>
      </c>
      <c r="AR455" s="305">
        <f t="shared" si="154"/>
        <v>0.44086021505376344</v>
      </c>
    </row>
    <row r="456" spans="36:44">
      <c r="AJ456" s="3">
        <f t="shared" si="152"/>
        <v>2042</v>
      </c>
      <c r="AK456" s="345">
        <f t="shared" si="151"/>
        <v>52018</v>
      </c>
      <c r="AO456" s="305">
        <v>416</v>
      </c>
      <c r="AP456" s="305">
        <v>304</v>
      </c>
      <c r="AQ456" s="305">
        <f t="shared" si="153"/>
        <v>0.57777777777777772</v>
      </c>
      <c r="AR456" s="305">
        <f t="shared" si="154"/>
        <v>0.42222222222222222</v>
      </c>
    </row>
    <row r="457" spans="36:44">
      <c r="AJ457" s="3">
        <f t="shared" si="152"/>
        <v>2042</v>
      </c>
      <c r="AK457" s="345">
        <f t="shared" si="151"/>
        <v>52048</v>
      </c>
      <c r="AO457" s="305">
        <v>416</v>
      </c>
      <c r="AP457" s="305">
        <v>328</v>
      </c>
      <c r="AQ457" s="305">
        <f t="shared" si="153"/>
        <v>0.55913978494623651</v>
      </c>
      <c r="AR457" s="305">
        <f t="shared" si="154"/>
        <v>0.44086021505376344</v>
      </c>
    </row>
    <row r="458" spans="36:44">
      <c r="AJ458" s="3">
        <f t="shared" si="152"/>
        <v>2042</v>
      </c>
      <c r="AK458" s="345">
        <f t="shared" si="151"/>
        <v>52079</v>
      </c>
      <c r="AO458" s="305">
        <v>424.5</v>
      </c>
      <c r="AP458" s="305">
        <v>319.5</v>
      </c>
      <c r="AQ458" s="305">
        <f t="shared" si="153"/>
        <v>0.57056451612903225</v>
      </c>
      <c r="AR458" s="305">
        <f t="shared" si="154"/>
        <v>0.42943548387096775</v>
      </c>
    </row>
    <row r="459" spans="36:44">
      <c r="AJ459" s="3">
        <f t="shared" si="152"/>
        <v>2042</v>
      </c>
      <c r="AK459" s="345">
        <f t="shared" si="151"/>
        <v>52110</v>
      </c>
      <c r="AO459" s="305">
        <v>400</v>
      </c>
      <c r="AP459" s="305">
        <v>320</v>
      </c>
      <c r="AQ459" s="305">
        <f t="shared" si="153"/>
        <v>0.55555555555555558</v>
      </c>
      <c r="AR459" s="305">
        <f t="shared" si="154"/>
        <v>0.44444444444444442</v>
      </c>
    </row>
    <row r="460" spans="36:44">
      <c r="AJ460" s="3">
        <f t="shared" si="152"/>
        <v>2042</v>
      </c>
      <c r="AK460" s="345">
        <f t="shared" si="151"/>
        <v>52140</v>
      </c>
      <c r="AO460" s="305">
        <v>431</v>
      </c>
      <c r="AP460" s="305">
        <v>313</v>
      </c>
      <c r="AQ460" s="305">
        <f t="shared" si="153"/>
        <v>0.57930107526881724</v>
      </c>
      <c r="AR460" s="305">
        <f t="shared" si="154"/>
        <v>0.42069892473118281</v>
      </c>
    </row>
    <row r="461" spans="36:44">
      <c r="AJ461" s="3">
        <f t="shared" si="152"/>
        <v>2042</v>
      </c>
      <c r="AK461" s="345">
        <f t="shared" si="151"/>
        <v>52171</v>
      </c>
      <c r="AO461" s="305">
        <v>400</v>
      </c>
      <c r="AP461" s="305">
        <v>320</v>
      </c>
      <c r="AQ461" s="305">
        <f t="shared" si="153"/>
        <v>0.55555555555555558</v>
      </c>
      <c r="AR461" s="305">
        <f t="shared" si="154"/>
        <v>0.44444444444444442</v>
      </c>
    </row>
    <row r="462" spans="36:44">
      <c r="AJ462" s="3">
        <f t="shared" si="152"/>
        <v>2042</v>
      </c>
      <c r="AK462" s="345">
        <f t="shared" si="151"/>
        <v>52201</v>
      </c>
      <c r="AO462" s="305">
        <v>416</v>
      </c>
      <c r="AP462" s="305">
        <v>328</v>
      </c>
      <c r="AQ462" s="305">
        <f t="shared" si="153"/>
        <v>0.55913978494623651</v>
      </c>
      <c r="AR462" s="305">
        <f t="shared" si="154"/>
        <v>0.44086021505376344</v>
      </c>
    </row>
    <row r="463" spans="36:44">
      <c r="AJ463" s="3">
        <f t="shared" si="152"/>
        <v>2043</v>
      </c>
      <c r="AK463" s="345">
        <f t="shared" si="151"/>
        <v>52232</v>
      </c>
      <c r="AO463" s="305">
        <v>416</v>
      </c>
      <c r="AP463" s="305">
        <v>328</v>
      </c>
      <c r="AQ463" s="305">
        <f t="shared" si="153"/>
        <v>0.55913978494623651</v>
      </c>
      <c r="AR463" s="305">
        <f t="shared" si="154"/>
        <v>0.44086021505376344</v>
      </c>
    </row>
    <row r="464" spans="36:44">
      <c r="AJ464" s="3">
        <f t="shared" si="152"/>
        <v>2043</v>
      </c>
      <c r="AK464" s="345">
        <f t="shared" si="151"/>
        <v>52263</v>
      </c>
      <c r="AO464" s="305">
        <v>384</v>
      </c>
      <c r="AP464" s="305">
        <v>288</v>
      </c>
      <c r="AQ464" s="305">
        <f t="shared" si="153"/>
        <v>0.5714285714285714</v>
      </c>
      <c r="AR464" s="305">
        <f t="shared" si="154"/>
        <v>0.42857142857142855</v>
      </c>
    </row>
    <row r="465" spans="36:44">
      <c r="AJ465" s="3">
        <f t="shared" si="152"/>
        <v>2043</v>
      </c>
      <c r="AK465" s="345">
        <f t="shared" si="151"/>
        <v>52291</v>
      </c>
      <c r="AO465" s="305">
        <v>432</v>
      </c>
      <c r="AP465" s="305">
        <v>312</v>
      </c>
      <c r="AQ465" s="305">
        <f t="shared" si="153"/>
        <v>0.58064516129032262</v>
      </c>
      <c r="AR465" s="305">
        <f t="shared" si="154"/>
        <v>0.41935483870967744</v>
      </c>
    </row>
    <row r="466" spans="36:44">
      <c r="AJ466" s="3">
        <f t="shared" si="152"/>
        <v>2043</v>
      </c>
      <c r="AK466" s="345">
        <f t="shared" si="151"/>
        <v>52322</v>
      </c>
      <c r="AO466" s="305">
        <v>416</v>
      </c>
      <c r="AP466" s="305">
        <v>304</v>
      </c>
      <c r="AQ466" s="305">
        <f t="shared" si="153"/>
        <v>0.57777777777777772</v>
      </c>
      <c r="AR466" s="305">
        <f t="shared" si="154"/>
        <v>0.42222222222222222</v>
      </c>
    </row>
    <row r="467" spans="36:44">
      <c r="AJ467" s="3">
        <f t="shared" si="152"/>
        <v>2043</v>
      </c>
      <c r="AK467" s="345">
        <f t="shared" si="151"/>
        <v>52352</v>
      </c>
      <c r="AO467" s="305">
        <v>416</v>
      </c>
      <c r="AP467" s="305">
        <v>328</v>
      </c>
      <c r="AQ467" s="305">
        <f t="shared" si="153"/>
        <v>0.55913978494623651</v>
      </c>
      <c r="AR467" s="305">
        <f t="shared" si="154"/>
        <v>0.44086021505376344</v>
      </c>
    </row>
    <row r="468" spans="36:44">
      <c r="AJ468" s="3">
        <f t="shared" si="152"/>
        <v>2043</v>
      </c>
      <c r="AK468" s="345">
        <f t="shared" si="151"/>
        <v>52383</v>
      </c>
      <c r="AO468" s="305">
        <v>416</v>
      </c>
      <c r="AP468" s="305">
        <v>304</v>
      </c>
      <c r="AQ468" s="305">
        <f t="shared" si="153"/>
        <v>0.57777777777777772</v>
      </c>
      <c r="AR468" s="305">
        <f t="shared" si="154"/>
        <v>0.42222222222222222</v>
      </c>
    </row>
    <row r="469" spans="36:44">
      <c r="AJ469" s="3">
        <f t="shared" si="152"/>
        <v>2043</v>
      </c>
      <c r="AK469" s="345">
        <f t="shared" si="151"/>
        <v>52413</v>
      </c>
      <c r="AO469" s="305">
        <v>416</v>
      </c>
      <c r="AP469" s="305">
        <v>328</v>
      </c>
      <c r="AQ469" s="305">
        <f t="shared" si="153"/>
        <v>0.55913978494623651</v>
      </c>
      <c r="AR469" s="305">
        <f t="shared" si="154"/>
        <v>0.44086021505376344</v>
      </c>
    </row>
    <row r="470" spans="36:44">
      <c r="AJ470" s="3">
        <f t="shared" si="152"/>
        <v>2043</v>
      </c>
      <c r="AK470" s="345">
        <f t="shared" si="151"/>
        <v>52444</v>
      </c>
      <c r="AO470" s="305">
        <v>424</v>
      </c>
      <c r="AP470" s="305">
        <v>320</v>
      </c>
      <c r="AQ470" s="305">
        <f t="shared" si="153"/>
        <v>0.56989247311827962</v>
      </c>
      <c r="AR470" s="305">
        <f t="shared" si="154"/>
        <v>0.43010752688172044</v>
      </c>
    </row>
    <row r="471" spans="36:44">
      <c r="AJ471" s="3">
        <f t="shared" si="152"/>
        <v>2043</v>
      </c>
      <c r="AK471" s="345">
        <f t="shared" si="151"/>
        <v>52475</v>
      </c>
      <c r="AO471" s="305">
        <v>400</v>
      </c>
      <c r="AP471" s="305">
        <v>320</v>
      </c>
      <c r="AQ471" s="305">
        <f t="shared" si="153"/>
        <v>0.55555555555555558</v>
      </c>
      <c r="AR471" s="305">
        <f t="shared" si="154"/>
        <v>0.44444444444444442</v>
      </c>
    </row>
    <row r="472" spans="36:44">
      <c r="AJ472" s="3">
        <f t="shared" si="152"/>
        <v>2043</v>
      </c>
      <c r="AK472" s="345">
        <f t="shared" si="151"/>
        <v>52505</v>
      </c>
      <c r="AO472" s="305">
        <v>431.5</v>
      </c>
      <c r="AP472" s="305">
        <v>312.5</v>
      </c>
      <c r="AQ472" s="305">
        <f t="shared" si="153"/>
        <v>0.57997311827956988</v>
      </c>
      <c r="AR472" s="305">
        <f t="shared" si="154"/>
        <v>0.42002688172043012</v>
      </c>
    </row>
    <row r="473" spans="36:44">
      <c r="AJ473" s="3">
        <f t="shared" si="152"/>
        <v>2043</v>
      </c>
      <c r="AK473" s="345">
        <f t="shared" si="151"/>
        <v>52536</v>
      </c>
      <c r="AO473" s="305">
        <v>400</v>
      </c>
      <c r="AP473" s="305">
        <v>320</v>
      </c>
      <c r="AQ473" s="305">
        <f t="shared" si="153"/>
        <v>0.55555555555555558</v>
      </c>
      <c r="AR473" s="305">
        <f t="shared" si="154"/>
        <v>0.44444444444444442</v>
      </c>
    </row>
    <row r="474" spans="36:44">
      <c r="AJ474" s="3">
        <f t="shared" si="152"/>
        <v>2043</v>
      </c>
      <c r="AK474" s="345">
        <f t="shared" si="151"/>
        <v>52566</v>
      </c>
      <c r="AO474" s="305">
        <v>416</v>
      </c>
      <c r="AP474" s="305">
        <v>328</v>
      </c>
      <c r="AQ474" s="305">
        <f t="shared" si="153"/>
        <v>0.55913978494623651</v>
      </c>
      <c r="AR474" s="305">
        <f t="shared" si="154"/>
        <v>0.44086021505376344</v>
      </c>
    </row>
    <row r="475" spans="36:44">
      <c r="AJ475" s="3">
        <f t="shared" si="152"/>
        <v>2044</v>
      </c>
      <c r="AK475" s="345">
        <f t="shared" si="151"/>
        <v>52597</v>
      </c>
      <c r="AO475" s="305">
        <v>416</v>
      </c>
      <c r="AP475" s="305">
        <v>328</v>
      </c>
      <c r="AQ475" s="305">
        <f t="shared" si="153"/>
        <v>0.55913978494623651</v>
      </c>
      <c r="AR475" s="305">
        <f t="shared" si="154"/>
        <v>0.44086021505376344</v>
      </c>
    </row>
    <row r="476" spans="36:44">
      <c r="AJ476" s="3">
        <f t="shared" si="152"/>
        <v>2044</v>
      </c>
      <c r="AK476" s="345">
        <f t="shared" si="151"/>
        <v>52628</v>
      </c>
      <c r="AO476" s="305">
        <v>384</v>
      </c>
      <c r="AP476" s="305">
        <v>288</v>
      </c>
      <c r="AQ476" s="305">
        <f t="shared" si="153"/>
        <v>0.5714285714285714</v>
      </c>
      <c r="AR476" s="305">
        <f t="shared" si="154"/>
        <v>0.42857142857142855</v>
      </c>
    </row>
    <row r="477" spans="36:44">
      <c r="AJ477" s="3">
        <f t="shared" si="152"/>
        <v>2044</v>
      </c>
      <c r="AK477" s="345">
        <f t="shared" si="151"/>
        <v>52657</v>
      </c>
      <c r="AO477" s="305">
        <v>431.75</v>
      </c>
      <c r="AP477" s="305">
        <v>312.25</v>
      </c>
      <c r="AQ477" s="305">
        <f t="shared" si="153"/>
        <v>0.58030913978494625</v>
      </c>
      <c r="AR477" s="305">
        <f t="shared" si="154"/>
        <v>0.41969086021505375</v>
      </c>
    </row>
    <row r="478" spans="36:44">
      <c r="AJ478" s="3">
        <f t="shared" si="152"/>
        <v>2044</v>
      </c>
      <c r="AK478" s="345">
        <f t="shared" si="151"/>
        <v>52688</v>
      </c>
      <c r="AO478" s="305">
        <v>416</v>
      </c>
      <c r="AP478" s="305">
        <v>304</v>
      </c>
      <c r="AQ478" s="305">
        <f t="shared" si="153"/>
        <v>0.57777777777777772</v>
      </c>
      <c r="AR478" s="305">
        <f t="shared" si="154"/>
        <v>0.42222222222222222</v>
      </c>
    </row>
    <row r="479" spans="36:44">
      <c r="AJ479" s="3">
        <f t="shared" si="152"/>
        <v>2044</v>
      </c>
      <c r="AK479" s="345">
        <f t="shared" si="151"/>
        <v>52718</v>
      </c>
      <c r="AO479" s="305">
        <v>416</v>
      </c>
      <c r="AP479" s="305">
        <v>328</v>
      </c>
      <c r="AQ479" s="305">
        <f t="shared" si="153"/>
        <v>0.55913978494623651</v>
      </c>
      <c r="AR479" s="305">
        <f t="shared" si="154"/>
        <v>0.44086021505376344</v>
      </c>
    </row>
    <row r="480" spans="36:44">
      <c r="AJ480" s="3">
        <f t="shared" si="152"/>
        <v>2044</v>
      </c>
      <c r="AK480" s="345">
        <f t="shared" si="151"/>
        <v>52749</v>
      </c>
      <c r="AO480" s="305">
        <v>416</v>
      </c>
      <c r="AP480" s="305">
        <v>304</v>
      </c>
      <c r="AQ480" s="305">
        <f t="shared" si="153"/>
        <v>0.57777777777777772</v>
      </c>
      <c r="AR480" s="305">
        <f t="shared" si="154"/>
        <v>0.42222222222222222</v>
      </c>
    </row>
    <row r="481" spans="36:44">
      <c r="AJ481" s="3">
        <f t="shared" si="152"/>
        <v>2044</v>
      </c>
      <c r="AK481" s="345">
        <f t="shared" si="151"/>
        <v>52779</v>
      </c>
      <c r="AO481" s="305">
        <v>416</v>
      </c>
      <c r="AP481" s="305">
        <v>328</v>
      </c>
      <c r="AQ481" s="305">
        <f t="shared" si="153"/>
        <v>0.55913978494623651</v>
      </c>
      <c r="AR481" s="305">
        <f t="shared" si="154"/>
        <v>0.44086021505376344</v>
      </c>
    </row>
    <row r="482" spans="36:44">
      <c r="AJ482" s="3">
        <f t="shared" si="152"/>
        <v>2044</v>
      </c>
      <c r="AK482" s="345">
        <f t="shared" si="151"/>
        <v>52810</v>
      </c>
      <c r="AO482" s="305">
        <v>424.25</v>
      </c>
      <c r="AP482" s="305">
        <v>319.75</v>
      </c>
      <c r="AQ482" s="305">
        <f t="shared" si="153"/>
        <v>0.57022849462365588</v>
      </c>
      <c r="AR482" s="305">
        <f t="shared" si="154"/>
        <v>0.42977150537634407</v>
      </c>
    </row>
    <row r="483" spans="36:44">
      <c r="AJ483" s="3">
        <f t="shared" si="152"/>
        <v>2044</v>
      </c>
      <c r="AK483" s="345">
        <f t="shared" si="151"/>
        <v>52841</v>
      </c>
      <c r="AO483" s="305">
        <v>400</v>
      </c>
      <c r="AP483" s="305">
        <v>320</v>
      </c>
      <c r="AQ483" s="305">
        <f t="shared" si="153"/>
        <v>0.55555555555555558</v>
      </c>
      <c r="AR483" s="305">
        <f t="shared" si="154"/>
        <v>0.44444444444444442</v>
      </c>
    </row>
    <row r="484" spans="36:44">
      <c r="AJ484" s="3">
        <f t="shared" si="152"/>
        <v>2044</v>
      </c>
      <c r="AK484" s="345">
        <f t="shared" si="151"/>
        <v>52871</v>
      </c>
      <c r="AO484" s="305">
        <v>431</v>
      </c>
      <c r="AP484" s="305">
        <v>313</v>
      </c>
      <c r="AQ484" s="305">
        <f t="shared" si="153"/>
        <v>0.57930107526881724</v>
      </c>
      <c r="AR484" s="305">
        <f t="shared" si="154"/>
        <v>0.42069892473118281</v>
      </c>
    </row>
    <row r="485" spans="36:44">
      <c r="AJ485" s="3">
        <f t="shared" si="152"/>
        <v>2044</v>
      </c>
      <c r="AK485" s="345">
        <f t="shared" si="151"/>
        <v>52902</v>
      </c>
      <c r="AO485" s="305">
        <v>400</v>
      </c>
      <c r="AP485" s="305">
        <v>320</v>
      </c>
      <c r="AQ485" s="305">
        <f t="shared" si="153"/>
        <v>0.55555555555555558</v>
      </c>
      <c r="AR485" s="305">
        <f t="shared" si="154"/>
        <v>0.44444444444444442</v>
      </c>
    </row>
    <row r="486" spans="36:44">
      <c r="AJ486" s="3">
        <f t="shared" si="152"/>
        <v>2044</v>
      </c>
      <c r="AK486" s="345">
        <f t="shared" si="151"/>
        <v>52932</v>
      </c>
      <c r="AO486" s="305">
        <v>416</v>
      </c>
      <c r="AP486" s="305">
        <v>328</v>
      </c>
      <c r="AQ486" s="305">
        <f t="shared" si="153"/>
        <v>0.55913978494623651</v>
      </c>
      <c r="AR486" s="305">
        <f t="shared" si="154"/>
        <v>0.44086021505376344</v>
      </c>
    </row>
    <row r="487" spans="36:44">
      <c r="AJ487" s="3">
        <f t="shared" si="152"/>
        <v>2045</v>
      </c>
      <c r="AK487" s="345">
        <f t="shared" si="151"/>
        <v>52963</v>
      </c>
      <c r="AO487" s="305">
        <v>416</v>
      </c>
      <c r="AP487" s="305">
        <v>328</v>
      </c>
      <c r="AQ487" s="305">
        <f t="shared" si="153"/>
        <v>0.55913978494623651</v>
      </c>
      <c r="AR487" s="305">
        <f t="shared" si="154"/>
        <v>0.44086021505376344</v>
      </c>
    </row>
    <row r="488" spans="36:44">
      <c r="AJ488" s="3">
        <f t="shared" si="152"/>
        <v>2045</v>
      </c>
      <c r="AK488" s="345">
        <f t="shared" si="151"/>
        <v>52994</v>
      </c>
      <c r="AO488" s="305">
        <v>384</v>
      </c>
      <c r="AP488" s="305">
        <v>288</v>
      </c>
      <c r="AQ488" s="305">
        <f t="shared" si="153"/>
        <v>0.5714285714285714</v>
      </c>
      <c r="AR488" s="305">
        <f t="shared" si="154"/>
        <v>0.42857142857142855</v>
      </c>
    </row>
    <row r="489" spans="36:44">
      <c r="AJ489" s="3">
        <f t="shared" si="152"/>
        <v>2045</v>
      </c>
      <c r="AK489" s="345">
        <f t="shared" si="151"/>
        <v>53022</v>
      </c>
      <c r="AO489" s="305">
        <v>431.75</v>
      </c>
      <c r="AP489" s="305">
        <v>312.25</v>
      </c>
      <c r="AQ489" s="305">
        <f t="shared" si="153"/>
        <v>0.58030913978494625</v>
      </c>
      <c r="AR489" s="305">
        <f t="shared" si="154"/>
        <v>0.41969086021505375</v>
      </c>
    </row>
    <row r="490" spans="36:44">
      <c r="AJ490" s="3">
        <f t="shared" si="152"/>
        <v>2045</v>
      </c>
      <c r="AK490" s="345">
        <f t="shared" si="151"/>
        <v>53053</v>
      </c>
      <c r="AO490" s="305">
        <v>416</v>
      </c>
      <c r="AP490" s="305">
        <v>304</v>
      </c>
      <c r="AQ490" s="305">
        <f t="shared" si="153"/>
        <v>0.57777777777777772</v>
      </c>
      <c r="AR490" s="305">
        <f t="shared" si="154"/>
        <v>0.42222222222222222</v>
      </c>
    </row>
    <row r="491" spans="36:44">
      <c r="AJ491" s="3">
        <f t="shared" si="152"/>
        <v>2045</v>
      </c>
      <c r="AK491" s="345">
        <f t="shared" si="151"/>
        <v>53083</v>
      </c>
      <c r="AO491" s="305">
        <v>416</v>
      </c>
      <c r="AP491" s="305">
        <v>328</v>
      </c>
      <c r="AQ491" s="305">
        <f t="shared" si="153"/>
        <v>0.55913978494623651</v>
      </c>
      <c r="AR491" s="305">
        <f t="shared" si="154"/>
        <v>0.44086021505376344</v>
      </c>
    </row>
    <row r="492" spans="36:44">
      <c r="AJ492" s="3">
        <f t="shared" si="152"/>
        <v>2045</v>
      </c>
      <c r="AK492" s="345">
        <f t="shared" ref="AK492:AK555" si="155">EOMONTH(AK491,0)+1</f>
        <v>53114</v>
      </c>
      <c r="AO492" s="305">
        <v>416</v>
      </c>
      <c r="AP492" s="305">
        <v>304</v>
      </c>
      <c r="AQ492" s="305">
        <f t="shared" si="153"/>
        <v>0.57777777777777772</v>
      </c>
      <c r="AR492" s="305">
        <f t="shared" si="154"/>
        <v>0.42222222222222222</v>
      </c>
    </row>
    <row r="493" spans="36:44">
      <c r="AJ493" s="3">
        <f t="shared" si="152"/>
        <v>2045</v>
      </c>
      <c r="AK493" s="345">
        <f t="shared" si="155"/>
        <v>53144</v>
      </c>
      <c r="AO493" s="305">
        <v>416</v>
      </c>
      <c r="AP493" s="305">
        <v>328</v>
      </c>
      <c r="AQ493" s="305">
        <f t="shared" si="153"/>
        <v>0.55913978494623651</v>
      </c>
      <c r="AR493" s="305">
        <f t="shared" si="154"/>
        <v>0.44086021505376344</v>
      </c>
    </row>
    <row r="494" spans="36:44">
      <c r="AJ494" s="3">
        <f t="shared" si="152"/>
        <v>2045</v>
      </c>
      <c r="AK494" s="345">
        <f t="shared" si="155"/>
        <v>53175</v>
      </c>
      <c r="AO494" s="305">
        <v>424</v>
      </c>
      <c r="AP494" s="305">
        <v>320</v>
      </c>
      <c r="AQ494" s="305">
        <f t="shared" si="153"/>
        <v>0.56989247311827962</v>
      </c>
      <c r="AR494" s="305">
        <f t="shared" si="154"/>
        <v>0.43010752688172044</v>
      </c>
    </row>
    <row r="495" spans="36:44">
      <c r="AJ495" s="3">
        <f t="shared" si="152"/>
        <v>2045</v>
      </c>
      <c r="AK495" s="345">
        <f t="shared" si="155"/>
        <v>53206</v>
      </c>
      <c r="AO495" s="305">
        <v>400</v>
      </c>
      <c r="AP495" s="305">
        <v>320</v>
      </c>
      <c r="AQ495" s="305">
        <f t="shared" si="153"/>
        <v>0.55555555555555558</v>
      </c>
      <c r="AR495" s="305">
        <f t="shared" si="154"/>
        <v>0.44444444444444442</v>
      </c>
    </row>
    <row r="496" spans="36:44">
      <c r="AJ496" s="3">
        <f t="shared" si="152"/>
        <v>2045</v>
      </c>
      <c r="AK496" s="345">
        <f t="shared" si="155"/>
        <v>53236</v>
      </c>
      <c r="AO496" s="305">
        <v>431.25</v>
      </c>
      <c r="AP496" s="305">
        <v>312.75</v>
      </c>
      <c r="AQ496" s="305">
        <f t="shared" si="153"/>
        <v>0.57963709677419351</v>
      </c>
      <c r="AR496" s="305">
        <f t="shared" si="154"/>
        <v>0.42036290322580644</v>
      </c>
    </row>
    <row r="497" spans="36:44">
      <c r="AJ497" s="3">
        <f t="shared" si="152"/>
        <v>2045</v>
      </c>
      <c r="AK497" s="345">
        <f t="shared" si="155"/>
        <v>53267</v>
      </c>
      <c r="AO497" s="305">
        <v>400</v>
      </c>
      <c r="AP497" s="305">
        <v>320</v>
      </c>
      <c r="AQ497" s="305">
        <f t="shared" si="153"/>
        <v>0.55555555555555558</v>
      </c>
      <c r="AR497" s="305">
        <f t="shared" si="154"/>
        <v>0.44444444444444442</v>
      </c>
    </row>
    <row r="498" spans="36:44">
      <c r="AJ498" s="3">
        <f t="shared" si="152"/>
        <v>2045</v>
      </c>
      <c r="AK498" s="345">
        <f t="shared" si="155"/>
        <v>53297</v>
      </c>
      <c r="AO498" s="305">
        <v>416</v>
      </c>
      <c r="AP498" s="305">
        <v>328</v>
      </c>
      <c r="AQ498" s="305">
        <f t="shared" si="153"/>
        <v>0.55913978494623651</v>
      </c>
      <c r="AR498" s="305">
        <f t="shared" si="154"/>
        <v>0.44086021505376344</v>
      </c>
    </row>
    <row r="499" spans="36:44">
      <c r="AJ499" s="3">
        <f t="shared" si="152"/>
        <v>2046</v>
      </c>
      <c r="AK499" s="345">
        <f t="shared" si="155"/>
        <v>53328</v>
      </c>
      <c r="AO499" s="305">
        <v>416</v>
      </c>
      <c r="AP499" s="305">
        <v>328</v>
      </c>
      <c r="AQ499" s="305">
        <f t="shared" si="153"/>
        <v>0.55913978494623651</v>
      </c>
      <c r="AR499" s="305">
        <f t="shared" si="154"/>
        <v>0.44086021505376344</v>
      </c>
    </row>
    <row r="500" spans="36:44">
      <c r="AJ500" s="3">
        <f t="shared" si="152"/>
        <v>2046</v>
      </c>
      <c r="AK500" s="345">
        <f t="shared" si="155"/>
        <v>53359</v>
      </c>
      <c r="AO500" s="305">
        <v>384</v>
      </c>
      <c r="AP500" s="305">
        <v>288</v>
      </c>
      <c r="AQ500" s="305">
        <f t="shared" si="153"/>
        <v>0.5714285714285714</v>
      </c>
      <c r="AR500" s="305">
        <f t="shared" si="154"/>
        <v>0.42857142857142855</v>
      </c>
    </row>
    <row r="501" spans="36:44">
      <c r="AJ501" s="3">
        <f t="shared" si="152"/>
        <v>2046</v>
      </c>
      <c r="AK501" s="345">
        <f t="shared" si="155"/>
        <v>53387</v>
      </c>
      <c r="AO501" s="305">
        <v>431.875</v>
      </c>
      <c r="AP501" s="305">
        <v>312.125</v>
      </c>
      <c r="AQ501" s="305">
        <f t="shared" si="153"/>
        <v>0.58047715053763438</v>
      </c>
      <c r="AR501" s="305">
        <f t="shared" si="154"/>
        <v>0.41952284946236557</v>
      </c>
    </row>
    <row r="502" spans="36:44">
      <c r="AJ502" s="3">
        <f t="shared" si="152"/>
        <v>2046</v>
      </c>
      <c r="AK502" s="345">
        <f t="shared" si="155"/>
        <v>53418</v>
      </c>
      <c r="AO502" s="305">
        <v>416</v>
      </c>
      <c r="AP502" s="305">
        <v>304</v>
      </c>
      <c r="AQ502" s="305">
        <f t="shared" si="153"/>
        <v>0.57777777777777772</v>
      </c>
      <c r="AR502" s="305">
        <f t="shared" si="154"/>
        <v>0.42222222222222222</v>
      </c>
    </row>
    <row r="503" spans="36:44">
      <c r="AJ503" s="3">
        <f t="shared" ref="AJ503:AJ558" si="156">+YEAR(AK503)</f>
        <v>2046</v>
      </c>
      <c r="AK503" s="345">
        <f t="shared" si="155"/>
        <v>53448</v>
      </c>
      <c r="AO503" s="305">
        <v>416</v>
      </c>
      <c r="AP503" s="305">
        <v>328</v>
      </c>
      <c r="AQ503" s="305">
        <f t="shared" si="153"/>
        <v>0.55913978494623651</v>
      </c>
      <c r="AR503" s="305">
        <f t="shared" si="154"/>
        <v>0.44086021505376344</v>
      </c>
    </row>
    <row r="504" spans="36:44">
      <c r="AJ504" s="3">
        <f t="shared" si="156"/>
        <v>2046</v>
      </c>
      <c r="AK504" s="345">
        <f t="shared" si="155"/>
        <v>53479</v>
      </c>
      <c r="AO504" s="305">
        <v>416</v>
      </c>
      <c r="AP504" s="305">
        <v>304</v>
      </c>
      <c r="AQ504" s="305">
        <f t="shared" si="153"/>
        <v>0.57777777777777772</v>
      </c>
      <c r="AR504" s="305">
        <f t="shared" si="154"/>
        <v>0.42222222222222222</v>
      </c>
    </row>
    <row r="505" spans="36:44">
      <c r="AJ505" s="3">
        <f t="shared" si="156"/>
        <v>2046</v>
      </c>
      <c r="AK505" s="345">
        <f t="shared" si="155"/>
        <v>53509</v>
      </c>
      <c r="AO505" s="305">
        <v>416</v>
      </c>
      <c r="AP505" s="305">
        <v>328</v>
      </c>
      <c r="AQ505" s="305">
        <f t="shared" si="153"/>
        <v>0.55913978494623651</v>
      </c>
      <c r="AR505" s="305">
        <f t="shared" si="154"/>
        <v>0.44086021505376344</v>
      </c>
    </row>
    <row r="506" spans="36:44">
      <c r="AJ506" s="3">
        <f t="shared" si="156"/>
        <v>2046</v>
      </c>
      <c r="AK506" s="345">
        <f t="shared" si="155"/>
        <v>53540</v>
      </c>
      <c r="AO506" s="305">
        <v>424</v>
      </c>
      <c r="AP506" s="305">
        <v>320</v>
      </c>
      <c r="AQ506" s="305">
        <f t="shared" si="153"/>
        <v>0.56989247311827962</v>
      </c>
      <c r="AR506" s="305">
        <f t="shared" si="154"/>
        <v>0.43010752688172044</v>
      </c>
    </row>
    <row r="507" spans="36:44">
      <c r="AJ507" s="3">
        <f t="shared" si="156"/>
        <v>2046</v>
      </c>
      <c r="AK507" s="345">
        <f t="shared" si="155"/>
        <v>53571</v>
      </c>
      <c r="AO507" s="305">
        <v>400</v>
      </c>
      <c r="AP507" s="305">
        <v>320</v>
      </c>
      <c r="AQ507" s="305">
        <f t="shared" si="153"/>
        <v>0.55555555555555558</v>
      </c>
      <c r="AR507" s="305">
        <f t="shared" si="154"/>
        <v>0.44444444444444442</v>
      </c>
    </row>
    <row r="508" spans="36:44">
      <c r="AJ508" s="3">
        <f t="shared" si="156"/>
        <v>2046</v>
      </c>
      <c r="AK508" s="345">
        <f t="shared" si="155"/>
        <v>53601</v>
      </c>
      <c r="AO508" s="305">
        <v>431</v>
      </c>
      <c r="AP508" s="305">
        <v>313</v>
      </c>
      <c r="AQ508" s="305">
        <f t="shared" si="153"/>
        <v>0.57930107526881724</v>
      </c>
      <c r="AR508" s="305">
        <f t="shared" si="154"/>
        <v>0.42069892473118281</v>
      </c>
    </row>
    <row r="509" spans="36:44">
      <c r="AJ509" s="3">
        <f t="shared" si="156"/>
        <v>2046</v>
      </c>
      <c r="AK509" s="345">
        <f t="shared" si="155"/>
        <v>53632</v>
      </c>
      <c r="AO509" s="305">
        <v>400</v>
      </c>
      <c r="AP509" s="305">
        <v>320</v>
      </c>
      <c r="AQ509" s="305">
        <f t="shared" si="153"/>
        <v>0.55555555555555558</v>
      </c>
      <c r="AR509" s="305">
        <f t="shared" si="154"/>
        <v>0.44444444444444442</v>
      </c>
    </row>
    <row r="510" spans="36:44">
      <c r="AJ510" s="3">
        <f t="shared" si="156"/>
        <v>2046</v>
      </c>
      <c r="AK510" s="345">
        <f t="shared" si="155"/>
        <v>53662</v>
      </c>
      <c r="AO510" s="305">
        <v>416</v>
      </c>
      <c r="AP510" s="305">
        <v>328</v>
      </c>
      <c r="AQ510" s="305">
        <f t="shared" si="153"/>
        <v>0.55913978494623651</v>
      </c>
      <c r="AR510" s="305">
        <f t="shared" si="154"/>
        <v>0.44086021505376344</v>
      </c>
    </row>
    <row r="511" spans="36:44">
      <c r="AJ511" s="3">
        <f t="shared" si="156"/>
        <v>2047</v>
      </c>
      <c r="AK511" s="345">
        <f t="shared" si="155"/>
        <v>53693</v>
      </c>
      <c r="AO511" s="305">
        <v>416</v>
      </c>
      <c r="AP511" s="305">
        <v>328</v>
      </c>
      <c r="AQ511" s="305">
        <f t="shared" si="153"/>
        <v>0.55913978494623651</v>
      </c>
      <c r="AR511" s="305">
        <f t="shared" si="154"/>
        <v>0.44086021505376344</v>
      </c>
    </row>
    <row r="512" spans="36:44">
      <c r="AJ512" s="3">
        <f t="shared" si="156"/>
        <v>2047</v>
      </c>
      <c r="AK512" s="345">
        <f t="shared" si="155"/>
        <v>53724</v>
      </c>
      <c r="AO512" s="305">
        <v>384</v>
      </c>
      <c r="AP512" s="305">
        <v>288</v>
      </c>
      <c r="AQ512" s="305">
        <f t="shared" si="153"/>
        <v>0.5714285714285714</v>
      </c>
      <c r="AR512" s="305">
        <f t="shared" si="154"/>
        <v>0.42857142857142855</v>
      </c>
    </row>
    <row r="513" spans="36:44">
      <c r="AJ513" s="3">
        <f t="shared" si="156"/>
        <v>2047</v>
      </c>
      <c r="AK513" s="345">
        <f t="shared" si="155"/>
        <v>53752</v>
      </c>
      <c r="AO513" s="305">
        <v>431.875</v>
      </c>
      <c r="AP513" s="305">
        <v>312.125</v>
      </c>
      <c r="AQ513" s="305">
        <f t="shared" si="153"/>
        <v>0.58047715053763438</v>
      </c>
      <c r="AR513" s="305">
        <f t="shared" si="154"/>
        <v>0.41952284946236557</v>
      </c>
    </row>
    <row r="514" spans="36:44">
      <c r="AJ514" s="3">
        <f t="shared" si="156"/>
        <v>2047</v>
      </c>
      <c r="AK514" s="345">
        <f t="shared" si="155"/>
        <v>53783</v>
      </c>
      <c r="AO514" s="305">
        <v>416</v>
      </c>
      <c r="AP514" s="305">
        <v>304</v>
      </c>
      <c r="AQ514" s="305">
        <f t="shared" si="153"/>
        <v>0.57777777777777772</v>
      </c>
      <c r="AR514" s="305">
        <f t="shared" si="154"/>
        <v>0.42222222222222222</v>
      </c>
    </row>
    <row r="515" spans="36:44">
      <c r="AJ515" s="3">
        <f t="shared" si="156"/>
        <v>2047</v>
      </c>
      <c r="AK515" s="345">
        <f t="shared" si="155"/>
        <v>53813</v>
      </c>
      <c r="AO515" s="305">
        <v>416</v>
      </c>
      <c r="AP515" s="305">
        <v>328</v>
      </c>
      <c r="AQ515" s="305">
        <f t="shared" si="153"/>
        <v>0.55913978494623651</v>
      </c>
      <c r="AR515" s="305">
        <f t="shared" si="154"/>
        <v>0.44086021505376344</v>
      </c>
    </row>
    <row r="516" spans="36:44">
      <c r="AJ516" s="3">
        <f t="shared" si="156"/>
        <v>2047</v>
      </c>
      <c r="AK516" s="345">
        <f t="shared" si="155"/>
        <v>53844</v>
      </c>
      <c r="AO516" s="305">
        <v>416</v>
      </c>
      <c r="AP516" s="305">
        <v>304</v>
      </c>
      <c r="AQ516" s="305">
        <f t="shared" ref="AQ516:AQ558" si="157">AO516/(AO516+AP516)</f>
        <v>0.57777777777777772</v>
      </c>
      <c r="AR516" s="305">
        <f t="shared" ref="AR516:AR558" si="158">AP516/(AO516+AP516)</f>
        <v>0.42222222222222222</v>
      </c>
    </row>
    <row r="517" spans="36:44">
      <c r="AJ517" s="3">
        <f t="shared" si="156"/>
        <v>2047</v>
      </c>
      <c r="AK517" s="345">
        <f t="shared" si="155"/>
        <v>53874</v>
      </c>
      <c r="AO517" s="305">
        <v>416</v>
      </c>
      <c r="AP517" s="305">
        <v>328</v>
      </c>
      <c r="AQ517" s="305">
        <f t="shared" si="157"/>
        <v>0.55913978494623651</v>
      </c>
      <c r="AR517" s="305">
        <f t="shared" si="158"/>
        <v>0.44086021505376344</v>
      </c>
    </row>
    <row r="518" spans="36:44">
      <c r="AJ518" s="3">
        <f t="shared" si="156"/>
        <v>2047</v>
      </c>
      <c r="AK518" s="345">
        <f t="shared" si="155"/>
        <v>53905</v>
      </c>
      <c r="AO518" s="305">
        <v>424.125</v>
      </c>
      <c r="AP518" s="305">
        <v>319.875</v>
      </c>
      <c r="AQ518" s="305">
        <f t="shared" si="157"/>
        <v>0.57006048387096775</v>
      </c>
      <c r="AR518" s="305">
        <f t="shared" si="158"/>
        <v>0.42993951612903225</v>
      </c>
    </row>
    <row r="519" spans="36:44">
      <c r="AJ519" s="3">
        <f t="shared" si="156"/>
        <v>2047</v>
      </c>
      <c r="AK519" s="345">
        <f t="shared" si="155"/>
        <v>53936</v>
      </c>
      <c r="AO519" s="305">
        <v>400</v>
      </c>
      <c r="AP519" s="305">
        <v>320</v>
      </c>
      <c r="AQ519" s="305">
        <f t="shared" si="157"/>
        <v>0.55555555555555558</v>
      </c>
      <c r="AR519" s="305">
        <f t="shared" si="158"/>
        <v>0.44444444444444442</v>
      </c>
    </row>
    <row r="520" spans="36:44">
      <c r="AJ520" s="3">
        <f t="shared" si="156"/>
        <v>2047</v>
      </c>
      <c r="AK520" s="345">
        <f t="shared" si="155"/>
        <v>53966</v>
      </c>
      <c r="AO520" s="305">
        <v>431</v>
      </c>
      <c r="AP520" s="305">
        <v>313</v>
      </c>
      <c r="AQ520" s="305">
        <f t="shared" si="157"/>
        <v>0.57930107526881724</v>
      </c>
      <c r="AR520" s="305">
        <f t="shared" si="158"/>
        <v>0.42069892473118281</v>
      </c>
    </row>
    <row r="521" spans="36:44">
      <c r="AJ521" s="3">
        <f t="shared" si="156"/>
        <v>2047</v>
      </c>
      <c r="AK521" s="345">
        <f t="shared" si="155"/>
        <v>53997</v>
      </c>
      <c r="AO521" s="305">
        <v>400</v>
      </c>
      <c r="AP521" s="305">
        <v>320</v>
      </c>
      <c r="AQ521" s="305">
        <f t="shared" si="157"/>
        <v>0.55555555555555558</v>
      </c>
      <c r="AR521" s="305">
        <f t="shared" si="158"/>
        <v>0.44444444444444442</v>
      </c>
    </row>
    <row r="522" spans="36:44">
      <c r="AJ522" s="3">
        <f t="shared" si="156"/>
        <v>2047</v>
      </c>
      <c r="AK522" s="345">
        <f t="shared" si="155"/>
        <v>54027</v>
      </c>
      <c r="AO522" s="305">
        <v>416</v>
      </c>
      <c r="AP522" s="305">
        <v>328</v>
      </c>
      <c r="AQ522" s="305">
        <f t="shared" si="157"/>
        <v>0.55913978494623651</v>
      </c>
      <c r="AR522" s="305">
        <f t="shared" si="158"/>
        <v>0.44086021505376344</v>
      </c>
    </row>
    <row r="523" spans="36:44">
      <c r="AJ523" s="3">
        <f t="shared" si="156"/>
        <v>2048</v>
      </c>
      <c r="AK523" s="345">
        <f t="shared" si="155"/>
        <v>54058</v>
      </c>
      <c r="AO523" s="305">
        <v>416</v>
      </c>
      <c r="AP523" s="305">
        <v>328</v>
      </c>
      <c r="AQ523" s="305">
        <f t="shared" si="157"/>
        <v>0.55913978494623651</v>
      </c>
      <c r="AR523" s="305">
        <f t="shared" si="158"/>
        <v>0.44086021505376344</v>
      </c>
    </row>
    <row r="524" spans="36:44">
      <c r="AJ524" s="3">
        <f t="shared" si="156"/>
        <v>2048</v>
      </c>
      <c r="AK524" s="345">
        <f t="shared" si="155"/>
        <v>54089</v>
      </c>
      <c r="AO524" s="305">
        <v>384</v>
      </c>
      <c r="AP524" s="305">
        <v>288</v>
      </c>
      <c r="AQ524" s="305">
        <f t="shared" si="157"/>
        <v>0.5714285714285714</v>
      </c>
      <c r="AR524" s="305">
        <f t="shared" si="158"/>
        <v>0.42857142857142855</v>
      </c>
    </row>
    <row r="525" spans="36:44">
      <c r="AJ525" s="3">
        <f t="shared" si="156"/>
        <v>2048</v>
      </c>
      <c r="AK525" s="345">
        <f t="shared" si="155"/>
        <v>54118</v>
      </c>
      <c r="AO525" s="305">
        <v>431.75</v>
      </c>
      <c r="AP525" s="305">
        <v>312.25</v>
      </c>
      <c r="AQ525" s="305">
        <f t="shared" si="157"/>
        <v>0.58030913978494625</v>
      </c>
      <c r="AR525" s="305">
        <f t="shared" si="158"/>
        <v>0.41969086021505375</v>
      </c>
    </row>
    <row r="526" spans="36:44">
      <c r="AJ526" s="3">
        <f t="shared" si="156"/>
        <v>2048</v>
      </c>
      <c r="AK526" s="345">
        <f t="shared" si="155"/>
        <v>54149</v>
      </c>
      <c r="AO526" s="305">
        <v>416</v>
      </c>
      <c r="AP526" s="305">
        <v>304</v>
      </c>
      <c r="AQ526" s="305">
        <f t="shared" si="157"/>
        <v>0.57777777777777772</v>
      </c>
      <c r="AR526" s="305">
        <f t="shared" si="158"/>
        <v>0.42222222222222222</v>
      </c>
    </row>
    <row r="527" spans="36:44">
      <c r="AJ527" s="3">
        <f t="shared" si="156"/>
        <v>2048</v>
      </c>
      <c r="AK527" s="345">
        <f t="shared" si="155"/>
        <v>54179</v>
      </c>
      <c r="AO527" s="305">
        <v>416</v>
      </c>
      <c r="AP527" s="305">
        <v>328</v>
      </c>
      <c r="AQ527" s="305">
        <f t="shared" si="157"/>
        <v>0.55913978494623651</v>
      </c>
      <c r="AR527" s="305">
        <f t="shared" si="158"/>
        <v>0.44086021505376344</v>
      </c>
    </row>
    <row r="528" spans="36:44">
      <c r="AJ528" s="3">
        <f t="shared" si="156"/>
        <v>2048</v>
      </c>
      <c r="AK528" s="345">
        <f t="shared" si="155"/>
        <v>54210</v>
      </c>
      <c r="AO528" s="305">
        <v>416</v>
      </c>
      <c r="AP528" s="305">
        <v>304</v>
      </c>
      <c r="AQ528" s="305">
        <f t="shared" si="157"/>
        <v>0.57777777777777772</v>
      </c>
      <c r="AR528" s="305">
        <f t="shared" si="158"/>
        <v>0.42222222222222222</v>
      </c>
    </row>
    <row r="529" spans="36:44">
      <c r="AJ529" s="3">
        <f t="shared" si="156"/>
        <v>2048</v>
      </c>
      <c r="AK529" s="345">
        <f t="shared" si="155"/>
        <v>54240</v>
      </c>
      <c r="AO529" s="305">
        <v>416</v>
      </c>
      <c r="AP529" s="305">
        <v>328</v>
      </c>
      <c r="AQ529" s="305">
        <f t="shared" si="157"/>
        <v>0.55913978494623651</v>
      </c>
      <c r="AR529" s="305">
        <f t="shared" si="158"/>
        <v>0.44086021505376344</v>
      </c>
    </row>
    <row r="530" spans="36:44">
      <c r="AJ530" s="3">
        <f t="shared" si="156"/>
        <v>2048</v>
      </c>
      <c r="AK530" s="345">
        <f t="shared" si="155"/>
        <v>54271</v>
      </c>
      <c r="AO530" s="305">
        <v>424</v>
      </c>
      <c r="AP530" s="305">
        <v>320</v>
      </c>
      <c r="AQ530" s="305">
        <f t="shared" si="157"/>
        <v>0.56989247311827962</v>
      </c>
      <c r="AR530" s="305">
        <f t="shared" si="158"/>
        <v>0.43010752688172044</v>
      </c>
    </row>
    <row r="531" spans="36:44">
      <c r="AJ531" s="3">
        <f t="shared" si="156"/>
        <v>2048</v>
      </c>
      <c r="AK531" s="345">
        <f t="shared" si="155"/>
        <v>54302</v>
      </c>
      <c r="AO531" s="305">
        <v>400</v>
      </c>
      <c r="AP531" s="305">
        <v>320</v>
      </c>
      <c r="AQ531" s="305">
        <f t="shared" si="157"/>
        <v>0.55555555555555558</v>
      </c>
      <c r="AR531" s="305">
        <f t="shared" si="158"/>
        <v>0.44444444444444442</v>
      </c>
    </row>
    <row r="532" spans="36:44">
      <c r="AJ532" s="3">
        <f t="shared" si="156"/>
        <v>2048</v>
      </c>
      <c r="AK532" s="345">
        <f t="shared" si="155"/>
        <v>54332</v>
      </c>
      <c r="AO532" s="305">
        <v>431.125</v>
      </c>
      <c r="AP532" s="305">
        <v>312.875</v>
      </c>
      <c r="AQ532" s="305">
        <f t="shared" si="157"/>
        <v>0.57946908602150538</v>
      </c>
      <c r="AR532" s="305">
        <f t="shared" si="158"/>
        <v>0.42053091397849462</v>
      </c>
    </row>
    <row r="533" spans="36:44">
      <c r="AJ533" s="3">
        <f t="shared" si="156"/>
        <v>2048</v>
      </c>
      <c r="AK533" s="345">
        <f t="shared" si="155"/>
        <v>54363</v>
      </c>
      <c r="AO533" s="305">
        <v>400</v>
      </c>
      <c r="AP533" s="305">
        <v>320</v>
      </c>
      <c r="AQ533" s="305">
        <f t="shared" si="157"/>
        <v>0.55555555555555558</v>
      </c>
      <c r="AR533" s="305">
        <f t="shared" si="158"/>
        <v>0.44444444444444442</v>
      </c>
    </row>
    <row r="534" spans="36:44">
      <c r="AJ534" s="3">
        <f t="shared" si="156"/>
        <v>2048</v>
      </c>
      <c r="AK534" s="345">
        <f t="shared" si="155"/>
        <v>54393</v>
      </c>
      <c r="AO534" s="305">
        <v>416</v>
      </c>
      <c r="AP534" s="305">
        <v>328</v>
      </c>
      <c r="AQ534" s="305">
        <f t="shared" si="157"/>
        <v>0.55913978494623651</v>
      </c>
      <c r="AR534" s="305">
        <f t="shared" si="158"/>
        <v>0.44086021505376344</v>
      </c>
    </row>
    <row r="535" spans="36:44">
      <c r="AJ535" s="3">
        <f t="shared" si="156"/>
        <v>2049</v>
      </c>
      <c r="AK535" s="345">
        <f t="shared" si="155"/>
        <v>54424</v>
      </c>
      <c r="AO535" s="305">
        <v>416</v>
      </c>
      <c r="AP535" s="305">
        <v>328</v>
      </c>
      <c r="AQ535" s="305">
        <f t="shared" si="157"/>
        <v>0.55913978494623651</v>
      </c>
      <c r="AR535" s="305">
        <f t="shared" si="158"/>
        <v>0.44086021505376344</v>
      </c>
    </row>
    <row r="536" spans="36:44">
      <c r="AJ536" s="3">
        <f t="shared" si="156"/>
        <v>2049</v>
      </c>
      <c r="AK536" s="345">
        <f t="shared" si="155"/>
        <v>54455</v>
      </c>
      <c r="AO536" s="305">
        <v>384</v>
      </c>
      <c r="AP536" s="305">
        <v>288</v>
      </c>
      <c r="AQ536" s="305">
        <f t="shared" si="157"/>
        <v>0.5714285714285714</v>
      </c>
      <c r="AR536" s="305">
        <f t="shared" si="158"/>
        <v>0.42857142857142855</v>
      </c>
    </row>
    <row r="537" spans="36:44">
      <c r="AJ537" s="3">
        <f t="shared" si="156"/>
        <v>2049</v>
      </c>
      <c r="AK537" s="345">
        <f t="shared" si="155"/>
        <v>54483</v>
      </c>
      <c r="AO537" s="305">
        <v>431.875</v>
      </c>
      <c r="AP537" s="305">
        <v>312.125</v>
      </c>
      <c r="AQ537" s="305">
        <f t="shared" si="157"/>
        <v>0.58047715053763438</v>
      </c>
      <c r="AR537" s="305">
        <f t="shared" si="158"/>
        <v>0.41952284946236557</v>
      </c>
    </row>
    <row r="538" spans="36:44">
      <c r="AJ538" s="3">
        <f t="shared" si="156"/>
        <v>2049</v>
      </c>
      <c r="AK538" s="345">
        <f t="shared" si="155"/>
        <v>54514</v>
      </c>
      <c r="AO538" s="305">
        <v>416</v>
      </c>
      <c r="AP538" s="305">
        <v>304</v>
      </c>
      <c r="AQ538" s="305">
        <f t="shared" si="157"/>
        <v>0.57777777777777772</v>
      </c>
      <c r="AR538" s="305">
        <f t="shared" si="158"/>
        <v>0.42222222222222222</v>
      </c>
    </row>
    <row r="539" spans="36:44">
      <c r="AJ539" s="3">
        <f t="shared" si="156"/>
        <v>2049</v>
      </c>
      <c r="AK539" s="345">
        <f t="shared" si="155"/>
        <v>54544</v>
      </c>
      <c r="AO539" s="305">
        <v>416</v>
      </c>
      <c r="AP539" s="305">
        <v>328</v>
      </c>
      <c r="AQ539" s="305">
        <f t="shared" si="157"/>
        <v>0.55913978494623651</v>
      </c>
      <c r="AR539" s="305">
        <f t="shared" si="158"/>
        <v>0.44086021505376344</v>
      </c>
    </row>
    <row r="540" spans="36:44">
      <c r="AJ540" s="3">
        <f t="shared" si="156"/>
        <v>2049</v>
      </c>
      <c r="AK540" s="345">
        <f t="shared" si="155"/>
        <v>54575</v>
      </c>
      <c r="AO540" s="305">
        <v>416</v>
      </c>
      <c r="AP540" s="305">
        <v>304</v>
      </c>
      <c r="AQ540" s="305">
        <f t="shared" si="157"/>
        <v>0.57777777777777772</v>
      </c>
      <c r="AR540" s="305">
        <f t="shared" si="158"/>
        <v>0.42222222222222222</v>
      </c>
    </row>
    <row r="541" spans="36:44">
      <c r="AJ541" s="3">
        <f t="shared" si="156"/>
        <v>2049</v>
      </c>
      <c r="AK541" s="345">
        <f t="shared" si="155"/>
        <v>54605</v>
      </c>
      <c r="AO541" s="305">
        <v>416</v>
      </c>
      <c r="AP541" s="305">
        <v>328</v>
      </c>
      <c r="AQ541" s="305">
        <f t="shared" si="157"/>
        <v>0.55913978494623651</v>
      </c>
      <c r="AR541" s="305">
        <f t="shared" si="158"/>
        <v>0.44086021505376344</v>
      </c>
    </row>
    <row r="542" spans="36:44">
      <c r="AJ542" s="3">
        <f t="shared" si="156"/>
        <v>2049</v>
      </c>
      <c r="AK542" s="345">
        <f t="shared" si="155"/>
        <v>54636</v>
      </c>
      <c r="AO542" s="305">
        <v>424</v>
      </c>
      <c r="AP542" s="305">
        <v>320</v>
      </c>
      <c r="AQ542" s="305">
        <f t="shared" si="157"/>
        <v>0.56989247311827962</v>
      </c>
      <c r="AR542" s="305">
        <f t="shared" si="158"/>
        <v>0.43010752688172044</v>
      </c>
    </row>
    <row r="543" spans="36:44">
      <c r="AJ543" s="3">
        <f t="shared" si="156"/>
        <v>2049</v>
      </c>
      <c r="AK543" s="345">
        <f t="shared" si="155"/>
        <v>54667</v>
      </c>
      <c r="AO543" s="305">
        <v>400</v>
      </c>
      <c r="AP543" s="305">
        <v>320</v>
      </c>
      <c r="AQ543" s="305">
        <f t="shared" si="157"/>
        <v>0.55555555555555558</v>
      </c>
      <c r="AR543" s="305">
        <f t="shared" si="158"/>
        <v>0.44444444444444442</v>
      </c>
    </row>
    <row r="544" spans="36:44">
      <c r="AJ544" s="3">
        <f t="shared" si="156"/>
        <v>2049</v>
      </c>
      <c r="AK544" s="345">
        <f t="shared" si="155"/>
        <v>54697</v>
      </c>
      <c r="AO544" s="305">
        <v>431</v>
      </c>
      <c r="AP544" s="305">
        <v>313</v>
      </c>
      <c r="AQ544" s="305">
        <f t="shared" si="157"/>
        <v>0.57930107526881724</v>
      </c>
      <c r="AR544" s="305">
        <f t="shared" si="158"/>
        <v>0.42069892473118281</v>
      </c>
    </row>
    <row r="545" spans="36:44">
      <c r="AJ545" s="3">
        <f t="shared" si="156"/>
        <v>2049</v>
      </c>
      <c r="AK545" s="345">
        <f t="shared" si="155"/>
        <v>54728</v>
      </c>
      <c r="AO545" s="305">
        <v>400</v>
      </c>
      <c r="AP545" s="305">
        <v>320</v>
      </c>
      <c r="AQ545" s="305">
        <f t="shared" si="157"/>
        <v>0.55555555555555558</v>
      </c>
      <c r="AR545" s="305">
        <f t="shared" si="158"/>
        <v>0.44444444444444442</v>
      </c>
    </row>
    <row r="546" spans="36:44">
      <c r="AJ546" s="3">
        <f t="shared" si="156"/>
        <v>2049</v>
      </c>
      <c r="AK546" s="345">
        <f t="shared" si="155"/>
        <v>54758</v>
      </c>
      <c r="AO546" s="305">
        <v>416</v>
      </c>
      <c r="AP546" s="305">
        <v>328</v>
      </c>
      <c r="AQ546" s="305">
        <f t="shared" si="157"/>
        <v>0.55913978494623651</v>
      </c>
      <c r="AR546" s="305">
        <f t="shared" si="158"/>
        <v>0.44086021505376344</v>
      </c>
    </row>
    <row r="547" spans="36:44">
      <c r="AJ547" s="3">
        <f t="shared" si="156"/>
        <v>2050</v>
      </c>
      <c r="AK547" s="345">
        <f t="shared" si="155"/>
        <v>54789</v>
      </c>
      <c r="AO547" s="305">
        <v>416</v>
      </c>
      <c r="AP547" s="305">
        <v>328</v>
      </c>
      <c r="AQ547" s="305">
        <f t="shared" si="157"/>
        <v>0.55913978494623651</v>
      </c>
      <c r="AR547" s="305">
        <f t="shared" si="158"/>
        <v>0.44086021505376344</v>
      </c>
    </row>
    <row r="548" spans="36:44">
      <c r="AJ548" s="3">
        <f t="shared" si="156"/>
        <v>2050</v>
      </c>
      <c r="AK548" s="345">
        <f t="shared" si="155"/>
        <v>54820</v>
      </c>
      <c r="AO548" s="305">
        <v>384</v>
      </c>
      <c r="AP548" s="305">
        <v>288</v>
      </c>
      <c r="AQ548" s="305">
        <f t="shared" si="157"/>
        <v>0.5714285714285714</v>
      </c>
      <c r="AR548" s="305">
        <f t="shared" si="158"/>
        <v>0.42857142857142855</v>
      </c>
    </row>
    <row r="549" spans="36:44">
      <c r="AJ549" s="3">
        <f t="shared" si="156"/>
        <v>2050</v>
      </c>
      <c r="AK549" s="345">
        <f t="shared" si="155"/>
        <v>54848</v>
      </c>
      <c r="AO549" s="305">
        <v>431.75</v>
      </c>
      <c r="AP549" s="305">
        <v>312.25</v>
      </c>
      <c r="AQ549" s="305">
        <f t="shared" si="157"/>
        <v>0.58030913978494625</v>
      </c>
      <c r="AR549" s="305">
        <f t="shared" si="158"/>
        <v>0.41969086021505375</v>
      </c>
    </row>
    <row r="550" spans="36:44">
      <c r="AJ550" s="3">
        <f t="shared" si="156"/>
        <v>2050</v>
      </c>
      <c r="AK550" s="345">
        <f t="shared" si="155"/>
        <v>54879</v>
      </c>
      <c r="AO550" s="305">
        <v>416</v>
      </c>
      <c r="AP550" s="305">
        <v>304</v>
      </c>
      <c r="AQ550" s="305">
        <f t="shared" si="157"/>
        <v>0.57777777777777772</v>
      </c>
      <c r="AR550" s="305">
        <f t="shared" si="158"/>
        <v>0.42222222222222222</v>
      </c>
    </row>
    <row r="551" spans="36:44">
      <c r="AJ551" s="3">
        <f t="shared" si="156"/>
        <v>2050</v>
      </c>
      <c r="AK551" s="345">
        <f t="shared" si="155"/>
        <v>54909</v>
      </c>
      <c r="AO551" s="305">
        <v>416</v>
      </c>
      <c r="AP551" s="305">
        <v>328</v>
      </c>
      <c r="AQ551" s="305">
        <f t="shared" si="157"/>
        <v>0.55913978494623651</v>
      </c>
      <c r="AR551" s="305">
        <f t="shared" si="158"/>
        <v>0.44086021505376344</v>
      </c>
    </row>
    <row r="552" spans="36:44">
      <c r="AJ552" s="3">
        <f t="shared" si="156"/>
        <v>2050</v>
      </c>
      <c r="AK552" s="345">
        <f t="shared" si="155"/>
        <v>54940</v>
      </c>
      <c r="AO552" s="305">
        <v>416</v>
      </c>
      <c r="AP552" s="305">
        <v>304</v>
      </c>
      <c r="AQ552" s="305">
        <f t="shared" si="157"/>
        <v>0.57777777777777772</v>
      </c>
      <c r="AR552" s="305">
        <f t="shared" si="158"/>
        <v>0.42222222222222222</v>
      </c>
    </row>
    <row r="553" spans="36:44">
      <c r="AJ553" s="3">
        <f t="shared" si="156"/>
        <v>2050</v>
      </c>
      <c r="AK553" s="345">
        <f t="shared" si="155"/>
        <v>54970</v>
      </c>
      <c r="AO553" s="305">
        <v>416</v>
      </c>
      <c r="AP553" s="305">
        <v>328</v>
      </c>
      <c r="AQ553" s="305">
        <f t="shared" si="157"/>
        <v>0.55913978494623651</v>
      </c>
      <c r="AR553" s="305">
        <f t="shared" si="158"/>
        <v>0.44086021505376344</v>
      </c>
    </row>
    <row r="554" spans="36:44">
      <c r="AJ554" s="3">
        <f t="shared" si="156"/>
        <v>2050</v>
      </c>
      <c r="AK554" s="345">
        <f t="shared" si="155"/>
        <v>55001</v>
      </c>
      <c r="AO554" s="305">
        <v>424.0625</v>
      </c>
      <c r="AP554" s="305">
        <v>319.9375</v>
      </c>
      <c r="AQ554" s="305">
        <f t="shared" si="157"/>
        <v>0.56997647849462363</v>
      </c>
      <c r="AR554" s="305">
        <f t="shared" si="158"/>
        <v>0.43002352150537637</v>
      </c>
    </row>
    <row r="555" spans="36:44">
      <c r="AJ555" s="3">
        <f t="shared" si="156"/>
        <v>2050</v>
      </c>
      <c r="AK555" s="345">
        <f t="shared" si="155"/>
        <v>55032</v>
      </c>
      <c r="AO555" s="305">
        <v>400</v>
      </c>
      <c r="AP555" s="305">
        <v>320</v>
      </c>
      <c r="AQ555" s="305">
        <f t="shared" si="157"/>
        <v>0.55555555555555558</v>
      </c>
      <c r="AR555" s="305">
        <f t="shared" si="158"/>
        <v>0.44444444444444442</v>
      </c>
    </row>
    <row r="556" spans="36:44">
      <c r="AJ556" s="3">
        <f t="shared" si="156"/>
        <v>2050</v>
      </c>
      <c r="AK556" s="345">
        <f t="shared" ref="AK556:AK558" si="159">EOMONTH(AK555,0)+1</f>
        <v>55062</v>
      </c>
      <c r="AO556" s="305">
        <v>431.0625</v>
      </c>
      <c r="AP556" s="305">
        <v>312.9375</v>
      </c>
      <c r="AQ556" s="305">
        <f t="shared" si="157"/>
        <v>0.57938508064516125</v>
      </c>
      <c r="AR556" s="305">
        <f t="shared" si="158"/>
        <v>0.42061491935483869</v>
      </c>
    </row>
    <row r="557" spans="36:44">
      <c r="AJ557" s="3">
        <f t="shared" si="156"/>
        <v>2050</v>
      </c>
      <c r="AK557" s="345">
        <f t="shared" si="159"/>
        <v>55093</v>
      </c>
      <c r="AO557" s="305">
        <v>400</v>
      </c>
      <c r="AP557" s="305">
        <v>320</v>
      </c>
      <c r="AQ557" s="305">
        <f t="shared" si="157"/>
        <v>0.55555555555555558</v>
      </c>
      <c r="AR557" s="305">
        <f t="shared" si="158"/>
        <v>0.44444444444444442</v>
      </c>
    </row>
    <row r="558" spans="36:44">
      <c r="AJ558" s="3">
        <f t="shared" si="156"/>
        <v>2050</v>
      </c>
      <c r="AK558" s="345">
        <f t="shared" si="159"/>
        <v>55123</v>
      </c>
      <c r="AO558" s="305">
        <v>416</v>
      </c>
      <c r="AP558" s="305">
        <v>328</v>
      </c>
      <c r="AQ558" s="305">
        <f t="shared" si="157"/>
        <v>0.55913978494623651</v>
      </c>
      <c r="AR558" s="305">
        <f t="shared" si="158"/>
        <v>0.44086021505376344</v>
      </c>
    </row>
    <row r="559" spans="36:44">
      <c r="AK559" s="345"/>
      <c r="AQ559" s="305"/>
      <c r="AR559" s="305"/>
    </row>
    <row r="560" spans="36:44">
      <c r="AK560" s="345"/>
      <c r="AQ560" s="305"/>
      <c r="AR560" s="305"/>
    </row>
    <row r="561" spans="37:44">
      <c r="AK561" s="345"/>
      <c r="AQ561" s="305"/>
      <c r="AR561" s="305"/>
    </row>
    <row r="562" spans="37:44">
      <c r="AK562" s="345"/>
      <c r="AQ562" s="305"/>
      <c r="AR562" s="305"/>
    </row>
    <row r="563" spans="37:44">
      <c r="AK563" s="345"/>
      <c r="AQ563" s="305"/>
      <c r="AR563" s="305"/>
    </row>
    <row r="564" spans="37:44">
      <c r="AK564" s="345"/>
      <c r="AQ564" s="305"/>
      <c r="AR564" s="305"/>
    </row>
    <row r="565" spans="37:44">
      <c r="AK565" s="345"/>
      <c r="AQ565" s="305"/>
      <c r="AR565" s="305"/>
    </row>
    <row r="566" spans="37:44">
      <c r="AK566" s="345"/>
      <c r="AQ566" s="305"/>
      <c r="AR566" s="305"/>
    </row>
    <row r="567" spans="37:44">
      <c r="AK567" s="345"/>
      <c r="AQ567" s="305"/>
      <c r="AR567" s="305"/>
    </row>
    <row r="568" spans="37:44">
      <c r="AK568" s="345"/>
      <c r="AQ568" s="305"/>
      <c r="AR568" s="305"/>
    </row>
    <row r="569" spans="37:44">
      <c r="AK569" s="345"/>
      <c r="AQ569" s="305"/>
      <c r="AR569" s="305"/>
    </row>
    <row r="570" spans="37:44">
      <c r="AK570" s="345"/>
      <c r="AQ570" s="305"/>
      <c r="AR570" s="305"/>
    </row>
    <row r="571" spans="37:44">
      <c r="AK571" s="345"/>
    </row>
    <row r="572" spans="37:44">
      <c r="AK572" s="345"/>
    </row>
    <row r="573" spans="37:44">
      <c r="AK573" s="345"/>
    </row>
    <row r="574" spans="37:44">
      <c r="AK574" s="345"/>
    </row>
    <row r="575" spans="37:44">
      <c r="AK575" s="345"/>
    </row>
    <row r="576" spans="37:44">
      <c r="AK576" s="345"/>
    </row>
    <row r="577" spans="37:37">
      <c r="AK577" s="345"/>
    </row>
    <row r="578" spans="37:37">
      <c r="AK578" s="345"/>
    </row>
    <row r="579" spans="37:37">
      <c r="AK579" s="345"/>
    </row>
    <row r="580" spans="37:37">
      <c r="AK580" s="345"/>
    </row>
    <row r="581" spans="37:37">
      <c r="AK581" s="345"/>
    </row>
    <row r="582" spans="37:37">
      <c r="AK582" s="345"/>
    </row>
    <row r="583" spans="37:37">
      <c r="AK583" s="345"/>
    </row>
    <row r="584" spans="37:37">
      <c r="AK584" s="345"/>
    </row>
    <row r="585" spans="37:37">
      <c r="AK585" s="345"/>
    </row>
    <row r="586" spans="37:37">
      <c r="AK586" s="345"/>
    </row>
    <row r="587" spans="37:37">
      <c r="AK587" s="345"/>
    </row>
    <row r="588" spans="37:37">
      <c r="AK588" s="345"/>
    </row>
    <row r="589" spans="37:37">
      <c r="AK589" s="345"/>
    </row>
    <row r="590" spans="37:37">
      <c r="AK590" s="345"/>
    </row>
    <row r="591" spans="37:37">
      <c r="AK591" s="345"/>
    </row>
    <row r="592" spans="37:37">
      <c r="AK592" s="345"/>
    </row>
    <row r="593" spans="37:37">
      <c r="AK593" s="345"/>
    </row>
    <row r="594" spans="37:37">
      <c r="AK594" s="345"/>
    </row>
    <row r="595" spans="37:37">
      <c r="AK595" s="345"/>
    </row>
    <row r="596" spans="37:37">
      <c r="AK596" s="345"/>
    </row>
    <row r="597" spans="37:37">
      <c r="AK597" s="345"/>
    </row>
    <row r="598" spans="37:37">
      <c r="AK598" s="345"/>
    </row>
    <row r="599" spans="37:37">
      <c r="AK599" s="345"/>
    </row>
    <row r="600" spans="37:37">
      <c r="AK600" s="345"/>
    </row>
    <row r="601" spans="37:37">
      <c r="AK601" s="345"/>
    </row>
    <row r="602" spans="37:37">
      <c r="AK602" s="345"/>
    </row>
    <row r="603" spans="37:37">
      <c r="AK603" s="345"/>
    </row>
    <row r="604" spans="37:37">
      <c r="AK604" s="345"/>
    </row>
    <row r="605" spans="37:37">
      <c r="AK605" s="345"/>
    </row>
    <row r="606" spans="37:37">
      <c r="AK606" s="345"/>
    </row>
    <row r="607" spans="37:37">
      <c r="AK607" s="345"/>
    </row>
    <row r="608" spans="37:37">
      <c r="AK608" s="345"/>
    </row>
    <row r="609" spans="37:37">
      <c r="AK609" s="345"/>
    </row>
    <row r="610" spans="37:37">
      <c r="AK610" s="345"/>
    </row>
    <row r="611" spans="37:37">
      <c r="AK611" s="345"/>
    </row>
    <row r="612" spans="37:37">
      <c r="AK612" s="345"/>
    </row>
    <row r="613" spans="37:37">
      <c r="AK613" s="345"/>
    </row>
    <row r="614" spans="37:37">
      <c r="AK614" s="345"/>
    </row>
    <row r="615" spans="37:37">
      <c r="AK615" s="345"/>
    </row>
    <row r="616" spans="37:37">
      <c r="AK616" s="345"/>
    </row>
    <row r="617" spans="37:37">
      <c r="AK617" s="345"/>
    </row>
    <row r="618" spans="37:37">
      <c r="AK618" s="345"/>
    </row>
    <row r="619" spans="37:37">
      <c r="AK619" s="345"/>
    </row>
    <row r="620" spans="37:37">
      <c r="AK620" s="345"/>
    </row>
    <row r="621" spans="37:37">
      <c r="AK621" s="345"/>
    </row>
    <row r="622" spans="37:37">
      <c r="AK622" s="345"/>
    </row>
    <row r="623" spans="37:37">
      <c r="AK623" s="345"/>
    </row>
    <row r="624" spans="37:37">
      <c r="AK624" s="345"/>
    </row>
    <row r="625" spans="37:37">
      <c r="AK625" s="345"/>
    </row>
    <row r="626" spans="37:37">
      <c r="AK626" s="345"/>
    </row>
    <row r="627" spans="37:37">
      <c r="AK627" s="345"/>
    </row>
    <row r="628" spans="37:37">
      <c r="AK628" s="345"/>
    </row>
    <row r="629" spans="37:37">
      <c r="AK629" s="345"/>
    </row>
    <row r="630" spans="37:37">
      <c r="AK630" s="345"/>
    </row>
    <row r="631" spans="37:37">
      <c r="AK631" s="345"/>
    </row>
    <row r="632" spans="37:37">
      <c r="AK632" s="345"/>
    </row>
    <row r="633" spans="37:37">
      <c r="AK633" s="345"/>
    </row>
    <row r="634" spans="37:37">
      <c r="AK634" s="345"/>
    </row>
    <row r="635" spans="37:37">
      <c r="AK635" s="345"/>
    </row>
    <row r="636" spans="37:37">
      <c r="AK636" s="345"/>
    </row>
    <row r="637" spans="37:37">
      <c r="AK637" s="345"/>
    </row>
    <row r="638" spans="37:37">
      <c r="AK638" s="345"/>
    </row>
    <row r="639" spans="37:37">
      <c r="AK639" s="345"/>
    </row>
    <row r="640" spans="37:37">
      <c r="AK640" s="345"/>
    </row>
    <row r="641" spans="37:37">
      <c r="AK641" s="345"/>
    </row>
    <row r="642" spans="37:37">
      <c r="AK642" s="345"/>
    </row>
    <row r="643" spans="37:37">
      <c r="AK643" s="345"/>
    </row>
    <row r="644" spans="37:37">
      <c r="AK644" s="345"/>
    </row>
    <row r="645" spans="37:37">
      <c r="AK645" s="345"/>
    </row>
    <row r="646" spans="37:37">
      <c r="AK646" s="345"/>
    </row>
    <row r="647" spans="37:37">
      <c r="AK647" s="345"/>
    </row>
    <row r="648" spans="37:37">
      <c r="AK648" s="345"/>
    </row>
    <row r="649" spans="37:37">
      <c r="AK649" s="345"/>
    </row>
    <row r="650" spans="37:37">
      <c r="AK650" s="345"/>
    </row>
    <row r="651" spans="37:37">
      <c r="AK651" s="345"/>
    </row>
    <row r="652" spans="37:37">
      <c r="AK652" s="345"/>
    </row>
    <row r="653" spans="37:37">
      <c r="AK653" s="345"/>
    </row>
    <row r="654" spans="37:37">
      <c r="AK654" s="345"/>
    </row>
    <row r="655" spans="37:37">
      <c r="AK655" s="345"/>
    </row>
    <row r="656" spans="37:37">
      <c r="AK656" s="345"/>
    </row>
    <row r="657" spans="37:37">
      <c r="AK657" s="345"/>
    </row>
    <row r="658" spans="37:37">
      <c r="AK658" s="345"/>
    </row>
    <row r="659" spans="37:37">
      <c r="AK659" s="345"/>
    </row>
    <row r="660" spans="37:37">
      <c r="AK660" s="345"/>
    </row>
    <row r="661" spans="37:37">
      <c r="AK661" s="345"/>
    </row>
    <row r="662" spans="37:37">
      <c r="AK662" s="345"/>
    </row>
    <row r="663" spans="37:37">
      <c r="AK663" s="345"/>
    </row>
    <row r="664" spans="37:37">
      <c r="AK664" s="345"/>
    </row>
    <row r="665" spans="37:37">
      <c r="AK665" s="345"/>
    </row>
    <row r="666" spans="37:37">
      <c r="AK666" s="345"/>
    </row>
    <row r="667" spans="37:37">
      <c r="AK667" s="345"/>
    </row>
    <row r="668" spans="37:37">
      <c r="AK668" s="345"/>
    </row>
    <row r="669" spans="37:37">
      <c r="AK669" s="345"/>
    </row>
    <row r="670" spans="37:37">
      <c r="AK670" s="345"/>
    </row>
    <row r="671" spans="37:37">
      <c r="AK671" s="345"/>
    </row>
    <row r="672" spans="37:37">
      <c r="AK672" s="345"/>
    </row>
    <row r="673" spans="37:37">
      <c r="AK673" s="345"/>
    </row>
    <row r="674" spans="37:37">
      <c r="AK674" s="345"/>
    </row>
    <row r="675" spans="37:37">
      <c r="AK675" s="345"/>
    </row>
    <row r="676" spans="37:37">
      <c r="AK676" s="345"/>
    </row>
    <row r="677" spans="37:37">
      <c r="AK677" s="345"/>
    </row>
    <row r="678" spans="37:37">
      <c r="AK678" s="345"/>
    </row>
    <row r="679" spans="37:37">
      <c r="AK679" s="345"/>
    </row>
    <row r="680" spans="37:37">
      <c r="AK680" s="345"/>
    </row>
    <row r="681" spans="37:37">
      <c r="AK681" s="345"/>
    </row>
    <row r="682" spans="37:37">
      <c r="AK682" s="345"/>
    </row>
    <row r="683" spans="37:37">
      <c r="AK683" s="345"/>
    </row>
    <row r="684" spans="37:37">
      <c r="AK684" s="345"/>
    </row>
    <row r="685" spans="37:37">
      <c r="AK685" s="345"/>
    </row>
    <row r="686" spans="37:37">
      <c r="AK686" s="345"/>
    </row>
  </sheetData>
  <mergeCells count="5">
    <mergeCell ref="Y13:AA13"/>
    <mergeCell ref="V13:X13"/>
    <mergeCell ref="U11:AA11"/>
    <mergeCell ref="V1:Z1"/>
    <mergeCell ref="AE11:AG11"/>
  </mergeCells>
  <pageMargins left="0.25" right="0.25" top="0.25" bottom="0.75" header="0.3" footer="0.3"/>
  <pageSetup scale="80" orientation="landscape" r:id="rId1"/>
  <colBreaks count="1" manualBreakCount="1">
    <brk id="2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EDF5-B147-4D9A-A6ED-7F5E1D229129}">
  <sheetPr>
    <tabColor theme="0" tint="-0.249977111117893"/>
    <pageSetUpPr fitToPage="1"/>
  </sheetPr>
  <dimension ref="A1:BH73"/>
  <sheetViews>
    <sheetView topLeftCell="AD43" workbookViewId="0">
      <selection activeCell="S59" sqref="S59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Index'!$C$4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374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274">
        <v>0.32100000000000017</v>
      </c>
      <c r="H11" s="275"/>
      <c r="AB11" s="129" t="s">
        <v>99</v>
      </c>
      <c r="AC11" s="130"/>
      <c r="AD11" s="130"/>
      <c r="AE11" s="130"/>
      <c r="AF11" s="141">
        <f>+G11*(G12/AJ16)</f>
        <v>0.33362767634105173</v>
      </c>
      <c r="AG11" s="134"/>
      <c r="AH11" s="130" t="s">
        <v>100</v>
      </c>
      <c r="AI11" s="131"/>
      <c r="AJ11" s="136">
        <f>'(2.1)_Proxy Resources'!$N$82</f>
        <v>6.6035087719298247</v>
      </c>
      <c r="AK11" s="255"/>
      <c r="AZ11" s="129" t="s">
        <v>99</v>
      </c>
      <c r="BA11" s="130"/>
      <c r="BB11" s="130"/>
      <c r="BC11" s="130"/>
      <c r="BD11" s="770">
        <f>(AF11*AF13-G11*G19)</f>
        <v>7.6207585016850821E-2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277">
        <v>0.80193174867352268</v>
      </c>
      <c r="H12" s="275"/>
      <c r="AB12" s="129" t="s">
        <v>32</v>
      </c>
      <c r="AC12" s="130"/>
      <c r="AD12" s="130"/>
      <c r="AE12" s="130"/>
      <c r="AF12" s="138">
        <f>+AD59/8760/AF11</f>
        <v>0.77157894736842103</v>
      </c>
      <c r="AG12" s="134"/>
      <c r="AH12" s="124" t="s">
        <v>101</v>
      </c>
      <c r="AI12" s="125"/>
      <c r="AJ12" s="124">
        <v>2002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36">
        <f>'(2.1)_Proxy Resources'!$O$82</f>
        <v>1.5426421100500227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30</v>
      </c>
      <c r="H14" s="275"/>
      <c r="AB14" s="129" t="s">
        <v>104</v>
      </c>
      <c r="AC14" s="130"/>
      <c r="AD14" s="130"/>
      <c r="AE14" s="130"/>
      <c r="AF14" s="141">
        <f>'(2.1)_Proxy Resources'!$H$82</f>
        <v>7163.7407912687586</v>
      </c>
      <c r="AG14" s="134"/>
      <c r="AH14" s="124"/>
      <c r="AI14" s="125"/>
      <c r="AJ14" s="136"/>
      <c r="AK14" s="255"/>
      <c r="AZ14" s="129" t="s">
        <v>105</v>
      </c>
      <c r="BA14" s="130"/>
      <c r="BB14" s="130"/>
      <c r="BC14" s="130"/>
      <c r="BD14" s="142">
        <f>'(2.1)_Proxy Resources'!$J$83</f>
        <v>482</v>
      </c>
      <c r="BE14" s="139"/>
    </row>
    <row r="15" spans="1:57" ht="12">
      <c r="A15" s="143" t="s">
        <v>198</v>
      </c>
      <c r="B15" s="272"/>
      <c r="C15" s="273" t="s">
        <v>107</v>
      </c>
      <c r="D15" s="273"/>
      <c r="E15" s="273"/>
      <c r="F15" s="273"/>
      <c r="G15" s="278">
        <v>706.5</v>
      </c>
      <c r="H15" s="275"/>
      <c r="AB15" s="129" t="s">
        <v>197</v>
      </c>
      <c r="AC15" s="130"/>
      <c r="AD15" s="130"/>
      <c r="AE15" s="130"/>
      <c r="AF15" s="142">
        <f>'(2.1)_Proxy Resources'!$J$82</f>
        <v>625</v>
      </c>
      <c r="AG15" s="134"/>
      <c r="AH15" s="124" t="s">
        <v>145</v>
      </c>
      <c r="AI15" s="125"/>
      <c r="AJ15" s="136">
        <f>'(2.1)_Proxy Resources'!$P$82</f>
        <v>3.1491524416152528</v>
      </c>
      <c r="AK15" s="255"/>
      <c r="AZ15" s="129" t="s">
        <v>108</v>
      </c>
      <c r="BA15" s="130"/>
      <c r="BB15" s="130"/>
      <c r="BC15" s="130"/>
      <c r="BD15" s="144">
        <f>'(2.1)_Proxy Resources'!$K$83</f>
        <v>9.5899999999999999E-2</v>
      </c>
      <c r="BE15" s="139"/>
    </row>
    <row r="16" spans="1:57" ht="12">
      <c r="A16" s="143" t="s">
        <v>198</v>
      </c>
      <c r="B16" s="272"/>
      <c r="C16" s="273" t="s">
        <v>109</v>
      </c>
      <c r="D16" s="273"/>
      <c r="E16" s="273"/>
      <c r="F16" s="273"/>
      <c r="G16" s="278">
        <v>0</v>
      </c>
      <c r="H16" s="275"/>
      <c r="AB16" s="129" t="s">
        <v>108</v>
      </c>
      <c r="AC16" s="130"/>
      <c r="AD16" s="130"/>
      <c r="AE16" s="130"/>
      <c r="AF16" s="144">
        <f>'(2.1)_Proxy Resources'!$K$80</f>
        <v>8.6099999999999996E-2</v>
      </c>
      <c r="AG16" s="134"/>
      <c r="AH16" s="124" t="s">
        <v>110</v>
      </c>
      <c r="AI16" s="131"/>
      <c r="AJ16" s="145">
        <f>'(2.1)_Proxy Resources'!$D$82</f>
        <v>0.77157894736842092</v>
      </c>
      <c r="AK16" s="255"/>
      <c r="AZ16" s="129" t="s">
        <v>100</v>
      </c>
      <c r="BA16" s="131"/>
      <c r="BB16" s="136">
        <f>'(2.1)_Proxy Resources'!N83</f>
        <v>10.050000000000001</v>
      </c>
      <c r="BC16" s="3"/>
      <c r="BD16" s="3"/>
      <c r="BE16" s="137"/>
    </row>
    <row r="17" spans="1:60" ht="12">
      <c r="A17" s="143" t="s">
        <v>198</v>
      </c>
      <c r="B17" s="272"/>
      <c r="C17" s="273" t="s">
        <v>111</v>
      </c>
      <c r="D17" s="273"/>
      <c r="E17" s="273"/>
      <c r="F17" s="273"/>
      <c r="G17" s="278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2002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277">
        <v>8.6999999999999994E-2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281">
        <v>0.80193174867352268</v>
      </c>
      <c r="H19" s="282"/>
    </row>
    <row r="20" spans="1:60">
      <c r="B20" s="250"/>
      <c r="C20" s="250"/>
      <c r="D20" s="250"/>
      <c r="E20" s="250" t="s">
        <v>375</v>
      </c>
      <c r="F20" s="250"/>
      <c r="G20" s="771">
        <v>0.06</v>
      </c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288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2001</v>
      </c>
      <c r="D28" s="6"/>
      <c r="E28" s="292">
        <f>'(2.2)_Forward_Price_Curve'!$CH$40</f>
        <v>2.5000000000000001E-2</v>
      </c>
      <c r="F28" s="6"/>
      <c r="G28" s="20">
        <v>2255</v>
      </c>
      <c r="H28" s="6"/>
      <c r="I28" s="293">
        <f>$G$15*$G$20</f>
        <v>42.39</v>
      </c>
      <c r="J28" s="293"/>
      <c r="K28" s="293">
        <f>$G$16</f>
        <v>0</v>
      </c>
      <c r="L28" s="294"/>
      <c r="M28" s="293">
        <f>$G$17</f>
        <v>0</v>
      </c>
      <c r="N28" s="6"/>
      <c r="O28" s="295"/>
      <c r="P28" s="6"/>
      <c r="Q28" s="30"/>
      <c r="R28" s="6"/>
      <c r="S28" s="20">
        <f>G15</f>
        <v>706.5</v>
      </c>
      <c r="T28" s="6"/>
      <c r="U28" s="20">
        <f>AX28</f>
        <v>84.262257553068522</v>
      </c>
      <c r="V28" s="6"/>
      <c r="W28" s="20">
        <f>S28-U28</f>
        <v>622.23774244693152</v>
      </c>
      <c r="X28" s="6"/>
      <c r="Y28" s="296">
        <f>+W28*1000/G28</f>
        <v>275.93691461061263</v>
      </c>
      <c r="Z28" s="255"/>
      <c r="AB28" s="154">
        <f>$C$28</f>
        <v>2001</v>
      </c>
      <c r="AC28" s="124"/>
      <c r="AD28" s="159">
        <f t="shared" ref="AD28:AD37" si="0">G28</f>
        <v>2255</v>
      </c>
      <c r="AE28" s="3"/>
      <c r="AF28" s="160">
        <f>$AF$15*$AF$16*(1+$E$28)</f>
        <v>55.157812499999999</v>
      </c>
      <c r="AG28" s="297"/>
      <c r="AH28" s="160">
        <f>$AJ$11*(1+$E$28)</f>
        <v>6.7685964912280694</v>
      </c>
      <c r="AI28" s="297"/>
      <c r="AJ28" s="160">
        <f>$AJ$13*(1+$E$28)</f>
        <v>1.5812081628012731</v>
      </c>
      <c r="AK28" s="298"/>
      <c r="AL28" s="161">
        <f>((AF28+AH28)*$AF$11*1000+AJ28*AD28)/1000</f>
        <v>24.225988343005902</v>
      </c>
      <c r="AM28" s="3"/>
      <c r="AN28" s="162">
        <f>INDEX('(2.2)_Forward_Price_Curve'!$I:$I,MATCH($AB28,'(2.2)_Forward_Price_Curve'!$C:$C,0),1)</f>
        <v>3.5379637556042436</v>
      </c>
      <c r="AO28" s="310"/>
      <c r="AP28" s="162">
        <f>AN28*$AF$14/1000</f>
        <v>25.345055274052534</v>
      </c>
      <c r="AQ28" s="297"/>
      <c r="AR28" s="160">
        <f>$AJ$15*(1+$E$28)</f>
        <v>3.2278812526556337</v>
      </c>
      <c r="AS28" s="160"/>
      <c r="AT28" s="161">
        <f t="shared" ref="AT28:AT37" si="1">AL28-BF28</f>
        <v>19.830285685341611</v>
      </c>
      <c r="AU28" s="298"/>
      <c r="AV28" s="161">
        <f t="shared" ref="AV28:AV37" si="2">(AP28+AR28)*AD28/1000</f>
        <v>64.431971867726915</v>
      </c>
      <c r="AW28" s="299"/>
      <c r="AX28" s="163">
        <f>AT28+AV28</f>
        <v>84.262257553068522</v>
      </c>
      <c r="AZ28" s="154">
        <f>$C$28</f>
        <v>2001</v>
      </c>
      <c r="BA28" s="124"/>
      <c r="BB28" s="768">
        <f>$BD$14*$BD$15*(1+$E$28)</f>
        <v>47.379394999999995</v>
      </c>
      <c r="BC28" s="757"/>
      <c r="BD28" s="768">
        <f>$BB$16*(1+$E$28)</f>
        <v>10.30125</v>
      </c>
      <c r="BE28" s="757"/>
      <c r="BF28" s="769">
        <f>(BB28+BD28)*$BD$11</f>
        <v>4.395702657664291</v>
      </c>
      <c r="BG28" s="297"/>
      <c r="BH28" s="164"/>
    </row>
    <row r="29" spans="1:60" ht="12">
      <c r="B29" s="2"/>
      <c r="C29" s="6">
        <f>+IF(C28&gt;$G$13+$G$14,XX,C28+1)</f>
        <v>2002</v>
      </c>
      <c r="D29" s="6"/>
      <c r="E29" s="292">
        <f>'(2.2)_Forward_Price_Curve'!$CH$40</f>
        <v>2.5000000000000001E-2</v>
      </c>
      <c r="F29" s="6"/>
      <c r="G29" s="20">
        <v>2255</v>
      </c>
      <c r="H29" s="6"/>
      <c r="I29" s="293">
        <f>I28*(1+$E29)</f>
        <v>43.449749999999995</v>
      </c>
      <c r="J29" s="6"/>
      <c r="K29" s="293">
        <f t="shared" ref="K29:K57" si="3">$G$16</f>
        <v>0</v>
      </c>
      <c r="L29" s="6"/>
      <c r="M29" s="293">
        <f t="shared" ref="M29:M57" si="4">$G$17</f>
        <v>0</v>
      </c>
      <c r="N29" s="6"/>
      <c r="O29" s="295"/>
      <c r="P29" s="6"/>
      <c r="Q29" s="30"/>
      <c r="R29" s="6"/>
      <c r="S29" s="20">
        <v>0</v>
      </c>
      <c r="T29" s="6"/>
      <c r="U29" s="20">
        <f>AX29</f>
        <v>86.368813991895223</v>
      </c>
      <c r="V29" s="6"/>
      <c r="W29" s="20">
        <f t="shared" ref="W29:W57" si="5">S29-U29</f>
        <v>-86.368813991895223</v>
      </c>
      <c r="X29" s="6"/>
      <c r="Y29" s="296">
        <f t="shared" ref="Y29:Y57" si="6">+W29*1000/G29</f>
        <v>-38.301026160485684</v>
      </c>
      <c r="Z29" s="255"/>
      <c r="AB29" s="154">
        <f>+IF(AB28&gt;$G$13+$G$14,XX,AB28+1)</f>
        <v>2002</v>
      </c>
      <c r="AC29" s="124"/>
      <c r="AD29" s="159">
        <f t="shared" si="0"/>
        <v>2255</v>
      </c>
      <c r="AE29" s="3"/>
      <c r="AF29" s="162">
        <f>AF28*(1+$E29)</f>
        <v>56.536757812499992</v>
      </c>
      <c r="AG29" s="3"/>
      <c r="AH29" s="162">
        <f>AH28*(1+$E29)</f>
        <v>6.9378114035087703</v>
      </c>
      <c r="AI29" s="3"/>
      <c r="AJ29" s="162">
        <f>AJ28*(1+$E29)</f>
        <v>1.6207383668713047</v>
      </c>
      <c r="AK29" s="3"/>
      <c r="AL29" s="161">
        <f t="shared" ref="AL29:AL37" si="7">((AF29+AH29)*$AF$11*1000+AJ29*AD29)/1000</f>
        <v>24.831638051581045</v>
      </c>
      <c r="AM29" s="3"/>
      <c r="AN29" s="162">
        <f>INDEX('(2.2)_Forward_Price_Curve'!$I:$I,MATCH($AB29,'(2.2)_Forward_Price_Curve'!$C:$C,0),1)</f>
        <v>3.6264128494943493</v>
      </c>
      <c r="AO29" s="3"/>
      <c r="AP29" s="162">
        <f t="shared" ref="AP29:AP37" si="8">AN29*$AF$14/1000</f>
        <v>25.978681655903841</v>
      </c>
      <c r="AQ29" s="3"/>
      <c r="AR29" s="162">
        <f>AR28*(1+$E29)</f>
        <v>3.3085782839720244</v>
      </c>
      <c r="AS29" s="162"/>
      <c r="AT29" s="161">
        <f t="shared" si="1"/>
        <v>20.326042827475149</v>
      </c>
      <c r="AU29" s="3"/>
      <c r="AV29" s="161">
        <f t="shared" si="2"/>
        <v>66.042771164420074</v>
      </c>
      <c r="AW29" s="299"/>
      <c r="AX29" s="163">
        <f t="shared" ref="AX29:AX37" si="9">AT29+AV29</f>
        <v>86.368813991895223</v>
      </c>
      <c r="AZ29" s="154">
        <f>+IF(AZ28&gt;$G$13+$G$14,XX,AZ28+1)</f>
        <v>2002</v>
      </c>
      <c r="BA29" s="124"/>
      <c r="BB29" s="769">
        <f>BB28*(1+$E29)</f>
        <v>48.563879874999991</v>
      </c>
      <c r="BC29" s="757"/>
      <c r="BD29" s="769">
        <f>BD28*(1+$E29)</f>
        <v>10.558781249999999</v>
      </c>
      <c r="BE29" s="757"/>
      <c r="BF29" s="769">
        <f t="shared" ref="BF29:BF37" si="10">(BB29+BD29)*$BD$11</f>
        <v>4.5055952241058979</v>
      </c>
      <c r="BG29" s="3"/>
      <c r="BH29" s="165"/>
    </row>
    <row r="30" spans="1:60" ht="12">
      <c r="B30" s="2"/>
      <c r="C30" s="6">
        <f>+IF(C29&gt;$G$13+$G$14,XX,C29+1)</f>
        <v>2003</v>
      </c>
      <c r="D30" s="6"/>
      <c r="E30" s="292">
        <f>'(2.2)_Forward_Price_Curve'!$CH$40</f>
        <v>2.5000000000000001E-2</v>
      </c>
      <c r="F30" s="6"/>
      <c r="G30" s="20">
        <v>2255</v>
      </c>
      <c r="H30" s="6"/>
      <c r="I30" s="293">
        <f t="shared" ref="I30:I57" si="11">I29*(1+$E30)</f>
        <v>44.535993749999989</v>
      </c>
      <c r="J30" s="6"/>
      <c r="K30" s="293">
        <f t="shared" si="3"/>
        <v>0</v>
      </c>
      <c r="L30" s="6"/>
      <c r="M30" s="293">
        <f t="shared" si="4"/>
        <v>0</v>
      </c>
      <c r="N30" s="6"/>
      <c r="O30" s="295"/>
      <c r="P30" s="6"/>
      <c r="Q30" s="30"/>
      <c r="R30" s="6"/>
      <c r="S30" s="20">
        <v>0</v>
      </c>
      <c r="T30" s="6"/>
      <c r="U30" s="20">
        <f t="shared" ref="U30:U57" si="12">AX30</f>
        <v>88.528034341692617</v>
      </c>
      <c r="V30" s="6"/>
      <c r="W30" s="20">
        <f t="shared" si="5"/>
        <v>-88.528034341692617</v>
      </c>
      <c r="X30" s="6"/>
      <c r="Y30" s="296">
        <f t="shared" si="6"/>
        <v>-39.258551814497835</v>
      </c>
      <c r="Z30" s="255"/>
      <c r="AB30" s="154">
        <f>+IF(AB29&gt;$G$13+$G$14,XX,AB29+1)</f>
        <v>2003</v>
      </c>
      <c r="AC30" s="124"/>
      <c r="AD30" s="159">
        <f t="shared" si="0"/>
        <v>2255</v>
      </c>
      <c r="AE30" s="3"/>
      <c r="AF30" s="162">
        <f t="shared" ref="AF30:AF57" si="13">AF29*(1+$E30)</f>
        <v>57.950176757812486</v>
      </c>
      <c r="AG30" s="3"/>
      <c r="AH30" s="162">
        <f t="shared" ref="AH30:AH57" si="14">AH29*(1+$E30)</f>
        <v>7.1112566885964892</v>
      </c>
      <c r="AI30" s="3"/>
      <c r="AJ30" s="162">
        <f t="shared" ref="AJ30:AJ57" si="15">AJ29*(1+$E30)</f>
        <v>1.6612568260430871</v>
      </c>
      <c r="AK30" s="3"/>
      <c r="AL30" s="161">
        <f t="shared" si="7"/>
        <v>25.45242900287057</v>
      </c>
      <c r="AM30" s="3"/>
      <c r="AN30" s="162">
        <f>INDEX('(2.2)_Forward_Price_Curve'!$I:$I,MATCH($AB30,'(2.2)_Forward_Price_Curve'!$C:$C,0),1)</f>
        <v>3.7170731707317075</v>
      </c>
      <c r="AO30" s="3"/>
      <c r="AP30" s="162">
        <f t="shared" si="8"/>
        <v>26.628148697301437</v>
      </c>
      <c r="AQ30" s="3"/>
      <c r="AR30" s="162">
        <f t="shared" ref="AR30:AR57" si="16">AR29*(1+$E30)</f>
        <v>3.3912927410713247</v>
      </c>
      <c r="AS30" s="162"/>
      <c r="AT30" s="161">
        <f t="shared" si="1"/>
        <v>20.834193898162027</v>
      </c>
      <c r="AU30" s="3"/>
      <c r="AV30" s="161">
        <f t="shared" si="2"/>
        <v>67.69384044353059</v>
      </c>
      <c r="AW30" s="299"/>
      <c r="AX30" s="163">
        <f t="shared" si="9"/>
        <v>88.528034341692617</v>
      </c>
      <c r="AZ30" s="154">
        <f>+IF(AZ29&gt;$G$13+$G$14,XX,AZ29+1)</f>
        <v>2003</v>
      </c>
      <c r="BA30" s="124"/>
      <c r="BB30" s="769">
        <f t="shared" ref="BB30:BB57" si="17">BB29*(1+$E30)</f>
        <v>49.777976871874984</v>
      </c>
      <c r="BC30" s="757"/>
      <c r="BD30" s="769">
        <f t="shared" ref="BD30:BD57" si="18">BD29*(1+$E30)</f>
        <v>10.822750781249999</v>
      </c>
      <c r="BE30" s="757"/>
      <c r="BF30" s="769">
        <f t="shared" si="10"/>
        <v>4.6182351047085444</v>
      </c>
      <c r="BG30" s="3"/>
      <c r="BH30" s="165"/>
    </row>
    <row r="31" spans="1:60" ht="12">
      <c r="B31" s="2"/>
      <c r="C31" s="6">
        <f>+IF(C30&gt;$G$13+$G$14,XX,C30+1)</f>
        <v>2004</v>
      </c>
      <c r="D31" s="6"/>
      <c r="E31" s="292">
        <f>'(2.2)_Forward_Price_Curve'!$CH$40</f>
        <v>2.5000000000000001E-2</v>
      </c>
      <c r="F31" s="6"/>
      <c r="G31" s="20">
        <v>2255</v>
      </c>
      <c r="H31" s="6"/>
      <c r="I31" s="293">
        <f t="shared" si="11"/>
        <v>45.649393593749984</v>
      </c>
      <c r="J31" s="6"/>
      <c r="K31" s="293">
        <f t="shared" si="3"/>
        <v>0</v>
      </c>
      <c r="L31" s="6"/>
      <c r="M31" s="293">
        <f t="shared" si="4"/>
        <v>0</v>
      </c>
      <c r="N31" s="6"/>
      <c r="O31" s="295"/>
      <c r="P31" s="6"/>
      <c r="Q31" s="30"/>
      <c r="R31" s="6"/>
      <c r="S31" s="20">
        <v>0</v>
      </c>
      <c r="T31" s="6"/>
      <c r="U31" s="20">
        <f t="shared" si="12"/>
        <v>90.741235200234897</v>
      </c>
      <c r="V31" s="6"/>
      <c r="W31" s="20">
        <f t="shared" si="5"/>
        <v>-90.741235200234897</v>
      </c>
      <c r="X31" s="6"/>
      <c r="Y31" s="296">
        <f t="shared" si="6"/>
        <v>-40.240015609860265</v>
      </c>
      <c r="Z31" s="255"/>
      <c r="AB31" s="154">
        <f>+IF(AB30&gt;$G$13+$G$14,XX,AB30+1)</f>
        <v>2004</v>
      </c>
      <c r="AC31" s="124"/>
      <c r="AD31" s="159">
        <f t="shared" si="0"/>
        <v>2255</v>
      </c>
      <c r="AE31" s="3"/>
      <c r="AF31" s="162">
        <f t="shared" si="13"/>
        <v>59.398931176757792</v>
      </c>
      <c r="AG31" s="3"/>
      <c r="AH31" s="162">
        <f t="shared" si="14"/>
        <v>7.2890381058114011</v>
      </c>
      <c r="AI31" s="3"/>
      <c r="AJ31" s="162">
        <f t="shared" si="15"/>
        <v>1.7027882466941642</v>
      </c>
      <c r="AK31" s="3"/>
      <c r="AL31" s="161">
        <f t="shared" si="7"/>
        <v>26.088739727942336</v>
      </c>
      <c r="AM31" s="3"/>
      <c r="AN31" s="162">
        <f>INDEX('(2.2)_Forward_Price_Curve'!$I:$I,MATCH($AB31,'(2.2)_Forward_Price_Curve'!$C:$C,0),1)</f>
        <v>3.81</v>
      </c>
      <c r="AO31" s="3"/>
      <c r="AP31" s="162">
        <f t="shared" si="8"/>
        <v>27.293852414733969</v>
      </c>
      <c r="AQ31" s="3"/>
      <c r="AR31" s="162">
        <f t="shared" si="16"/>
        <v>3.4760750595981076</v>
      </c>
      <c r="AS31" s="162"/>
      <c r="AT31" s="161">
        <f t="shared" si="1"/>
        <v>21.355048745616077</v>
      </c>
      <c r="AU31" s="3"/>
      <c r="AV31" s="161">
        <f t="shared" si="2"/>
        <v>69.386186454618823</v>
      </c>
      <c r="AW31" s="299"/>
      <c r="AX31" s="163">
        <f t="shared" si="9"/>
        <v>90.741235200234897</v>
      </c>
      <c r="AZ31" s="154">
        <f>+IF(AZ30&gt;$G$13+$G$14,XX,AZ30+1)</f>
        <v>2004</v>
      </c>
      <c r="BA31" s="124"/>
      <c r="BB31" s="769">
        <f t="shared" si="17"/>
        <v>51.022426293671856</v>
      </c>
      <c r="BC31" s="757"/>
      <c r="BD31" s="769">
        <f t="shared" si="18"/>
        <v>11.093319550781247</v>
      </c>
      <c r="BE31" s="757"/>
      <c r="BF31" s="769">
        <f t="shared" si="10"/>
        <v>4.7336909823262578</v>
      </c>
      <c r="BG31" s="3"/>
      <c r="BH31" s="165"/>
    </row>
    <row r="32" spans="1:60" ht="12">
      <c r="B32" s="2"/>
      <c r="C32" s="6">
        <f>+IF(C31&gt;$G$13+$G$14,XX,C31+1)</f>
        <v>2005</v>
      </c>
      <c r="D32" s="6"/>
      <c r="E32" s="292">
        <f>'(2.2)_Forward_Price_Curve'!$CH$40</f>
        <v>2.5000000000000001E-2</v>
      </c>
      <c r="F32" s="6"/>
      <c r="G32" s="20">
        <v>2255</v>
      </c>
      <c r="H32" s="6"/>
      <c r="I32" s="293">
        <f t="shared" si="11"/>
        <v>46.790628433593731</v>
      </c>
      <c r="J32" s="6"/>
      <c r="K32" s="293">
        <f t="shared" si="3"/>
        <v>0</v>
      </c>
      <c r="L32" s="6"/>
      <c r="M32" s="293">
        <f t="shared" si="4"/>
        <v>0</v>
      </c>
      <c r="N32" s="6"/>
      <c r="O32" s="295"/>
      <c r="P32" s="6"/>
      <c r="Q32" s="30"/>
      <c r="R32" s="6"/>
      <c r="S32" s="20">
        <v>0</v>
      </c>
      <c r="T32" s="6"/>
      <c r="U32" s="20">
        <f t="shared" si="12"/>
        <v>93.894210473006808</v>
      </c>
      <c r="V32" s="6"/>
      <c r="W32" s="20">
        <f t="shared" si="5"/>
        <v>-93.894210473006808</v>
      </c>
      <c r="X32" s="6"/>
      <c r="Y32" s="296">
        <f t="shared" si="6"/>
        <v>-41.638230808428737</v>
      </c>
      <c r="Z32" s="255"/>
      <c r="AB32" s="154">
        <f>+IF(AB31&gt;$G$13+$G$14,XX,AB31+1)</f>
        <v>2005</v>
      </c>
      <c r="AC32" s="124"/>
      <c r="AD32" s="159">
        <f t="shared" si="0"/>
        <v>2255</v>
      </c>
      <c r="AE32" s="3"/>
      <c r="AF32" s="162">
        <f t="shared" si="13"/>
        <v>60.88390445617673</v>
      </c>
      <c r="AG32" s="3"/>
      <c r="AH32" s="162">
        <f t="shared" si="14"/>
        <v>7.4712640584566854</v>
      </c>
      <c r="AI32" s="3"/>
      <c r="AJ32" s="162">
        <f t="shared" si="15"/>
        <v>1.7453579528615182</v>
      </c>
      <c r="AK32" s="3"/>
      <c r="AL32" s="161">
        <f t="shared" si="7"/>
        <v>26.740958221140893</v>
      </c>
      <c r="AM32" s="3"/>
      <c r="AN32" s="162">
        <f>INDEX('(2.2)_Forward_Price_Curve'!$I:$I,MATCH($AB32,'(2.2)_Forward_Price_Curve'!$C:$C,0),1)</f>
        <v>3.96</v>
      </c>
      <c r="AO32" s="3"/>
      <c r="AP32" s="162">
        <f t="shared" si="8"/>
        <v>28.368413533424281</v>
      </c>
      <c r="AQ32" s="3"/>
      <c r="AR32" s="162">
        <f t="shared" si="16"/>
        <v>3.5629769360880599</v>
      </c>
      <c r="AS32" s="162"/>
      <c r="AT32" s="161">
        <f t="shared" si="1"/>
        <v>21.888924964256478</v>
      </c>
      <c r="AU32" s="3"/>
      <c r="AV32" s="161">
        <f t="shared" si="2"/>
        <v>72.005285508750333</v>
      </c>
      <c r="AW32" s="299"/>
      <c r="AX32" s="163">
        <f t="shared" si="9"/>
        <v>93.894210473006808</v>
      </c>
      <c r="AZ32" s="154">
        <f>+IF(AZ31&gt;$G$13+$G$14,XX,AZ31+1)</f>
        <v>2005</v>
      </c>
      <c r="BA32" s="124"/>
      <c r="BB32" s="769">
        <f t="shared" si="17"/>
        <v>52.297986951013648</v>
      </c>
      <c r="BC32" s="757"/>
      <c r="BD32" s="769">
        <f t="shared" si="18"/>
        <v>11.370652539550777</v>
      </c>
      <c r="BE32" s="757"/>
      <c r="BF32" s="769">
        <f t="shared" si="10"/>
        <v>4.8520332568844138</v>
      </c>
      <c r="BG32" s="3"/>
      <c r="BH32" s="165"/>
    </row>
    <row r="33" spans="2:60" ht="12">
      <c r="B33" s="2"/>
      <c r="C33" s="6">
        <f>+IF(C32&gt;$G$13+$G$14,XX,C32+1)</f>
        <v>2006</v>
      </c>
      <c r="D33" s="6"/>
      <c r="E33" s="292">
        <f>'(2.2)_Forward_Price_Curve'!$CH$40</f>
        <v>2.5000000000000001E-2</v>
      </c>
      <c r="F33" s="6"/>
      <c r="G33" s="20">
        <v>2255</v>
      </c>
      <c r="H33" s="6"/>
      <c r="I33" s="293">
        <f t="shared" si="11"/>
        <v>47.960394144433572</v>
      </c>
      <c r="J33" s="6"/>
      <c r="K33" s="293">
        <f t="shared" si="3"/>
        <v>0</v>
      </c>
      <c r="L33" s="6"/>
      <c r="M33" s="293">
        <f t="shared" si="4"/>
        <v>0</v>
      </c>
      <c r="N33" s="6"/>
      <c r="O33" s="295"/>
      <c r="P33" s="6"/>
      <c r="Q33" s="30"/>
      <c r="R33" s="6"/>
      <c r="S33" s="20">
        <v>0</v>
      </c>
      <c r="T33" s="6"/>
      <c r="U33" s="20">
        <f t="shared" si="12"/>
        <v>95.288465841257647</v>
      </c>
      <c r="V33" s="6"/>
      <c r="W33" s="20">
        <f t="shared" si="5"/>
        <v>-95.288465841257647</v>
      </c>
      <c r="X33" s="6"/>
      <c r="Y33" s="296">
        <f t="shared" si="6"/>
        <v>-42.256525871954615</v>
      </c>
      <c r="Z33" s="255"/>
      <c r="AB33" s="154">
        <f>+IF(AB32&gt;$G$13+$G$14,XX,AB32+1)</f>
        <v>2006</v>
      </c>
      <c r="AC33" s="124"/>
      <c r="AD33" s="159">
        <f t="shared" si="0"/>
        <v>2255</v>
      </c>
      <c r="AE33" s="3"/>
      <c r="AF33" s="162">
        <f>AF32*(1+$E33)</f>
        <v>62.406002067581142</v>
      </c>
      <c r="AG33" s="3"/>
      <c r="AH33" s="162">
        <f t="shared" si="14"/>
        <v>7.6580456599181019</v>
      </c>
      <c r="AI33" s="3"/>
      <c r="AJ33" s="162">
        <f t="shared" si="15"/>
        <v>1.788991901683056</v>
      </c>
      <c r="AK33" s="3"/>
      <c r="AL33" s="161">
        <f t="shared" si="7"/>
        <v>27.409482176669414</v>
      </c>
      <c r="AM33" s="3"/>
      <c r="AN33" s="162">
        <f>INDEX('(2.2)_Forward_Price_Curve'!$I:$I,MATCH($AB33,'(2.2)_Forward_Price_Curve'!$C:$C,0),1)</f>
        <v>4</v>
      </c>
      <c r="AO33" s="3"/>
      <c r="AP33" s="162">
        <f t="shared" si="8"/>
        <v>28.654963165075035</v>
      </c>
      <c r="AQ33" s="3"/>
      <c r="AR33" s="162">
        <f t="shared" si="16"/>
        <v>3.6520513594902613</v>
      </c>
      <c r="AS33" s="162"/>
      <c r="AT33" s="161">
        <f t="shared" si="1"/>
        <v>22.436148088362891</v>
      </c>
      <c r="AU33" s="3"/>
      <c r="AV33" s="161">
        <f t="shared" si="2"/>
        <v>72.852317752894749</v>
      </c>
      <c r="AW33" s="299"/>
      <c r="AX33" s="163">
        <f t="shared" si="9"/>
        <v>95.288465841257647</v>
      </c>
      <c r="AZ33" s="154">
        <f>+IF(AZ32&gt;$G$13+$G$14,XX,AZ32+1)</f>
        <v>2006</v>
      </c>
      <c r="BA33" s="124"/>
      <c r="BB33" s="769">
        <f t="shared" si="17"/>
        <v>53.605436624788986</v>
      </c>
      <c r="BC33" s="757"/>
      <c r="BD33" s="769">
        <f t="shared" si="18"/>
        <v>11.654918853039545</v>
      </c>
      <c r="BE33" s="757"/>
      <c r="BF33" s="769">
        <f t="shared" si="10"/>
        <v>4.9733340883065233</v>
      </c>
      <c r="BG33" s="3"/>
      <c r="BH33" s="165"/>
    </row>
    <row r="34" spans="2:60" ht="12">
      <c r="B34" s="2"/>
      <c r="C34" s="6">
        <f>+IF(C33&gt;$G$13+$G$14,XX,C33+1)</f>
        <v>2007</v>
      </c>
      <c r="D34" s="6"/>
      <c r="E34" s="292">
        <f>'(2.2)_Forward_Price_Curve'!$CH$40</f>
        <v>2.5000000000000001E-2</v>
      </c>
      <c r="F34" s="6"/>
      <c r="G34" s="20">
        <v>2255</v>
      </c>
      <c r="H34" s="6"/>
      <c r="I34" s="293">
        <f t="shared" si="11"/>
        <v>49.159403998044404</v>
      </c>
      <c r="J34" s="6"/>
      <c r="K34" s="293">
        <f t="shared" si="3"/>
        <v>0</v>
      </c>
      <c r="L34" s="6"/>
      <c r="M34" s="293">
        <f t="shared" si="4"/>
        <v>0</v>
      </c>
      <c r="N34" s="6"/>
      <c r="O34" s="295"/>
      <c r="P34" s="6"/>
      <c r="Q34" s="30"/>
      <c r="R34" s="6"/>
      <c r="S34" s="20">
        <v>0</v>
      </c>
      <c r="T34" s="6"/>
      <c r="U34" s="20">
        <f t="shared" si="12"/>
        <v>99.609185745406378</v>
      </c>
      <c r="V34" s="6"/>
      <c r="W34" s="20">
        <f t="shared" si="5"/>
        <v>-99.609185745406378</v>
      </c>
      <c r="X34" s="6"/>
      <c r="Y34" s="296">
        <f t="shared" si="6"/>
        <v>-44.172587913705705</v>
      </c>
      <c r="Z34" s="255"/>
      <c r="AB34" s="154">
        <f>+IF(AB33&gt;$G$13+$G$14,XX,AB33+1)</f>
        <v>2007</v>
      </c>
      <c r="AC34" s="124"/>
      <c r="AD34" s="159">
        <f t="shared" si="0"/>
        <v>2255</v>
      </c>
      <c r="AE34" s="3"/>
      <c r="AF34" s="162">
        <f t="shared" si="13"/>
        <v>63.966152119270667</v>
      </c>
      <c r="AG34" s="3"/>
      <c r="AH34" s="162">
        <f t="shared" si="14"/>
        <v>7.8494968014160538</v>
      </c>
      <c r="AI34" s="3"/>
      <c r="AJ34" s="162">
        <f t="shared" si="15"/>
        <v>1.8337166992251321</v>
      </c>
      <c r="AK34" s="3"/>
      <c r="AL34" s="161">
        <f t="shared" si="7"/>
        <v>28.094719231086142</v>
      </c>
      <c r="AM34" s="3"/>
      <c r="AN34" s="162">
        <f>INDEX('(2.2)_Forward_Price_Curve'!$I:$I,MATCH($AB34,'(2.2)_Forward_Price_Curve'!$C:$C,0),1)</f>
        <v>4.22</v>
      </c>
      <c r="AO34" s="3"/>
      <c r="AP34" s="162">
        <f t="shared" si="8"/>
        <v>30.230986139154162</v>
      </c>
      <c r="AQ34" s="3"/>
      <c r="AR34" s="162">
        <f t="shared" si="16"/>
        <v>3.7433526434775173</v>
      </c>
      <c r="AS34" s="162"/>
      <c r="AT34" s="161">
        <f t="shared" si="1"/>
        <v>22.997051790571955</v>
      </c>
      <c r="AU34" s="3"/>
      <c r="AV34" s="161">
        <f t="shared" si="2"/>
        <v>76.61213395483442</v>
      </c>
      <c r="AW34" s="299"/>
      <c r="AX34" s="163">
        <f t="shared" si="9"/>
        <v>99.609185745406378</v>
      </c>
      <c r="AZ34" s="154">
        <f>+IF(AZ33&gt;$G$13+$G$14,XX,AZ33+1)</f>
        <v>2007</v>
      </c>
      <c r="BA34" s="124"/>
      <c r="BB34" s="769">
        <f t="shared" si="17"/>
        <v>54.945572540408705</v>
      </c>
      <c r="BC34" s="757"/>
      <c r="BD34" s="769">
        <f t="shared" si="18"/>
        <v>11.946291824365533</v>
      </c>
      <c r="BE34" s="757"/>
      <c r="BF34" s="769">
        <f t="shared" si="10"/>
        <v>5.0976674405141864</v>
      </c>
      <c r="BG34" s="3"/>
      <c r="BH34" s="165"/>
    </row>
    <row r="35" spans="2:60" ht="12">
      <c r="B35" s="2"/>
      <c r="C35" s="6">
        <f>+IF(C34&gt;$G$13+$G$14,XX,C34+1)</f>
        <v>2008</v>
      </c>
      <c r="D35" s="6"/>
      <c r="E35" s="292">
        <f>'(2.2)_Forward_Price_Curve'!$CH$40</f>
        <v>2.5000000000000001E-2</v>
      </c>
      <c r="F35" s="6"/>
      <c r="G35" s="20">
        <v>2255</v>
      </c>
      <c r="H35" s="6"/>
      <c r="I35" s="293">
        <f t="shared" si="11"/>
        <v>50.388389097995507</v>
      </c>
      <c r="J35" s="6"/>
      <c r="K35" s="293">
        <f t="shared" si="3"/>
        <v>0</v>
      </c>
      <c r="L35" s="6"/>
      <c r="M35" s="293">
        <f t="shared" si="4"/>
        <v>0</v>
      </c>
      <c r="N35" s="6"/>
      <c r="O35" s="295"/>
      <c r="P35" s="6"/>
      <c r="Q35" s="30"/>
      <c r="R35" s="6"/>
      <c r="S35" s="20">
        <v>0</v>
      </c>
      <c r="T35" s="6"/>
      <c r="U35" s="20">
        <f t="shared" si="12"/>
        <v>103.62599064230893</v>
      </c>
      <c r="V35" s="6"/>
      <c r="W35" s="20">
        <f t="shared" si="5"/>
        <v>-103.62599064230893</v>
      </c>
      <c r="X35" s="6"/>
      <c r="Y35" s="296">
        <f t="shared" si="6"/>
        <v>-45.953876116323258</v>
      </c>
      <c r="Z35" s="255"/>
      <c r="AB35" s="154">
        <f>+IF(AB34&gt;$G$13+$G$14,XX,AB34+1)</f>
        <v>2008</v>
      </c>
      <c r="AC35" s="124"/>
      <c r="AD35" s="159">
        <f t="shared" si="0"/>
        <v>2255</v>
      </c>
      <c r="AE35" s="3"/>
      <c r="AF35" s="162">
        <f t="shared" si="13"/>
        <v>65.565305922252435</v>
      </c>
      <c r="AG35" s="3"/>
      <c r="AH35" s="162">
        <f t="shared" si="14"/>
        <v>8.045734221451454</v>
      </c>
      <c r="AI35" s="3"/>
      <c r="AJ35" s="162">
        <f t="shared" si="15"/>
        <v>1.8795596167057602</v>
      </c>
      <c r="AK35" s="3"/>
      <c r="AL35" s="161">
        <f t="shared" si="7"/>
        <v>28.797087211863296</v>
      </c>
      <c r="AM35" s="3"/>
      <c r="AN35" s="162">
        <f>INDEX('(2.2)_Forward_Price_Curve'!$I:$I,MATCH($AB35,'(2.2)_Forward_Price_Curve'!$C:$C,0),1)</f>
        <v>4.42</v>
      </c>
      <c r="AO35" s="3"/>
      <c r="AP35" s="162">
        <f t="shared" si="8"/>
        <v>31.66373429740791</v>
      </c>
      <c r="AQ35" s="3"/>
      <c r="AR35" s="162">
        <f t="shared" si="16"/>
        <v>3.8369364595644551</v>
      </c>
      <c r="AS35" s="162"/>
      <c r="AT35" s="161">
        <f t="shared" si="1"/>
        <v>23.571978085336255</v>
      </c>
      <c r="AU35" s="3"/>
      <c r="AV35" s="161">
        <f t="shared" si="2"/>
        <v>80.05401255697268</v>
      </c>
      <c r="AW35" s="299"/>
      <c r="AX35" s="163">
        <f t="shared" si="9"/>
        <v>103.62599064230893</v>
      </c>
      <c r="AZ35" s="154">
        <f>+IF(AZ34&gt;$G$13+$G$14,XX,AZ34+1)</f>
        <v>2008</v>
      </c>
      <c r="BA35" s="124"/>
      <c r="BB35" s="769">
        <f t="shared" si="17"/>
        <v>56.319211853918915</v>
      </c>
      <c r="BC35" s="757"/>
      <c r="BD35" s="769">
        <f t="shared" si="18"/>
        <v>12.24494911997467</v>
      </c>
      <c r="BE35" s="757"/>
      <c r="BF35" s="769">
        <f t="shared" si="10"/>
        <v>5.2251091265270411</v>
      </c>
      <c r="BG35" s="3"/>
      <c r="BH35" s="165"/>
    </row>
    <row r="36" spans="2:60" ht="12">
      <c r="B36" s="2"/>
      <c r="C36" s="6">
        <f>+IF(C35&gt;$G$13+$G$14,XX,C35+1)</f>
        <v>2009</v>
      </c>
      <c r="D36" s="6"/>
      <c r="E36" s="292">
        <f>'(2.2)_Forward_Price_Curve'!$CH$40</f>
        <v>2.5000000000000001E-2</v>
      </c>
      <c r="F36" s="6"/>
      <c r="G36" s="20">
        <v>2255</v>
      </c>
      <c r="H36" s="6"/>
      <c r="I36" s="293">
        <f t="shared" si="11"/>
        <v>51.648098825445388</v>
      </c>
      <c r="J36" s="6"/>
      <c r="K36" s="293">
        <f t="shared" si="3"/>
        <v>0</v>
      </c>
      <c r="L36" s="6"/>
      <c r="M36" s="293">
        <f t="shared" si="4"/>
        <v>0</v>
      </c>
      <c r="N36" s="6"/>
      <c r="O36" s="295"/>
      <c r="P36" s="6"/>
      <c r="Q36" s="30"/>
      <c r="R36" s="6"/>
      <c r="S36" s="20">
        <v>0</v>
      </c>
      <c r="T36" s="6"/>
      <c r="U36" s="20">
        <f t="shared" si="12"/>
        <v>102.33154677438986</v>
      </c>
      <c r="V36" s="6"/>
      <c r="W36" s="20">
        <f t="shared" si="5"/>
        <v>-102.33154677438986</v>
      </c>
      <c r="X36" s="6"/>
      <c r="Y36" s="296">
        <f t="shared" si="6"/>
        <v>-45.379843358931204</v>
      </c>
      <c r="Z36" s="255"/>
      <c r="AB36" s="154">
        <f>+IF(AB35&gt;$G$13+$G$14,XX,AB35+1)</f>
        <v>2009</v>
      </c>
      <c r="AC36" s="124"/>
      <c r="AD36" s="159">
        <f t="shared" si="0"/>
        <v>2255</v>
      </c>
      <c r="AE36" s="3"/>
      <c r="AF36" s="162">
        <f t="shared" si="13"/>
        <v>67.204438570308739</v>
      </c>
      <c r="AG36" s="3"/>
      <c r="AH36" s="162">
        <f t="shared" si="14"/>
        <v>8.2468775769877389</v>
      </c>
      <c r="AI36" s="3"/>
      <c r="AJ36" s="162">
        <f t="shared" si="15"/>
        <v>1.9265486071234041</v>
      </c>
      <c r="AK36" s="3"/>
      <c r="AL36" s="161">
        <f t="shared" si="7"/>
        <v>29.517014392159879</v>
      </c>
      <c r="AM36" s="3"/>
      <c r="AN36" s="162">
        <f>INDEX('(2.2)_Forward_Price_Curve'!$I:$I,MATCH($AB36,'(2.2)_Forward_Price_Curve'!$C:$C,0),1)</f>
        <v>4.29</v>
      </c>
      <c r="AO36" s="3"/>
      <c r="AP36" s="162">
        <f t="shared" si="8"/>
        <v>30.732447994542973</v>
      </c>
      <c r="AQ36" s="3"/>
      <c r="AR36" s="162">
        <f t="shared" si="16"/>
        <v>3.9328598710535663</v>
      </c>
      <c r="AS36" s="162"/>
      <c r="AT36" s="161">
        <f t="shared" si="1"/>
        <v>24.161277537469665</v>
      </c>
      <c r="AU36" s="3"/>
      <c r="AV36" s="161">
        <f t="shared" si="2"/>
        <v>78.170269236920191</v>
      </c>
      <c r="AW36" s="299"/>
      <c r="AX36" s="163">
        <f t="shared" si="9"/>
        <v>102.33154677438986</v>
      </c>
      <c r="AZ36" s="154">
        <f>+IF(AZ35&gt;$G$13+$G$14,XX,AZ35+1)</f>
        <v>2009</v>
      </c>
      <c r="BA36" s="124"/>
      <c r="BB36" s="769">
        <f t="shared" si="17"/>
        <v>57.72719215026688</v>
      </c>
      <c r="BC36" s="757"/>
      <c r="BD36" s="769">
        <f t="shared" si="18"/>
        <v>12.551072847974035</v>
      </c>
      <c r="BE36" s="757"/>
      <c r="BF36" s="769">
        <f t="shared" si="10"/>
        <v>5.3557368546902158</v>
      </c>
      <c r="BG36" s="3"/>
      <c r="BH36" s="165"/>
    </row>
    <row r="37" spans="2:60" ht="12">
      <c r="B37" s="2"/>
      <c r="C37" s="6">
        <f>+IF(C36&gt;$G$13+$G$14,XX,C36+1)</f>
        <v>2010</v>
      </c>
      <c r="D37" s="6"/>
      <c r="E37" s="292">
        <f>'(2.2)_Forward_Price_Curve'!$CH$40</f>
        <v>2.5000000000000001E-2</v>
      </c>
      <c r="F37" s="6"/>
      <c r="G37" s="20">
        <v>2255</v>
      </c>
      <c r="H37" s="6"/>
      <c r="I37" s="293">
        <f t="shared" si="11"/>
        <v>52.939301296081517</v>
      </c>
      <c r="J37" s="6"/>
      <c r="K37" s="293">
        <f t="shared" si="3"/>
        <v>0</v>
      </c>
      <c r="L37" s="6"/>
      <c r="M37" s="293">
        <f t="shared" si="4"/>
        <v>0</v>
      </c>
      <c r="N37" s="6"/>
      <c r="O37" s="295"/>
      <c r="P37" s="6"/>
      <c r="Q37" s="30"/>
      <c r="R37" s="6"/>
      <c r="S37" s="20">
        <v>0</v>
      </c>
      <c r="T37" s="6"/>
      <c r="U37" s="20">
        <f t="shared" si="12"/>
        <v>94.757091236215501</v>
      </c>
      <c r="V37" s="6"/>
      <c r="W37" s="20">
        <f t="shared" si="5"/>
        <v>-94.757091236215501</v>
      </c>
      <c r="X37" s="6"/>
      <c r="Y37" s="296">
        <f t="shared" si="6"/>
        <v>-42.020883031581157</v>
      </c>
      <c r="Z37" s="255"/>
      <c r="AB37" s="154">
        <f>+IF(AB36&gt;$G$13+$G$14,XX,AB36+1)</f>
        <v>2010</v>
      </c>
      <c r="AC37" s="124"/>
      <c r="AD37" s="159">
        <f t="shared" si="0"/>
        <v>2255</v>
      </c>
      <c r="AE37" s="3"/>
      <c r="AF37" s="162">
        <f t="shared" si="13"/>
        <v>68.884549534566446</v>
      </c>
      <c r="AG37" s="3"/>
      <c r="AH37" s="162">
        <f t="shared" si="14"/>
        <v>8.4530495164124311</v>
      </c>
      <c r="AI37" s="3"/>
      <c r="AJ37" s="162">
        <f t="shared" si="15"/>
        <v>1.9747123223014891</v>
      </c>
      <c r="AK37" s="3"/>
      <c r="AL37" s="161">
        <f t="shared" si="7"/>
        <v>30.254939751963871</v>
      </c>
      <c r="AM37" s="3"/>
      <c r="AN37" s="162">
        <f>INDEX('(2.2)_Forward_Price_Curve'!$I:$I,MATCH($AB37,'(2.2)_Forward_Price_Curve'!$C:$C,0),1)</f>
        <v>3.77</v>
      </c>
      <c r="AO37" s="3"/>
      <c r="AP37" s="162">
        <f t="shared" si="8"/>
        <v>27.007302783083222</v>
      </c>
      <c r="AQ37" s="3"/>
      <c r="AR37" s="162">
        <f t="shared" si="16"/>
        <v>4.0311813678299053</v>
      </c>
      <c r="AS37" s="162"/>
      <c r="AT37" s="161">
        <f t="shared" si="1"/>
        <v>24.765309475906399</v>
      </c>
      <c r="AU37" s="3"/>
      <c r="AV37" s="161">
        <f t="shared" si="2"/>
        <v>69.991781760309109</v>
      </c>
      <c r="AW37" s="299"/>
      <c r="AX37" s="163">
        <f t="shared" si="9"/>
        <v>94.757091236215501</v>
      </c>
      <c r="AZ37" s="154">
        <f>+IF(AZ36&gt;$G$13+$G$14,XX,AZ36+1)</f>
        <v>2010</v>
      </c>
      <c r="BA37" s="124"/>
      <c r="BB37" s="769">
        <f t="shared" si="17"/>
        <v>59.170371954023544</v>
      </c>
      <c r="BC37" s="757"/>
      <c r="BD37" s="769">
        <f t="shared" si="18"/>
        <v>12.864849669173385</v>
      </c>
      <c r="BE37" s="757"/>
      <c r="BF37" s="769">
        <f t="shared" si="10"/>
        <v>5.4896302760574711</v>
      </c>
      <c r="BG37" s="3"/>
      <c r="BH37" s="165"/>
    </row>
    <row r="38" spans="2:60" ht="12">
      <c r="B38" s="2"/>
      <c r="C38" s="6">
        <f>+IF(C37&gt;$G$13+$G$14,XX,C37+1)</f>
        <v>2011</v>
      </c>
      <c r="D38" s="6"/>
      <c r="E38" s="292">
        <f>'(2.2)_Forward_Price_Curve'!$CH$40</f>
        <v>2.5000000000000001E-2</v>
      </c>
      <c r="F38" s="6"/>
      <c r="G38" s="20">
        <v>2255</v>
      </c>
      <c r="H38" s="6"/>
      <c r="I38" s="293">
        <f t="shared" si="11"/>
        <v>54.262783828483549</v>
      </c>
      <c r="J38" s="6"/>
      <c r="K38" s="293">
        <f t="shared" si="3"/>
        <v>0</v>
      </c>
      <c r="L38" s="6"/>
      <c r="M38" s="293">
        <f t="shared" si="4"/>
        <v>0</v>
      </c>
      <c r="N38" s="6"/>
      <c r="O38" s="295"/>
      <c r="P38" s="6"/>
      <c r="Q38" s="30"/>
      <c r="R38" s="6"/>
      <c r="S38" s="20">
        <v>0</v>
      </c>
      <c r="T38" s="6"/>
      <c r="U38" s="20">
        <f t="shared" ref="U38:U47" si="19">AX38</f>
        <v>97.865074790528098</v>
      </c>
      <c r="V38" s="6"/>
      <c r="W38" s="20">
        <f t="shared" ref="W38:W47" si="20">S38-U38</f>
        <v>-97.865074790528098</v>
      </c>
      <c r="X38" s="6"/>
      <c r="Y38" s="296">
        <f t="shared" ref="Y38:Y47" si="21">+W38*1000/G38</f>
        <v>-43.39914624857122</v>
      </c>
      <c r="Z38" s="255"/>
      <c r="AB38" s="154">
        <f>+IF(AB37&gt;$G$13+$G$14,XX,AB37+1)</f>
        <v>2011</v>
      </c>
      <c r="AC38" s="124"/>
      <c r="AD38" s="159">
        <f t="shared" ref="AD38:AD57" si="22">G38</f>
        <v>2255</v>
      </c>
      <c r="AE38" s="3"/>
      <c r="AF38" s="162">
        <f t="shared" si="13"/>
        <v>70.606663272930604</v>
      </c>
      <c r="AG38" s="3"/>
      <c r="AH38" s="162">
        <f t="shared" si="14"/>
        <v>8.6643757543227409</v>
      </c>
      <c r="AI38" s="3"/>
      <c r="AJ38" s="162">
        <f t="shared" si="15"/>
        <v>2.0240801303590263</v>
      </c>
      <c r="AK38" s="3"/>
      <c r="AL38" s="161">
        <f t="shared" ref="AL38:AL57" si="23">((AF38+AH38)*$AF$11*1000+AJ38*AD38)/1000</f>
        <v>31.011313245762967</v>
      </c>
      <c r="AM38" s="3"/>
      <c r="AN38" s="162">
        <f>INDEX('(2.2)_Forward_Price_Curve'!$I:$I,MATCH($AB38,'(2.2)_Forward_Price_Curve'!$C:$C,0),1)</f>
        <v>3.91</v>
      </c>
      <c r="AO38" s="3"/>
      <c r="AP38" s="162">
        <f t="shared" ref="AP38:AP57" si="24">AN38*$AF$14/1000</f>
        <v>28.010226493860845</v>
      </c>
      <c r="AQ38" s="3"/>
      <c r="AR38" s="162">
        <f t="shared" si="16"/>
        <v>4.1319609020256527</v>
      </c>
      <c r="AS38" s="162"/>
      <c r="AT38" s="161">
        <f t="shared" ref="AT38:AT57" si="25">AL38-BF38</f>
        <v>25.384442212804061</v>
      </c>
      <c r="AU38" s="3"/>
      <c r="AV38" s="161">
        <f t="shared" ref="AV38:AV57" si="26">(AP38+AR38)*AD38/1000</f>
        <v>72.480632577724037</v>
      </c>
      <c r="AW38" s="299"/>
      <c r="AX38" s="163">
        <f t="shared" ref="AX38:AX57" si="27">AT38+AV38</f>
        <v>97.865074790528098</v>
      </c>
      <c r="AZ38" s="154">
        <f>+IF(AZ37&gt;$G$13+$G$14,XX,AZ37+1)</f>
        <v>2011</v>
      </c>
      <c r="BA38" s="124"/>
      <c r="BB38" s="769">
        <f t="shared" si="17"/>
        <v>60.64963125287413</v>
      </c>
      <c r="BC38" s="757"/>
      <c r="BD38" s="769">
        <f t="shared" si="18"/>
        <v>13.186470910902719</v>
      </c>
      <c r="BE38" s="757"/>
      <c r="BF38" s="769">
        <f t="shared" ref="BF38:BF57" si="28">(BB38+BD38)*$BD$11</f>
        <v>5.6268710329589062</v>
      </c>
      <c r="BG38" s="3"/>
      <c r="BH38" s="165"/>
    </row>
    <row r="39" spans="2:60" ht="12">
      <c r="B39" s="2"/>
      <c r="C39" s="6">
        <f>+IF(C38&gt;$G$13+$G$14,XX,C38+1)</f>
        <v>2012</v>
      </c>
      <c r="D39" s="6"/>
      <c r="E39" s="292">
        <f>'(2.2)_Forward_Price_Curve'!$CH$40</f>
        <v>2.5000000000000001E-2</v>
      </c>
      <c r="F39" s="6"/>
      <c r="G39" s="20">
        <v>2255</v>
      </c>
      <c r="H39" s="6"/>
      <c r="I39" s="293">
        <f t="shared" si="11"/>
        <v>55.61935342419563</v>
      </c>
      <c r="J39" s="6"/>
      <c r="K39" s="293">
        <f t="shared" si="3"/>
        <v>0</v>
      </c>
      <c r="L39" s="6"/>
      <c r="M39" s="293">
        <f t="shared" si="4"/>
        <v>0</v>
      </c>
      <c r="N39" s="6"/>
      <c r="O39" s="295"/>
      <c r="P39" s="6"/>
      <c r="Q39" s="30"/>
      <c r="R39" s="6"/>
      <c r="S39" s="20">
        <v>0</v>
      </c>
      <c r="T39" s="6"/>
      <c r="U39" s="20">
        <f t="shared" si="19"/>
        <v>106.64820052901231</v>
      </c>
      <c r="V39" s="6"/>
      <c r="W39" s="20">
        <f t="shared" si="20"/>
        <v>-106.64820052901231</v>
      </c>
      <c r="X39" s="6"/>
      <c r="Y39" s="296">
        <f t="shared" si="21"/>
        <v>-47.294102230160675</v>
      </c>
      <c r="Z39" s="255"/>
      <c r="AB39" s="154">
        <f>+IF(AB38&gt;$G$13+$G$14,XX,AB38+1)</f>
        <v>2012</v>
      </c>
      <c r="AC39" s="124"/>
      <c r="AD39" s="159">
        <f t="shared" si="22"/>
        <v>2255</v>
      </c>
      <c r="AE39" s="3"/>
      <c r="AF39" s="162">
        <f t="shared" si="13"/>
        <v>72.371829854753869</v>
      </c>
      <c r="AG39" s="3"/>
      <c r="AH39" s="162">
        <f t="shared" si="14"/>
        <v>8.8809851481808089</v>
      </c>
      <c r="AI39" s="3"/>
      <c r="AJ39" s="162">
        <f t="shared" si="15"/>
        <v>2.0746821336180017</v>
      </c>
      <c r="AK39" s="3"/>
      <c r="AL39" s="161">
        <f t="shared" si="23"/>
        <v>31.786596076907038</v>
      </c>
      <c r="AM39" s="3"/>
      <c r="AN39" s="162">
        <f>INDEX('(2.2)_Forward_Price_Curve'!$I:$I,MATCH($AB39,'(2.2)_Forward_Price_Curve'!$C:$C,0),1)</f>
        <v>4.4000000000000004</v>
      </c>
      <c r="AO39" s="3"/>
      <c r="AP39" s="162">
        <f t="shared" si="24"/>
        <v>31.520459481582542</v>
      </c>
      <c r="AQ39" s="3"/>
      <c r="AR39" s="162">
        <f t="shared" si="16"/>
        <v>4.2352599245762939</v>
      </c>
      <c r="AS39" s="162"/>
      <c r="AT39" s="161">
        <f t="shared" si="25"/>
        <v>26.019053268124161</v>
      </c>
      <c r="AU39" s="3"/>
      <c r="AV39" s="161">
        <f t="shared" si="26"/>
        <v>80.629147260888161</v>
      </c>
      <c r="AW39" s="299"/>
      <c r="AX39" s="163">
        <f t="shared" si="27"/>
        <v>106.64820052901231</v>
      </c>
      <c r="AZ39" s="154">
        <f>+IF(AZ38&gt;$G$13+$G$14,XX,AZ38+1)</f>
        <v>2012</v>
      </c>
      <c r="BA39" s="124"/>
      <c r="BB39" s="769">
        <f t="shared" si="17"/>
        <v>62.165872034195978</v>
      </c>
      <c r="BC39" s="757"/>
      <c r="BD39" s="769">
        <f t="shared" si="18"/>
        <v>13.516132683675286</v>
      </c>
      <c r="BE39" s="757"/>
      <c r="BF39" s="769">
        <f t="shared" si="28"/>
        <v>5.7675428087828795</v>
      </c>
      <c r="BG39" s="3"/>
      <c r="BH39" s="165"/>
    </row>
    <row r="40" spans="2:60" ht="12">
      <c r="B40" s="2"/>
      <c r="C40" s="6">
        <f>+IF(C39&gt;$G$13+$G$14,XX,C39+1)</f>
        <v>2013</v>
      </c>
      <c r="D40" s="6"/>
      <c r="E40" s="292">
        <f>'(2.2)_Forward_Price_Curve'!$CH$40</f>
        <v>2.5000000000000001E-2</v>
      </c>
      <c r="F40" s="6"/>
      <c r="G40" s="20">
        <v>2255</v>
      </c>
      <c r="H40" s="6"/>
      <c r="I40" s="293">
        <f t="shared" si="11"/>
        <v>57.009837259800513</v>
      </c>
      <c r="J40" s="6"/>
      <c r="K40" s="293">
        <f t="shared" si="3"/>
        <v>0</v>
      </c>
      <c r="L40" s="6"/>
      <c r="M40" s="293">
        <f t="shared" si="4"/>
        <v>0</v>
      </c>
      <c r="N40" s="6"/>
      <c r="O40" s="295"/>
      <c r="P40" s="6"/>
      <c r="Q40" s="30"/>
      <c r="R40" s="6"/>
      <c r="S40" s="20">
        <v>0</v>
      </c>
      <c r="T40" s="6"/>
      <c r="U40" s="20">
        <f t="shared" si="19"/>
        <v>111.41445615519808</v>
      </c>
      <c r="V40" s="6"/>
      <c r="W40" s="20">
        <f t="shared" si="20"/>
        <v>-111.41445615519808</v>
      </c>
      <c r="X40" s="6"/>
      <c r="Y40" s="296">
        <f t="shared" si="21"/>
        <v>-49.407741088779638</v>
      </c>
      <c r="Z40" s="255"/>
      <c r="AB40" s="154">
        <f>+IF(AB39&gt;$G$13+$G$14,XX,AB39+1)</f>
        <v>2013</v>
      </c>
      <c r="AC40" s="124"/>
      <c r="AD40" s="159">
        <f t="shared" si="22"/>
        <v>2255</v>
      </c>
      <c r="AE40" s="3"/>
      <c r="AF40" s="162">
        <f t="shared" si="13"/>
        <v>74.181125601122716</v>
      </c>
      <c r="AG40" s="3"/>
      <c r="AH40" s="162">
        <f t="shared" si="14"/>
        <v>9.1030097768853278</v>
      </c>
      <c r="AI40" s="3"/>
      <c r="AJ40" s="162">
        <f t="shared" si="15"/>
        <v>2.1265491869584516</v>
      </c>
      <c r="AK40" s="3"/>
      <c r="AL40" s="161">
        <f t="shared" si="23"/>
        <v>32.581260978829711</v>
      </c>
      <c r="AM40" s="3"/>
      <c r="AN40" s="162">
        <f>INDEX('(2.2)_Forward_Price_Curve'!$I:$I,MATCH($AB40,'(2.2)_Forward_Price_Curve'!$C:$C,0),1)</f>
        <v>4.6399999999999997</v>
      </c>
      <c r="AO40" s="3"/>
      <c r="AP40" s="162">
        <f t="shared" si="24"/>
        <v>33.239757271487044</v>
      </c>
      <c r="AQ40" s="3"/>
      <c r="AR40" s="162">
        <f t="shared" si="16"/>
        <v>4.3411414226907006</v>
      </c>
      <c r="AS40" s="162"/>
      <c r="AT40" s="161">
        <f t="shared" si="25"/>
        <v>26.669529599827261</v>
      </c>
      <c r="AU40" s="3"/>
      <c r="AV40" s="161">
        <f t="shared" si="26"/>
        <v>84.744926555370824</v>
      </c>
      <c r="AW40" s="299"/>
      <c r="AX40" s="163">
        <f t="shared" si="27"/>
        <v>111.41445615519808</v>
      </c>
      <c r="AZ40" s="154">
        <f>+IF(AZ39&gt;$G$13+$G$14,XX,AZ39+1)</f>
        <v>2013</v>
      </c>
      <c r="BA40" s="124"/>
      <c r="BB40" s="769">
        <f t="shared" si="17"/>
        <v>63.720018835050872</v>
      </c>
      <c r="BC40" s="757"/>
      <c r="BD40" s="769">
        <f t="shared" si="18"/>
        <v>13.854036000767167</v>
      </c>
      <c r="BE40" s="757"/>
      <c r="BF40" s="769">
        <f t="shared" si="28"/>
        <v>5.9117313790024504</v>
      </c>
      <c r="BG40" s="3"/>
      <c r="BH40" s="165"/>
    </row>
    <row r="41" spans="2:60" ht="12">
      <c r="B41" s="2"/>
      <c r="C41" s="6">
        <f>+IF(C40&gt;$G$13+$G$14,XX,C40+1)</f>
        <v>2014</v>
      </c>
      <c r="D41" s="6"/>
      <c r="E41" s="292">
        <f>'(2.2)_Forward_Price_Curve'!$CH$40</f>
        <v>2.5000000000000001E-2</v>
      </c>
      <c r="F41" s="6"/>
      <c r="G41" s="20">
        <v>2255</v>
      </c>
      <c r="H41" s="6"/>
      <c r="I41" s="293">
        <f t="shared" si="11"/>
        <v>58.435083191295519</v>
      </c>
      <c r="J41" s="6"/>
      <c r="K41" s="293">
        <f t="shared" si="3"/>
        <v>0</v>
      </c>
      <c r="L41" s="6"/>
      <c r="M41" s="293">
        <f t="shared" si="4"/>
        <v>0</v>
      </c>
      <c r="N41" s="6"/>
      <c r="O41" s="295"/>
      <c r="P41" s="6"/>
      <c r="Q41" s="30"/>
      <c r="R41" s="6"/>
      <c r="S41" s="20">
        <v>0</v>
      </c>
      <c r="T41" s="6"/>
      <c r="U41" s="20">
        <f t="shared" si="19"/>
        <v>109.25662150087884</v>
      </c>
      <c r="V41" s="6"/>
      <c r="W41" s="20">
        <f t="shared" si="20"/>
        <v>-109.25662150087884</v>
      </c>
      <c r="X41" s="6"/>
      <c r="Y41" s="296">
        <f t="shared" si="21"/>
        <v>-48.450829933870885</v>
      </c>
      <c r="Z41" s="255"/>
      <c r="AB41" s="154">
        <f>+IF(AB40&gt;$G$13+$G$14,XX,AB40+1)</f>
        <v>2014</v>
      </c>
      <c r="AC41" s="124"/>
      <c r="AD41" s="159">
        <f t="shared" si="22"/>
        <v>2255</v>
      </c>
      <c r="AE41" s="3"/>
      <c r="AF41" s="162">
        <f t="shared" si="13"/>
        <v>76.035653741150782</v>
      </c>
      <c r="AG41" s="3"/>
      <c r="AH41" s="162">
        <f t="shared" si="14"/>
        <v>9.3305850213074599</v>
      </c>
      <c r="AI41" s="3"/>
      <c r="AJ41" s="162">
        <f t="shared" si="15"/>
        <v>2.1797129166324125</v>
      </c>
      <c r="AK41" s="3"/>
      <c r="AL41" s="161">
        <f t="shared" si="23"/>
        <v>33.395792503300449</v>
      </c>
      <c r="AM41" s="3"/>
      <c r="AN41" s="162">
        <f>INDEX('(2.2)_Forward_Price_Curve'!$I:$I,MATCH($AB41,'(2.2)_Forward_Price_Curve'!$C:$C,0),1)</f>
        <v>4.45</v>
      </c>
      <c r="AO41" s="3"/>
      <c r="AP41" s="162">
        <f t="shared" si="24"/>
        <v>31.878646521145978</v>
      </c>
      <c r="AQ41" s="3"/>
      <c r="AR41" s="162">
        <f t="shared" si="16"/>
        <v>4.4496699582579673</v>
      </c>
      <c r="AS41" s="162"/>
      <c r="AT41" s="161">
        <f t="shared" si="25"/>
        <v>27.336267839822938</v>
      </c>
      <c r="AU41" s="3"/>
      <c r="AV41" s="161">
        <f t="shared" si="26"/>
        <v>81.920353661055898</v>
      </c>
      <c r="AW41" s="299"/>
      <c r="AX41" s="163">
        <f t="shared" si="27"/>
        <v>109.25662150087884</v>
      </c>
      <c r="AZ41" s="154">
        <f>+IF(AZ40&gt;$G$13+$G$14,XX,AZ40+1)</f>
        <v>2014</v>
      </c>
      <c r="BA41" s="124"/>
      <c r="BB41" s="769">
        <f t="shared" si="17"/>
        <v>65.313019305927142</v>
      </c>
      <c r="BC41" s="757"/>
      <c r="BD41" s="769">
        <f t="shared" si="18"/>
        <v>14.200386900786345</v>
      </c>
      <c r="BE41" s="757"/>
      <c r="BF41" s="769">
        <f t="shared" si="28"/>
        <v>6.0595246634775117</v>
      </c>
      <c r="BG41" s="3"/>
      <c r="BH41" s="165"/>
    </row>
    <row r="42" spans="2:60" ht="12">
      <c r="B42" s="2"/>
      <c r="C42" s="6">
        <f>+IF(C41&gt;$G$13+$G$14,XX,C41+1)</f>
        <v>2015</v>
      </c>
      <c r="D42" s="6"/>
      <c r="E42" s="292">
        <f>'(2.2)_Forward_Price_Curve'!$CH$40</f>
        <v>2.5000000000000001E-2</v>
      </c>
      <c r="F42" s="6"/>
      <c r="G42" s="20">
        <v>2255</v>
      </c>
      <c r="H42" s="6"/>
      <c r="I42" s="293">
        <f t="shared" si="11"/>
        <v>59.895960271077904</v>
      </c>
      <c r="J42" s="6"/>
      <c r="K42" s="293">
        <f t="shared" si="3"/>
        <v>0</v>
      </c>
      <c r="L42" s="6"/>
      <c r="M42" s="293">
        <f t="shared" si="4"/>
        <v>0</v>
      </c>
      <c r="N42" s="6"/>
      <c r="O42" s="295"/>
      <c r="P42" s="6"/>
      <c r="Q42" s="30"/>
      <c r="R42" s="6"/>
      <c r="S42" s="20">
        <v>0</v>
      </c>
      <c r="T42" s="6"/>
      <c r="U42" s="20">
        <f t="shared" si="19"/>
        <v>117.13719959902494</v>
      </c>
      <c r="V42" s="6"/>
      <c r="W42" s="20">
        <f t="shared" si="20"/>
        <v>-117.13719959902494</v>
      </c>
      <c r="X42" s="6"/>
      <c r="Y42" s="296">
        <f t="shared" si="21"/>
        <v>-51.945543059434563</v>
      </c>
      <c r="Z42" s="255"/>
      <c r="AB42" s="154">
        <f>+IF(AB41&gt;$G$13+$G$14,XX,AB41+1)</f>
        <v>2015</v>
      </c>
      <c r="AC42" s="124"/>
      <c r="AD42" s="159">
        <f t="shared" si="22"/>
        <v>2255</v>
      </c>
      <c r="AE42" s="3"/>
      <c r="AF42" s="162">
        <f t="shared" si="13"/>
        <v>77.936545084679551</v>
      </c>
      <c r="AG42" s="3"/>
      <c r="AH42" s="162">
        <f t="shared" si="14"/>
        <v>9.5638496468401453</v>
      </c>
      <c r="AI42" s="3"/>
      <c r="AJ42" s="162">
        <f t="shared" si="15"/>
        <v>2.2342057395482224</v>
      </c>
      <c r="AK42" s="3"/>
      <c r="AL42" s="161">
        <f t="shared" si="23"/>
        <v>34.23068731588296</v>
      </c>
      <c r="AM42" s="3"/>
      <c r="AN42" s="162">
        <f>INDEX('(2.2)_Forward_Price_Curve'!$I:$I,MATCH($AB42,'(2.2)_Forward_Price_Curve'!$C:$C,0),1)</f>
        <v>4.88</v>
      </c>
      <c r="AO42" s="3"/>
      <c r="AP42" s="162">
        <f t="shared" si="24"/>
        <v>34.959055061391538</v>
      </c>
      <c r="AQ42" s="3"/>
      <c r="AR42" s="162">
        <f t="shared" si="16"/>
        <v>4.5609117072144159</v>
      </c>
      <c r="AS42" s="162"/>
      <c r="AT42" s="161">
        <f t="shared" si="25"/>
        <v>28.01967453581851</v>
      </c>
      <c r="AU42" s="3"/>
      <c r="AV42" s="161">
        <f t="shared" si="26"/>
        <v>89.117525063206429</v>
      </c>
      <c r="AW42" s="299"/>
      <c r="AX42" s="163">
        <f t="shared" si="27"/>
        <v>117.13719959902494</v>
      </c>
      <c r="AZ42" s="154">
        <f>+IF(AZ41&gt;$G$13+$G$14,XX,AZ41+1)</f>
        <v>2015</v>
      </c>
      <c r="BA42" s="124"/>
      <c r="BB42" s="769">
        <f t="shared" si="17"/>
        <v>66.945844788575315</v>
      </c>
      <c r="BC42" s="757"/>
      <c r="BD42" s="769">
        <f t="shared" si="18"/>
        <v>14.555396573306002</v>
      </c>
      <c r="BE42" s="757"/>
      <c r="BF42" s="769">
        <f t="shared" si="28"/>
        <v>6.2110127800644488</v>
      </c>
      <c r="BG42" s="3"/>
      <c r="BH42" s="165"/>
    </row>
    <row r="43" spans="2:60" ht="12">
      <c r="B43" s="2"/>
      <c r="C43" s="6">
        <f>+IF(C42&gt;$G$13+$G$14,XX,C42+1)</f>
        <v>2016</v>
      </c>
      <c r="D43" s="6"/>
      <c r="E43" s="292">
        <f>'(2.2)_Forward_Price_Curve'!$CH$40</f>
        <v>2.5000000000000001E-2</v>
      </c>
      <c r="F43" s="6"/>
      <c r="G43" s="20">
        <v>2255</v>
      </c>
      <c r="H43" s="6"/>
      <c r="I43" s="293">
        <f t="shared" si="11"/>
        <v>61.393359277854849</v>
      </c>
      <c r="J43" s="6"/>
      <c r="K43" s="293">
        <f t="shared" si="3"/>
        <v>0</v>
      </c>
      <c r="L43" s="6"/>
      <c r="M43" s="293">
        <f t="shared" si="4"/>
        <v>0</v>
      </c>
      <c r="N43" s="6"/>
      <c r="O43" s="295"/>
      <c r="P43" s="6"/>
      <c r="Q43" s="30"/>
      <c r="R43" s="6"/>
      <c r="S43" s="20">
        <v>0</v>
      </c>
      <c r="T43" s="6"/>
      <c r="U43" s="20">
        <f t="shared" si="19"/>
        <v>121.64874466646306</v>
      </c>
      <c r="V43" s="6"/>
      <c r="W43" s="20">
        <f t="shared" si="20"/>
        <v>-121.64874466646306</v>
      </c>
      <c r="X43" s="6"/>
      <c r="Y43" s="296">
        <f t="shared" si="21"/>
        <v>-53.946228233464772</v>
      </c>
      <c r="Z43" s="255"/>
      <c r="AB43" s="154">
        <f>+IF(AB42&gt;$G$13+$G$14,XX,AB42+1)</f>
        <v>2016</v>
      </c>
      <c r="AC43" s="124"/>
      <c r="AD43" s="159">
        <f t="shared" si="22"/>
        <v>2255</v>
      </c>
      <c r="AE43" s="3"/>
      <c r="AF43" s="162">
        <f t="shared" si="13"/>
        <v>79.884958711796529</v>
      </c>
      <c r="AG43" s="3"/>
      <c r="AH43" s="162">
        <f t="shared" si="14"/>
        <v>9.8029458880111484</v>
      </c>
      <c r="AI43" s="3"/>
      <c r="AJ43" s="162">
        <f t="shared" si="15"/>
        <v>2.290060883036928</v>
      </c>
      <c r="AK43" s="3"/>
      <c r="AL43" s="161">
        <f t="shared" si="23"/>
        <v>35.086454498780036</v>
      </c>
      <c r="AM43" s="3"/>
      <c r="AN43" s="162">
        <f>INDEX('(2.2)_Forward_Price_Curve'!$I:$I,MATCH($AB43,'(2.2)_Forward_Price_Curve'!$C:$C,0),1)</f>
        <v>5.0999999999999996</v>
      </c>
      <c r="AO43" s="3"/>
      <c r="AP43" s="162">
        <f t="shared" si="24"/>
        <v>36.535078035470669</v>
      </c>
      <c r="AQ43" s="3"/>
      <c r="AR43" s="162">
        <f t="shared" si="16"/>
        <v>4.6749344998947757</v>
      </c>
      <c r="AS43" s="162"/>
      <c r="AT43" s="161">
        <f t="shared" si="25"/>
        <v>28.720166399213976</v>
      </c>
      <c r="AU43" s="3"/>
      <c r="AV43" s="161">
        <f t="shared" si="26"/>
        <v>92.92857826724908</v>
      </c>
      <c r="AW43" s="299"/>
      <c r="AX43" s="163">
        <f t="shared" si="27"/>
        <v>121.64874466646306</v>
      </c>
      <c r="AZ43" s="154">
        <f>+IF(AZ42&gt;$G$13+$G$14,XX,AZ42+1)</f>
        <v>2016</v>
      </c>
      <c r="BA43" s="124"/>
      <c r="BB43" s="769">
        <f t="shared" si="17"/>
        <v>68.619490908289691</v>
      </c>
      <c r="BC43" s="757"/>
      <c r="BD43" s="769">
        <f t="shared" si="18"/>
        <v>14.919281487638651</v>
      </c>
      <c r="BE43" s="757"/>
      <c r="BF43" s="769">
        <f t="shared" si="28"/>
        <v>6.3662880995660602</v>
      </c>
      <c r="BG43" s="3"/>
      <c r="BH43" s="165"/>
    </row>
    <row r="44" spans="2:60" ht="12">
      <c r="B44" s="2"/>
      <c r="C44" s="6">
        <f>+IF(C43&gt;$G$13+$G$14,XX,C43+1)</f>
        <v>2017</v>
      </c>
      <c r="D44" s="6"/>
      <c r="E44" s="292">
        <f>'(2.2)_Forward_Price_Curve'!$CH$40</f>
        <v>2.5000000000000001E-2</v>
      </c>
      <c r="F44" s="6"/>
      <c r="G44" s="20">
        <v>2255</v>
      </c>
      <c r="H44" s="6"/>
      <c r="I44" s="293">
        <f t="shared" si="11"/>
        <v>62.928193259801212</v>
      </c>
      <c r="J44" s="6"/>
      <c r="K44" s="293">
        <f t="shared" si="3"/>
        <v>0</v>
      </c>
      <c r="L44" s="6"/>
      <c r="M44" s="293">
        <f t="shared" si="4"/>
        <v>0</v>
      </c>
      <c r="N44" s="6"/>
      <c r="O44" s="295"/>
      <c r="P44" s="6"/>
      <c r="Q44" s="30"/>
      <c r="R44" s="6"/>
      <c r="S44" s="20">
        <v>0</v>
      </c>
      <c r="T44" s="6"/>
      <c r="U44" s="20">
        <f t="shared" si="19"/>
        <v>124.5688065169923</v>
      </c>
      <c r="V44" s="6"/>
      <c r="W44" s="20">
        <f t="shared" si="20"/>
        <v>-124.5688065169923</v>
      </c>
      <c r="X44" s="6"/>
      <c r="Y44" s="296">
        <f t="shared" si="21"/>
        <v>-55.241155883366872</v>
      </c>
      <c r="Z44" s="255"/>
      <c r="AB44" s="154">
        <f>+IF(AB43&gt;$G$13+$G$14,XX,AB43+1)</f>
        <v>2017</v>
      </c>
      <c r="AC44" s="124"/>
      <c r="AD44" s="159">
        <f t="shared" si="22"/>
        <v>2255</v>
      </c>
      <c r="AE44" s="3"/>
      <c r="AF44" s="162">
        <f t="shared" si="13"/>
        <v>81.882082679591434</v>
      </c>
      <c r="AG44" s="3"/>
      <c r="AH44" s="162">
        <f t="shared" si="14"/>
        <v>10.048019535211425</v>
      </c>
      <c r="AI44" s="3"/>
      <c r="AJ44" s="162">
        <f t="shared" si="15"/>
        <v>2.3473124051128509</v>
      </c>
      <c r="AK44" s="3"/>
      <c r="AL44" s="161">
        <f t="shared" si="23"/>
        <v>35.963615861249529</v>
      </c>
      <c r="AM44" s="3"/>
      <c r="AN44" s="162">
        <f>INDEX('(2.2)_Forward_Price_Curve'!$I:$I,MATCH($AB44,'(2.2)_Forward_Price_Curve'!$C:$C,0),1)</f>
        <v>5.22</v>
      </c>
      <c r="AO44" s="3"/>
      <c r="AP44" s="162">
        <f t="shared" si="24"/>
        <v>37.39472693042292</v>
      </c>
      <c r="AQ44" s="3"/>
      <c r="AR44" s="162">
        <f t="shared" si="16"/>
        <v>4.7918078623921447</v>
      </c>
      <c r="AS44" s="162"/>
      <c r="AT44" s="161">
        <f t="shared" si="25"/>
        <v>29.438170559194319</v>
      </c>
      <c r="AU44" s="3"/>
      <c r="AV44" s="161">
        <f t="shared" si="26"/>
        <v>95.130635957797978</v>
      </c>
      <c r="AW44" s="299"/>
      <c r="AX44" s="163">
        <f t="shared" si="27"/>
        <v>124.5688065169923</v>
      </c>
      <c r="AZ44" s="154">
        <f>+IF(AZ43&gt;$G$13+$G$14,XX,AZ43+1)</f>
        <v>2017</v>
      </c>
      <c r="BA44" s="124"/>
      <c r="BB44" s="769">
        <f t="shared" si="17"/>
        <v>70.334978180996927</v>
      </c>
      <c r="BC44" s="757"/>
      <c r="BD44" s="769">
        <f t="shared" si="18"/>
        <v>15.292263524829616</v>
      </c>
      <c r="BE44" s="757"/>
      <c r="BF44" s="769">
        <f t="shared" si="28"/>
        <v>6.5254453020552114</v>
      </c>
      <c r="BG44" s="3"/>
      <c r="BH44" s="165"/>
    </row>
    <row r="45" spans="2:60" ht="12">
      <c r="B45" s="2"/>
      <c r="C45" s="6">
        <f>+IF(C44&gt;$G$13+$G$14,XX,C44+1)</f>
        <v>2018</v>
      </c>
      <c r="D45" s="6"/>
      <c r="E45" s="292">
        <f>'(2.2)_Forward_Price_Curve'!$CH$40</f>
        <v>2.5000000000000001E-2</v>
      </c>
      <c r="F45" s="6"/>
      <c r="G45" s="20">
        <v>2255</v>
      </c>
      <c r="H45" s="6"/>
      <c r="I45" s="293">
        <f t="shared" si="11"/>
        <v>64.501398091296238</v>
      </c>
      <c r="J45" s="6"/>
      <c r="K45" s="293">
        <f t="shared" si="3"/>
        <v>0</v>
      </c>
      <c r="L45" s="6"/>
      <c r="M45" s="293">
        <f t="shared" si="4"/>
        <v>0</v>
      </c>
      <c r="N45" s="6"/>
      <c r="O45" s="295"/>
      <c r="P45" s="6"/>
      <c r="Q45" s="30"/>
      <c r="R45" s="6"/>
      <c r="S45" s="20">
        <v>0</v>
      </c>
      <c r="T45" s="6"/>
      <c r="U45" s="20">
        <f t="shared" si="19"/>
        <v>127.51340720733182</v>
      </c>
      <c r="V45" s="6"/>
      <c r="W45" s="20">
        <f t="shared" si="20"/>
        <v>-127.51340720733182</v>
      </c>
      <c r="X45" s="6"/>
      <c r="Y45" s="296">
        <f t="shared" si="21"/>
        <v>-56.546965502142719</v>
      </c>
      <c r="Z45" s="255"/>
      <c r="AB45" s="154">
        <f>+IF(AB44&gt;$G$13+$G$14,XX,AB44+1)</f>
        <v>2018</v>
      </c>
      <c r="AC45" s="124"/>
      <c r="AD45" s="159">
        <f t="shared" si="22"/>
        <v>2255</v>
      </c>
      <c r="AE45" s="3"/>
      <c r="AF45" s="162">
        <f t="shared" si="13"/>
        <v>83.929134746581212</v>
      </c>
      <c r="AG45" s="3"/>
      <c r="AH45" s="162">
        <f t="shared" si="14"/>
        <v>10.29922002359171</v>
      </c>
      <c r="AI45" s="3"/>
      <c r="AJ45" s="162">
        <f t="shared" si="15"/>
        <v>2.4059952152406718</v>
      </c>
      <c r="AK45" s="3"/>
      <c r="AL45" s="161">
        <f t="shared" si="23"/>
        <v>36.862706257780765</v>
      </c>
      <c r="AM45" s="3"/>
      <c r="AN45" s="162">
        <f>INDEX('(2.2)_Forward_Price_Curve'!$I:$I,MATCH($AB45,'(2.2)_Forward_Price_Curve'!$C:$C,0),1)</f>
        <v>5.34</v>
      </c>
      <c r="AO45" s="3"/>
      <c r="AP45" s="162">
        <f t="shared" si="24"/>
        <v>38.25437582537517</v>
      </c>
      <c r="AQ45" s="3"/>
      <c r="AR45" s="162">
        <f t="shared" si="16"/>
        <v>4.9116030589519477</v>
      </c>
      <c r="AS45" s="162"/>
      <c r="AT45" s="161">
        <f t="shared" si="25"/>
        <v>30.174124823174175</v>
      </c>
      <c r="AU45" s="3"/>
      <c r="AV45" s="161">
        <f t="shared" si="26"/>
        <v>97.339282384157642</v>
      </c>
      <c r="AW45" s="299"/>
      <c r="AX45" s="163">
        <f t="shared" si="27"/>
        <v>127.51340720733182</v>
      </c>
      <c r="AZ45" s="154">
        <f>+IF(AZ44&gt;$G$13+$G$14,XX,AZ44+1)</f>
        <v>2018</v>
      </c>
      <c r="BA45" s="124"/>
      <c r="BB45" s="769">
        <f t="shared" si="17"/>
        <v>72.093352635521839</v>
      </c>
      <c r="BC45" s="757"/>
      <c r="BD45" s="769">
        <f t="shared" si="18"/>
        <v>15.674570112950356</v>
      </c>
      <c r="BE45" s="757"/>
      <c r="BF45" s="769">
        <f t="shared" si="28"/>
        <v>6.688581434606589</v>
      </c>
      <c r="BG45" s="3"/>
      <c r="BH45" s="165"/>
    </row>
    <row r="46" spans="2:60" ht="12">
      <c r="B46" s="2"/>
      <c r="C46" s="6">
        <f>+IF(C45&gt;$G$13+$G$14,XX,C45+1)</f>
        <v>2019</v>
      </c>
      <c r="D46" s="6"/>
      <c r="E46" s="292">
        <f>'(2.2)_Forward_Price_Curve'!$CH$40</f>
        <v>2.5000000000000001E-2</v>
      </c>
      <c r="F46" s="6"/>
      <c r="G46" s="20">
        <v>2255</v>
      </c>
      <c r="H46" s="6"/>
      <c r="I46" s="293">
        <f t="shared" si="11"/>
        <v>66.113933043578641</v>
      </c>
      <c r="J46" s="6"/>
      <c r="K46" s="293">
        <f t="shared" si="3"/>
        <v>0</v>
      </c>
      <c r="L46" s="6"/>
      <c r="M46" s="293">
        <f t="shared" si="4"/>
        <v>0</v>
      </c>
      <c r="N46" s="6"/>
      <c r="O46" s="295"/>
      <c r="P46" s="6"/>
      <c r="Q46" s="30"/>
      <c r="R46" s="6"/>
      <c r="S46" s="20">
        <v>0</v>
      </c>
      <c r="T46" s="6"/>
      <c r="U46" s="20">
        <f t="shared" si="19"/>
        <v>130.48316020847693</v>
      </c>
      <c r="V46" s="6"/>
      <c r="W46" s="20">
        <f t="shared" si="20"/>
        <v>-130.48316020847693</v>
      </c>
      <c r="X46" s="6"/>
      <c r="Y46" s="296">
        <f t="shared" si="21"/>
        <v>-57.863929139014161</v>
      </c>
      <c r="Z46" s="255"/>
      <c r="AB46" s="154">
        <f>+IF(AB45&gt;$G$13+$G$14,XX,AB45+1)</f>
        <v>2019</v>
      </c>
      <c r="AC46" s="124"/>
      <c r="AD46" s="159">
        <f t="shared" si="22"/>
        <v>2255</v>
      </c>
      <c r="AE46" s="3"/>
      <c r="AF46" s="162">
        <f t="shared" si="13"/>
        <v>86.027363115245734</v>
      </c>
      <c r="AG46" s="3"/>
      <c r="AH46" s="162">
        <f t="shared" si="14"/>
        <v>10.556700524181501</v>
      </c>
      <c r="AI46" s="3"/>
      <c r="AJ46" s="162">
        <f t="shared" si="15"/>
        <v>2.4661450956216884</v>
      </c>
      <c r="AK46" s="3"/>
      <c r="AL46" s="161">
        <f t="shared" si="23"/>
        <v>37.784273914225274</v>
      </c>
      <c r="AM46" s="3"/>
      <c r="AN46" s="162">
        <f>INDEX('(2.2)_Forward_Price_Curve'!$I:$I,MATCH($AB46,'(2.2)_Forward_Price_Curve'!$C:$C,0),1)</f>
        <v>5.46</v>
      </c>
      <c r="AO46" s="3"/>
      <c r="AP46" s="162">
        <f t="shared" si="24"/>
        <v>39.114024720327421</v>
      </c>
      <c r="AQ46" s="3"/>
      <c r="AR46" s="162">
        <f t="shared" si="16"/>
        <v>5.0343931354257458</v>
      </c>
      <c r="AS46" s="162"/>
      <c r="AT46" s="161">
        <f t="shared" si="25"/>
        <v>30.928477943753521</v>
      </c>
      <c r="AU46" s="3"/>
      <c r="AV46" s="161">
        <f t="shared" si="26"/>
        <v>99.554682264723397</v>
      </c>
      <c r="AW46" s="299"/>
      <c r="AX46" s="163">
        <f t="shared" si="27"/>
        <v>130.48316020847693</v>
      </c>
      <c r="AZ46" s="154">
        <f>+IF(AZ45&gt;$G$13+$G$14,XX,AZ45+1)</f>
        <v>2019</v>
      </c>
      <c r="BA46" s="124"/>
      <c r="BB46" s="769">
        <f t="shared" si="17"/>
        <v>73.895686451409873</v>
      </c>
      <c r="BC46" s="757"/>
      <c r="BD46" s="769">
        <f t="shared" si="18"/>
        <v>16.066434365774114</v>
      </c>
      <c r="BE46" s="757"/>
      <c r="BF46" s="769">
        <f t="shared" si="28"/>
        <v>6.8557959704717533</v>
      </c>
      <c r="BG46" s="3"/>
      <c r="BH46" s="165"/>
    </row>
    <row r="47" spans="2:60" ht="12">
      <c r="B47" s="2"/>
      <c r="C47" s="6">
        <f>+IF(C46&gt;$G$13+$G$14,XX,C46+1)</f>
        <v>2020</v>
      </c>
      <c r="D47" s="6"/>
      <c r="E47" s="292">
        <f>'(2.2)_Forward_Price_Curve'!$CH$40</f>
        <v>2.5000000000000001E-2</v>
      </c>
      <c r="F47" s="6"/>
      <c r="G47" s="20">
        <v>2255</v>
      </c>
      <c r="H47" s="6"/>
      <c r="I47" s="293">
        <f t="shared" si="11"/>
        <v>67.766781369668095</v>
      </c>
      <c r="J47" s="6"/>
      <c r="K47" s="293">
        <f t="shared" si="3"/>
        <v>0</v>
      </c>
      <c r="L47" s="6"/>
      <c r="M47" s="293">
        <f t="shared" si="4"/>
        <v>0</v>
      </c>
      <c r="N47" s="6"/>
      <c r="O47" s="295"/>
      <c r="P47" s="6"/>
      <c r="Q47" s="30"/>
      <c r="R47" s="6"/>
      <c r="S47" s="20">
        <v>0</v>
      </c>
      <c r="T47" s="6"/>
      <c r="U47" s="20">
        <f t="shared" si="19"/>
        <v>133.6402366830408</v>
      </c>
      <c r="V47" s="6"/>
      <c r="W47" s="20">
        <f t="shared" si="20"/>
        <v>-133.6402366830408</v>
      </c>
      <c r="X47" s="6"/>
      <c r="Y47" s="296">
        <f t="shared" si="21"/>
        <v>-59.263963052346256</v>
      </c>
      <c r="Z47" s="255"/>
      <c r="AB47" s="154">
        <f>+IF(AB46&gt;$G$13+$G$14,XX,AB46+1)</f>
        <v>2020</v>
      </c>
      <c r="AC47" s="124"/>
      <c r="AD47" s="159">
        <f t="shared" si="22"/>
        <v>2255</v>
      </c>
      <c r="AE47" s="3"/>
      <c r="AF47" s="162">
        <f t="shared" si="13"/>
        <v>88.178047193126872</v>
      </c>
      <c r="AG47" s="3"/>
      <c r="AH47" s="162">
        <f t="shared" si="14"/>
        <v>10.820618037286037</v>
      </c>
      <c r="AI47" s="3"/>
      <c r="AJ47" s="162">
        <f t="shared" si="15"/>
        <v>2.5277987230122303</v>
      </c>
      <c r="AK47" s="3"/>
      <c r="AL47" s="161">
        <f t="shared" si="23"/>
        <v>38.728880762080912</v>
      </c>
      <c r="AM47" s="3"/>
      <c r="AN47" s="162">
        <f>INDEX('(2.2)_Forward_Price_Curve'!$I:$I,MATCH($AB47,'(2.2)_Forward_Price_Curve'!$C:$C,0),1)</f>
        <v>5.59</v>
      </c>
      <c r="AO47" s="3"/>
      <c r="AP47" s="162">
        <f t="shared" si="24"/>
        <v>40.045311023192355</v>
      </c>
      <c r="AQ47" s="3"/>
      <c r="AR47" s="162">
        <f t="shared" si="16"/>
        <v>5.1602529638113888</v>
      </c>
      <c r="AS47" s="162"/>
      <c r="AT47" s="161">
        <f t="shared" si="25"/>
        <v>31.701689892347364</v>
      </c>
      <c r="AU47" s="3"/>
      <c r="AV47" s="161">
        <f t="shared" si="26"/>
        <v>101.93854679069344</v>
      </c>
      <c r="AW47" s="299"/>
      <c r="AX47" s="163">
        <f t="shared" si="27"/>
        <v>133.6402366830408</v>
      </c>
      <c r="AZ47" s="154">
        <f>+IF(AZ46&gt;$G$13+$G$14,XX,AZ46+1)</f>
        <v>2020</v>
      </c>
      <c r="BA47" s="124"/>
      <c r="BB47" s="769">
        <f t="shared" si="17"/>
        <v>75.743078612695115</v>
      </c>
      <c r="BC47" s="757"/>
      <c r="BD47" s="769">
        <f t="shared" si="18"/>
        <v>16.468095224918464</v>
      </c>
      <c r="BE47" s="757"/>
      <c r="BF47" s="769">
        <f t="shared" si="28"/>
        <v>7.0271908697335475</v>
      </c>
      <c r="BG47" s="3"/>
      <c r="BH47" s="165"/>
    </row>
    <row r="48" spans="2:60" ht="12">
      <c r="B48" s="2"/>
      <c r="C48" s="6">
        <f>+IF(C47&gt;$G$13+$G$14,XX,C47+1)</f>
        <v>2021</v>
      </c>
      <c r="D48" s="6"/>
      <c r="E48" s="292">
        <f>'(2.2)_Forward_Price_Curve'!$CH$40</f>
        <v>2.5000000000000001E-2</v>
      </c>
      <c r="F48" s="6"/>
      <c r="G48" s="20">
        <v>2255</v>
      </c>
      <c r="H48" s="6"/>
      <c r="I48" s="293">
        <f t="shared" si="11"/>
        <v>69.46095090390979</v>
      </c>
      <c r="J48" s="6"/>
      <c r="K48" s="293">
        <f t="shared" si="3"/>
        <v>0</v>
      </c>
      <c r="L48" s="6"/>
      <c r="M48" s="293">
        <f t="shared" si="4"/>
        <v>0</v>
      </c>
      <c r="N48" s="6"/>
      <c r="O48" s="295"/>
      <c r="P48" s="6"/>
      <c r="Q48" s="30"/>
      <c r="R48" s="6"/>
      <c r="S48" s="20">
        <v>0</v>
      </c>
      <c r="T48" s="6"/>
      <c r="U48" s="20">
        <f t="shared" si="12"/>
        <v>136.17756938477237</v>
      </c>
      <c r="V48" s="6"/>
      <c r="W48" s="20">
        <f t="shared" si="5"/>
        <v>-136.17756938477237</v>
      </c>
      <c r="X48" s="6"/>
      <c r="Y48" s="296">
        <f t="shared" si="6"/>
        <v>-60.389166024289295</v>
      </c>
      <c r="Z48" s="255"/>
      <c r="AB48" s="154">
        <f>+IF(AB47&gt;$G$13+$G$14,XX,AB47+1)</f>
        <v>2021</v>
      </c>
      <c r="AC48" s="124"/>
      <c r="AD48" s="159">
        <f t="shared" si="22"/>
        <v>2255</v>
      </c>
      <c r="AE48" s="3"/>
      <c r="AF48" s="162">
        <f t="shared" si="13"/>
        <v>90.382498372955041</v>
      </c>
      <c r="AG48" s="3"/>
      <c r="AH48" s="162">
        <f t="shared" si="14"/>
        <v>11.091133488218187</v>
      </c>
      <c r="AI48" s="3"/>
      <c r="AJ48" s="162">
        <f t="shared" si="15"/>
        <v>2.5909936910875357</v>
      </c>
      <c r="AK48" s="3"/>
      <c r="AL48" s="161">
        <f t="shared" si="23"/>
        <v>39.697102781132934</v>
      </c>
      <c r="AM48" s="3"/>
      <c r="AN48" s="162">
        <f>INDEX('(2.2)_Forward_Price_Curve'!$I:$I,MATCH($AB48,'(2.2)_Forward_Price_Curve'!$C:$C,0),1)</f>
        <v>5.68</v>
      </c>
      <c r="AO48" s="3"/>
      <c r="AP48" s="162">
        <f t="shared" si="24"/>
        <v>40.690047694406545</v>
      </c>
      <c r="AQ48" s="3"/>
      <c r="AR48" s="162">
        <f t="shared" si="16"/>
        <v>5.2892592879066731</v>
      </c>
      <c r="AS48" s="162"/>
      <c r="AT48" s="161">
        <f t="shared" si="25"/>
        <v>32.494232139656049</v>
      </c>
      <c r="AU48" s="3"/>
      <c r="AV48" s="161">
        <f t="shared" si="26"/>
        <v>103.68333724511631</v>
      </c>
      <c r="AW48" s="299"/>
      <c r="AX48" s="163">
        <f t="shared" si="27"/>
        <v>136.17756938477237</v>
      </c>
      <c r="AZ48" s="154">
        <f>+IF(AZ47&gt;$G$13+$G$14,XX,AZ47+1)</f>
        <v>2021</v>
      </c>
      <c r="BA48" s="124"/>
      <c r="BB48" s="769">
        <f t="shared" si="17"/>
        <v>77.63665557801248</v>
      </c>
      <c r="BC48" s="757"/>
      <c r="BD48" s="769">
        <f t="shared" si="18"/>
        <v>16.879797605541423</v>
      </c>
      <c r="BE48" s="757"/>
      <c r="BF48" s="769">
        <f t="shared" si="28"/>
        <v>7.2028706414768848</v>
      </c>
      <c r="BG48" s="3"/>
      <c r="BH48" s="165"/>
    </row>
    <row r="49" spans="1:60" ht="12">
      <c r="B49" s="2"/>
      <c r="C49" s="6">
        <f>+IF(C48&gt;$G$13+$G$14,XX,C48+1)</f>
        <v>2022</v>
      </c>
      <c r="D49" s="6"/>
      <c r="E49" s="292">
        <f>'(2.2)_Forward_Price_Curve'!$CH$40</f>
        <v>2.5000000000000001E-2</v>
      </c>
      <c r="F49" s="6"/>
      <c r="G49" s="20">
        <v>2255</v>
      </c>
      <c r="H49" s="6"/>
      <c r="I49" s="293">
        <f t="shared" si="11"/>
        <v>71.197474676507525</v>
      </c>
      <c r="J49" s="6"/>
      <c r="K49" s="293">
        <f t="shared" si="3"/>
        <v>0</v>
      </c>
      <c r="L49" s="6"/>
      <c r="M49" s="293">
        <f t="shared" si="4"/>
        <v>0</v>
      </c>
      <c r="N49" s="6"/>
      <c r="O49" s="295"/>
      <c r="P49" s="6"/>
      <c r="Q49" s="30"/>
      <c r="R49" s="6"/>
      <c r="S49" s="20">
        <v>0</v>
      </c>
      <c r="T49" s="6"/>
      <c r="U49" s="20">
        <f t="shared" si="12"/>
        <v>137.93427659999193</v>
      </c>
      <c r="V49" s="6"/>
      <c r="W49" s="20">
        <f t="shared" si="5"/>
        <v>-137.93427659999193</v>
      </c>
      <c r="X49" s="6"/>
      <c r="Y49" s="296">
        <f t="shared" si="6"/>
        <v>-61.168193614187103</v>
      </c>
      <c r="Z49" s="255"/>
      <c r="AB49" s="154">
        <f>+IF(AB48&gt;$G$13+$G$14,XX,AB48+1)</f>
        <v>2022</v>
      </c>
      <c r="AC49" s="124"/>
      <c r="AD49" s="159">
        <f t="shared" si="22"/>
        <v>2255</v>
      </c>
      <c r="AE49" s="3"/>
      <c r="AF49" s="162">
        <f t="shared" si="13"/>
        <v>92.642060832278915</v>
      </c>
      <c r="AG49" s="3"/>
      <c r="AH49" s="162">
        <f t="shared" si="14"/>
        <v>11.368411825423641</v>
      </c>
      <c r="AI49" s="3"/>
      <c r="AJ49" s="162">
        <f t="shared" si="15"/>
        <v>2.6557685333647241</v>
      </c>
      <c r="AK49" s="3"/>
      <c r="AL49" s="161">
        <f t="shared" si="23"/>
        <v>40.689530350661258</v>
      </c>
      <c r="AM49" s="3"/>
      <c r="AN49" s="162">
        <f>INDEX('(2.2)_Forward_Price_Curve'!$I:$I,MATCH($AB49,'(2.2)_Forward_Price_Curve'!$C:$C,0),1)</f>
        <v>5.72</v>
      </c>
      <c r="AO49" s="3"/>
      <c r="AP49" s="162">
        <f t="shared" si="24"/>
        <v>40.976597326057295</v>
      </c>
      <c r="AQ49" s="3"/>
      <c r="AR49" s="162">
        <f t="shared" si="16"/>
        <v>5.4214907701043398</v>
      </c>
      <c r="AS49" s="162"/>
      <c r="AT49" s="161">
        <f t="shared" si="25"/>
        <v>33.306587943147449</v>
      </c>
      <c r="AU49" s="3"/>
      <c r="AV49" s="161">
        <f t="shared" si="26"/>
        <v>104.62768865684448</v>
      </c>
      <c r="AW49" s="299"/>
      <c r="AX49" s="163">
        <f t="shared" si="27"/>
        <v>137.93427659999193</v>
      </c>
      <c r="AZ49" s="154">
        <f>+IF(AZ48&gt;$G$13+$G$14,XX,AZ48+1)</f>
        <v>2022</v>
      </c>
      <c r="BA49" s="124"/>
      <c r="BB49" s="769">
        <f t="shared" si="17"/>
        <v>79.577571967462788</v>
      </c>
      <c r="BC49" s="757"/>
      <c r="BD49" s="769">
        <f t="shared" si="18"/>
        <v>17.301792545679959</v>
      </c>
      <c r="BE49" s="757"/>
      <c r="BF49" s="769">
        <f t="shared" si="28"/>
        <v>7.3829424075138066</v>
      </c>
      <c r="BG49" s="3"/>
      <c r="BH49" s="165"/>
    </row>
    <row r="50" spans="1:60" ht="12">
      <c r="B50" s="2"/>
      <c r="C50" s="6">
        <f>+IF(C49&gt;$G$13+$G$14,XX,C49+1)</f>
        <v>2023</v>
      </c>
      <c r="D50" s="6"/>
      <c r="E50" s="292">
        <f>'(2.2)_Forward_Price_Curve'!$CH$40</f>
        <v>2.5000000000000001E-2</v>
      </c>
      <c r="F50" s="6"/>
      <c r="G50" s="20">
        <v>2255</v>
      </c>
      <c r="H50" s="6"/>
      <c r="I50" s="293">
        <f t="shared" si="11"/>
        <v>72.977411543420203</v>
      </c>
      <c r="J50" s="6"/>
      <c r="K50" s="293">
        <f t="shared" si="3"/>
        <v>0</v>
      </c>
      <c r="L50" s="6"/>
      <c r="M50" s="293">
        <f t="shared" si="4"/>
        <v>0</v>
      </c>
      <c r="N50" s="6"/>
      <c r="O50" s="295"/>
      <c r="P50" s="6"/>
      <c r="Q50" s="30"/>
      <c r="R50" s="6"/>
      <c r="S50" s="20">
        <v>0</v>
      </c>
      <c r="T50" s="6"/>
      <c r="U50" s="20">
        <f t="shared" si="12"/>
        <v>141.17262845369572</v>
      </c>
      <c r="V50" s="6"/>
      <c r="W50" s="20">
        <f t="shared" si="5"/>
        <v>-141.17262845369572</v>
      </c>
      <c r="X50" s="6"/>
      <c r="Y50" s="296">
        <f t="shared" si="6"/>
        <v>-62.604269824255304</v>
      </c>
      <c r="Z50" s="255"/>
      <c r="AB50" s="154">
        <f>+IF(AB49&gt;$G$13+$G$14,XX,AB49+1)</f>
        <v>2023</v>
      </c>
      <c r="AC50" s="124"/>
      <c r="AD50" s="159">
        <f t="shared" si="22"/>
        <v>2255</v>
      </c>
      <c r="AE50" s="3"/>
      <c r="AF50" s="162">
        <f t="shared" si="13"/>
        <v>94.95811235308588</v>
      </c>
      <c r="AG50" s="3"/>
      <c r="AH50" s="162">
        <f t="shared" si="14"/>
        <v>11.652622121059231</v>
      </c>
      <c r="AI50" s="3"/>
      <c r="AJ50" s="162">
        <f t="shared" si="15"/>
        <v>2.7221627466988418</v>
      </c>
      <c r="AK50" s="3"/>
      <c r="AL50" s="161">
        <f t="shared" si="23"/>
        <v>41.706768609427783</v>
      </c>
      <c r="AM50" s="3"/>
      <c r="AN50" s="162">
        <f>INDEX('(2.2)_Forward_Price_Curve'!$I:$I,MATCH($AB50,'(2.2)_Forward_Price_Curve'!$C:$C,0),1)</f>
        <v>5.85</v>
      </c>
      <c r="AO50" s="3"/>
      <c r="AP50" s="162">
        <f t="shared" si="24"/>
        <v>41.907883628922235</v>
      </c>
      <c r="AQ50" s="3"/>
      <c r="AR50" s="162">
        <f t="shared" si="16"/>
        <v>5.5570280393569478</v>
      </c>
      <c r="AS50" s="162"/>
      <c r="AT50" s="161">
        <f t="shared" si="25"/>
        <v>34.139252641726131</v>
      </c>
      <c r="AU50" s="3"/>
      <c r="AV50" s="161">
        <f t="shared" si="26"/>
        <v>107.03337581196958</v>
      </c>
      <c r="AW50" s="299"/>
      <c r="AX50" s="163">
        <f t="shared" si="27"/>
        <v>141.17262845369572</v>
      </c>
      <c r="AZ50" s="154">
        <f>+IF(AZ49&gt;$G$13+$G$14,XX,AZ49+1)</f>
        <v>2023</v>
      </c>
      <c r="BA50" s="124"/>
      <c r="BB50" s="769">
        <f t="shared" si="17"/>
        <v>81.567011266649345</v>
      </c>
      <c r="BC50" s="757"/>
      <c r="BD50" s="769">
        <f t="shared" si="18"/>
        <v>17.734337359321955</v>
      </c>
      <c r="BE50" s="757"/>
      <c r="BF50" s="769">
        <f t="shared" si="28"/>
        <v>7.5675159677016506</v>
      </c>
      <c r="BG50" s="3"/>
      <c r="BH50" s="165"/>
    </row>
    <row r="51" spans="1:60" ht="12">
      <c r="B51" s="2"/>
      <c r="C51" s="6">
        <f>+IF(C50&gt;$G$13+$G$14,XX,C50+1)</f>
        <v>2024</v>
      </c>
      <c r="D51" s="6"/>
      <c r="E51" s="292">
        <f>'(2.2)_Forward_Price_Curve'!$CH$40</f>
        <v>2.5000000000000001E-2</v>
      </c>
      <c r="F51" s="6"/>
      <c r="G51" s="20">
        <v>2255</v>
      </c>
      <c r="H51" s="6"/>
      <c r="I51" s="293">
        <f t="shared" si="11"/>
        <v>74.801846832005708</v>
      </c>
      <c r="J51" s="6"/>
      <c r="K51" s="293">
        <f t="shared" si="3"/>
        <v>0</v>
      </c>
      <c r="L51" s="6"/>
      <c r="M51" s="293">
        <f t="shared" si="4"/>
        <v>0</v>
      </c>
      <c r="N51" s="6"/>
      <c r="O51" s="295"/>
      <c r="P51" s="6"/>
      <c r="Q51" s="30"/>
      <c r="R51" s="6"/>
      <c r="S51" s="20">
        <v>0</v>
      </c>
      <c r="T51" s="6"/>
      <c r="U51" s="20">
        <f t="shared" si="12"/>
        <v>144.70194416503807</v>
      </c>
      <c r="V51" s="6"/>
      <c r="W51" s="20">
        <f t="shared" si="5"/>
        <v>-144.70194416503807</v>
      </c>
      <c r="X51" s="6"/>
      <c r="Y51" s="296">
        <f t="shared" si="6"/>
        <v>-64.169376569861669</v>
      </c>
      <c r="Z51" s="255"/>
      <c r="AB51" s="154">
        <f>+IF(AB50&gt;$G$13+$G$14,XX,AB50+1)</f>
        <v>2024</v>
      </c>
      <c r="AC51" s="124"/>
      <c r="AD51" s="159">
        <f t="shared" si="22"/>
        <v>2255</v>
      </c>
      <c r="AE51" s="3"/>
      <c r="AF51" s="162">
        <f t="shared" si="13"/>
        <v>97.332065161913022</v>
      </c>
      <c r="AG51" s="3"/>
      <c r="AH51" s="162">
        <f t="shared" si="14"/>
        <v>11.943937674085712</v>
      </c>
      <c r="AI51" s="3"/>
      <c r="AJ51" s="162">
        <f t="shared" si="15"/>
        <v>2.7902168153663127</v>
      </c>
      <c r="AK51" s="3"/>
      <c r="AL51" s="161">
        <f t="shared" si="23"/>
        <v>42.749437824663481</v>
      </c>
      <c r="AM51" s="3"/>
      <c r="AN51" s="162">
        <f>INDEX('(2.2)_Forward_Price_Curve'!$I:$I,MATCH($AB51,'(2.2)_Forward_Price_Curve'!$C:$C,0),1)</f>
        <v>5.996249999999999</v>
      </c>
      <c r="AO51" s="3"/>
      <c r="AP51" s="162">
        <f t="shared" si="24"/>
        <v>42.95558071964529</v>
      </c>
      <c r="AQ51" s="3"/>
      <c r="AR51" s="162">
        <f t="shared" si="16"/>
        <v>5.6959537403408707</v>
      </c>
      <c r="AS51" s="162"/>
      <c r="AT51" s="161">
        <f t="shared" si="25"/>
        <v>34.992733957769289</v>
      </c>
      <c r="AU51" s="3"/>
      <c r="AV51" s="161">
        <f t="shared" si="26"/>
        <v>109.70921020726878</v>
      </c>
      <c r="AW51" s="299"/>
      <c r="AX51" s="163">
        <f t="shared" si="27"/>
        <v>144.70194416503807</v>
      </c>
      <c r="AZ51" s="154">
        <f>+IF(AZ50&gt;$G$13+$G$14,XX,AZ50+1)</f>
        <v>2024</v>
      </c>
      <c r="BA51" s="124"/>
      <c r="BB51" s="769">
        <f t="shared" si="17"/>
        <v>83.606186548315577</v>
      </c>
      <c r="BC51" s="757"/>
      <c r="BD51" s="769">
        <f t="shared" si="18"/>
        <v>18.177695793305002</v>
      </c>
      <c r="BE51" s="757"/>
      <c r="BF51" s="769">
        <f t="shared" si="28"/>
        <v>7.7567038668941919</v>
      </c>
      <c r="BG51" s="3"/>
      <c r="BH51" s="165"/>
    </row>
    <row r="52" spans="1:60" ht="12">
      <c r="B52" s="2"/>
      <c r="C52" s="6">
        <f>+IF(C51&gt;$G$13+$G$14,XX,C51+1)</f>
        <v>2025</v>
      </c>
      <c r="D52" s="6"/>
      <c r="E52" s="292">
        <f>'(2.2)_Forward_Price_Curve'!$CH$40</f>
        <v>2.5000000000000001E-2</v>
      </c>
      <c r="F52" s="6"/>
      <c r="G52" s="20">
        <v>2255</v>
      </c>
      <c r="H52" s="6"/>
      <c r="I52" s="293">
        <f t="shared" si="11"/>
        <v>76.671893002805845</v>
      </c>
      <c r="J52" s="6"/>
      <c r="K52" s="293">
        <f t="shared" si="3"/>
        <v>0</v>
      </c>
      <c r="L52" s="6"/>
      <c r="M52" s="293">
        <f t="shared" si="4"/>
        <v>0</v>
      </c>
      <c r="N52" s="6"/>
      <c r="O52" s="295"/>
      <c r="P52" s="6"/>
      <c r="Q52" s="30"/>
      <c r="R52" s="6"/>
      <c r="S52" s="20">
        <v>0</v>
      </c>
      <c r="T52" s="6"/>
      <c r="U52" s="20">
        <f t="shared" si="12"/>
        <v>148.31949276916401</v>
      </c>
      <c r="V52" s="6"/>
      <c r="W52" s="20">
        <f t="shared" si="5"/>
        <v>-148.31949276916401</v>
      </c>
      <c r="X52" s="6"/>
      <c r="Y52" s="296">
        <f t="shared" si="6"/>
        <v>-65.773610984108203</v>
      </c>
      <c r="Z52" s="255"/>
      <c r="AB52" s="154">
        <f>+IF(AB51&gt;$G$13+$G$14,XX,AB51+1)</f>
        <v>2025</v>
      </c>
      <c r="AC52" s="124"/>
      <c r="AD52" s="159">
        <f t="shared" si="22"/>
        <v>2255</v>
      </c>
      <c r="AE52" s="3"/>
      <c r="AF52" s="162">
        <f t="shared" si="13"/>
        <v>99.76536679096084</v>
      </c>
      <c r="AG52" s="3"/>
      <c r="AH52" s="162">
        <f t="shared" si="14"/>
        <v>12.242536115937854</v>
      </c>
      <c r="AI52" s="3"/>
      <c r="AJ52" s="162">
        <f t="shared" si="15"/>
        <v>2.8599722357504702</v>
      </c>
      <c r="AK52" s="3"/>
      <c r="AL52" s="161">
        <f t="shared" si="23"/>
        <v>43.818173770280055</v>
      </c>
      <c r="AM52" s="3"/>
      <c r="AN52" s="162">
        <f>INDEX('(2.2)_Forward_Price_Curve'!$I:$I,MATCH($AB52,'(2.2)_Forward_Price_Curve'!$C:$C,0),1)</f>
        <v>6.146156249999998</v>
      </c>
      <c r="AO52" s="3"/>
      <c r="AP52" s="162">
        <f t="shared" si="24"/>
        <v>44.029470237636417</v>
      </c>
      <c r="AQ52" s="3"/>
      <c r="AR52" s="162">
        <f t="shared" si="16"/>
        <v>5.8383525838493915</v>
      </c>
      <c r="AS52" s="162"/>
      <c r="AT52" s="161">
        <f t="shared" si="25"/>
        <v>35.867552306713506</v>
      </c>
      <c r="AU52" s="3"/>
      <c r="AV52" s="161">
        <f t="shared" si="26"/>
        <v>112.45194046245049</v>
      </c>
      <c r="AW52" s="299"/>
      <c r="AX52" s="163">
        <f t="shared" si="27"/>
        <v>148.31949276916401</v>
      </c>
      <c r="AZ52" s="154">
        <f>+IF(AZ51&gt;$G$13+$G$14,XX,AZ51+1)</f>
        <v>2025</v>
      </c>
      <c r="BA52" s="124"/>
      <c r="BB52" s="769">
        <f t="shared" si="17"/>
        <v>85.696341212023455</v>
      </c>
      <c r="BC52" s="757"/>
      <c r="BD52" s="769">
        <f t="shared" si="18"/>
        <v>18.632138188137624</v>
      </c>
      <c r="BE52" s="757"/>
      <c r="BF52" s="769">
        <f t="shared" si="28"/>
        <v>7.9506214635665451</v>
      </c>
      <c r="BG52" s="3"/>
      <c r="BH52" s="165"/>
    </row>
    <row r="53" spans="1:60" ht="12">
      <c r="B53" s="2"/>
      <c r="C53" s="6">
        <f>+IF(C52&gt;$G$13+$G$14,XX,C52+1)</f>
        <v>2026</v>
      </c>
      <c r="D53" s="6"/>
      <c r="E53" s="292">
        <f>'(2.2)_Forward_Price_Curve'!$CH$40</f>
        <v>2.5000000000000001E-2</v>
      </c>
      <c r="F53" s="6"/>
      <c r="G53" s="20">
        <v>2255</v>
      </c>
      <c r="H53" s="6"/>
      <c r="I53" s="293">
        <f t="shared" si="11"/>
        <v>78.58869032787598</v>
      </c>
      <c r="J53" s="6"/>
      <c r="K53" s="293">
        <f t="shared" si="3"/>
        <v>0</v>
      </c>
      <c r="L53" s="6"/>
      <c r="M53" s="293">
        <f t="shared" si="4"/>
        <v>0</v>
      </c>
      <c r="N53" s="6"/>
      <c r="O53" s="295"/>
      <c r="P53" s="6"/>
      <c r="Q53" s="30"/>
      <c r="R53" s="6"/>
      <c r="S53" s="20">
        <v>0</v>
      </c>
      <c r="T53" s="6"/>
      <c r="U53" s="20">
        <f t="shared" si="12"/>
        <v>152.02748008839308</v>
      </c>
      <c r="V53" s="6"/>
      <c r="W53" s="20">
        <f t="shared" si="5"/>
        <v>-152.02748008839308</v>
      </c>
      <c r="X53" s="6"/>
      <c r="Y53" s="296">
        <f t="shared" si="6"/>
        <v>-67.4179512587109</v>
      </c>
      <c r="Z53" s="255"/>
      <c r="AB53" s="154">
        <f>+IF(AB52&gt;$G$13+$G$14,XX,AB52+1)</f>
        <v>2026</v>
      </c>
      <c r="AC53" s="124"/>
      <c r="AD53" s="159">
        <f t="shared" si="22"/>
        <v>2255</v>
      </c>
      <c r="AE53" s="3"/>
      <c r="AF53" s="162">
        <f t="shared" si="13"/>
        <v>102.25950096073485</v>
      </c>
      <c r="AG53" s="3"/>
      <c r="AH53" s="162">
        <f t="shared" si="14"/>
        <v>12.5485995188363</v>
      </c>
      <c r="AI53" s="3"/>
      <c r="AJ53" s="162">
        <f t="shared" si="15"/>
        <v>2.9314715416442318</v>
      </c>
      <c r="AK53" s="3"/>
      <c r="AL53" s="161">
        <f t="shared" si="23"/>
        <v>44.913628114537048</v>
      </c>
      <c r="AM53" s="3"/>
      <c r="AN53" s="162">
        <f>INDEX('(2.2)_Forward_Price_Curve'!$I:$I,MATCH($AB53,'(2.2)_Forward_Price_Curve'!$C:$C,0),1)</f>
        <v>6.2998101562499977</v>
      </c>
      <c r="AO53" s="3"/>
      <c r="AP53" s="162">
        <f t="shared" si="24"/>
        <v>45.130206993577318</v>
      </c>
      <c r="AQ53" s="3"/>
      <c r="AR53" s="162">
        <f t="shared" si="16"/>
        <v>5.9843113984456258</v>
      </c>
      <c r="AS53" s="162"/>
      <c r="AT53" s="161">
        <f t="shared" si="25"/>
        <v>36.764241114381335</v>
      </c>
      <c r="AU53" s="3"/>
      <c r="AV53" s="161">
        <f t="shared" si="26"/>
        <v>115.26323897401174</v>
      </c>
      <c r="AW53" s="299"/>
      <c r="AX53" s="163">
        <f t="shared" si="27"/>
        <v>152.02748008839308</v>
      </c>
      <c r="AZ53" s="154">
        <f>+IF(AZ52&gt;$G$13+$G$14,XX,AZ52+1)</f>
        <v>2026</v>
      </c>
      <c r="BA53" s="124"/>
      <c r="BB53" s="769">
        <f t="shared" si="17"/>
        <v>87.83874974232404</v>
      </c>
      <c r="BC53" s="757"/>
      <c r="BD53" s="769">
        <f t="shared" si="18"/>
        <v>19.097941642841064</v>
      </c>
      <c r="BE53" s="757"/>
      <c r="BF53" s="769">
        <f t="shared" si="28"/>
        <v>8.1493870001557092</v>
      </c>
      <c r="BG53" s="3"/>
      <c r="BH53" s="165"/>
    </row>
    <row r="54" spans="1:60" ht="12">
      <c r="B54" s="2"/>
      <c r="C54" s="6">
        <f>+IF(C53&gt;$G$13+$G$14,XX,C53+1)</f>
        <v>2027</v>
      </c>
      <c r="D54" s="6"/>
      <c r="E54" s="292">
        <f>'(2.2)_Forward_Price_Curve'!$CH$40</f>
        <v>2.5000000000000001E-2</v>
      </c>
      <c r="F54" s="6"/>
      <c r="G54" s="20">
        <v>2255</v>
      </c>
      <c r="H54" s="6"/>
      <c r="I54" s="293">
        <f t="shared" si="11"/>
        <v>80.553407586072879</v>
      </c>
      <c r="J54" s="6"/>
      <c r="K54" s="293">
        <f t="shared" si="3"/>
        <v>0</v>
      </c>
      <c r="L54" s="6"/>
      <c r="M54" s="293">
        <f t="shared" si="4"/>
        <v>0</v>
      </c>
      <c r="N54" s="6"/>
      <c r="O54" s="295"/>
      <c r="P54" s="6"/>
      <c r="Q54" s="30"/>
      <c r="R54" s="6"/>
      <c r="S54" s="20">
        <v>0</v>
      </c>
      <c r="T54" s="6"/>
      <c r="U54" s="20">
        <f t="shared" si="12"/>
        <v>155.8281670906029</v>
      </c>
      <c r="V54" s="6"/>
      <c r="W54" s="20">
        <f t="shared" si="5"/>
        <v>-155.8281670906029</v>
      </c>
      <c r="X54" s="6"/>
      <c r="Y54" s="296">
        <f t="shared" si="6"/>
        <v>-69.103400040178684</v>
      </c>
      <c r="Z54" s="255"/>
      <c r="AB54" s="154">
        <f>+IF(AB53&gt;$G$13+$G$14,XX,AB53+1)</f>
        <v>2027</v>
      </c>
      <c r="AC54" s="124"/>
      <c r="AD54" s="159">
        <f t="shared" si="22"/>
        <v>2255</v>
      </c>
      <c r="AE54" s="3"/>
      <c r="AF54" s="162">
        <f t="shared" si="13"/>
        <v>104.81598848475322</v>
      </c>
      <c r="AG54" s="3"/>
      <c r="AH54" s="162">
        <f t="shared" si="14"/>
        <v>12.862314506807206</v>
      </c>
      <c r="AI54" s="3"/>
      <c r="AJ54" s="162">
        <f t="shared" si="15"/>
        <v>3.0047583301853376</v>
      </c>
      <c r="AK54" s="3"/>
      <c r="AL54" s="161">
        <f t="shared" si="23"/>
        <v>46.036468817400468</v>
      </c>
      <c r="AM54" s="3"/>
      <c r="AN54" s="162">
        <f>INDEX('(2.2)_Forward_Price_Curve'!$I:$I,MATCH($AB54,'(2.2)_Forward_Price_Curve'!$C:$C,0),1)</f>
        <v>6.4573054101562475</v>
      </c>
      <c r="AO54" s="3"/>
      <c r="AP54" s="162">
        <f t="shared" si="24"/>
        <v>46.258462168416749</v>
      </c>
      <c r="AQ54" s="3"/>
      <c r="AR54" s="162">
        <f t="shared" si="16"/>
        <v>6.1339191834067659</v>
      </c>
      <c r="AS54" s="162"/>
      <c r="AT54" s="161">
        <f t="shared" si="25"/>
        <v>37.683347142240869</v>
      </c>
      <c r="AU54" s="3"/>
      <c r="AV54" s="161">
        <f t="shared" si="26"/>
        <v>118.14481994836203</v>
      </c>
      <c r="AW54" s="299"/>
      <c r="AX54" s="163">
        <f t="shared" si="27"/>
        <v>155.8281670906029</v>
      </c>
      <c r="AZ54" s="154">
        <f>+IF(AZ53&gt;$G$13+$G$14,XX,AZ53+1)</f>
        <v>2027</v>
      </c>
      <c r="BA54" s="124"/>
      <c r="BB54" s="769">
        <f t="shared" si="17"/>
        <v>90.034718485882138</v>
      </c>
      <c r="BC54" s="757"/>
      <c r="BD54" s="769">
        <f t="shared" si="18"/>
        <v>19.575390183912088</v>
      </c>
      <c r="BE54" s="757"/>
      <c r="BF54" s="769">
        <f t="shared" si="28"/>
        <v>8.3531216751596009</v>
      </c>
      <c r="BG54" s="3"/>
      <c r="BH54" s="165"/>
    </row>
    <row r="55" spans="1:60" ht="12">
      <c r="B55" s="2"/>
      <c r="C55" s="6">
        <f>+IF(C54&gt;$G$13+$G$14,XX,C54+1)</f>
        <v>2028</v>
      </c>
      <c r="D55" s="6"/>
      <c r="E55" s="292">
        <f>'(2.2)_Forward_Price_Curve'!$CH$40</f>
        <v>2.5000000000000001E-2</v>
      </c>
      <c r="F55" s="6"/>
      <c r="G55" s="20">
        <v>2255</v>
      </c>
      <c r="H55" s="6"/>
      <c r="I55" s="293">
        <f t="shared" si="11"/>
        <v>82.567242775724694</v>
      </c>
      <c r="J55" s="6"/>
      <c r="K55" s="293">
        <f t="shared" si="3"/>
        <v>0</v>
      </c>
      <c r="L55" s="6"/>
      <c r="M55" s="293">
        <f t="shared" si="4"/>
        <v>0</v>
      </c>
      <c r="N55" s="6"/>
      <c r="O55" s="295"/>
      <c r="P55" s="6"/>
      <c r="Q55" s="30"/>
      <c r="R55" s="6"/>
      <c r="S55" s="20">
        <v>0</v>
      </c>
      <c r="T55" s="6"/>
      <c r="U55" s="20">
        <f t="shared" si="12"/>
        <v>159.72387126786796</v>
      </c>
      <c r="V55" s="6"/>
      <c r="W55" s="20">
        <f t="shared" si="5"/>
        <v>-159.72387126786796</v>
      </c>
      <c r="X55" s="6"/>
      <c r="Y55" s="296">
        <f t="shared" si="6"/>
        <v>-70.830985041183141</v>
      </c>
      <c r="Z55" s="255"/>
      <c r="AB55" s="154">
        <f>+IF(AB54&gt;$G$13+$G$14,XX,AB54+1)</f>
        <v>2028</v>
      </c>
      <c r="AC55" s="124"/>
      <c r="AD55" s="159">
        <f t="shared" si="22"/>
        <v>2255</v>
      </c>
      <c r="AE55" s="3"/>
      <c r="AF55" s="162">
        <f t="shared" si="13"/>
        <v>107.43638819687204</v>
      </c>
      <c r="AG55" s="3"/>
      <c r="AH55" s="162">
        <f t="shared" si="14"/>
        <v>13.183872369477385</v>
      </c>
      <c r="AI55" s="3"/>
      <c r="AJ55" s="162">
        <f t="shared" si="15"/>
        <v>3.0798772884399708</v>
      </c>
      <c r="AK55" s="3"/>
      <c r="AL55" s="161">
        <f t="shared" si="23"/>
        <v>47.187380537835487</v>
      </c>
      <c r="AM55" s="3"/>
      <c r="AN55" s="162">
        <f>INDEX('(2.2)_Forward_Price_Curve'!$I:$I,MATCH($AB55,'(2.2)_Forward_Price_Curve'!$C:$C,0),1)</f>
        <v>6.6187380454101534</v>
      </c>
      <c r="AO55" s="3"/>
      <c r="AP55" s="162">
        <f t="shared" si="24"/>
        <v>47.414923722627172</v>
      </c>
      <c r="AQ55" s="3"/>
      <c r="AR55" s="162">
        <f t="shared" si="16"/>
        <v>6.2872671629919346</v>
      </c>
      <c r="AS55" s="162"/>
      <c r="AT55" s="161">
        <f t="shared" si="25"/>
        <v>38.6254308207969</v>
      </c>
      <c r="AU55" s="3"/>
      <c r="AV55" s="161">
        <f t="shared" si="26"/>
        <v>121.09844044707107</v>
      </c>
      <c r="AW55" s="299"/>
      <c r="AX55" s="163">
        <f t="shared" si="27"/>
        <v>159.72387126786796</v>
      </c>
      <c r="AZ55" s="154">
        <f>+IF(AZ54&gt;$G$13+$G$14,XX,AZ54+1)</f>
        <v>2028</v>
      </c>
      <c r="BA55" s="124"/>
      <c r="BB55" s="769">
        <f t="shared" si="17"/>
        <v>92.285586448029179</v>
      </c>
      <c r="BC55" s="757"/>
      <c r="BD55" s="769">
        <f t="shared" si="18"/>
        <v>20.064774938509888</v>
      </c>
      <c r="BE55" s="757"/>
      <c r="BF55" s="769">
        <f t="shared" si="28"/>
        <v>8.5619497170385888</v>
      </c>
      <c r="BG55" s="3"/>
      <c r="BH55" s="165"/>
    </row>
    <row r="56" spans="1:60" ht="12">
      <c r="B56" s="2"/>
      <c r="C56" s="6">
        <f>+IF(C55&gt;$G$13+$G$14,XX,C55+1)</f>
        <v>2029</v>
      </c>
      <c r="D56" s="6"/>
      <c r="E56" s="292">
        <f>'(2.2)_Forward_Price_Curve'!$CH$40</f>
        <v>2.5000000000000001E-2</v>
      </c>
      <c r="F56" s="6"/>
      <c r="G56" s="20">
        <v>2255</v>
      </c>
      <c r="H56" s="6"/>
      <c r="I56" s="293">
        <f t="shared" si="11"/>
        <v>84.631423845117808</v>
      </c>
      <c r="J56" s="6"/>
      <c r="K56" s="293">
        <f t="shared" si="3"/>
        <v>0</v>
      </c>
      <c r="L56" s="6"/>
      <c r="M56" s="293">
        <f t="shared" si="4"/>
        <v>0</v>
      </c>
      <c r="N56" s="6"/>
      <c r="O56" s="295"/>
      <c r="P56" s="6"/>
      <c r="Q56" s="30"/>
      <c r="R56" s="6"/>
      <c r="S56" s="20">
        <v>0</v>
      </c>
      <c r="T56" s="6"/>
      <c r="U56" s="20">
        <f t="shared" si="12"/>
        <v>163.71696804956468</v>
      </c>
      <c r="V56" s="6"/>
      <c r="W56" s="20">
        <f t="shared" si="5"/>
        <v>-163.71696804956468</v>
      </c>
      <c r="X56" s="6"/>
      <c r="Y56" s="296">
        <f t="shared" si="6"/>
        <v>-72.601759667212718</v>
      </c>
      <c r="Z56" s="255"/>
      <c r="AB56" s="154">
        <f>+IF(AB55&gt;$G$13+$G$14,XX,AB55+1)</f>
        <v>2029</v>
      </c>
      <c r="AC56" s="124"/>
      <c r="AD56" s="159">
        <f t="shared" si="22"/>
        <v>2255</v>
      </c>
      <c r="AE56" s="3"/>
      <c r="AF56" s="162">
        <f t="shared" si="13"/>
        <v>110.12229790179384</v>
      </c>
      <c r="AG56" s="3"/>
      <c r="AH56" s="162">
        <f t="shared" si="14"/>
        <v>13.513469178714319</v>
      </c>
      <c r="AI56" s="3"/>
      <c r="AJ56" s="162">
        <f t="shared" si="15"/>
        <v>3.1568742206509697</v>
      </c>
      <c r="AK56" s="3"/>
      <c r="AL56" s="161">
        <f t="shared" si="23"/>
        <v>48.367065051281372</v>
      </c>
      <c r="AM56" s="3"/>
      <c r="AN56" s="162">
        <f>INDEX('(2.2)_Forward_Price_Curve'!$I:$I,MATCH($AB56,'(2.2)_Forward_Price_Curve'!$C:$C,0),1)</f>
        <v>6.7842064965454068</v>
      </c>
      <c r="AO56" s="3"/>
      <c r="AP56" s="162">
        <f t="shared" si="24"/>
        <v>48.60029681569285</v>
      </c>
      <c r="AQ56" s="3"/>
      <c r="AR56" s="162">
        <f t="shared" si="16"/>
        <v>6.4444488420667323</v>
      </c>
      <c r="AS56" s="162"/>
      <c r="AT56" s="161">
        <f t="shared" si="25"/>
        <v>39.591066591316817</v>
      </c>
      <c r="AU56" s="3"/>
      <c r="AV56" s="161">
        <f t="shared" si="26"/>
        <v>124.12590145824785</v>
      </c>
      <c r="AW56" s="299"/>
      <c r="AX56" s="163">
        <f t="shared" si="27"/>
        <v>163.71696804956468</v>
      </c>
      <c r="AZ56" s="154">
        <f>+IF(AZ55&gt;$G$13+$G$14,XX,AZ55+1)</f>
        <v>2029</v>
      </c>
      <c r="BA56" s="124"/>
      <c r="BB56" s="769">
        <f t="shared" si="17"/>
        <v>94.592726109229901</v>
      </c>
      <c r="BC56" s="757"/>
      <c r="BD56" s="769">
        <f t="shared" si="18"/>
        <v>20.566394311972633</v>
      </c>
      <c r="BE56" s="757"/>
      <c r="BF56" s="769">
        <f t="shared" si="28"/>
        <v>8.7759984599645531</v>
      </c>
      <c r="BG56" s="3"/>
      <c r="BH56" s="165"/>
    </row>
    <row r="57" spans="1:60" ht="12">
      <c r="B57" s="2"/>
      <c r="C57" s="6">
        <f>+IF(C56&gt;$G$13+$G$14,XX,C56+1)</f>
        <v>2030</v>
      </c>
      <c r="D57" s="6"/>
      <c r="E57" s="292">
        <f>'(2.2)_Forward_Price_Curve'!$CH$40</f>
        <v>2.5000000000000001E-2</v>
      </c>
      <c r="F57" s="6"/>
      <c r="G57" s="20">
        <v>2255</v>
      </c>
      <c r="H57" s="6"/>
      <c r="I57" s="293">
        <f t="shared" si="11"/>
        <v>86.747209441245744</v>
      </c>
      <c r="J57" s="6"/>
      <c r="K57" s="293">
        <f t="shared" si="3"/>
        <v>0</v>
      </c>
      <c r="L57" s="6"/>
      <c r="M57" s="293">
        <f t="shared" si="4"/>
        <v>0</v>
      </c>
      <c r="N57" s="6"/>
      <c r="O57" s="295"/>
      <c r="P57" s="6"/>
      <c r="Q57" s="30"/>
      <c r="R57" s="6"/>
      <c r="S57" s="20">
        <v>0</v>
      </c>
      <c r="T57" s="6"/>
      <c r="U57" s="20">
        <f t="shared" si="12"/>
        <v>167.80989225080376</v>
      </c>
      <c r="V57" s="6"/>
      <c r="W57" s="20">
        <f t="shared" si="5"/>
        <v>-167.80989225080376</v>
      </c>
      <c r="X57" s="6"/>
      <c r="Y57" s="296">
        <f t="shared" si="6"/>
        <v>-74.416803658893016</v>
      </c>
      <c r="Z57" s="255"/>
      <c r="AB57" s="154">
        <f>+IF(AB56&gt;$G$13+$G$14,XX,AB56+1)</f>
        <v>2030</v>
      </c>
      <c r="AC57" s="124"/>
      <c r="AD57" s="159">
        <f t="shared" si="22"/>
        <v>2255</v>
      </c>
      <c r="AE57" s="3"/>
      <c r="AF57" s="162">
        <f t="shared" si="13"/>
        <v>112.87535534933868</v>
      </c>
      <c r="AG57" s="3"/>
      <c r="AH57" s="162">
        <f t="shared" si="14"/>
        <v>13.851305908182175</v>
      </c>
      <c r="AI57" s="3"/>
      <c r="AJ57" s="162">
        <f t="shared" si="15"/>
        <v>3.2357960761672437</v>
      </c>
      <c r="AK57" s="3"/>
      <c r="AL57" s="161">
        <f t="shared" si="23"/>
        <v>49.576241677563402</v>
      </c>
      <c r="AM57" s="3"/>
      <c r="AN57" s="162">
        <f>INDEX('(2.2)_Forward_Price_Curve'!$I:$I,MATCH($AB57,'(2.2)_Forward_Price_Curve'!$C:$C,0),1)</f>
        <v>6.9538116589590411</v>
      </c>
      <c r="AO57" s="3"/>
      <c r="AP57" s="162">
        <f t="shared" si="24"/>
        <v>49.815304236085161</v>
      </c>
      <c r="AQ57" s="3"/>
      <c r="AR57" s="162">
        <f t="shared" si="16"/>
        <v>6.6055600631183999</v>
      </c>
      <c r="AS57" s="162"/>
      <c r="AT57" s="161">
        <f t="shared" si="25"/>
        <v>40.58084325609974</v>
      </c>
      <c r="AU57" s="3"/>
      <c r="AV57" s="161">
        <f t="shared" si="26"/>
        <v>127.22904899470402</v>
      </c>
      <c r="AW57" s="299"/>
      <c r="AX57" s="163">
        <f t="shared" si="27"/>
        <v>167.80989225080376</v>
      </c>
      <c r="AZ57" s="154">
        <f>+IF(AZ56&gt;$G$13+$G$14,XX,AZ56+1)</f>
        <v>2030</v>
      </c>
      <c r="BA57" s="124"/>
      <c r="BB57" s="769">
        <f t="shared" si="17"/>
        <v>96.957544261960635</v>
      </c>
      <c r="BC57" s="757"/>
      <c r="BD57" s="769">
        <f t="shared" si="18"/>
        <v>21.080554169771947</v>
      </c>
      <c r="BE57" s="757"/>
      <c r="BF57" s="769">
        <f t="shared" si="28"/>
        <v>8.9953984214636655</v>
      </c>
      <c r="BG57" s="3"/>
      <c r="BH57" s="165"/>
    </row>
    <row r="58" spans="1:60" ht="12">
      <c r="A58" s="255"/>
      <c r="E58" s="308"/>
      <c r="G58" s="20"/>
      <c r="H58" s="6"/>
      <c r="I58" s="30"/>
      <c r="J58" s="6"/>
      <c r="K58" s="30"/>
      <c r="L58" s="6"/>
      <c r="M58" s="30"/>
      <c r="N58" s="6"/>
      <c r="O58" s="295"/>
      <c r="P58" s="6"/>
      <c r="Q58" s="30"/>
      <c r="R58" s="6"/>
      <c r="S58" s="20"/>
      <c r="T58" s="6"/>
      <c r="U58" s="20"/>
      <c r="V58" s="6"/>
      <c r="W58" s="20"/>
      <c r="X58" s="6"/>
      <c r="Y58" s="296"/>
      <c r="Z58" s="255"/>
      <c r="AB58" s="154"/>
      <c r="AC58" s="124"/>
      <c r="AD58" s="159"/>
      <c r="AE58" s="3"/>
      <c r="AF58" s="162"/>
      <c r="AG58" s="3"/>
      <c r="AH58" s="162"/>
      <c r="AI58" s="3"/>
      <c r="AJ58" s="162"/>
      <c r="AK58" s="3"/>
      <c r="AL58" s="161"/>
      <c r="AM58" s="3"/>
      <c r="AN58" s="162"/>
      <c r="AO58" s="3"/>
      <c r="AP58" s="162"/>
      <c r="AQ58" s="3"/>
      <c r="AR58" s="162"/>
      <c r="AS58" s="162"/>
      <c r="AT58" s="161"/>
      <c r="AU58" s="3"/>
      <c r="AV58" s="161"/>
      <c r="AW58" s="299"/>
      <c r="AX58" s="163"/>
      <c r="AZ58" s="154"/>
      <c r="BA58" s="124"/>
      <c r="BB58" s="162"/>
      <c r="BC58" s="3"/>
      <c r="BD58" s="162"/>
      <c r="BE58" s="3"/>
      <c r="BF58" s="161"/>
      <c r="BG58" s="3"/>
      <c r="BH58" s="255"/>
    </row>
    <row r="59" spans="1:60" ht="12">
      <c r="A59" s="255"/>
      <c r="C59" s="271" t="str">
        <f>G14&amp;"-year Nominal Levelized at "&amp;TEXT($G$18,"#.00%")</f>
        <v>30-year Nominal Levelized at 8.70%</v>
      </c>
      <c r="E59" s="308"/>
      <c r="G59" s="317">
        <f>+-PMT($G$18,$G$14,NPV($G$18,G28:G57))</f>
        <v>2255.0000000000005</v>
      </c>
      <c r="H59" s="6"/>
      <c r="I59" s="30">
        <f>+-PMT($G$18,$G$14,NPV($G$18,I54:I57))</f>
        <v>25.775415459022575</v>
      </c>
      <c r="J59" s="30"/>
      <c r="K59" s="30">
        <f>+-PMT($G$18,$G$14,NPV($G$18,K54:K57))</f>
        <v>0</v>
      </c>
      <c r="L59" s="6"/>
      <c r="M59" s="30">
        <f>+-PMT($G$18,$G$14,NPV($G$18,M54:M57))</f>
        <v>0</v>
      </c>
      <c r="N59" s="6"/>
      <c r="O59" s="30">
        <f>+-PMT($G$18,$G$14,NPV($G$18,O54:O57))</f>
        <v>0</v>
      </c>
      <c r="P59" s="6"/>
      <c r="Q59" s="30">
        <f>+-PMT($G$18,$G$14,NPV($G$18,Q54:Q57))</f>
        <v>0</v>
      </c>
      <c r="R59" s="6"/>
      <c r="S59" s="317">
        <f>+-PMT($G$18,$G$14,NPV($G$18,S28:S57))</f>
        <v>61.588085716151504</v>
      </c>
      <c r="T59" s="6"/>
      <c r="U59" s="317">
        <f>+-PMT($G$18,$G$14,NPV($G$18,U28:U57))</f>
        <v>105.19606522217667</v>
      </c>
      <c r="V59" s="3"/>
      <c r="W59" s="317">
        <f>+-PMT($G$18,$G$14,NPV($G$18,W28:W57))</f>
        <v>-43.60797950602516</v>
      </c>
      <c r="X59" s="3"/>
      <c r="Y59" s="317">
        <f>+-PMT($G$18,$G$14,NPV($G$18,Y28:Y57))</f>
        <v>-19.338350113536656</v>
      </c>
      <c r="Z59" s="255"/>
      <c r="AB59" s="2"/>
      <c r="AC59" s="3"/>
      <c r="AD59" s="459">
        <f>+-PMT($G$18,$G$14,NPV($G$18,AD28:AD57))</f>
        <v>2255.0000000000005</v>
      </c>
      <c r="AE59" s="3"/>
      <c r="AF59" s="317">
        <f>+-PMT($G$18,$G$14,NPV($G$18,AF28:AF57))</f>
        <v>69.82401002648038</v>
      </c>
      <c r="AG59" s="3"/>
      <c r="AH59" s="317">
        <f>+-PMT($G$18,$G$14,NPV($G$18,AH28:AH57))</f>
        <v>8.5683338016479276</v>
      </c>
      <c r="AI59" s="3"/>
      <c r="AJ59" s="162">
        <f>+-PMT($G$18,$G$14,NPV($G$18,AJ54:AJ57))</f>
        <v>0.96146018691674062</v>
      </c>
      <c r="AK59" s="3"/>
      <c r="AL59" s="317">
        <f>+-PMT($G$18,$G$14,NPV($G$18,AL28:AL57))</f>
        <v>30.667562332415592</v>
      </c>
      <c r="AM59" s="3"/>
      <c r="AN59" s="317">
        <f>+-PMT($G$18,$G$14,NPV($G$18,AN28:AN57))</f>
        <v>4.3876240658975956</v>
      </c>
      <c r="AO59" s="3"/>
      <c r="AP59" s="317">
        <f>+-PMT($G$18,$G$14,NPV($G$18,AP28:AP57))</f>
        <v>31.43180149762307</v>
      </c>
      <c r="AQ59" s="3"/>
      <c r="AR59" s="317">
        <f>+-PMT($G$18,$G$14,NPV($G$18,AR28:AR57))</f>
        <v>4.0861593804089846</v>
      </c>
      <c r="AS59" s="162"/>
      <c r="AT59" s="317">
        <f>+-PMT($G$18,$G$14,NPV($G$18,AT28:AT57))</f>
        <v>25.103063442214342</v>
      </c>
      <c r="AU59" s="3"/>
      <c r="AV59" s="317">
        <f>+-PMT($G$18,$G$14,NPV($G$18,AV28:AV57))</f>
        <v>80.093001779962322</v>
      </c>
      <c r="AW59" s="299"/>
      <c r="AX59" s="317">
        <f>+-PMT($G$18,$G$14,NPV($G$18,AX28:AX57))</f>
        <v>105.19606522217667</v>
      </c>
      <c r="AZ59" s="2"/>
      <c r="BA59" s="3"/>
      <c r="BB59" s="317">
        <f>+-PMT($G$18,$G$14,NPV($G$18,BB28:BB57))</f>
        <v>59.977348658063157</v>
      </c>
      <c r="BC59" s="317"/>
      <c r="BD59" s="317">
        <f>+-PMT($G$18,$G$14,NPV($G$18,BD28:BD57))</f>
        <v>13.040302917837453</v>
      </c>
      <c r="BE59" s="317"/>
      <c r="BF59" s="317">
        <f>+-PMT($G$18,$G$14,NPV($G$18,BF28:BF57))</f>
        <v>5.5644988902012358</v>
      </c>
      <c r="BG59" s="3"/>
      <c r="BH59" s="255"/>
    </row>
    <row r="60" spans="1:60">
      <c r="A60" s="255"/>
      <c r="E60" s="308"/>
      <c r="Z60" s="255"/>
      <c r="AA60" s="349"/>
      <c r="AX60" s="255"/>
      <c r="AY60" s="349"/>
      <c r="BH60" s="255"/>
    </row>
    <row r="61" spans="1:60">
      <c r="A61" s="255"/>
      <c r="E61" s="308"/>
      <c r="Z61" s="255"/>
      <c r="AA61" s="349"/>
      <c r="AX61" s="255"/>
      <c r="AY61" s="349"/>
      <c r="BH61" s="255"/>
    </row>
    <row r="62" spans="1:60">
      <c r="A62" s="255"/>
      <c r="B62" s="258"/>
      <c r="C62" s="306"/>
      <c r="D62" s="306"/>
      <c r="E62" s="307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259"/>
      <c r="AA62" s="349"/>
      <c r="AB62" s="258"/>
      <c r="AC62" s="306"/>
      <c r="AD62" s="306"/>
      <c r="AE62" s="306"/>
      <c r="AF62" s="306"/>
      <c r="AG62" s="306"/>
      <c r="AH62" s="306"/>
      <c r="AI62" s="306"/>
      <c r="AJ62" s="306"/>
      <c r="AK62" s="306"/>
      <c r="AL62" s="306"/>
      <c r="AM62" s="306"/>
      <c r="AN62" s="306"/>
      <c r="AO62" s="306"/>
      <c r="AP62" s="306"/>
      <c r="AQ62" s="306"/>
      <c r="AR62" s="306"/>
      <c r="AS62" s="306"/>
      <c r="AT62" s="306"/>
      <c r="AU62" s="306"/>
      <c r="AV62" s="306"/>
      <c r="AW62" s="306"/>
      <c r="AX62" s="259"/>
      <c r="AY62" s="349"/>
      <c r="AZ62" s="258"/>
      <c r="BA62" s="306"/>
      <c r="BB62" s="306"/>
      <c r="BC62" s="306"/>
      <c r="BD62" s="306"/>
      <c r="BE62" s="306"/>
      <c r="BF62" s="306"/>
      <c r="BG62" s="306"/>
      <c r="BH62" s="259"/>
    </row>
    <row r="63" spans="1:60">
      <c r="E63" s="308"/>
    </row>
    <row r="64" spans="1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</sheetData>
  <pageMargins left="0.25" right="0.25" top="0.25" bottom="0.75" header="0.3" footer="0.3"/>
  <pageSetup paperSize="5" scale="4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4DE89-098C-46E6-BCA6-ABDDB396B720}">
  <sheetPr codeName="Sheet45">
    <tabColor theme="0" tint="-0.249977111117893"/>
    <pageSetUpPr fitToPage="1"/>
  </sheetPr>
  <dimension ref="A1:BH90"/>
  <sheetViews>
    <sheetView topLeftCell="V61" workbookViewId="0">
      <selection activeCell="AX64" sqref="AX64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315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274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12</v>
      </c>
      <c r="H11" s="275"/>
      <c r="AB11" s="129" t="s">
        <v>99</v>
      </c>
      <c r="AC11" s="130"/>
      <c r="AD11" s="130"/>
      <c r="AE11" s="130"/>
      <c r="AF11" s="312">
        <f>+G11*(G12/AJ16)</f>
        <v>17.684200317916051</v>
      </c>
      <c r="AG11" s="134"/>
      <c r="AH11" s="130" t="s">
        <v>100</v>
      </c>
      <c r="AI11" s="131"/>
      <c r="AJ11" s="174">
        <f>'(2.1)_Proxy Resources'!N70</f>
        <v>7.5808934397681389</v>
      </c>
      <c r="AK11" s="255"/>
      <c r="AZ11" s="129" t="s">
        <v>99</v>
      </c>
      <c r="BA11" s="130"/>
      <c r="BB11" s="130"/>
      <c r="BC11" s="130"/>
      <c r="BD11" s="141">
        <f>(AF11*AF13-G11*G19)</f>
        <v>17.12380031791605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0.71755160536926277</v>
      </c>
      <c r="H12" s="275"/>
      <c r="AB12" s="129" t="s">
        <v>32</v>
      </c>
      <c r="AC12" s="130"/>
      <c r="AD12" s="130"/>
      <c r="AE12" s="130"/>
      <c r="AF12" s="138">
        <f>+AD64/8760/AF11</f>
        <v>0.60427529573102601</v>
      </c>
      <c r="AG12" s="134"/>
      <c r="AH12" s="124" t="s">
        <v>101</v>
      </c>
      <c r="AI12" s="125"/>
      <c r="AJ12" s="124">
        <v>2008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2007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Resources'!$O$70</f>
        <v>2.8538881199911357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26</v>
      </c>
      <c r="H14" s="275"/>
      <c r="AB14" s="129" t="s">
        <v>104</v>
      </c>
      <c r="AC14" s="130"/>
      <c r="AD14" s="130"/>
      <c r="AE14" s="130"/>
      <c r="AF14" s="141">
        <f>'(2.1)_Proxy Resources'!H70*(1+E28)</f>
        <v>7334.6650809422044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138</v>
      </c>
      <c r="B15" s="272"/>
      <c r="C15" s="273" t="s">
        <v>107</v>
      </c>
      <c r="D15" s="273"/>
      <c r="E15" s="273"/>
      <c r="F15" s="273"/>
      <c r="G15" s="314">
        <v>155.28087535603333</v>
      </c>
      <c r="H15" s="275"/>
      <c r="AB15" s="129" t="s">
        <v>192</v>
      </c>
      <c r="AC15" s="130"/>
      <c r="AD15" s="130"/>
      <c r="AE15" s="130"/>
      <c r="AF15" s="175">
        <f>'(2.1)_Proxy Resources'!J70</f>
        <v>1174.8198494434653</v>
      </c>
      <c r="AG15" s="134"/>
      <c r="AH15" s="124" t="s">
        <v>145</v>
      </c>
      <c r="AI15" s="125"/>
      <c r="AJ15" s="174">
        <f>'(2.1)_Proxy Resources'!$P$57</f>
        <v>2.302423580786026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138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Resources'!K68</f>
        <v>8.5860000000000006E-2</v>
      </c>
      <c r="AG16" s="134"/>
      <c r="AH16" s="124" t="s">
        <v>110</v>
      </c>
      <c r="AI16" s="131"/>
      <c r="AJ16" s="145">
        <f>'(2.1)_Proxy Resources'!$D$57</f>
        <v>0.48691029900332239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138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'(2.2)_Forward_Price_Curve'!W5</f>
        <v>7.3164524549999999E-2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'(2.2)_Forward_Price_Curve'!G80</f>
        <v>4.6699999999999998E-2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2007</v>
      </c>
      <c r="D28" s="6"/>
      <c r="E28" s="292">
        <f>'(2.2)_Forward_Price_Curve'!O32</f>
        <v>2.5999999999999999E-2</v>
      </c>
      <c r="F28" s="6"/>
      <c r="G28" s="20">
        <v>76566</v>
      </c>
      <c r="H28" s="6"/>
      <c r="I28" s="293">
        <f>$G$15*(1+E28)</f>
        <v>159.31817811529021</v>
      </c>
      <c r="J28" s="293"/>
      <c r="K28" s="293">
        <v>0</v>
      </c>
      <c r="L28" s="294"/>
      <c r="M28" s="293">
        <f>$G$17</f>
        <v>0</v>
      </c>
      <c r="N28" s="6"/>
      <c r="O28" s="295">
        <v>0</v>
      </c>
      <c r="P28" s="6"/>
      <c r="Q28" s="30">
        <v>-32.232590372125259</v>
      </c>
      <c r="R28" s="6"/>
      <c r="S28" s="20">
        <f>(I28*$G$11*1000+(K28+M28+O28+Q28)*G28)/1000</f>
        <v>-556.10237704866006</v>
      </c>
      <c r="T28" s="6"/>
      <c r="U28" s="20">
        <f t="shared" ref="U28:U53" si="0">AX28</f>
        <v>1167.0089948699012</v>
      </c>
      <c r="V28" s="6"/>
      <c r="W28" s="20">
        <f t="shared" ref="W28:W53" si="1">S28-U28</f>
        <v>-1723.1113719185614</v>
      </c>
      <c r="X28" s="6"/>
      <c r="Y28" s="296">
        <f>+W28*1000/G28</f>
        <v>-22.504915653404403</v>
      </c>
      <c r="Z28" s="255"/>
      <c r="AB28" s="154">
        <f>$C$28</f>
        <v>2007</v>
      </c>
      <c r="AC28" s="124"/>
      <c r="AD28" s="159">
        <f t="shared" ref="AD28:AD47" si="2">G28</f>
        <v>76566</v>
      </c>
      <c r="AE28" s="3"/>
      <c r="AF28" s="160">
        <f>$AF$15*$AF$16*(1+E28)</f>
        <v>103.49265311231956</v>
      </c>
      <c r="AG28" s="297"/>
      <c r="AH28" s="160">
        <f>$AJ$11*(1+E28)</f>
        <v>7.7779966692021105</v>
      </c>
      <c r="AI28" s="297"/>
      <c r="AJ28" s="160">
        <f>$AJ$13*(1+E28)</f>
        <v>2.9280892111109051</v>
      </c>
      <c r="AK28" s="298"/>
      <c r="AL28" s="161">
        <f>((AF28+AH28)*$AF$11*1000+AJ28*AD28)/1000</f>
        <v>2191.9245387790288</v>
      </c>
      <c r="AM28" s="3"/>
      <c r="AN28" s="162">
        <f>INDEX('(2.2)_Forward_Price_Curve'!$L:$L,MATCH($AB28,'(2.2)_Forward_Price_Curve'!$C:$C,0),1)</f>
        <v>0</v>
      </c>
      <c r="AO28" s="310"/>
      <c r="AP28" s="162">
        <f>AN28*$AF$14/1000+$AJ$14/(1+E29)</f>
        <v>0</v>
      </c>
      <c r="AQ28" s="297"/>
      <c r="AR28" s="160">
        <f>$AJ$15*(1+E28)</f>
        <v>2.3622865938864628</v>
      </c>
      <c r="AS28" s="160"/>
      <c r="AT28" s="161">
        <f>AL28-BF28</f>
        <v>986.13815952239042</v>
      </c>
      <c r="AU28" s="298"/>
      <c r="AV28" s="161">
        <f t="shared" ref="AV28:AV47" si="3">(AP28+AR28)*AD28/1000</f>
        <v>180.8708353475109</v>
      </c>
      <c r="AW28" s="299"/>
      <c r="AX28" s="163">
        <f>AT28+AV28</f>
        <v>1167.0089948699012</v>
      </c>
      <c r="AZ28" s="154">
        <f>$C$28</f>
        <v>2007</v>
      </c>
      <c r="BA28" s="124"/>
      <c r="BB28" s="160">
        <f>$BD$14*$BD$15*(1+E28)</f>
        <v>66.065576400000012</v>
      </c>
      <c r="BC28" s="3"/>
      <c r="BD28" s="160">
        <f>$BB$16*(1+E28)</f>
        <v>4.3502400000000003</v>
      </c>
      <c r="BE28" s="297"/>
      <c r="BF28" s="161">
        <f>(BB28+BD28)*$BD$11</f>
        <v>1205.7863792566384</v>
      </c>
      <c r="BG28" s="297"/>
      <c r="BH28" s="164"/>
    </row>
    <row r="29" spans="1:60" ht="12">
      <c r="B29" s="2"/>
      <c r="C29" s="6">
        <f>+IF(C28&gt;$G$13+$G$14,XX,C28+1)</f>
        <v>2008</v>
      </c>
      <c r="D29" s="6"/>
      <c r="E29" s="292">
        <f>'(2.2)_Forward_Price_Curve'!O33</f>
        <v>2.4E-2</v>
      </c>
      <c r="F29" s="6"/>
      <c r="G29" s="20">
        <v>95300.383561643845</v>
      </c>
      <c r="H29" s="6"/>
      <c r="I29" s="30">
        <f>I28*(1+$E29)</f>
        <v>163.14181439005716</v>
      </c>
      <c r="J29" s="6"/>
      <c r="K29" s="30">
        <v>34.674577104304142</v>
      </c>
      <c r="L29" s="6"/>
      <c r="M29" s="293">
        <f t="shared" ref="M29:M53" si="4">$G$17</f>
        <v>0</v>
      </c>
      <c r="N29" s="6"/>
      <c r="O29" s="295">
        <v>0</v>
      </c>
      <c r="P29" s="6"/>
      <c r="Q29" s="30">
        <v>-33.844219890731516</v>
      </c>
      <c r="R29" s="6"/>
      <c r="S29" s="20">
        <f t="shared" ref="S29:S53" si="5">(I29*$G$11*1000+(K29+M29+O29+Q29)*G29)/1000</f>
        <v>2036.8351336273349</v>
      </c>
      <c r="T29" s="6"/>
      <c r="U29" s="20">
        <f t="shared" si="0"/>
        <v>10065.8253561414</v>
      </c>
      <c r="V29" s="6"/>
      <c r="W29" s="20">
        <f t="shared" si="1"/>
        <v>-8028.990222514065</v>
      </c>
      <c r="X29" s="6"/>
      <c r="Y29" s="296">
        <f t="shared" ref="Y29:Y53" si="6">+W29*1000/G29</f>
        <v>-84.249295988621228</v>
      </c>
      <c r="Z29" s="255"/>
      <c r="AB29" s="154">
        <f>+IF(AB28&gt;$G$13+$G$14,XX,AB28+1)</f>
        <v>2008</v>
      </c>
      <c r="AC29" s="124"/>
      <c r="AD29" s="159">
        <f t="shared" si="2"/>
        <v>95300.383561643845</v>
      </c>
      <c r="AE29" s="3"/>
      <c r="AF29" s="162">
        <f>AF28*(1+$E29)</f>
        <v>105.97647678701523</v>
      </c>
      <c r="AG29" s="3"/>
      <c r="AH29" s="162">
        <f>AH28*(1+$E29)</f>
        <v>7.9646685892629616</v>
      </c>
      <c r="AI29" s="3"/>
      <c r="AJ29" s="162">
        <f>AJ28*(1+$E29)</f>
        <v>2.998363352177567</v>
      </c>
      <c r="AK29" s="3"/>
      <c r="AL29" s="161">
        <f t="shared" ref="AL29:AL47" si="7">((AF29+AH29)*$AF$11*1000+AJ29*AD29)/1000</f>
        <v>2300.7032168065962</v>
      </c>
      <c r="AM29" s="3"/>
      <c r="AN29" s="162">
        <f>INDEX('(2.2)_Forward_Price_Curve'!$L:$L,MATCH($AB29,'(2.2)_Forward_Price_Curve'!$C:$C,0),1)</f>
        <v>12.545583333333333</v>
      </c>
      <c r="AO29" s="3"/>
      <c r="AP29" s="162">
        <f>AN29*$AF$14/1000+$AJ$14</f>
        <v>92.0176519950505</v>
      </c>
      <c r="AQ29" s="3"/>
      <c r="AR29" s="162">
        <f>AR28*(1+$E29)</f>
        <v>2.418981472139738</v>
      </c>
      <c r="AS29" s="162"/>
      <c r="AT29" s="161">
        <f t="shared" ref="AT29:AT47" si="8">AL29-BF29</f>
        <v>1065.9779644477983</v>
      </c>
      <c r="AU29" s="3"/>
      <c r="AV29" s="161">
        <f t="shared" si="3"/>
        <v>8999.8473916936018</v>
      </c>
      <c r="AW29" s="299"/>
      <c r="AX29" s="163">
        <f t="shared" ref="AX29:AX47" si="9">AT29+AV29</f>
        <v>10065.8253561414</v>
      </c>
      <c r="AZ29" s="154">
        <f>+IF(AZ28&gt;$G$13+$G$14,XX,AZ28+1)</f>
        <v>2008</v>
      </c>
      <c r="BA29" s="124"/>
      <c r="BB29" s="162">
        <f>BB28*(1+$E29)</f>
        <v>67.651150233600021</v>
      </c>
      <c r="BC29" s="3"/>
      <c r="BD29" s="162">
        <f>BD28*(1+$E29)</f>
        <v>4.45464576</v>
      </c>
      <c r="BE29" s="3"/>
      <c r="BF29" s="161">
        <f t="shared" ref="BF29:BF47" si="10">(BB29+BD29)*$BD$11</f>
        <v>1234.7252523587979</v>
      </c>
      <c r="BG29" s="3"/>
      <c r="BH29" s="165"/>
    </row>
    <row r="30" spans="1:60" ht="12">
      <c r="B30" s="2"/>
      <c r="C30" s="6">
        <f>+IF(C29&gt;$G$13+$G$14,XX,C29+1)</f>
        <v>2009</v>
      </c>
      <c r="D30" s="6"/>
      <c r="E30" s="292">
        <f>'(2.2)_Forward_Price_Curve'!O34</f>
        <v>2.3E-2</v>
      </c>
      <c r="F30" s="6"/>
      <c r="G30" s="20">
        <v>95040</v>
      </c>
      <c r="H30" s="6"/>
      <c r="I30" s="30">
        <f t="shared" ref="I30:I53" si="11">I29*(1+$E30)</f>
        <v>166.89407612102846</v>
      </c>
      <c r="J30" s="6"/>
      <c r="K30" s="30">
        <v>26.475282526803827</v>
      </c>
      <c r="L30" s="6"/>
      <c r="M30" s="293">
        <f t="shared" si="4"/>
        <v>0</v>
      </c>
      <c r="N30" s="6"/>
      <c r="O30" s="295">
        <v>0</v>
      </c>
      <c r="P30" s="6"/>
      <c r="Q30" s="30">
        <v>-33.844219890731516</v>
      </c>
      <c r="R30" s="6"/>
      <c r="S30" s="20">
        <f t="shared" si="5"/>
        <v>1302.3851063846541</v>
      </c>
      <c r="T30" s="6"/>
      <c r="U30" s="20">
        <f t="shared" si="0"/>
        <v>9584.4744407995131</v>
      </c>
      <c r="V30" s="6"/>
      <c r="W30" s="20">
        <f t="shared" si="1"/>
        <v>-8282.089334414859</v>
      </c>
      <c r="X30" s="6"/>
      <c r="Y30" s="296">
        <f t="shared" si="6"/>
        <v>-87.143195858742203</v>
      </c>
      <c r="Z30" s="255"/>
      <c r="AB30" s="154">
        <f>+IF(AB29&gt;$G$13+$G$14,XX,AB29+1)</f>
        <v>2009</v>
      </c>
      <c r="AC30" s="124"/>
      <c r="AD30" s="159">
        <f t="shared" si="2"/>
        <v>95040</v>
      </c>
      <c r="AE30" s="3"/>
      <c r="AF30" s="162">
        <f t="shared" ref="AF30:AF53" si="12">AF29*(1+$E30)</f>
        <v>108.41393575311658</v>
      </c>
      <c r="AG30" s="3"/>
      <c r="AH30" s="162">
        <f t="shared" ref="AH30:AH53" si="13">AH29*(1+$E30)</f>
        <v>8.1478559668160084</v>
      </c>
      <c r="AI30" s="3"/>
      <c r="AJ30" s="162">
        <f t="shared" ref="AJ30:AJ53" si="14">AJ29*(1+$E30)</f>
        <v>3.0673257092776507</v>
      </c>
      <c r="AK30" s="3"/>
      <c r="AL30" s="161">
        <f t="shared" si="7"/>
        <v>2352.8207096002448</v>
      </c>
      <c r="AM30" s="3"/>
      <c r="AN30" s="162">
        <f>INDEX('(2.2)_Forward_Price_Curve'!$L:$L,MATCH($AB30,'(2.2)_Forward_Price_Curve'!$C:$C,0),1)</f>
        <v>11.848729166666667</v>
      </c>
      <c r="AO30" s="3"/>
      <c r="AP30" s="162">
        <f>AN30*$AF$14/1000+$AJ$14*(1+E30)</f>
        <v>86.906460072291438</v>
      </c>
      <c r="AQ30" s="3"/>
      <c r="AR30" s="162">
        <f t="shared" ref="AR30:AR53" si="15">AR29*(1+$E30)</f>
        <v>2.4746180459989517</v>
      </c>
      <c r="AS30" s="162"/>
      <c r="AT30" s="161">
        <f t="shared" si="8"/>
        <v>1089.6967764371946</v>
      </c>
      <c r="AU30" s="3"/>
      <c r="AV30" s="161">
        <f t="shared" si="3"/>
        <v>8494.7776643623183</v>
      </c>
      <c r="AW30" s="299"/>
      <c r="AX30" s="163">
        <f t="shared" si="9"/>
        <v>9584.4744407995131</v>
      </c>
      <c r="AZ30" s="154">
        <f>+IF(AZ29&gt;$G$13+$G$14,XX,AZ29+1)</f>
        <v>2009</v>
      </c>
      <c r="BA30" s="124"/>
      <c r="BB30" s="162">
        <f t="shared" ref="BB30:BB53" si="16">BB29*(1+$E30)</f>
        <v>69.207126688972821</v>
      </c>
      <c r="BC30" s="3"/>
      <c r="BD30" s="162">
        <f t="shared" ref="BD30:BD53" si="17">BD29*(1+$E30)</f>
        <v>4.5571026124799996</v>
      </c>
      <c r="BE30" s="3"/>
      <c r="BF30" s="161">
        <f t="shared" si="10"/>
        <v>1263.1239331630502</v>
      </c>
      <c r="BG30" s="3"/>
      <c r="BH30" s="165"/>
    </row>
    <row r="31" spans="1:60" ht="12">
      <c r="B31" s="2"/>
      <c r="C31" s="6">
        <f>+IF(C30&gt;$G$13+$G$14,XX,C30+1)</f>
        <v>2010</v>
      </c>
      <c r="D31" s="6"/>
      <c r="E31" s="292">
        <f>'(2.2)_Forward_Price_Curve'!O35</f>
        <v>2.3E-2</v>
      </c>
      <c r="F31" s="6"/>
      <c r="G31" s="20">
        <v>95040</v>
      </c>
      <c r="H31" s="6"/>
      <c r="I31" s="30">
        <f t="shared" si="11"/>
        <v>170.7326398718121</v>
      </c>
      <c r="J31" s="6"/>
      <c r="K31" s="30">
        <v>31.043301465037967</v>
      </c>
      <c r="L31" s="6"/>
      <c r="M31" s="293">
        <f t="shared" si="4"/>
        <v>0</v>
      </c>
      <c r="N31" s="6"/>
      <c r="O31" s="295">
        <v>0</v>
      </c>
      <c r="P31" s="6"/>
      <c r="Q31" s="30">
        <v>-35.45584940933778</v>
      </c>
      <c r="R31" s="6"/>
      <c r="S31" s="20">
        <f t="shared" si="5"/>
        <v>1629.423121835491</v>
      </c>
      <c r="T31" s="6"/>
      <c r="U31" s="20">
        <f t="shared" si="0"/>
        <v>8909.5968340704385</v>
      </c>
      <c r="V31" s="6"/>
      <c r="W31" s="20">
        <f t="shared" si="1"/>
        <v>-7280.1737122349477</v>
      </c>
      <c r="X31" s="6"/>
      <c r="Y31" s="296">
        <f t="shared" si="6"/>
        <v>-76.601154379576471</v>
      </c>
      <c r="Z31" s="255"/>
      <c r="AB31" s="154">
        <f>+IF(AB30&gt;$G$13+$G$14,XX,AB30+1)</f>
        <v>2010</v>
      </c>
      <c r="AC31" s="124"/>
      <c r="AD31" s="159">
        <f t="shared" si="2"/>
        <v>95040</v>
      </c>
      <c r="AE31" s="3"/>
      <c r="AF31" s="162">
        <f t="shared" si="12"/>
        <v>110.90745627543825</v>
      </c>
      <c r="AG31" s="3"/>
      <c r="AH31" s="162">
        <f t="shared" si="13"/>
        <v>8.3352566540527757</v>
      </c>
      <c r="AI31" s="3"/>
      <c r="AJ31" s="162">
        <f t="shared" si="14"/>
        <v>3.1378742005910363</v>
      </c>
      <c r="AK31" s="3"/>
      <c r="AL31" s="161">
        <f t="shared" si="7"/>
        <v>2406.9355859210496</v>
      </c>
      <c r="AM31" s="3"/>
      <c r="AN31" s="162">
        <f>INDEX('(2.2)_Forward_Price_Curve'!$L:$L,MATCH($AB31,'(2.2)_Forward_Price_Curve'!$C:$C,0),1)</f>
        <v>10.836874999999999</v>
      </c>
      <c r="AO31" s="3"/>
      <c r="AP31" s="162">
        <f>AN31*$AF$14/1000+$AJ$14*(1+E31)</f>
        <v>79.484848649035541</v>
      </c>
      <c r="AQ31" s="3"/>
      <c r="AR31" s="162">
        <f t="shared" si="15"/>
        <v>2.5315342610569274</v>
      </c>
      <c r="AS31" s="162"/>
      <c r="AT31" s="161">
        <f t="shared" si="8"/>
        <v>1114.7598022952493</v>
      </c>
      <c r="AU31" s="3"/>
      <c r="AV31" s="161">
        <f t="shared" si="3"/>
        <v>7794.8370317751887</v>
      </c>
      <c r="AW31" s="299"/>
      <c r="AX31" s="163">
        <f t="shared" si="9"/>
        <v>8909.5968340704385</v>
      </c>
      <c r="AZ31" s="154">
        <f>+IF(AZ30&gt;$G$13+$G$14,XX,AZ30+1)</f>
        <v>2010</v>
      </c>
      <c r="BA31" s="124"/>
      <c r="BB31" s="162">
        <f t="shared" si="16"/>
        <v>70.798890602819185</v>
      </c>
      <c r="BC31" s="3"/>
      <c r="BD31" s="162">
        <f t="shared" si="17"/>
        <v>4.6619159725670389</v>
      </c>
      <c r="BE31" s="3"/>
      <c r="BF31" s="161">
        <f t="shared" si="10"/>
        <v>1292.1757836258002</v>
      </c>
      <c r="BG31" s="3"/>
      <c r="BH31" s="165"/>
    </row>
    <row r="32" spans="1:60" ht="12">
      <c r="B32" s="2"/>
      <c r="C32" s="6">
        <f>+IF(C31&gt;$G$13+$G$14,XX,C31+1)</f>
        <v>2011</v>
      </c>
      <c r="D32" s="6"/>
      <c r="E32" s="292">
        <f>'(2.2)_Forward_Price_Curve'!O36</f>
        <v>2.3E-2</v>
      </c>
      <c r="F32" s="6"/>
      <c r="G32" s="20">
        <v>95040</v>
      </c>
      <c r="H32" s="6"/>
      <c r="I32" s="30">
        <f t="shared" si="11"/>
        <v>174.65949058886375</v>
      </c>
      <c r="J32" s="6"/>
      <c r="K32" s="30">
        <v>29.25107168803434</v>
      </c>
      <c r="L32" s="6"/>
      <c r="M32" s="293">
        <f t="shared" si="4"/>
        <v>0</v>
      </c>
      <c r="N32" s="6"/>
      <c r="O32" s="295">
        <v>0</v>
      </c>
      <c r="P32" s="6"/>
      <c r="Q32" s="30">
        <v>-35.45584940933778</v>
      </c>
      <c r="R32" s="6"/>
      <c r="S32" s="20">
        <f t="shared" si="5"/>
        <v>1506.2118124336862</v>
      </c>
      <c r="T32" s="6"/>
      <c r="U32" s="20">
        <f t="shared" si="0"/>
        <v>8649.8090113997405</v>
      </c>
      <c r="V32" s="6"/>
      <c r="W32" s="20">
        <f t="shared" si="1"/>
        <v>-7143.5971989660538</v>
      </c>
      <c r="X32" s="6"/>
      <c r="Y32" s="296">
        <f t="shared" si="6"/>
        <v>-75.164111941982895</v>
      </c>
      <c r="Z32" s="255"/>
      <c r="AB32" s="154">
        <f>+IF(AB31&gt;$G$13+$G$14,XX,AB31+1)</f>
        <v>2011</v>
      </c>
      <c r="AC32" s="124"/>
      <c r="AD32" s="159">
        <f t="shared" si="2"/>
        <v>95040</v>
      </c>
      <c r="AE32" s="3"/>
      <c r="AF32" s="162">
        <f t="shared" si="12"/>
        <v>113.45832776977332</v>
      </c>
      <c r="AG32" s="3"/>
      <c r="AH32" s="162">
        <f t="shared" si="13"/>
        <v>8.526967557095988</v>
      </c>
      <c r="AI32" s="3"/>
      <c r="AJ32" s="162">
        <f t="shared" si="14"/>
        <v>3.2100453072046298</v>
      </c>
      <c r="AK32" s="3"/>
      <c r="AL32" s="161">
        <f t="shared" si="7"/>
        <v>2462.2951043972334</v>
      </c>
      <c r="AM32" s="3"/>
      <c r="AN32" s="162">
        <f>INDEX('(2.2)_Forward_Price_Curve'!$L:$L,MATCH($AB32,'(2.2)_Forward_Price_Curve'!$C:$C,0),1)</f>
        <v>10.419479166666667</v>
      </c>
      <c r="AO32" s="3"/>
      <c r="AP32" s="162">
        <f t="shared" ref="AP32:AP47" si="18">AN32*$AF$14/1000+$AJ$14*(1+E32)</f>
        <v>76.42339000535479</v>
      </c>
      <c r="AQ32" s="3"/>
      <c r="AR32" s="162">
        <f t="shared" si="15"/>
        <v>2.5897595490612364</v>
      </c>
      <c r="AS32" s="162"/>
      <c r="AT32" s="161">
        <f t="shared" si="8"/>
        <v>1140.39927774804</v>
      </c>
      <c r="AU32" s="3"/>
      <c r="AV32" s="161">
        <f t="shared" si="3"/>
        <v>7509.4097336516998</v>
      </c>
      <c r="AW32" s="299"/>
      <c r="AX32" s="163">
        <f t="shared" si="9"/>
        <v>8649.8090113997405</v>
      </c>
      <c r="AZ32" s="154">
        <f>+IF(AZ31&gt;$G$13+$G$14,XX,AZ31+1)</f>
        <v>2011</v>
      </c>
      <c r="BA32" s="124"/>
      <c r="BB32" s="162">
        <f t="shared" si="16"/>
        <v>72.427265086684017</v>
      </c>
      <c r="BC32" s="3"/>
      <c r="BD32" s="162">
        <f t="shared" si="17"/>
        <v>4.7691400399360804</v>
      </c>
      <c r="BE32" s="3"/>
      <c r="BF32" s="161">
        <f t="shared" si="10"/>
        <v>1321.8958266491934</v>
      </c>
      <c r="BG32" s="3"/>
      <c r="BH32" s="165"/>
    </row>
    <row r="33" spans="2:60" ht="12">
      <c r="B33" s="2"/>
      <c r="C33" s="6">
        <f>+IF(C32&gt;$G$13+$G$14,XX,C32+1)</f>
        <v>2012</v>
      </c>
      <c r="D33" s="6"/>
      <c r="E33" s="292">
        <f>'(2.2)_Forward_Price_Curve'!O37</f>
        <v>2.3E-2</v>
      </c>
      <c r="F33" s="6"/>
      <c r="G33" s="20">
        <v>95300.383561643845</v>
      </c>
      <c r="H33" s="6"/>
      <c r="I33" s="30">
        <f t="shared" si="11"/>
        <v>178.67665887240759</v>
      </c>
      <c r="J33" s="6"/>
      <c r="K33" s="30">
        <v>30.146254233266468</v>
      </c>
      <c r="L33" s="6"/>
      <c r="M33" s="293">
        <f t="shared" si="4"/>
        <v>0</v>
      </c>
      <c r="N33" s="6"/>
      <c r="O33" s="295">
        <v>0</v>
      </c>
      <c r="P33" s="6"/>
      <c r="Q33" s="30">
        <v>-35.45584940933778</v>
      </c>
      <c r="R33" s="6"/>
      <c r="S33" s="20">
        <f t="shared" si="5"/>
        <v>1638.1134496322406</v>
      </c>
      <c r="T33" s="6"/>
      <c r="U33" s="20">
        <f t="shared" si="0"/>
        <v>8709.5760920319753</v>
      </c>
      <c r="V33" s="6"/>
      <c r="W33" s="20">
        <f t="shared" si="1"/>
        <v>-7071.4626423997342</v>
      </c>
      <c r="X33" s="6"/>
      <c r="Y33" s="296">
        <f t="shared" si="6"/>
        <v>-74.201827716943527</v>
      </c>
      <c r="Z33" s="255"/>
      <c r="AB33" s="154">
        <f>+IF(AB32&gt;$G$13+$G$14,XX,AB32+1)</f>
        <v>2012</v>
      </c>
      <c r="AC33" s="124"/>
      <c r="AD33" s="159">
        <f t="shared" si="2"/>
        <v>95300.383561643845</v>
      </c>
      <c r="AE33" s="3"/>
      <c r="AF33" s="162">
        <f t="shared" si="12"/>
        <v>116.06786930847809</v>
      </c>
      <c r="AG33" s="3"/>
      <c r="AH33" s="162">
        <f t="shared" si="13"/>
        <v>8.7230878109091954</v>
      </c>
      <c r="AI33" s="3"/>
      <c r="AJ33" s="162">
        <f t="shared" si="14"/>
        <v>3.283876349270336</v>
      </c>
      <c r="AK33" s="3"/>
      <c r="AL33" s="161">
        <f t="shared" si="7"/>
        <v>2519.7829592181906</v>
      </c>
      <c r="AM33" s="3"/>
      <c r="AN33" s="162">
        <f>INDEX('(2.2)_Forward_Price_Curve'!$L:$L,MATCH($AB33,'(2.2)_Forward_Price_Curve'!$C:$C,0),1)</f>
        <v>10.428681771666666</v>
      </c>
      <c r="AO33" s="3"/>
      <c r="AP33" s="162">
        <f>AN33*$AF$14/1000+$AJ$14*(1+E33)</f>
        <v>76.490888030901971</v>
      </c>
      <c r="AQ33" s="3"/>
      <c r="AR33" s="162">
        <f t="shared" si="15"/>
        <v>2.6493240186896445</v>
      </c>
      <c r="AS33" s="162"/>
      <c r="AT33" s="161">
        <f t="shared" si="8"/>
        <v>1167.4835285560659</v>
      </c>
      <c r="AU33" s="3"/>
      <c r="AV33" s="161">
        <f t="shared" si="3"/>
        <v>7542.0925634759087</v>
      </c>
      <c r="AW33" s="299"/>
      <c r="AX33" s="163">
        <f t="shared" si="9"/>
        <v>8709.5760920319753</v>
      </c>
      <c r="AZ33" s="154">
        <f>+IF(AZ32&gt;$G$13+$G$14,XX,AZ32+1)</f>
        <v>2012</v>
      </c>
      <c r="BA33" s="124"/>
      <c r="BB33" s="162">
        <f t="shared" si="16"/>
        <v>74.09309218367774</v>
      </c>
      <c r="BC33" s="3"/>
      <c r="BD33" s="162">
        <f t="shared" si="17"/>
        <v>4.8788302608546097</v>
      </c>
      <c r="BE33" s="3"/>
      <c r="BF33" s="161">
        <f t="shared" si="10"/>
        <v>1352.2994306621247</v>
      </c>
      <c r="BG33" s="3"/>
      <c r="BH33" s="165"/>
    </row>
    <row r="34" spans="2:60" ht="12">
      <c r="B34" s="2"/>
      <c r="C34" s="6">
        <f>+IF(C33&gt;$G$13+$G$14,XX,C33+1)</f>
        <v>2013</v>
      </c>
      <c r="D34" s="6"/>
      <c r="E34" s="292">
        <f>'(2.2)_Forward_Price_Curve'!O38</f>
        <v>2.1999999999999999E-2</v>
      </c>
      <c r="F34" s="6"/>
      <c r="G34" s="20">
        <v>95040</v>
      </c>
      <c r="H34" s="6"/>
      <c r="I34" s="30">
        <f t="shared" si="11"/>
        <v>182.60754536760055</v>
      </c>
      <c r="J34" s="6"/>
      <c r="K34" s="30">
        <v>40.367320069412095</v>
      </c>
      <c r="L34" s="6"/>
      <c r="M34" s="293">
        <f t="shared" si="4"/>
        <v>0</v>
      </c>
      <c r="N34" s="6"/>
      <c r="O34" s="295">
        <v>0</v>
      </c>
      <c r="P34" s="6"/>
      <c r="Q34" s="30">
        <v>-37.067478927944045</v>
      </c>
      <c r="R34" s="6"/>
      <c r="S34" s="20">
        <f t="shared" si="5"/>
        <v>2504.9074464963301</v>
      </c>
      <c r="T34" s="6"/>
      <c r="U34" s="20">
        <f t="shared" si="0"/>
        <v>8861.6413003092312</v>
      </c>
      <c r="V34" s="6"/>
      <c r="W34" s="20">
        <f t="shared" si="1"/>
        <v>-6356.7338538129006</v>
      </c>
      <c r="X34" s="6"/>
      <c r="Y34" s="296">
        <f t="shared" si="6"/>
        <v>-66.884825902913519</v>
      </c>
      <c r="Z34" s="255"/>
      <c r="AB34" s="154">
        <f>+IF(AB33&gt;$G$13+$G$14,XX,AB33+1)</f>
        <v>2013</v>
      </c>
      <c r="AC34" s="124"/>
      <c r="AD34" s="159">
        <f t="shared" si="2"/>
        <v>95040</v>
      </c>
      <c r="AE34" s="3"/>
      <c r="AF34" s="162">
        <f t="shared" si="12"/>
        <v>118.62136243326462</v>
      </c>
      <c r="AG34" s="3"/>
      <c r="AH34" s="162">
        <f t="shared" si="13"/>
        <v>8.9149957427491984</v>
      </c>
      <c r="AI34" s="3"/>
      <c r="AJ34" s="162">
        <f t="shared" si="14"/>
        <v>3.3561216289542837</v>
      </c>
      <c r="AK34" s="3"/>
      <c r="AL34" s="161">
        <f t="shared" si="7"/>
        <v>2574.3443054179343</v>
      </c>
      <c r="AM34" s="3"/>
      <c r="AN34" s="162">
        <f>INDEX('(2.2)_Forward_Price_Curve'!$L:$L,MATCH($AB34,'(2.2)_Forward_Price_Curve'!$C:$C,0),1)</f>
        <v>10.632848438333333</v>
      </c>
      <c r="AO34" s="3"/>
      <c r="AP34" s="162">
        <f t="shared" si="18"/>
        <v>77.988382151594351</v>
      </c>
      <c r="AQ34" s="3"/>
      <c r="AR34" s="162">
        <f t="shared" si="15"/>
        <v>2.7076091471008166</v>
      </c>
      <c r="AS34" s="162"/>
      <c r="AT34" s="161">
        <f t="shared" si="8"/>
        <v>1192.2942872812428</v>
      </c>
      <c r="AU34" s="3"/>
      <c r="AV34" s="161">
        <f t="shared" si="3"/>
        <v>7669.3470130279884</v>
      </c>
      <c r="AW34" s="299"/>
      <c r="AX34" s="163">
        <f t="shared" si="9"/>
        <v>8861.6413003092312</v>
      </c>
      <c r="AZ34" s="154">
        <f>+IF(AZ33&gt;$G$13+$G$14,XX,AZ33+1)</f>
        <v>2013</v>
      </c>
      <c r="BA34" s="124"/>
      <c r="BB34" s="162">
        <f t="shared" si="16"/>
        <v>75.723140211718658</v>
      </c>
      <c r="BC34" s="3"/>
      <c r="BD34" s="162">
        <f t="shared" si="17"/>
        <v>4.9861645265934111</v>
      </c>
      <c r="BE34" s="3"/>
      <c r="BF34" s="161">
        <f t="shared" si="10"/>
        <v>1382.0500181366915</v>
      </c>
      <c r="BG34" s="3"/>
      <c r="BH34" s="165"/>
    </row>
    <row r="35" spans="2:60" ht="12">
      <c r="B35" s="2"/>
      <c r="C35" s="6">
        <f>+IF(C34&gt;$G$13+$G$14,XX,C34+1)</f>
        <v>2014</v>
      </c>
      <c r="D35" s="6"/>
      <c r="E35" s="292">
        <f>'(2.2)_Forward_Price_Curve'!O39</f>
        <v>2.1999999999999999E-2</v>
      </c>
      <c r="F35" s="6"/>
      <c r="G35" s="20">
        <v>95040</v>
      </c>
      <c r="H35" s="6"/>
      <c r="I35" s="30">
        <f t="shared" si="11"/>
        <v>186.62491136568778</v>
      </c>
      <c r="J35" s="6"/>
      <c r="K35" s="30">
        <v>31.174907679620706</v>
      </c>
      <c r="L35" s="6"/>
      <c r="M35" s="293">
        <f t="shared" si="4"/>
        <v>0</v>
      </c>
      <c r="N35" s="6"/>
      <c r="O35" s="295">
        <v>0</v>
      </c>
      <c r="P35" s="6"/>
      <c r="Q35" s="30">
        <v>-37.067478927944045</v>
      </c>
      <c r="R35" s="6"/>
      <c r="S35" s="20">
        <f t="shared" si="5"/>
        <v>1679.4689649476031</v>
      </c>
      <c r="T35" s="6"/>
      <c r="U35" s="20">
        <f t="shared" si="0"/>
        <v>8694.2405422161719</v>
      </c>
      <c r="V35" s="6"/>
      <c r="W35" s="20">
        <f t="shared" si="1"/>
        <v>-7014.7715772685688</v>
      </c>
      <c r="X35" s="6"/>
      <c r="Y35" s="296">
        <f t="shared" si="6"/>
        <v>-73.808623498196226</v>
      </c>
      <c r="Z35" s="255"/>
      <c r="AB35" s="154">
        <f>+IF(AB34&gt;$G$13+$G$14,XX,AB34+1)</f>
        <v>2014</v>
      </c>
      <c r="AC35" s="124"/>
      <c r="AD35" s="159">
        <f t="shared" si="2"/>
        <v>95040</v>
      </c>
      <c r="AE35" s="3"/>
      <c r="AF35" s="162">
        <f t="shared" si="12"/>
        <v>121.23103240679644</v>
      </c>
      <c r="AG35" s="3"/>
      <c r="AH35" s="162">
        <f t="shared" si="13"/>
        <v>9.111125649089681</v>
      </c>
      <c r="AI35" s="3"/>
      <c r="AJ35" s="162">
        <f t="shared" si="14"/>
        <v>3.4299563047912778</v>
      </c>
      <c r="AK35" s="3"/>
      <c r="AL35" s="161">
        <f t="shared" si="7"/>
        <v>2630.9798801371289</v>
      </c>
      <c r="AM35" s="3"/>
      <c r="AN35" s="162">
        <f>INDEX('(2.2)_Forward_Price_Curve'!$L:$L,MATCH($AB35,'(2.2)_Forward_Price_Curve'!$C:$C,0),1)</f>
        <v>10.346954939583332</v>
      </c>
      <c r="AO35" s="3"/>
      <c r="AP35" s="162">
        <f t="shared" si="18"/>
        <v>75.891449089444336</v>
      </c>
      <c r="AQ35" s="3"/>
      <c r="AR35" s="162">
        <f t="shared" si="15"/>
        <v>2.7671765483370345</v>
      </c>
      <c r="AS35" s="162"/>
      <c r="AT35" s="161">
        <f t="shared" si="8"/>
        <v>1218.5247616014301</v>
      </c>
      <c r="AU35" s="3"/>
      <c r="AV35" s="161">
        <f t="shared" si="3"/>
        <v>7475.7157806147416</v>
      </c>
      <c r="AW35" s="299"/>
      <c r="AX35" s="163">
        <f t="shared" si="9"/>
        <v>8694.2405422161719</v>
      </c>
      <c r="AZ35" s="154">
        <f>+IF(AZ34&gt;$G$13+$G$14,XX,AZ34+1)</f>
        <v>2014</v>
      </c>
      <c r="BA35" s="124"/>
      <c r="BB35" s="162">
        <f t="shared" si="16"/>
        <v>77.38904929637647</v>
      </c>
      <c r="BC35" s="3"/>
      <c r="BD35" s="162">
        <f t="shared" si="17"/>
        <v>5.0958601461784667</v>
      </c>
      <c r="BE35" s="3"/>
      <c r="BF35" s="161">
        <f t="shared" si="10"/>
        <v>1412.4551185356988</v>
      </c>
      <c r="BG35" s="3"/>
      <c r="BH35" s="165"/>
    </row>
    <row r="36" spans="2:60" ht="12">
      <c r="B36" s="2"/>
      <c r="C36" s="6">
        <f>+IF(C35&gt;$G$13+$G$14,XX,C35+1)</f>
        <v>2015</v>
      </c>
      <c r="D36" s="6"/>
      <c r="E36" s="292">
        <f>'(2.2)_Forward_Price_Curve'!O40</f>
        <v>2.1999999999999999E-2</v>
      </c>
      <c r="F36" s="6"/>
      <c r="G36" s="20">
        <v>95040</v>
      </c>
      <c r="H36" s="6"/>
      <c r="I36" s="30">
        <f t="shared" si="11"/>
        <v>190.7306594157329</v>
      </c>
      <c r="J36" s="6"/>
      <c r="K36" s="30">
        <v>42.860392558148874</v>
      </c>
      <c r="L36" s="6"/>
      <c r="M36" s="293">
        <f t="shared" si="4"/>
        <v>0</v>
      </c>
      <c r="N36" s="6"/>
      <c r="O36" s="295">
        <v>0</v>
      </c>
      <c r="P36" s="6"/>
      <c r="Q36" s="30">
        <v>-37.067478927944045</v>
      </c>
      <c r="R36" s="6"/>
      <c r="S36" s="20">
        <f t="shared" si="5"/>
        <v>2839.3264244034617</v>
      </c>
      <c r="T36" s="6"/>
      <c r="U36" s="20">
        <f t="shared" si="0"/>
        <v>8020.0321242297487</v>
      </c>
      <c r="V36" s="6"/>
      <c r="W36" s="20">
        <f t="shared" si="1"/>
        <v>-5180.7056998262869</v>
      </c>
      <c r="X36" s="6"/>
      <c r="Y36" s="296">
        <f t="shared" si="6"/>
        <v>-54.510792296152012</v>
      </c>
      <c r="Z36" s="255"/>
      <c r="AB36" s="154">
        <f>+IF(AB35&gt;$G$13+$G$14,XX,AB35+1)</f>
        <v>2015</v>
      </c>
      <c r="AC36" s="124"/>
      <c r="AD36" s="159">
        <f t="shared" si="2"/>
        <v>95040</v>
      </c>
      <c r="AE36" s="3"/>
      <c r="AF36" s="162">
        <f t="shared" si="12"/>
        <v>123.89811511974597</v>
      </c>
      <c r="AG36" s="3"/>
      <c r="AH36" s="162">
        <f t="shared" si="13"/>
        <v>9.3115704133696546</v>
      </c>
      <c r="AI36" s="3"/>
      <c r="AJ36" s="162">
        <f t="shared" si="14"/>
        <v>3.5054153434966859</v>
      </c>
      <c r="AK36" s="3"/>
      <c r="AL36" s="161">
        <f t="shared" si="7"/>
        <v>2688.8614375001453</v>
      </c>
      <c r="AM36" s="3"/>
      <c r="AN36" s="162">
        <f>INDEX('(2.2)_Forward_Price_Curve'!$L:$L,MATCH($AB36,'(2.2)_Forward_Price_Curve'!$C:$C,0),1)</f>
        <v>9.3330180370833329</v>
      </c>
      <c r="AO36" s="3"/>
      <c r="AP36" s="162">
        <f t="shared" si="18"/>
        <v>68.454561496398881</v>
      </c>
      <c r="AQ36" s="3"/>
      <c r="AR36" s="162">
        <f t="shared" si="15"/>
        <v>2.8280544324004495</v>
      </c>
      <c r="AS36" s="162"/>
      <c r="AT36" s="161">
        <f t="shared" si="8"/>
        <v>1245.3323063566609</v>
      </c>
      <c r="AU36" s="3"/>
      <c r="AV36" s="161">
        <f t="shared" si="3"/>
        <v>6774.6998178730883</v>
      </c>
      <c r="AW36" s="299"/>
      <c r="AX36" s="163">
        <f t="shared" si="9"/>
        <v>8020.0321242297487</v>
      </c>
      <c r="AZ36" s="154">
        <f>+IF(AZ35&gt;$G$13+$G$14,XX,AZ35+1)</f>
        <v>2015</v>
      </c>
      <c r="BA36" s="124"/>
      <c r="BB36" s="162">
        <f t="shared" si="16"/>
        <v>79.091608380896758</v>
      </c>
      <c r="BC36" s="3"/>
      <c r="BD36" s="162">
        <f t="shared" si="17"/>
        <v>5.2079690693943927</v>
      </c>
      <c r="BE36" s="3"/>
      <c r="BF36" s="161">
        <f t="shared" si="10"/>
        <v>1443.5291311434844</v>
      </c>
      <c r="BG36" s="3"/>
      <c r="BH36" s="165"/>
    </row>
    <row r="37" spans="2:60" ht="12">
      <c r="B37" s="2"/>
      <c r="C37" s="6">
        <f>+IF(C36&gt;$G$13+$G$14,XX,C36+1)</f>
        <v>2016</v>
      </c>
      <c r="D37" s="6"/>
      <c r="E37" s="292">
        <f>'(2.2)_Forward_Price_Curve'!O41</f>
        <v>2.1999999999999999E-2</v>
      </c>
      <c r="F37" s="6"/>
      <c r="G37" s="20">
        <v>95300.383561643845</v>
      </c>
      <c r="H37" s="6"/>
      <c r="I37" s="30">
        <f t="shared" si="11"/>
        <v>194.92673392287904</v>
      </c>
      <c r="J37" s="6"/>
      <c r="K37" s="30">
        <v>44.173594380124619</v>
      </c>
      <c r="L37" s="6"/>
      <c r="M37" s="293">
        <f t="shared" si="4"/>
        <v>0</v>
      </c>
      <c r="N37" s="6"/>
      <c r="O37" s="295">
        <v>0</v>
      </c>
      <c r="P37" s="6"/>
      <c r="Q37" s="30">
        <v>-37.067478927944045</v>
      </c>
      <c r="R37" s="6"/>
      <c r="S37" s="20">
        <f t="shared" si="5"/>
        <v>3016.3363353006812</v>
      </c>
      <c r="T37" s="6"/>
      <c r="U37" s="20">
        <f t="shared" si="0"/>
        <v>7808.0366699081478</v>
      </c>
      <c r="V37" s="6"/>
      <c r="W37" s="20">
        <f t="shared" si="1"/>
        <v>-4791.7003346074671</v>
      </c>
      <c r="X37" s="6"/>
      <c r="Y37" s="296">
        <f t="shared" si="6"/>
        <v>-50.279969036095395</v>
      </c>
      <c r="Z37" s="255"/>
      <c r="AB37" s="154">
        <f>+IF(AB36&gt;$G$13+$G$14,XX,AB36+1)</f>
        <v>2016</v>
      </c>
      <c r="AC37" s="124"/>
      <c r="AD37" s="159">
        <f t="shared" si="2"/>
        <v>95300.383561643845</v>
      </c>
      <c r="AE37" s="3"/>
      <c r="AF37" s="162">
        <f t="shared" si="12"/>
        <v>126.62387365238038</v>
      </c>
      <c r="AG37" s="3"/>
      <c r="AH37" s="162">
        <f t="shared" si="13"/>
        <v>9.5164249624637876</v>
      </c>
      <c r="AI37" s="3"/>
      <c r="AJ37" s="162">
        <f t="shared" si="14"/>
        <v>3.5825344810536133</v>
      </c>
      <c r="AK37" s="3"/>
      <c r="AL37" s="161">
        <f t="shared" si="7"/>
        <v>2748.9492222130375</v>
      </c>
      <c r="AM37" s="3"/>
      <c r="AN37" s="162">
        <f>INDEX('(2.2)_Forward_Price_Curve'!$L:$L,MATCH($AB37,'(2.2)_Forward_Price_Curve'!$C:$C,0),1)</f>
        <v>8.9541666666666657</v>
      </c>
      <c r="AO37" s="3"/>
      <c r="AP37" s="162">
        <f t="shared" si="18"/>
        <v>65.675813578936655</v>
      </c>
      <c r="AQ37" s="3"/>
      <c r="AR37" s="162">
        <f t="shared" si="15"/>
        <v>2.8902716299132596</v>
      </c>
      <c r="AS37" s="162"/>
      <c r="AT37" s="161">
        <f t="shared" si="8"/>
        <v>1273.6624501843964</v>
      </c>
      <c r="AU37" s="3"/>
      <c r="AV37" s="161">
        <f t="shared" si="3"/>
        <v>6534.3742197237516</v>
      </c>
      <c r="AW37" s="299"/>
      <c r="AX37" s="163">
        <f t="shared" si="9"/>
        <v>7808.0366699081478</v>
      </c>
      <c r="AZ37" s="154">
        <f>+IF(AZ36&gt;$G$13+$G$14,XX,AZ36+1)</f>
        <v>2016</v>
      </c>
      <c r="BA37" s="124"/>
      <c r="BB37" s="162">
        <f t="shared" si="16"/>
        <v>80.83162376527649</v>
      </c>
      <c r="BC37" s="3"/>
      <c r="BD37" s="162">
        <f t="shared" si="17"/>
        <v>5.3225443889210693</v>
      </c>
      <c r="BE37" s="3"/>
      <c r="BF37" s="161">
        <f t="shared" si="10"/>
        <v>1475.2867720286411</v>
      </c>
      <c r="BG37" s="3"/>
      <c r="BH37" s="165"/>
    </row>
    <row r="38" spans="2:60" ht="12">
      <c r="B38" s="2"/>
      <c r="C38" s="6">
        <f>+IF(C37&gt;$G$13+$G$14,XX,C37+1)</f>
        <v>2017</v>
      </c>
      <c r="D38" s="6"/>
      <c r="E38" s="292">
        <f>'(2.2)_Forward_Price_Curve'!O42</f>
        <v>2.1999999999999999E-2</v>
      </c>
      <c r="F38" s="6"/>
      <c r="G38" s="20">
        <v>95040</v>
      </c>
      <c r="H38" s="6"/>
      <c r="I38" s="30">
        <f t="shared" si="11"/>
        <v>199.21512206918237</v>
      </c>
      <c r="J38" s="6"/>
      <c r="K38" s="30">
        <v>33.207652309631541</v>
      </c>
      <c r="L38" s="6"/>
      <c r="M38" s="293">
        <f t="shared" si="4"/>
        <v>0</v>
      </c>
      <c r="N38" s="6"/>
      <c r="O38" s="295">
        <v>0</v>
      </c>
      <c r="P38" s="6"/>
      <c r="Q38" s="30"/>
      <c r="R38" s="6"/>
      <c r="S38" s="20">
        <f t="shared" si="5"/>
        <v>5546.6367403375698</v>
      </c>
      <c r="T38" s="6"/>
      <c r="U38" s="20">
        <f t="shared" si="0"/>
        <v>8302.8310871932499</v>
      </c>
      <c r="V38" s="6"/>
      <c r="W38" s="20">
        <f t="shared" si="1"/>
        <v>-2756.1943468556801</v>
      </c>
      <c r="X38" s="6"/>
      <c r="Y38" s="296">
        <f t="shared" si="6"/>
        <v>-29.000361393683502</v>
      </c>
      <c r="Z38" s="255"/>
      <c r="AB38" s="154">
        <f>+IF(AB37&gt;$G$13+$G$14,XX,AB37+1)</f>
        <v>2017</v>
      </c>
      <c r="AC38" s="124"/>
      <c r="AD38" s="159">
        <f t="shared" si="2"/>
        <v>95040</v>
      </c>
      <c r="AE38" s="3"/>
      <c r="AF38" s="162">
        <f t="shared" si="12"/>
        <v>129.40959887273274</v>
      </c>
      <c r="AG38" s="3"/>
      <c r="AH38" s="162">
        <f t="shared" si="13"/>
        <v>9.7257863116379912</v>
      </c>
      <c r="AI38" s="3"/>
      <c r="AJ38" s="162">
        <f t="shared" si="14"/>
        <v>3.6613502396367927</v>
      </c>
      <c r="AK38" s="3"/>
      <c r="AL38" s="161">
        <f t="shared" si="7"/>
        <v>2808.4727496859018</v>
      </c>
      <c r="AM38" s="3"/>
      <c r="AN38" s="162">
        <f>INDEX('(2.2)_Forward_Price_Curve'!$L:$L,MATCH($AB38,'(2.2)_Forward_Price_Curve'!$C:$C,0),1)</f>
        <v>9.6420833333333338</v>
      </c>
      <c r="AO38" s="3"/>
      <c r="AP38" s="162">
        <f t="shared" si="18"/>
        <v>70.721451932534819</v>
      </c>
      <c r="AQ38" s="3"/>
      <c r="AR38" s="162">
        <f t="shared" si="15"/>
        <v>2.9538576057713515</v>
      </c>
      <c r="AS38" s="162"/>
      <c r="AT38" s="161">
        <f t="shared" si="8"/>
        <v>1300.7296686726306</v>
      </c>
      <c r="AU38" s="3"/>
      <c r="AV38" s="161">
        <f t="shared" si="3"/>
        <v>7002.1014185206186</v>
      </c>
      <c r="AW38" s="299"/>
      <c r="AX38" s="163">
        <f t="shared" si="9"/>
        <v>8302.8310871932499</v>
      </c>
      <c r="AZ38" s="154">
        <f>+IF(AZ37&gt;$G$13+$G$14,XX,AZ37+1)</f>
        <v>2017</v>
      </c>
      <c r="BA38" s="124"/>
      <c r="BB38" s="162">
        <f t="shared" si="16"/>
        <v>82.609919488112581</v>
      </c>
      <c r="BC38" s="3"/>
      <c r="BD38" s="162">
        <f t="shared" si="17"/>
        <v>5.4396403654773327</v>
      </c>
      <c r="BE38" s="3"/>
      <c r="BF38" s="161">
        <f t="shared" si="10"/>
        <v>1507.7430810132712</v>
      </c>
      <c r="BG38" s="3"/>
      <c r="BH38" s="165"/>
    </row>
    <row r="39" spans="2:60" ht="12">
      <c r="B39" s="2"/>
      <c r="C39" s="6">
        <f>+IF(C38&gt;$G$13+$G$14,XX,C38+1)</f>
        <v>2018</v>
      </c>
      <c r="D39" s="6"/>
      <c r="E39" s="292">
        <f>'(2.2)_Forward_Price_Curve'!O43</f>
        <v>2.1999999999999999E-2</v>
      </c>
      <c r="F39" s="6"/>
      <c r="G39" s="20">
        <v>95040</v>
      </c>
      <c r="H39" s="6"/>
      <c r="I39" s="30">
        <f t="shared" si="11"/>
        <v>203.5978547547044</v>
      </c>
      <c r="J39" s="6"/>
      <c r="K39" s="30">
        <v>16.144218240362672</v>
      </c>
      <c r="L39" s="6"/>
      <c r="M39" s="293">
        <f t="shared" si="4"/>
        <v>0</v>
      </c>
      <c r="N39" s="6"/>
      <c r="O39" s="295">
        <v>0</v>
      </c>
      <c r="P39" s="6"/>
      <c r="Q39" s="30"/>
      <c r="R39" s="6"/>
      <c r="S39" s="20">
        <f t="shared" si="5"/>
        <v>3977.5207586205211</v>
      </c>
      <c r="T39" s="6"/>
      <c r="U39" s="20">
        <f t="shared" si="0"/>
        <v>9497.6915340928153</v>
      </c>
      <c r="V39" s="6"/>
      <c r="W39" s="20">
        <f t="shared" si="1"/>
        <v>-5520.1707754722938</v>
      </c>
      <c r="X39" s="6"/>
      <c r="Y39" s="296">
        <f t="shared" si="6"/>
        <v>-58.082604960777502</v>
      </c>
      <c r="Z39" s="255"/>
      <c r="AB39" s="154">
        <f>+IF(AB38&gt;$G$13+$G$14,XX,AB38+1)</f>
        <v>2018</v>
      </c>
      <c r="AC39" s="124"/>
      <c r="AD39" s="159">
        <f t="shared" si="2"/>
        <v>95040</v>
      </c>
      <c r="AE39" s="3"/>
      <c r="AF39" s="162">
        <f t="shared" si="12"/>
        <v>132.25661004793287</v>
      </c>
      <c r="AG39" s="3"/>
      <c r="AH39" s="162">
        <f t="shared" si="13"/>
        <v>9.9397536104940265</v>
      </c>
      <c r="AI39" s="3"/>
      <c r="AJ39" s="162">
        <f t="shared" si="14"/>
        <v>3.7418999449088024</v>
      </c>
      <c r="AK39" s="3"/>
      <c r="AL39" s="161">
        <f t="shared" si="7"/>
        <v>2870.2591501789916</v>
      </c>
      <c r="AM39" s="3"/>
      <c r="AN39" s="162">
        <f>INDEX('(2.2)_Forward_Price_Curve'!$L:$L,MATCH($AB39,'(2.2)_Forward_Price_Curve'!$C:$C,0),1)</f>
        <v>11.30625</v>
      </c>
      <c r="AO39" s="3"/>
      <c r="AP39" s="162">
        <f t="shared" si="18"/>
        <v>82.927557071402802</v>
      </c>
      <c r="AQ39" s="3"/>
      <c r="AR39" s="162">
        <f t="shared" si="15"/>
        <v>3.0188424730983212</v>
      </c>
      <c r="AS39" s="162"/>
      <c r="AT39" s="161">
        <f t="shared" si="8"/>
        <v>1329.3457213834283</v>
      </c>
      <c r="AU39" s="3"/>
      <c r="AV39" s="161">
        <f t="shared" si="3"/>
        <v>8168.3458127093863</v>
      </c>
      <c r="AW39" s="299"/>
      <c r="AX39" s="163">
        <f t="shared" si="9"/>
        <v>9497.6915340928153</v>
      </c>
      <c r="AZ39" s="154">
        <f>+IF(AZ38&gt;$G$13+$G$14,XX,AZ38+1)</f>
        <v>2018</v>
      </c>
      <c r="BA39" s="124"/>
      <c r="BB39" s="162">
        <f t="shared" si="16"/>
        <v>84.427337716851056</v>
      </c>
      <c r="BC39" s="3"/>
      <c r="BD39" s="162">
        <f t="shared" si="17"/>
        <v>5.5593124535178342</v>
      </c>
      <c r="BE39" s="3"/>
      <c r="BF39" s="161">
        <f t="shared" si="10"/>
        <v>1540.9134287955633</v>
      </c>
      <c r="BG39" s="3"/>
      <c r="BH39" s="165"/>
    </row>
    <row r="40" spans="2:60" ht="12">
      <c r="B40" s="2"/>
      <c r="C40" s="6">
        <f>+IF(C39&gt;$G$13+$G$14,XX,C39+1)</f>
        <v>2019</v>
      </c>
      <c r="D40" s="6"/>
      <c r="E40" s="292">
        <f>'(2.2)_Forward_Price_Curve'!O44</f>
        <v>2.1999999999999999E-2</v>
      </c>
      <c r="F40" s="6"/>
      <c r="G40" s="20">
        <v>95040</v>
      </c>
      <c r="H40" s="6"/>
      <c r="I40" s="30">
        <f t="shared" si="11"/>
        <v>208.0770075593079</v>
      </c>
      <c r="J40" s="6"/>
      <c r="K40" s="30">
        <v>15.735794299659918</v>
      </c>
      <c r="L40" s="6"/>
      <c r="M40" s="293">
        <f t="shared" si="4"/>
        <v>0</v>
      </c>
      <c r="N40" s="6"/>
      <c r="O40" s="295">
        <v>0</v>
      </c>
      <c r="P40" s="6"/>
      <c r="Q40" s="30"/>
      <c r="R40" s="6"/>
      <c r="S40" s="20">
        <f t="shared" si="5"/>
        <v>3992.4539809513735</v>
      </c>
      <c r="T40" s="6"/>
      <c r="U40" s="20">
        <f t="shared" si="0"/>
        <v>9844.0336061230846</v>
      </c>
      <c r="V40" s="6"/>
      <c r="W40" s="20">
        <f t="shared" si="1"/>
        <v>-5851.5796251717111</v>
      </c>
      <c r="X40" s="6"/>
      <c r="Y40" s="296">
        <f t="shared" si="6"/>
        <v>-61.569650938254533</v>
      </c>
      <c r="Z40" s="255"/>
      <c r="AB40" s="154">
        <f>+IF(AB39&gt;$G$13+$G$14,XX,AB39+1)</f>
        <v>2019</v>
      </c>
      <c r="AC40" s="124"/>
      <c r="AD40" s="159">
        <f t="shared" si="2"/>
        <v>95040</v>
      </c>
      <c r="AE40" s="3"/>
      <c r="AF40" s="162">
        <f t="shared" si="12"/>
        <v>135.1662554689874</v>
      </c>
      <c r="AG40" s="3"/>
      <c r="AH40" s="162">
        <f t="shared" si="13"/>
        <v>10.158428189924896</v>
      </c>
      <c r="AI40" s="3"/>
      <c r="AJ40" s="162">
        <f t="shared" si="14"/>
        <v>3.8242217436967962</v>
      </c>
      <c r="AK40" s="3"/>
      <c r="AL40" s="161">
        <f t="shared" si="7"/>
        <v>2933.4048514829301</v>
      </c>
      <c r="AM40" s="3"/>
      <c r="AN40" s="162">
        <f>INDEX('(2.2)_Forward_Price_Curve'!$L:$L,MATCH($AB40,'(2.2)_Forward_Price_Curve'!$C:$C,0),1)</f>
        <v>11.752083333333331</v>
      </c>
      <c r="AO40" s="3"/>
      <c r="AP40" s="162">
        <f t="shared" si="18"/>
        <v>86.197595253322859</v>
      </c>
      <c r="AQ40" s="3"/>
      <c r="AR40" s="162">
        <f t="shared" si="15"/>
        <v>3.0852570075064842</v>
      </c>
      <c r="AS40" s="162"/>
      <c r="AT40" s="161">
        <f t="shared" si="8"/>
        <v>1358.5913272538646</v>
      </c>
      <c r="AU40" s="3"/>
      <c r="AV40" s="161">
        <f t="shared" si="3"/>
        <v>8485.4422788692209</v>
      </c>
      <c r="AW40" s="299"/>
      <c r="AX40" s="163">
        <f t="shared" si="9"/>
        <v>9844.0336061230846</v>
      </c>
      <c r="AZ40" s="154">
        <f>+IF(AZ39&gt;$G$13+$G$14,XX,AZ39+1)</f>
        <v>2019</v>
      </c>
      <c r="BA40" s="124"/>
      <c r="BB40" s="162">
        <f t="shared" si="16"/>
        <v>86.284739146621774</v>
      </c>
      <c r="BC40" s="3"/>
      <c r="BD40" s="162">
        <f t="shared" si="17"/>
        <v>5.6816173274952266</v>
      </c>
      <c r="BE40" s="3"/>
      <c r="BF40" s="161">
        <f t="shared" si="10"/>
        <v>1574.8135242290655</v>
      </c>
      <c r="BG40" s="3"/>
      <c r="BH40" s="165"/>
    </row>
    <row r="41" spans="2:60" ht="12">
      <c r="B41" s="2"/>
      <c r="C41" s="6">
        <f>+IF(C40&gt;$G$13+$G$14,XX,C40+1)</f>
        <v>2020</v>
      </c>
      <c r="D41" s="6"/>
      <c r="E41" s="292">
        <f>'(2.2)_Forward_Price_Curve'!O45</f>
        <v>2.1999999999999999E-2</v>
      </c>
      <c r="F41" s="6"/>
      <c r="G41" s="20">
        <v>95300.383561643845</v>
      </c>
      <c r="H41" s="6"/>
      <c r="I41" s="30">
        <f t="shared" si="11"/>
        <v>212.65470172561268</v>
      </c>
      <c r="J41" s="6"/>
      <c r="K41" s="30">
        <v>21.202258064950652</v>
      </c>
      <c r="L41" s="6"/>
      <c r="M41" s="293">
        <f t="shared" si="4"/>
        <v>0</v>
      </c>
      <c r="N41" s="6"/>
      <c r="O41" s="295">
        <v>0</v>
      </c>
      <c r="P41" s="6"/>
      <c r="Q41" s="30"/>
      <c r="R41" s="6"/>
      <c r="S41" s="20">
        <f t="shared" si="5"/>
        <v>4572.4397466701066</v>
      </c>
      <c r="T41" s="6"/>
      <c r="U41" s="20">
        <f t="shared" si="0"/>
        <v>9710.1026528108814</v>
      </c>
      <c r="V41" s="6"/>
      <c r="W41" s="20">
        <f t="shared" si="1"/>
        <v>-5137.6629061407748</v>
      </c>
      <c r="X41" s="6"/>
      <c r="Y41" s="296">
        <f t="shared" si="6"/>
        <v>-53.910201765531639</v>
      </c>
      <c r="Z41" s="255"/>
      <c r="AB41" s="154">
        <f>+IF(AB40&gt;$G$13+$G$14,XX,AB40+1)</f>
        <v>2020</v>
      </c>
      <c r="AC41" s="124"/>
      <c r="AD41" s="159">
        <f t="shared" si="2"/>
        <v>95300.383561643845</v>
      </c>
      <c r="AE41" s="3"/>
      <c r="AF41" s="162">
        <f t="shared" si="12"/>
        <v>138.13991308930514</v>
      </c>
      <c r="AG41" s="3"/>
      <c r="AH41" s="162">
        <f t="shared" si="13"/>
        <v>10.381913610103243</v>
      </c>
      <c r="AI41" s="3"/>
      <c r="AJ41" s="162">
        <f t="shared" si="14"/>
        <v>3.908354622058126</v>
      </c>
      <c r="AK41" s="3"/>
      <c r="AL41" s="161">
        <f t="shared" si="7"/>
        <v>2998.9574295122134</v>
      </c>
      <c r="AM41" s="3"/>
      <c r="AN41" s="162">
        <f>INDEX('(2.2)_Forward_Price_Curve'!$L:$L,MATCH($AB41,'(2.2)_Forward_Price_Curve'!$C:$C,0),1)</f>
        <v>11.473750000000003</v>
      </c>
      <c r="AO41" s="3"/>
      <c r="AP41" s="162">
        <f t="shared" si="18"/>
        <v>84.156113472460632</v>
      </c>
      <c r="AQ41" s="3"/>
      <c r="AR41" s="162">
        <f t="shared" si="15"/>
        <v>3.1531326616716271</v>
      </c>
      <c r="AS41" s="162"/>
      <c r="AT41" s="161">
        <f t="shared" si="8"/>
        <v>1389.4980077501086</v>
      </c>
      <c r="AU41" s="3"/>
      <c r="AV41" s="161">
        <f t="shared" si="3"/>
        <v>8320.6046450607737</v>
      </c>
      <c r="AW41" s="299"/>
      <c r="AX41" s="163">
        <f t="shared" si="9"/>
        <v>9710.1026528108814</v>
      </c>
      <c r="AZ41" s="154">
        <f>+IF(AZ40&gt;$G$13+$G$14,XX,AZ40+1)</f>
        <v>2020</v>
      </c>
      <c r="BA41" s="124"/>
      <c r="BB41" s="162">
        <f t="shared" si="16"/>
        <v>88.183003407847451</v>
      </c>
      <c r="BC41" s="3"/>
      <c r="BD41" s="162">
        <f t="shared" si="17"/>
        <v>5.8066129087001217</v>
      </c>
      <c r="BE41" s="3"/>
      <c r="BF41" s="161">
        <f t="shared" si="10"/>
        <v>1609.4594217621047</v>
      </c>
      <c r="BG41" s="3"/>
      <c r="BH41" s="165"/>
    </row>
    <row r="42" spans="2:60" ht="12">
      <c r="B42" s="2"/>
      <c r="C42" s="6">
        <f>+IF(C41&gt;$G$13+$G$14,XX,C41+1)</f>
        <v>2021</v>
      </c>
      <c r="D42" s="6"/>
      <c r="E42" s="292">
        <f>'(2.2)_Forward_Price_Curve'!O46</f>
        <v>2.1999999999999999E-2</v>
      </c>
      <c r="F42" s="6"/>
      <c r="G42" s="20">
        <v>95040</v>
      </c>
      <c r="H42" s="6"/>
      <c r="I42" s="30">
        <f t="shared" si="11"/>
        <v>217.33310516357616</v>
      </c>
      <c r="J42" s="6"/>
      <c r="K42" s="30">
        <v>19.483434084281367</v>
      </c>
      <c r="L42" s="6"/>
      <c r="M42" s="293">
        <f t="shared" si="4"/>
        <v>0</v>
      </c>
      <c r="N42" s="6"/>
      <c r="O42" s="295">
        <v>0</v>
      </c>
      <c r="P42" s="6"/>
      <c r="Q42" s="30"/>
      <c r="R42" s="6"/>
      <c r="S42" s="20">
        <f t="shared" si="5"/>
        <v>4459.7028373330149</v>
      </c>
      <c r="T42" s="6"/>
      <c r="U42" s="20">
        <f t="shared" si="0"/>
        <v>9875.687712758574</v>
      </c>
      <c r="V42" s="6"/>
      <c r="W42" s="20">
        <f t="shared" si="1"/>
        <v>-5415.984875425559</v>
      </c>
      <c r="X42" s="6"/>
      <c r="Y42" s="296">
        <f t="shared" si="6"/>
        <v>-56.986372847491154</v>
      </c>
      <c r="Z42" s="255"/>
      <c r="AB42" s="154">
        <f>+IF(AB41&gt;$G$13+$G$14,XX,AB41+1)</f>
        <v>2021</v>
      </c>
      <c r="AC42" s="124"/>
      <c r="AD42" s="159">
        <f t="shared" si="2"/>
        <v>95040</v>
      </c>
      <c r="AE42" s="3"/>
      <c r="AF42" s="162">
        <f t="shared" si="12"/>
        <v>141.17899117726986</v>
      </c>
      <c r="AG42" s="3"/>
      <c r="AH42" s="162">
        <f t="shared" si="13"/>
        <v>10.610315709525516</v>
      </c>
      <c r="AI42" s="3"/>
      <c r="AJ42" s="162">
        <f t="shared" si="14"/>
        <v>3.9943384237434048</v>
      </c>
      <c r="AK42" s="3"/>
      <c r="AL42" s="161">
        <f t="shared" si="7"/>
        <v>3063.8944328962971</v>
      </c>
      <c r="AM42" s="3"/>
      <c r="AN42" s="162">
        <f>INDEX('(2.2)_Forward_Price_Curve'!$L:$L,MATCH($AB42,'(2.2)_Forward_Price_Curve'!$C:$C,0),1)</f>
        <v>11.692083333333334</v>
      </c>
      <c r="AO42" s="3"/>
      <c r="AP42" s="162">
        <f t="shared" si="18"/>
        <v>85.757515348466342</v>
      </c>
      <c r="AQ42" s="3"/>
      <c r="AR42" s="162">
        <f t="shared" si="15"/>
        <v>3.2225015802284029</v>
      </c>
      <c r="AS42" s="162"/>
      <c r="AT42" s="161">
        <f t="shared" si="8"/>
        <v>1419.0269038554259</v>
      </c>
      <c r="AU42" s="3"/>
      <c r="AV42" s="161">
        <f t="shared" si="3"/>
        <v>8456.6608089031488</v>
      </c>
      <c r="AW42" s="299"/>
      <c r="AX42" s="163">
        <f t="shared" si="9"/>
        <v>9875.687712758574</v>
      </c>
      <c r="AZ42" s="154">
        <f>+IF(AZ41&gt;$G$13+$G$14,XX,AZ41+1)</f>
        <v>2021</v>
      </c>
      <c r="BA42" s="124"/>
      <c r="BB42" s="162">
        <f t="shared" si="16"/>
        <v>90.123029482820101</v>
      </c>
      <c r="BC42" s="3"/>
      <c r="BD42" s="162">
        <f t="shared" si="17"/>
        <v>5.9343583926915242</v>
      </c>
      <c r="BE42" s="3"/>
      <c r="BF42" s="161">
        <f t="shared" si="10"/>
        <v>1644.8675290408712</v>
      </c>
      <c r="BG42" s="3"/>
      <c r="BH42" s="165"/>
    </row>
    <row r="43" spans="2:60" ht="12">
      <c r="B43" s="2"/>
      <c r="C43" s="6">
        <f>+IF(C42&gt;$G$13+$G$14,XX,C42+1)</f>
        <v>2022</v>
      </c>
      <c r="D43" s="6"/>
      <c r="E43" s="292">
        <f>'(2.2)_Forward_Price_Curve'!O47</f>
        <v>2.1999999999999999E-2</v>
      </c>
      <c r="F43" s="6"/>
      <c r="G43" s="20">
        <v>95040</v>
      </c>
      <c r="H43" s="6"/>
      <c r="I43" s="30">
        <f t="shared" si="11"/>
        <v>222.11443347717486</v>
      </c>
      <c r="J43" s="6"/>
      <c r="K43" s="30">
        <v>15.882643356991245</v>
      </c>
      <c r="L43" s="6"/>
      <c r="M43" s="293">
        <f t="shared" si="4"/>
        <v>0</v>
      </c>
      <c r="N43" s="6"/>
      <c r="O43" s="295">
        <v>0</v>
      </c>
      <c r="P43" s="6"/>
      <c r="Q43" s="30"/>
      <c r="R43" s="6"/>
      <c r="S43" s="20">
        <f t="shared" si="5"/>
        <v>4174.8596263745458</v>
      </c>
      <c r="T43" s="6"/>
      <c r="U43" s="20">
        <f t="shared" si="0"/>
        <v>10067.584119466275</v>
      </c>
      <c r="V43" s="6"/>
      <c r="W43" s="20">
        <f t="shared" si="1"/>
        <v>-5892.7244930917295</v>
      </c>
      <c r="X43" s="6"/>
      <c r="Y43" s="296">
        <f t="shared" si="6"/>
        <v>-62.002572528322069</v>
      </c>
      <c r="Z43" s="255"/>
      <c r="AB43" s="154">
        <f>+IF(AB42&gt;$G$13+$G$14,XX,AB42+1)</f>
        <v>2022</v>
      </c>
      <c r="AC43" s="124"/>
      <c r="AD43" s="159">
        <f t="shared" si="2"/>
        <v>95040</v>
      </c>
      <c r="AE43" s="3"/>
      <c r="AF43" s="162">
        <f t="shared" si="12"/>
        <v>144.28492898316981</v>
      </c>
      <c r="AG43" s="3"/>
      <c r="AH43" s="162">
        <f t="shared" si="13"/>
        <v>10.843742655135078</v>
      </c>
      <c r="AI43" s="3"/>
      <c r="AJ43" s="162">
        <f t="shared" si="14"/>
        <v>4.0822138690657601</v>
      </c>
      <c r="AK43" s="3"/>
      <c r="AL43" s="161">
        <f t="shared" si="7"/>
        <v>3131.3001104200157</v>
      </c>
      <c r="AM43" s="3"/>
      <c r="AN43" s="162">
        <f>INDEX('(2.2)_Forward_Price_Curve'!$L:$L,MATCH($AB43,'(2.2)_Forward_Price_Curve'!$C:$C,0),1)</f>
        <v>11.912916666666668</v>
      </c>
      <c r="AO43" s="3"/>
      <c r="AP43" s="162">
        <f t="shared" si="18"/>
        <v>87.377253887174405</v>
      </c>
      <c r="AQ43" s="3"/>
      <c r="AR43" s="162">
        <f t="shared" si="15"/>
        <v>3.2933966149934277</v>
      </c>
      <c r="AS43" s="162"/>
      <c r="AT43" s="161">
        <f t="shared" si="8"/>
        <v>1450.2454957402451</v>
      </c>
      <c r="AU43" s="3"/>
      <c r="AV43" s="161">
        <f t="shared" si="3"/>
        <v>8617.3386237260311</v>
      </c>
      <c r="AW43" s="299"/>
      <c r="AX43" s="163">
        <f t="shared" si="9"/>
        <v>10067.584119466275</v>
      </c>
      <c r="AZ43" s="154">
        <f>+IF(AZ42&gt;$G$13+$G$14,XX,AZ42+1)</f>
        <v>2022</v>
      </c>
      <c r="BA43" s="124"/>
      <c r="BB43" s="162">
        <f t="shared" si="16"/>
        <v>92.105736131442143</v>
      </c>
      <c r="BC43" s="3"/>
      <c r="BD43" s="162">
        <f t="shared" si="17"/>
        <v>6.0649142773307378</v>
      </c>
      <c r="BE43" s="3"/>
      <c r="BF43" s="161">
        <f t="shared" si="10"/>
        <v>1681.0546146797706</v>
      </c>
      <c r="BG43" s="3"/>
      <c r="BH43" s="165"/>
    </row>
    <row r="44" spans="2:60" ht="12">
      <c r="B44" s="2"/>
      <c r="C44" s="6">
        <f>+IF(C43&gt;$G$13+$G$14,XX,C43+1)</f>
        <v>2023</v>
      </c>
      <c r="D44" s="6"/>
      <c r="E44" s="292">
        <f>'(2.2)_Forward_Price_Curve'!O48</f>
        <v>2.1999999999999999E-2</v>
      </c>
      <c r="F44" s="6"/>
      <c r="G44" s="20">
        <v>95040</v>
      </c>
      <c r="H44" s="6"/>
      <c r="I44" s="30">
        <f t="shared" si="11"/>
        <v>227.0009510136727</v>
      </c>
      <c r="J44" s="6"/>
      <c r="K44" s="30">
        <v>15.501753614538119</v>
      </c>
      <c r="L44" s="6"/>
      <c r="M44" s="293">
        <f t="shared" si="4"/>
        <v>0</v>
      </c>
      <c r="N44" s="6"/>
      <c r="O44" s="295">
        <v>0</v>
      </c>
      <c r="P44" s="6"/>
      <c r="Q44" s="30"/>
      <c r="R44" s="6"/>
      <c r="S44" s="20">
        <f t="shared" si="5"/>
        <v>4197.2980756897759</v>
      </c>
      <c r="T44" s="6"/>
      <c r="U44" s="20">
        <f t="shared" si="0"/>
        <v>10264.091453789402</v>
      </c>
      <c r="V44" s="6"/>
      <c r="W44" s="20">
        <f t="shared" si="1"/>
        <v>-6066.7933780996264</v>
      </c>
      <c r="X44" s="6"/>
      <c r="Y44" s="296">
        <f t="shared" si="6"/>
        <v>-63.834105409297408</v>
      </c>
      <c r="Z44" s="255"/>
      <c r="AB44" s="154">
        <f>+IF(AB43&gt;$G$13+$G$14,XX,AB43+1)</f>
        <v>2023</v>
      </c>
      <c r="AC44" s="124"/>
      <c r="AD44" s="159">
        <f t="shared" si="2"/>
        <v>95040</v>
      </c>
      <c r="AE44" s="3"/>
      <c r="AF44" s="162">
        <f t="shared" si="12"/>
        <v>147.45919742079954</v>
      </c>
      <c r="AG44" s="3"/>
      <c r="AH44" s="162">
        <f t="shared" si="13"/>
        <v>11.08230499354805</v>
      </c>
      <c r="AI44" s="3"/>
      <c r="AJ44" s="162">
        <f t="shared" si="14"/>
        <v>4.1720225741852071</v>
      </c>
      <c r="AK44" s="3"/>
      <c r="AL44" s="161">
        <f t="shared" si="7"/>
        <v>3200.1887128492558</v>
      </c>
      <c r="AM44" s="3"/>
      <c r="AN44" s="162">
        <f>INDEX('(2.2)_Forward_Price_Curve'!$L:$L,MATCH($AB44,'(2.2)_Forward_Price_Curve'!$C:$C,0),1)</f>
        <v>12.139166666666668</v>
      </c>
      <c r="AO44" s="3"/>
      <c r="AP44" s="162">
        <f t="shared" si="18"/>
        <v>89.03672186173759</v>
      </c>
      <c r="AQ44" s="3"/>
      <c r="AR44" s="162">
        <f t="shared" si="15"/>
        <v>3.3658513405232831</v>
      </c>
      <c r="AS44" s="162"/>
      <c r="AT44" s="161">
        <f t="shared" si="8"/>
        <v>1482.1508966465306</v>
      </c>
      <c r="AU44" s="3"/>
      <c r="AV44" s="161">
        <f t="shared" si="3"/>
        <v>8781.9405571428724</v>
      </c>
      <c r="AW44" s="299"/>
      <c r="AX44" s="163">
        <f t="shared" si="9"/>
        <v>10264.091453789402</v>
      </c>
      <c r="AZ44" s="154">
        <f>+IF(AZ43&gt;$G$13+$G$14,XX,AZ43+1)</f>
        <v>2023</v>
      </c>
      <c r="BA44" s="124"/>
      <c r="BB44" s="162">
        <f t="shared" si="16"/>
        <v>94.132062326333866</v>
      </c>
      <c r="BC44" s="3"/>
      <c r="BD44" s="162">
        <f t="shared" si="17"/>
        <v>6.1983423914320142</v>
      </c>
      <c r="BE44" s="3"/>
      <c r="BF44" s="161">
        <f t="shared" si="10"/>
        <v>1718.0378162027253</v>
      </c>
      <c r="BG44" s="3"/>
      <c r="BH44" s="165"/>
    </row>
    <row r="45" spans="2:60" ht="12">
      <c r="B45" s="2"/>
      <c r="C45" s="6">
        <f>+IF(C44&gt;$G$13+$G$14,XX,C44+1)</f>
        <v>2024</v>
      </c>
      <c r="D45" s="6"/>
      <c r="E45" s="292">
        <f>'(2.2)_Forward_Price_Curve'!O49</f>
        <v>2.1999999999999999E-2</v>
      </c>
      <c r="F45" s="6"/>
      <c r="G45" s="20">
        <v>95300.383561643845</v>
      </c>
      <c r="H45" s="6"/>
      <c r="I45" s="30">
        <f t="shared" si="11"/>
        <v>231.9949719359735</v>
      </c>
      <c r="J45" s="6"/>
      <c r="K45" s="30">
        <v>15.8113105146567</v>
      </c>
      <c r="L45" s="6"/>
      <c r="M45" s="293">
        <f t="shared" si="4"/>
        <v>0</v>
      </c>
      <c r="N45" s="6"/>
      <c r="O45" s="295">
        <v>0</v>
      </c>
      <c r="P45" s="6"/>
      <c r="Q45" s="30"/>
      <c r="R45" s="6"/>
      <c r="S45" s="20">
        <f t="shared" si="5"/>
        <v>4290.7636198907176</v>
      </c>
      <c r="T45" s="6"/>
      <c r="U45" s="20">
        <f t="shared" si="0"/>
        <v>10491.151395683086</v>
      </c>
      <c r="V45" s="6"/>
      <c r="W45" s="20">
        <f t="shared" si="1"/>
        <v>-6200.3877757923683</v>
      </c>
      <c r="X45" s="6"/>
      <c r="Y45" s="296">
        <f t="shared" si="6"/>
        <v>-65.061519629474802</v>
      </c>
      <c r="Z45" s="255"/>
      <c r="AB45" s="154">
        <f>+IF(AB44&gt;$G$13+$G$14,XX,AB44+1)</f>
        <v>2024</v>
      </c>
      <c r="AC45" s="124"/>
      <c r="AD45" s="159">
        <f t="shared" si="2"/>
        <v>95300.383561643845</v>
      </c>
      <c r="AE45" s="3"/>
      <c r="AF45" s="162">
        <f t="shared" si="12"/>
        <v>150.70329976405714</v>
      </c>
      <c r="AG45" s="3"/>
      <c r="AH45" s="162">
        <f t="shared" si="13"/>
        <v>11.326115703406106</v>
      </c>
      <c r="AI45" s="3"/>
      <c r="AJ45" s="162">
        <f t="shared" si="14"/>
        <v>4.2638070708172817</v>
      </c>
      <c r="AK45" s="3"/>
      <c r="AL45" s="161">
        <f t="shared" si="7"/>
        <v>3271.7030898032012</v>
      </c>
      <c r="AM45" s="3"/>
      <c r="AN45" s="162">
        <f>INDEX('(2.2)_Forward_Price_Curve'!$L:$L,MATCH($AB45,'(2.2)_Forward_Price_Curve'!$C:$C,0),1)</f>
        <v>12.371250000000002</v>
      </c>
      <c r="AO45" s="3"/>
      <c r="AP45" s="162">
        <f t="shared" si="18"/>
        <v>90.738975382606256</v>
      </c>
      <c r="AQ45" s="3"/>
      <c r="AR45" s="162">
        <f t="shared" si="15"/>
        <v>3.4399000700147955</v>
      </c>
      <c r="AS45" s="162"/>
      <c r="AT45" s="161">
        <f t="shared" si="8"/>
        <v>1515.8684416440158</v>
      </c>
      <c r="AU45" s="3"/>
      <c r="AV45" s="161">
        <f t="shared" si="3"/>
        <v>8975.2829540390703</v>
      </c>
      <c r="AW45" s="299"/>
      <c r="AX45" s="163">
        <f t="shared" si="9"/>
        <v>10491.151395683086</v>
      </c>
      <c r="AZ45" s="154">
        <f>+IF(AZ44&gt;$G$13+$G$14,XX,AZ44+1)</f>
        <v>2024</v>
      </c>
      <c r="BA45" s="124"/>
      <c r="BB45" s="162">
        <f t="shared" si="16"/>
        <v>96.202967697513216</v>
      </c>
      <c r="BC45" s="3"/>
      <c r="BD45" s="162">
        <f t="shared" si="17"/>
        <v>6.3347059240435186</v>
      </c>
      <c r="BE45" s="3"/>
      <c r="BF45" s="161">
        <f t="shared" si="10"/>
        <v>1755.8346481591855</v>
      </c>
      <c r="BG45" s="3"/>
      <c r="BH45" s="165"/>
    </row>
    <row r="46" spans="2:60" ht="12">
      <c r="B46" s="2"/>
      <c r="C46" s="6">
        <f>+IF(C45&gt;$G$13+$G$14,XX,C45+1)</f>
        <v>2025</v>
      </c>
      <c r="D46" s="6"/>
      <c r="E46" s="292">
        <f>'(2.2)_Forward_Price_Curve'!O50</f>
        <v>2.1999999999999999E-2</v>
      </c>
      <c r="F46" s="6"/>
      <c r="G46" s="20">
        <v>95040</v>
      </c>
      <c r="H46" s="6"/>
      <c r="I46" s="30">
        <f t="shared" si="11"/>
        <v>237.09886131856493</v>
      </c>
      <c r="J46" s="6"/>
      <c r="K46" s="30">
        <v>15.487986515413308</v>
      </c>
      <c r="L46" s="6"/>
      <c r="M46" s="293">
        <f t="shared" si="4"/>
        <v>0</v>
      </c>
      <c r="N46" s="6"/>
      <c r="O46" s="295">
        <v>0</v>
      </c>
      <c r="P46" s="6"/>
      <c r="Q46" s="30"/>
      <c r="R46" s="6"/>
      <c r="S46" s="20">
        <f t="shared" si="5"/>
        <v>4317.1645742476603</v>
      </c>
      <c r="T46" s="6"/>
      <c r="U46" s="20">
        <f t="shared" si="0"/>
        <v>10660.556494601678</v>
      </c>
      <c r="V46" s="6"/>
      <c r="W46" s="20">
        <f t="shared" si="1"/>
        <v>-6343.3919203540181</v>
      </c>
      <c r="X46" s="6"/>
      <c r="Y46" s="296">
        <f t="shared" si="6"/>
        <v>-66.744443606418542</v>
      </c>
      <c r="Z46" s="255"/>
      <c r="AB46" s="154">
        <f>+IF(AB45&gt;$G$13+$G$14,XX,AB45+1)</f>
        <v>2025</v>
      </c>
      <c r="AC46" s="124"/>
      <c r="AD46" s="159">
        <f t="shared" si="2"/>
        <v>95040</v>
      </c>
      <c r="AE46" s="3"/>
      <c r="AF46" s="162">
        <f t="shared" si="12"/>
        <v>154.01877235886639</v>
      </c>
      <c r="AG46" s="3"/>
      <c r="AH46" s="162">
        <f t="shared" si="13"/>
        <v>11.575290248881041</v>
      </c>
      <c r="AI46" s="3"/>
      <c r="AJ46" s="162">
        <f t="shared" si="14"/>
        <v>4.3576108263752618</v>
      </c>
      <c r="AK46" s="3"/>
      <c r="AL46" s="161">
        <f t="shared" si="7"/>
        <v>3342.5459075516424</v>
      </c>
      <c r="AM46" s="3"/>
      <c r="AN46" s="162">
        <f>INDEX('(2.2)_Forward_Price_Curve'!$L:$L,MATCH($AB46,'(2.2)_Forward_Price_Curve'!$C:$C,0),1)</f>
        <v>12.592916666666667</v>
      </c>
      <c r="AO46" s="3"/>
      <c r="AP46" s="162">
        <f t="shared" si="18"/>
        <v>92.364826142215108</v>
      </c>
      <c r="AQ46" s="3"/>
      <c r="AR46" s="162">
        <f t="shared" si="15"/>
        <v>3.5155778715551209</v>
      </c>
      <c r="AS46" s="162"/>
      <c r="AT46" s="161">
        <f t="shared" si="8"/>
        <v>1548.0828971329547</v>
      </c>
      <c r="AU46" s="3"/>
      <c r="AV46" s="161">
        <f t="shared" si="3"/>
        <v>9112.4735974687228</v>
      </c>
      <c r="AW46" s="299"/>
      <c r="AX46" s="163">
        <f t="shared" si="9"/>
        <v>10660.556494601678</v>
      </c>
      <c r="AZ46" s="154">
        <f>+IF(AZ45&gt;$G$13+$G$14,XX,AZ45+1)</f>
        <v>2025</v>
      </c>
      <c r="BA46" s="124"/>
      <c r="BB46" s="162">
        <f t="shared" si="16"/>
        <v>98.319432986858516</v>
      </c>
      <c r="BC46" s="3"/>
      <c r="BD46" s="162">
        <f t="shared" si="17"/>
        <v>6.4740694543724757</v>
      </c>
      <c r="BE46" s="3"/>
      <c r="BF46" s="161">
        <f t="shared" si="10"/>
        <v>1794.4630104186876</v>
      </c>
      <c r="BG46" s="3"/>
      <c r="BH46" s="165"/>
    </row>
    <row r="47" spans="2:60" ht="12">
      <c r="B47" s="2"/>
      <c r="C47" s="6">
        <f>+IF(C46&gt;$G$13+$G$14,XX,C46+1)</f>
        <v>2026</v>
      </c>
      <c r="D47" s="6"/>
      <c r="E47" s="292">
        <f>'(2.2)_Forward_Price_Curve'!O51</f>
        <v>2.1999999999999999E-2</v>
      </c>
      <c r="F47" s="6"/>
      <c r="G47" s="20">
        <v>95040</v>
      </c>
      <c r="H47" s="6"/>
      <c r="I47" s="30">
        <f t="shared" si="11"/>
        <v>242.31503626757336</v>
      </c>
      <c r="J47" s="6"/>
      <c r="K47" s="30">
        <v>19.668595616314498</v>
      </c>
      <c r="L47" s="6"/>
      <c r="M47" s="293">
        <f t="shared" si="4"/>
        <v>0</v>
      </c>
      <c r="N47" s="6"/>
      <c r="O47" s="295">
        <v>0</v>
      </c>
      <c r="P47" s="6"/>
      <c r="Q47" s="30"/>
      <c r="R47" s="6"/>
      <c r="S47" s="20">
        <f t="shared" si="5"/>
        <v>4777.0837625854101</v>
      </c>
      <c r="T47" s="6"/>
      <c r="U47" s="20">
        <f t="shared" si="0"/>
        <v>10859.680806101163</v>
      </c>
      <c r="V47" s="6"/>
      <c r="W47" s="20">
        <f t="shared" si="1"/>
        <v>-6082.5970435157533</v>
      </c>
      <c r="X47" s="6"/>
      <c r="Y47" s="296">
        <f t="shared" si="6"/>
        <v>-64.000389767632086</v>
      </c>
      <c r="Z47" s="255"/>
      <c r="AB47" s="154">
        <f>+IF(AB46&gt;$G$13+$G$14,XX,AB46+1)</f>
        <v>2026</v>
      </c>
      <c r="AC47" s="124"/>
      <c r="AD47" s="159">
        <f t="shared" si="2"/>
        <v>95040</v>
      </c>
      <c r="AE47" s="3"/>
      <c r="AF47" s="162">
        <f t="shared" si="12"/>
        <v>157.40718535076144</v>
      </c>
      <c r="AG47" s="3"/>
      <c r="AH47" s="162">
        <f t="shared" si="13"/>
        <v>11.829946634356425</v>
      </c>
      <c r="AI47" s="3"/>
      <c r="AJ47" s="162">
        <f t="shared" si="14"/>
        <v>4.4534782645555175</v>
      </c>
      <c r="AK47" s="3"/>
      <c r="AL47" s="161">
        <f t="shared" si="7"/>
        <v>3416.0819175177785</v>
      </c>
      <c r="AM47" s="3"/>
      <c r="AN47" s="162">
        <f>INDEX('(2.2)_Forward_Price_Curve'!$L:$L,MATCH($AB47,'(2.2)_Forward_Price_Curve'!$C:$C,0),1)</f>
        <v>12.819166666666668</v>
      </c>
      <c r="AO47" s="3"/>
      <c r="AP47" s="162">
        <f t="shared" si="18"/>
        <v>94.024294116778279</v>
      </c>
      <c r="AQ47" s="3"/>
      <c r="AR47" s="162">
        <f t="shared" si="15"/>
        <v>3.5929205847293337</v>
      </c>
      <c r="AS47" s="162"/>
      <c r="AT47" s="161">
        <f t="shared" si="8"/>
        <v>1582.1407208698797</v>
      </c>
      <c r="AU47" s="3"/>
      <c r="AV47" s="161">
        <f t="shared" si="3"/>
        <v>9277.5400852312832</v>
      </c>
      <c r="AW47" s="299"/>
      <c r="AX47" s="163">
        <f t="shared" si="9"/>
        <v>10859.680806101163</v>
      </c>
      <c r="AZ47" s="154">
        <f>+IF(AZ46&gt;$G$13+$G$14,XX,AZ46+1)</f>
        <v>2026</v>
      </c>
      <c r="BA47" s="124"/>
      <c r="BB47" s="162">
        <f t="shared" si="16"/>
        <v>100.4824605125694</v>
      </c>
      <c r="BC47" s="3"/>
      <c r="BD47" s="162">
        <f t="shared" si="17"/>
        <v>6.61649898236867</v>
      </c>
      <c r="BE47" s="3"/>
      <c r="BF47" s="161">
        <f t="shared" si="10"/>
        <v>1833.9411966478988</v>
      </c>
      <c r="BG47" s="3"/>
      <c r="BH47" s="165"/>
    </row>
    <row r="48" spans="2:60" ht="12">
      <c r="B48" s="2"/>
      <c r="C48" s="6">
        <f>+IF(C47&gt;$G$13+$G$14,XX,C47+1)</f>
        <v>2027</v>
      </c>
      <c r="D48" s="6"/>
      <c r="E48" s="292">
        <f>'(2.2)_Forward_Price_Curve'!O52</f>
        <v>2.1999999999999999E-2</v>
      </c>
      <c r="F48" s="6"/>
      <c r="G48" s="20">
        <v>95040</v>
      </c>
      <c r="H48" s="6"/>
      <c r="I48" s="30">
        <f t="shared" si="11"/>
        <v>247.64596706545998</v>
      </c>
      <c r="J48" s="6"/>
      <c r="K48" s="30">
        <v>21.270168147834276</v>
      </c>
      <c r="L48" s="6"/>
      <c r="M48" s="293">
        <f t="shared" si="4"/>
        <v>0</v>
      </c>
      <c r="N48" s="6"/>
      <c r="O48" s="295">
        <v>0</v>
      </c>
      <c r="P48" s="6"/>
      <c r="Q48" s="30"/>
      <c r="R48" s="6"/>
      <c r="S48" s="20">
        <f t="shared" si="5"/>
        <v>4993.2683855556888</v>
      </c>
      <c r="T48" s="6"/>
      <c r="U48" s="20">
        <f t="shared" si="0"/>
        <v>11072.496024492015</v>
      </c>
      <c r="V48" s="6"/>
      <c r="W48" s="20">
        <f t="shared" si="1"/>
        <v>-6079.227638936326</v>
      </c>
      <c r="X48" s="6"/>
      <c r="Y48" s="296">
        <f t="shared" si="6"/>
        <v>-63.964937278370435</v>
      </c>
      <c r="Z48" s="255"/>
      <c r="AB48" s="154">
        <f>+IF(AB47&gt;$G$13+$G$14,XX,AB47+1)</f>
        <v>2027</v>
      </c>
      <c r="AC48" s="124"/>
      <c r="AD48" s="159">
        <f t="shared" ref="AD48:AD53" si="19">G48</f>
        <v>95040</v>
      </c>
      <c r="AE48" s="3"/>
      <c r="AF48" s="162">
        <f t="shared" si="12"/>
        <v>160.8701434284782</v>
      </c>
      <c r="AG48" s="3"/>
      <c r="AH48" s="162">
        <f t="shared" si="13"/>
        <v>12.090205460312266</v>
      </c>
      <c r="AI48" s="3"/>
      <c r="AJ48" s="162">
        <f t="shared" si="14"/>
        <v>4.5514547863757393</v>
      </c>
      <c r="AK48" s="3"/>
      <c r="AL48" s="161">
        <f t="shared" ref="AL48:AL53" si="20">((AF48+AH48)*$AF$11*1000+AJ48*AD48)/1000</f>
        <v>3491.2357197031697</v>
      </c>
      <c r="AM48" s="3"/>
      <c r="AN48" s="162">
        <f>INDEX('(2.2)_Forward_Price_Curve'!$L:$L,MATCH($AB48,'(2.2)_Forward_Price_Curve'!$C:$C,0),1)</f>
        <v>13.063749999999999</v>
      </c>
      <c r="AO48" s="3"/>
      <c r="AP48" s="162">
        <f t="shared" ref="AP48:AP53" si="21">AN48*$AF$14/1000+$AJ$14*(1+E48)</f>
        <v>95.818230951158711</v>
      </c>
      <c r="AQ48" s="3"/>
      <c r="AR48" s="162">
        <f t="shared" si="15"/>
        <v>3.6719648375933791</v>
      </c>
      <c r="AS48" s="162"/>
      <c r="AT48" s="161">
        <f t="shared" ref="AT48:AT53" si="22">AL48-BF48</f>
        <v>1616.9478167290172</v>
      </c>
      <c r="AU48" s="3"/>
      <c r="AV48" s="161">
        <f t="shared" ref="AV48:AV53" si="23">(AP48+AR48)*AD48/1000</f>
        <v>9455.5482077629986</v>
      </c>
      <c r="AW48" s="299"/>
      <c r="AX48" s="163">
        <f t="shared" ref="AX48:AX53" si="24">AT48+AV48</f>
        <v>11072.496024492015</v>
      </c>
      <c r="AZ48" s="154">
        <f>+IF(AZ47&gt;$G$13+$G$14,XX,AZ47+1)</f>
        <v>2027</v>
      </c>
      <c r="BA48" s="124"/>
      <c r="BB48" s="162">
        <f t="shared" si="16"/>
        <v>102.69307464384593</v>
      </c>
      <c r="BC48" s="3"/>
      <c r="BD48" s="162">
        <f t="shared" si="17"/>
        <v>6.7620619599807812</v>
      </c>
      <c r="BE48" s="3"/>
      <c r="BF48" s="161">
        <f t="shared" ref="BF48:BF53" si="25">(BB48+BD48)*$BD$11</f>
        <v>1874.2879029741525</v>
      </c>
      <c r="BG48" s="3"/>
      <c r="BH48" s="165"/>
    </row>
    <row r="49" spans="2:60" ht="12">
      <c r="B49" s="2"/>
      <c r="C49" s="6">
        <f>+IF(C48&gt;$G$13+$G$14,XX,C48+1)</f>
        <v>2028</v>
      </c>
      <c r="D49" s="6"/>
      <c r="E49" s="292">
        <f>'(2.2)_Forward_Price_Curve'!O53</f>
        <v>2.1999999999999999E-2</v>
      </c>
      <c r="F49" s="6"/>
      <c r="G49" s="20">
        <v>95300.383561643845</v>
      </c>
      <c r="H49" s="6"/>
      <c r="I49" s="30">
        <f t="shared" si="11"/>
        <v>253.0941783409001</v>
      </c>
      <c r="J49" s="6"/>
      <c r="K49" s="30">
        <v>21.678061814359875</v>
      </c>
      <c r="L49" s="6"/>
      <c r="M49" s="293">
        <f t="shared" si="4"/>
        <v>0</v>
      </c>
      <c r="N49" s="6"/>
      <c r="O49" s="295">
        <v>0</v>
      </c>
      <c r="P49" s="6"/>
      <c r="Q49" s="30"/>
      <c r="R49" s="6"/>
      <c r="S49" s="20">
        <f t="shared" ref="S49:S52" si="26">(I49*$G$11*1000+(K49+M49+O49+Q49)*G49)/1000</f>
        <v>5103.0577458723228</v>
      </c>
      <c r="T49" s="6"/>
      <c r="U49" s="20">
        <f t="shared" ref="U49:U52" si="27">AX49</f>
        <v>11316.177213574983</v>
      </c>
      <c r="V49" s="6"/>
      <c r="W49" s="20">
        <f t="shared" ref="W49:W52" si="28">S49-U49</f>
        <v>-6213.1194677026606</v>
      </c>
      <c r="X49" s="6"/>
      <c r="Y49" s="296">
        <f t="shared" ref="Y49:Y52" si="29">+W49*1000/G49</f>
        <v>-65.195115019487645</v>
      </c>
      <c r="Z49" s="255"/>
      <c r="AB49" s="154">
        <f>+IF(AB48&gt;$G$13+$G$14,XX,AB48+1)</f>
        <v>2028</v>
      </c>
      <c r="AC49" s="124"/>
      <c r="AD49" s="159">
        <f t="shared" si="19"/>
        <v>95300.383561643845</v>
      </c>
      <c r="AE49" s="3"/>
      <c r="AF49" s="162">
        <f t="shared" si="12"/>
        <v>164.40928658390473</v>
      </c>
      <c r="AG49" s="3"/>
      <c r="AH49" s="162">
        <f t="shared" si="13"/>
        <v>12.356189980439137</v>
      </c>
      <c r="AI49" s="3"/>
      <c r="AJ49" s="162">
        <f t="shared" si="14"/>
        <v>4.6515867916760056</v>
      </c>
      <c r="AK49" s="3"/>
      <c r="AL49" s="161">
        <f t="shared" si="20"/>
        <v>3569.2541022727519</v>
      </c>
      <c r="AM49" s="3"/>
      <c r="AN49" s="162">
        <f>INDEX('(2.2)_Forward_Price_Curve'!$L:$L,MATCH($AB49,'(2.2)_Forward_Price_Curve'!$C:$C,0),1)</f>
        <v>13.311666666666667</v>
      </c>
      <c r="AO49" s="3"/>
      <c r="AP49" s="162">
        <f t="shared" si="21"/>
        <v>97.636616669142313</v>
      </c>
      <c r="AQ49" s="3"/>
      <c r="AR49" s="162">
        <f t="shared" si="15"/>
        <v>3.7527480640204334</v>
      </c>
      <c r="AS49" s="162"/>
      <c r="AT49" s="161">
        <f t="shared" si="22"/>
        <v>1653.731865433168</v>
      </c>
      <c r="AU49" s="3"/>
      <c r="AV49" s="161">
        <f t="shared" si="23"/>
        <v>9662.445348141815</v>
      </c>
      <c r="AW49" s="299"/>
      <c r="AX49" s="163">
        <f t="shared" si="24"/>
        <v>11316.177213574983</v>
      </c>
      <c r="AZ49" s="154">
        <f>+IF(AZ48&gt;$G$13+$G$14,XX,AZ48+1)</f>
        <v>2028</v>
      </c>
      <c r="BA49" s="124"/>
      <c r="BB49" s="162">
        <f t="shared" si="16"/>
        <v>104.95232228601054</v>
      </c>
      <c r="BC49" s="3"/>
      <c r="BD49" s="162">
        <f t="shared" si="17"/>
        <v>6.9108273231003583</v>
      </c>
      <c r="BE49" s="3"/>
      <c r="BF49" s="161">
        <f t="shared" si="25"/>
        <v>1915.5222368395839</v>
      </c>
      <c r="BG49" s="3"/>
      <c r="BH49" s="165"/>
    </row>
    <row r="50" spans="2:60" ht="12">
      <c r="B50" s="2"/>
      <c r="C50" s="6">
        <f>+IF(C49&gt;$G$13+$G$14,XX,C49+1)</f>
        <v>2029</v>
      </c>
      <c r="D50" s="6"/>
      <c r="E50" s="292">
        <f>'(2.2)_Forward_Price_Curve'!O54</f>
        <v>2.1999999999999999E-2</v>
      </c>
      <c r="F50" s="6"/>
      <c r="G50" s="20">
        <v>95040</v>
      </c>
      <c r="H50" s="6"/>
      <c r="I50" s="30">
        <f t="shared" si="11"/>
        <v>258.66225026439992</v>
      </c>
      <c r="J50" s="6"/>
      <c r="K50" s="30">
        <v>22.216350307722539</v>
      </c>
      <c r="L50" s="6"/>
      <c r="M50" s="293">
        <f t="shared" si="4"/>
        <v>0</v>
      </c>
      <c r="N50" s="6"/>
      <c r="O50" s="295">
        <v>0</v>
      </c>
      <c r="P50" s="6"/>
      <c r="Q50" s="30"/>
      <c r="R50" s="6"/>
      <c r="S50" s="20">
        <f t="shared" si="26"/>
        <v>5215.388936418748</v>
      </c>
      <c r="T50" s="6"/>
      <c r="U50" s="20">
        <f t="shared" si="27"/>
        <v>11509.94406321552</v>
      </c>
      <c r="V50" s="6"/>
      <c r="W50" s="20">
        <f t="shared" si="28"/>
        <v>-6294.5551267967721</v>
      </c>
      <c r="X50" s="6"/>
      <c r="Y50" s="296">
        <f t="shared" si="29"/>
        <v>-66.230588455353242</v>
      </c>
      <c r="Z50" s="255"/>
      <c r="AB50" s="154">
        <f>+IF(AB49&gt;$G$13+$G$14,XX,AB49+1)</f>
        <v>2029</v>
      </c>
      <c r="AC50" s="124"/>
      <c r="AD50" s="159">
        <f t="shared" si="19"/>
        <v>95040</v>
      </c>
      <c r="AE50" s="3"/>
      <c r="AF50" s="162">
        <f t="shared" si="12"/>
        <v>168.02629088875065</v>
      </c>
      <c r="AG50" s="3"/>
      <c r="AH50" s="162">
        <f t="shared" si="13"/>
        <v>12.628026160008798</v>
      </c>
      <c r="AI50" s="3"/>
      <c r="AJ50" s="162">
        <f t="shared" si="14"/>
        <v>4.753921701092878</v>
      </c>
      <c r="AK50" s="3"/>
      <c r="AL50" s="161">
        <f t="shared" si="20"/>
        <v>3646.539849458446</v>
      </c>
      <c r="AM50" s="3"/>
      <c r="AN50" s="162">
        <f>INDEX('(2.2)_Forward_Price_Curve'!$L:$L,MATCH($AB50,'(2.2)_Forward_Price_Curve'!$C:$C,0),1)</f>
        <v>13.565833333333336</v>
      </c>
      <c r="AO50" s="3"/>
      <c r="AP50" s="162">
        <f t="shared" si="21"/>
        <v>99.500844043881813</v>
      </c>
      <c r="AQ50" s="3"/>
      <c r="AR50" s="162">
        <f t="shared" si="15"/>
        <v>3.8353085214288831</v>
      </c>
      <c r="AS50" s="162"/>
      <c r="AT50" s="161">
        <f t="shared" si="22"/>
        <v>1688.8761234083913</v>
      </c>
      <c r="AU50" s="3"/>
      <c r="AV50" s="161">
        <f t="shared" si="23"/>
        <v>9821.0679398071279</v>
      </c>
      <c r="AW50" s="299"/>
      <c r="AX50" s="163">
        <f t="shared" si="24"/>
        <v>11509.94406321552</v>
      </c>
      <c r="AZ50" s="154">
        <f>+IF(AZ49&gt;$G$13+$G$14,XX,AZ49+1)</f>
        <v>2029</v>
      </c>
      <c r="BA50" s="124"/>
      <c r="BB50" s="162">
        <f t="shared" si="16"/>
        <v>107.26127337630278</v>
      </c>
      <c r="BC50" s="3"/>
      <c r="BD50" s="162">
        <f t="shared" si="17"/>
        <v>7.0628655242085667</v>
      </c>
      <c r="BE50" s="3"/>
      <c r="BF50" s="161">
        <f t="shared" si="25"/>
        <v>1957.6637260500547</v>
      </c>
      <c r="BG50" s="3"/>
      <c r="BH50" s="165"/>
    </row>
    <row r="51" spans="2:60" ht="12">
      <c r="B51" s="2"/>
      <c r="C51" s="6">
        <f>+IF(C50&gt;$G$13+$G$14,XX,C50+1)</f>
        <v>2030</v>
      </c>
      <c r="D51" s="6"/>
      <c r="E51" s="292">
        <f>'(2.2)_Forward_Price_Curve'!O55</f>
        <v>2.3E-2</v>
      </c>
      <c r="F51" s="6"/>
      <c r="G51" s="20">
        <v>95040</v>
      </c>
      <c r="H51" s="6"/>
      <c r="I51" s="30">
        <f t="shared" si="11"/>
        <v>264.61148202048111</v>
      </c>
      <c r="J51" s="6"/>
      <c r="K51" s="30">
        <v>22.705110014492437</v>
      </c>
      <c r="L51" s="6"/>
      <c r="M51" s="293">
        <f t="shared" si="4"/>
        <v>0</v>
      </c>
      <c r="N51" s="6"/>
      <c r="O51" s="295">
        <v>0</v>
      </c>
      <c r="P51" s="6"/>
      <c r="Q51" s="30"/>
      <c r="R51" s="6"/>
      <c r="S51" s="20">
        <f t="shared" si="26"/>
        <v>5333.2314400231344</v>
      </c>
      <c r="T51" s="6"/>
      <c r="U51" s="20">
        <f t="shared" si="27"/>
        <v>11735.800325038337</v>
      </c>
      <c r="V51" s="6"/>
      <c r="W51" s="20">
        <f t="shared" si="28"/>
        <v>-6402.5688850152028</v>
      </c>
      <c r="X51" s="6"/>
      <c r="Y51" s="296">
        <f t="shared" si="29"/>
        <v>-67.367096854116184</v>
      </c>
      <c r="Z51" s="255"/>
      <c r="AB51" s="154">
        <f>+IF(AB50&gt;$G$13+$G$14,XX,AB50+1)</f>
        <v>2030</v>
      </c>
      <c r="AC51" s="124"/>
      <c r="AD51" s="159">
        <f t="shared" si="19"/>
        <v>95040</v>
      </c>
      <c r="AE51" s="3"/>
      <c r="AF51" s="162">
        <f t="shared" si="12"/>
        <v>171.89089557919189</v>
      </c>
      <c r="AG51" s="3"/>
      <c r="AH51" s="162">
        <f t="shared" si="13"/>
        <v>12.918470761688999</v>
      </c>
      <c r="AI51" s="3"/>
      <c r="AJ51" s="162">
        <f t="shared" si="14"/>
        <v>4.8632619002180135</v>
      </c>
      <c r="AK51" s="3"/>
      <c r="AL51" s="161">
        <f t="shared" si="20"/>
        <v>3730.4102659959899</v>
      </c>
      <c r="AM51" s="3"/>
      <c r="AN51" s="162">
        <f>INDEX('(2.2)_Forward_Price_Curve'!$L:$L,MATCH($AB51,'(2.2)_Forward_Price_Curve'!$C:$C,0),1)</f>
        <v>13.822083333333332</v>
      </c>
      <c r="AO51" s="3"/>
      <c r="AP51" s="162">
        <f t="shared" si="21"/>
        <v>101.38035197087322</v>
      </c>
      <c r="AQ51" s="3"/>
      <c r="AR51" s="162">
        <f t="shared" si="15"/>
        <v>3.923520617421747</v>
      </c>
      <c r="AS51" s="162"/>
      <c r="AT51" s="161">
        <f t="shared" si="22"/>
        <v>1727.7202742467837</v>
      </c>
      <c r="AU51" s="3"/>
      <c r="AV51" s="161">
        <f t="shared" si="23"/>
        <v>10008.080050791554</v>
      </c>
      <c r="AW51" s="299"/>
      <c r="AX51" s="163">
        <f t="shared" si="24"/>
        <v>11735.800325038337</v>
      </c>
      <c r="AZ51" s="154">
        <f>+IF(AZ50&gt;$G$13+$G$14,XX,AZ50+1)</f>
        <v>2030</v>
      </c>
      <c r="BA51" s="124"/>
      <c r="BB51" s="162">
        <f t="shared" si="16"/>
        <v>109.72828266395774</v>
      </c>
      <c r="BC51" s="3"/>
      <c r="BD51" s="162">
        <f t="shared" si="17"/>
        <v>7.2253114312653635</v>
      </c>
      <c r="BE51" s="3"/>
      <c r="BF51" s="161">
        <f t="shared" si="25"/>
        <v>2002.6899917492062</v>
      </c>
      <c r="BG51" s="3"/>
      <c r="BH51" s="165"/>
    </row>
    <row r="52" spans="2:60" ht="12">
      <c r="B52" s="2"/>
      <c r="C52" s="6">
        <f>+IF(C51&gt;$G$13+$G$14,XX,C51+1)</f>
        <v>2031</v>
      </c>
      <c r="D52" s="6"/>
      <c r="E52" s="292">
        <f>'(2.2)_Forward_Price_Curve'!O56</f>
        <v>2.3E-2</v>
      </c>
      <c r="F52" s="6"/>
      <c r="G52" s="20">
        <v>95040</v>
      </c>
      <c r="H52" s="6"/>
      <c r="I52" s="30">
        <f t="shared" si="11"/>
        <v>270.69754610695213</v>
      </c>
      <c r="J52" s="6"/>
      <c r="K52" s="30">
        <v>23.204622434811274</v>
      </c>
      <c r="L52" s="6"/>
      <c r="M52" s="293">
        <f t="shared" si="4"/>
        <v>0</v>
      </c>
      <c r="N52" s="6"/>
      <c r="O52" s="295">
        <v>0</v>
      </c>
      <c r="P52" s="6"/>
      <c r="Q52" s="30"/>
      <c r="R52" s="6"/>
      <c r="S52" s="20">
        <f t="shared" si="26"/>
        <v>5453.7378694878889</v>
      </c>
      <c r="T52" s="6"/>
      <c r="U52" s="20">
        <f t="shared" si="27"/>
        <v>11967.390070710599</v>
      </c>
      <c r="V52" s="6"/>
      <c r="W52" s="20">
        <f t="shared" si="28"/>
        <v>-6513.6522012227097</v>
      </c>
      <c r="X52" s="6"/>
      <c r="Y52" s="296">
        <f t="shared" si="29"/>
        <v>-68.535902790642993</v>
      </c>
      <c r="Z52" s="255"/>
      <c r="AB52" s="154">
        <f>+IF(AB51&gt;$G$13+$G$14,XX,AB51+1)</f>
        <v>2031</v>
      </c>
      <c r="AC52" s="124"/>
      <c r="AD52" s="159">
        <f t="shared" si="19"/>
        <v>95040</v>
      </c>
      <c r="AE52" s="3"/>
      <c r="AF52" s="162">
        <f t="shared" si="12"/>
        <v>175.84438617751329</v>
      </c>
      <c r="AG52" s="3"/>
      <c r="AH52" s="162">
        <f t="shared" si="13"/>
        <v>13.215595589207846</v>
      </c>
      <c r="AI52" s="3"/>
      <c r="AJ52" s="162">
        <f t="shared" si="14"/>
        <v>4.9751169239230277</v>
      </c>
      <c r="AK52" s="3"/>
      <c r="AL52" s="161">
        <f t="shared" si="20"/>
        <v>3816.209702113897</v>
      </c>
      <c r="AM52" s="3"/>
      <c r="AN52" s="162">
        <f>INDEX('(2.2)_Forward_Price_Curve'!$L:$L,MATCH($AB52,'(2.2)_Forward_Price_Curve'!$C:$C,0),1)</f>
        <v>14.084999999999999</v>
      </c>
      <c r="AO52" s="3"/>
      <c r="AP52" s="162">
        <f t="shared" si="21"/>
        <v>103.30875766507094</v>
      </c>
      <c r="AQ52" s="3"/>
      <c r="AR52" s="162">
        <f t="shared" si="15"/>
        <v>4.0137615916224467</v>
      </c>
      <c r="AS52" s="162"/>
      <c r="AT52" s="161">
        <f t="shared" si="22"/>
        <v>1767.4578405544594</v>
      </c>
      <c r="AU52" s="3"/>
      <c r="AV52" s="161">
        <f t="shared" si="23"/>
        <v>10199.932230156139</v>
      </c>
      <c r="AW52" s="299"/>
      <c r="AX52" s="163">
        <f t="shared" si="24"/>
        <v>11967.390070710599</v>
      </c>
      <c r="AZ52" s="154">
        <f>+IF(AZ51&gt;$G$13+$G$14,XX,AZ51+1)</f>
        <v>2031</v>
      </c>
      <c r="BA52" s="124"/>
      <c r="BB52" s="162">
        <f t="shared" si="16"/>
        <v>112.25203316522877</v>
      </c>
      <c r="BC52" s="3"/>
      <c r="BD52" s="162">
        <f t="shared" si="17"/>
        <v>7.3914935941844657</v>
      </c>
      <c r="BE52" s="3"/>
      <c r="BF52" s="161">
        <f t="shared" si="25"/>
        <v>2048.7518615594377</v>
      </c>
      <c r="BG52" s="3"/>
      <c r="BH52" s="165"/>
    </row>
    <row r="53" spans="2:60" ht="12">
      <c r="B53" s="2"/>
      <c r="C53" s="6">
        <f>+IF(C52&gt;$G$13+$G$14,XX,C52+1)</f>
        <v>2032</v>
      </c>
      <c r="D53" s="6"/>
      <c r="E53" s="292">
        <f>'(2.2)_Forward_Price_Curve'!O57</f>
        <v>2.3E-2</v>
      </c>
      <c r="F53" s="6"/>
      <c r="G53" s="20">
        <v>95300.383561643845</v>
      </c>
      <c r="H53" s="6"/>
      <c r="I53" s="30">
        <f t="shared" si="11"/>
        <v>276.92358966741199</v>
      </c>
      <c r="J53" s="6"/>
      <c r="K53" s="30">
        <v>23.649612735757295</v>
      </c>
      <c r="L53" s="6"/>
      <c r="M53" s="293">
        <f t="shared" si="4"/>
        <v>0</v>
      </c>
      <c r="N53" s="6"/>
      <c r="O53" s="295">
        <v>0</v>
      </c>
      <c r="P53" s="6"/>
      <c r="Q53" s="30"/>
      <c r="R53" s="6"/>
      <c r="S53" s="20">
        <f t="shared" si="5"/>
        <v>5576.9002408109509</v>
      </c>
      <c r="T53" s="6"/>
      <c r="U53" s="20">
        <f t="shared" si="0"/>
        <v>12232.50869284994</v>
      </c>
      <c r="V53" s="6"/>
      <c r="W53" s="20">
        <f t="shared" si="1"/>
        <v>-6655.6084520389895</v>
      </c>
      <c r="X53" s="6"/>
      <c r="Y53" s="296">
        <f t="shared" si="6"/>
        <v>-69.838212641965853</v>
      </c>
      <c r="Z53" s="255"/>
      <c r="AB53" s="154">
        <f>+IF(AB52&gt;$G$13+$G$14,XX,AB52+1)</f>
        <v>2032</v>
      </c>
      <c r="AC53" s="124"/>
      <c r="AD53" s="159">
        <f t="shared" si="19"/>
        <v>95300.383561643845</v>
      </c>
      <c r="AE53" s="3"/>
      <c r="AF53" s="162">
        <f t="shared" si="12"/>
        <v>179.88880705959608</v>
      </c>
      <c r="AG53" s="3"/>
      <c r="AH53" s="162">
        <f t="shared" si="13"/>
        <v>13.519554287759625</v>
      </c>
      <c r="AI53" s="3"/>
      <c r="AJ53" s="162">
        <f t="shared" si="14"/>
        <v>5.0895446131732571</v>
      </c>
      <c r="AK53" s="3"/>
      <c r="AL53" s="161">
        <f t="shared" si="20"/>
        <v>3905.3077590160397</v>
      </c>
      <c r="AM53" s="3"/>
      <c r="AN53" s="162">
        <f>INDEX('(2.2)_Forward_Price_Curve'!$L:$L,MATCH($AB53,'(2.2)_Forward_Price_Curve'!$C:$C,0),1)</f>
        <v>14.351666666666667</v>
      </c>
      <c r="AO53" s="3"/>
      <c r="AP53" s="162">
        <f t="shared" si="21"/>
        <v>105.26466835332221</v>
      </c>
      <c r="AQ53" s="3"/>
      <c r="AR53" s="162">
        <f t="shared" si="15"/>
        <v>4.106078108229763</v>
      </c>
      <c r="AS53" s="162"/>
      <c r="AT53" s="161">
        <f t="shared" si="22"/>
        <v>1809.434604640735</v>
      </c>
      <c r="AU53" s="3"/>
      <c r="AV53" s="161">
        <f t="shared" si="23"/>
        <v>10423.074088209205</v>
      </c>
      <c r="AW53" s="299"/>
      <c r="AX53" s="163">
        <f t="shared" si="24"/>
        <v>12232.50869284994</v>
      </c>
      <c r="AZ53" s="154">
        <f>+IF(AZ52&gt;$G$13+$G$14,XX,AZ52+1)</f>
        <v>2032</v>
      </c>
      <c r="BA53" s="124"/>
      <c r="BB53" s="162">
        <f t="shared" si="16"/>
        <v>114.83382992802902</v>
      </c>
      <c r="BC53" s="3"/>
      <c r="BD53" s="162">
        <f t="shared" si="17"/>
        <v>7.5614979468507082</v>
      </c>
      <c r="BE53" s="3"/>
      <c r="BF53" s="161">
        <f t="shared" si="25"/>
        <v>2095.8731543753047</v>
      </c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 ht="12">
      <c r="B57" s="2"/>
      <c r="C57" s="6"/>
      <c r="D57" s="6"/>
      <c r="E57" s="292"/>
      <c r="F57" s="6"/>
      <c r="G57" s="20"/>
      <c r="H57" s="6"/>
      <c r="I57" s="30"/>
      <c r="J57" s="6"/>
      <c r="K57" s="30"/>
      <c r="L57" s="6"/>
      <c r="M57" s="30"/>
      <c r="N57" s="6"/>
      <c r="O57" s="295"/>
      <c r="P57" s="6"/>
      <c r="Q57" s="30"/>
      <c r="R57" s="6"/>
      <c r="S57" s="20"/>
      <c r="T57" s="6"/>
      <c r="U57" s="20"/>
      <c r="V57" s="6"/>
      <c r="W57" s="20"/>
      <c r="X57" s="6"/>
      <c r="Y57" s="296"/>
      <c r="Z57" s="255"/>
      <c r="AB57" s="154"/>
      <c r="AC57" s="124"/>
      <c r="AD57" s="159"/>
      <c r="AE57" s="3"/>
      <c r="AF57" s="162"/>
      <c r="AG57" s="3"/>
      <c r="AH57" s="162"/>
      <c r="AI57" s="3"/>
      <c r="AJ57" s="162"/>
      <c r="AK57" s="3"/>
      <c r="AL57" s="161"/>
      <c r="AM57" s="3"/>
      <c r="AN57" s="162"/>
      <c r="AO57" s="3"/>
      <c r="AP57" s="162"/>
      <c r="AQ57" s="3"/>
      <c r="AR57" s="162"/>
      <c r="AS57" s="162"/>
      <c r="AT57" s="161"/>
      <c r="AU57" s="3"/>
      <c r="AV57" s="161"/>
      <c r="AW57" s="299"/>
      <c r="AX57" s="163"/>
      <c r="AZ57" s="154"/>
      <c r="BA57" s="124"/>
      <c r="BB57" s="162"/>
      <c r="BC57" s="3"/>
      <c r="BD57" s="162"/>
      <c r="BE57" s="3"/>
      <c r="BF57" s="161"/>
      <c r="BG57" s="3"/>
      <c r="BH57" s="165"/>
    </row>
    <row r="58" spans="2:60" ht="12">
      <c r="B58" s="2"/>
      <c r="C58" s="6"/>
      <c r="D58" s="6"/>
      <c r="E58" s="292"/>
      <c r="F58" s="6"/>
      <c r="G58" s="20"/>
      <c r="H58" s="6"/>
      <c r="I58" s="30"/>
      <c r="J58" s="6"/>
      <c r="K58" s="30"/>
      <c r="L58" s="6"/>
      <c r="M58" s="30"/>
      <c r="N58" s="6"/>
      <c r="O58" s="295"/>
      <c r="P58" s="6"/>
      <c r="Q58" s="30"/>
      <c r="R58" s="6"/>
      <c r="S58" s="20"/>
      <c r="T58" s="6"/>
      <c r="U58" s="20"/>
      <c r="V58" s="6"/>
      <c r="W58" s="20"/>
      <c r="X58" s="6"/>
      <c r="Y58" s="296"/>
      <c r="Z58" s="255"/>
      <c r="AB58" s="154"/>
      <c r="AC58" s="124"/>
      <c r="AD58" s="159"/>
      <c r="AE58" s="3"/>
      <c r="AF58" s="162"/>
      <c r="AG58" s="3"/>
      <c r="AH58" s="162"/>
      <c r="AI58" s="3"/>
      <c r="AJ58" s="162"/>
      <c r="AK58" s="3"/>
      <c r="AL58" s="161"/>
      <c r="AM58" s="3"/>
      <c r="AN58" s="162"/>
      <c r="AO58" s="3"/>
      <c r="AP58" s="162"/>
      <c r="AQ58" s="3"/>
      <c r="AR58" s="162"/>
      <c r="AS58" s="162"/>
      <c r="AT58" s="161"/>
      <c r="AU58" s="3"/>
      <c r="AV58" s="161"/>
      <c r="AW58" s="299"/>
      <c r="AX58" s="163"/>
      <c r="AZ58" s="154"/>
      <c r="BA58" s="124"/>
      <c r="BB58" s="162"/>
      <c r="BC58" s="3"/>
      <c r="BD58" s="162"/>
      <c r="BE58" s="3"/>
      <c r="BF58" s="161"/>
      <c r="BG58" s="3"/>
      <c r="BH58" s="165"/>
    </row>
    <row r="59" spans="2:60" ht="12">
      <c r="B59" s="2"/>
      <c r="C59" s="6"/>
      <c r="D59" s="6"/>
      <c r="E59" s="292"/>
      <c r="F59" s="6"/>
      <c r="G59" s="20"/>
      <c r="H59" s="6"/>
      <c r="I59" s="30"/>
      <c r="J59" s="6"/>
      <c r="K59" s="30"/>
      <c r="L59" s="6"/>
      <c r="M59" s="30"/>
      <c r="N59" s="6"/>
      <c r="O59" s="295"/>
      <c r="P59" s="6"/>
      <c r="Q59" s="30"/>
      <c r="R59" s="6"/>
      <c r="S59" s="20"/>
      <c r="T59" s="6"/>
      <c r="U59" s="20"/>
      <c r="V59" s="6"/>
      <c r="W59" s="20"/>
      <c r="X59" s="6"/>
      <c r="Y59" s="296"/>
      <c r="Z59" s="255"/>
      <c r="AB59" s="154"/>
      <c r="AC59" s="124"/>
      <c r="AD59" s="159"/>
      <c r="AE59" s="3"/>
      <c r="AF59" s="162"/>
      <c r="AG59" s="3"/>
      <c r="AH59" s="162"/>
      <c r="AI59" s="3"/>
      <c r="AJ59" s="162"/>
      <c r="AK59" s="3"/>
      <c r="AL59" s="161"/>
      <c r="AM59" s="3"/>
      <c r="AN59" s="162"/>
      <c r="AO59" s="3"/>
      <c r="AP59" s="162"/>
      <c r="AQ59" s="3"/>
      <c r="AR59" s="162"/>
      <c r="AS59" s="162"/>
      <c r="AT59" s="161"/>
      <c r="AU59" s="3"/>
      <c r="AV59" s="161"/>
      <c r="AW59" s="299"/>
      <c r="AX59" s="163"/>
      <c r="AZ59" s="154"/>
      <c r="BA59" s="124"/>
      <c r="BB59" s="162"/>
      <c r="BC59" s="3"/>
      <c r="BD59" s="162"/>
      <c r="BE59" s="3"/>
      <c r="BF59" s="161"/>
      <c r="BG59" s="3"/>
      <c r="BH59" s="165"/>
    </row>
    <row r="60" spans="2:60" ht="12">
      <c r="B60" s="2"/>
      <c r="C60" s="6"/>
      <c r="D60" s="6"/>
      <c r="E60" s="292"/>
      <c r="F60" s="6"/>
      <c r="G60" s="20"/>
      <c r="H60" s="6"/>
      <c r="I60" s="30"/>
      <c r="J60" s="6"/>
      <c r="K60" s="30"/>
      <c r="L60" s="6"/>
      <c r="M60" s="30"/>
      <c r="N60" s="6"/>
      <c r="O60" s="295"/>
      <c r="P60" s="6"/>
      <c r="Q60" s="30"/>
      <c r="R60" s="6"/>
      <c r="S60" s="20"/>
      <c r="T60" s="6"/>
      <c r="U60" s="20"/>
      <c r="V60" s="6"/>
      <c r="W60" s="20"/>
      <c r="X60" s="6"/>
      <c r="Y60" s="296"/>
      <c r="Z60" s="255"/>
      <c r="AB60" s="154"/>
      <c r="AC60" s="124"/>
      <c r="AD60" s="159"/>
      <c r="AE60" s="3"/>
      <c r="AF60" s="162"/>
      <c r="AG60" s="3"/>
      <c r="AH60" s="162"/>
      <c r="AI60" s="3"/>
      <c r="AJ60" s="162"/>
      <c r="AK60" s="3"/>
      <c r="AL60" s="161"/>
      <c r="AM60" s="3"/>
      <c r="AN60" s="162"/>
      <c r="AO60" s="3"/>
      <c r="AP60" s="162"/>
      <c r="AQ60" s="3"/>
      <c r="AR60" s="162"/>
      <c r="AS60" s="162"/>
      <c r="AT60" s="161"/>
      <c r="AU60" s="3"/>
      <c r="AV60" s="161"/>
      <c r="AW60" s="299"/>
      <c r="AX60" s="163"/>
      <c r="AZ60" s="154"/>
      <c r="BA60" s="124"/>
      <c r="BB60" s="162"/>
      <c r="BC60" s="3"/>
      <c r="BD60" s="162"/>
      <c r="BE60" s="3"/>
      <c r="BF60" s="161"/>
      <c r="BG60" s="3"/>
      <c r="BH60" s="165"/>
    </row>
    <row r="61" spans="2:60" ht="12">
      <c r="B61" s="2"/>
      <c r="C61" s="6"/>
      <c r="D61" s="6"/>
      <c r="E61" s="292"/>
      <c r="F61" s="6"/>
      <c r="G61" s="20"/>
      <c r="H61" s="6"/>
      <c r="I61" s="30"/>
      <c r="J61" s="6"/>
      <c r="K61" s="30"/>
      <c r="L61" s="6"/>
      <c r="M61" s="30"/>
      <c r="N61" s="6"/>
      <c r="O61" s="295"/>
      <c r="P61" s="6"/>
      <c r="Q61" s="30"/>
      <c r="R61" s="6"/>
      <c r="S61" s="20"/>
      <c r="T61" s="6"/>
      <c r="U61" s="20"/>
      <c r="V61" s="6"/>
      <c r="W61" s="20"/>
      <c r="X61" s="6"/>
      <c r="Y61" s="296"/>
      <c r="Z61" s="255"/>
      <c r="AB61" s="154"/>
      <c r="AC61" s="124"/>
      <c r="AD61" s="159"/>
      <c r="AE61" s="3"/>
      <c r="AF61" s="162"/>
      <c r="AG61" s="3"/>
      <c r="AH61" s="162"/>
      <c r="AI61" s="3"/>
      <c r="AJ61" s="162"/>
      <c r="AK61" s="3"/>
      <c r="AL61" s="161"/>
      <c r="AM61" s="3"/>
      <c r="AN61" s="162"/>
      <c r="AO61" s="3"/>
      <c r="AP61" s="162"/>
      <c r="AQ61" s="3"/>
      <c r="AR61" s="162"/>
      <c r="AS61" s="162"/>
      <c r="AT61" s="161"/>
      <c r="AU61" s="3"/>
      <c r="AV61" s="161"/>
      <c r="AW61" s="299"/>
      <c r="AX61" s="163"/>
      <c r="AZ61" s="154"/>
      <c r="BA61" s="124"/>
      <c r="BB61" s="162"/>
      <c r="BC61" s="3"/>
      <c r="BD61" s="162"/>
      <c r="BE61" s="3"/>
      <c r="BF61" s="161"/>
      <c r="BG61" s="3"/>
      <c r="BH61" s="165"/>
    </row>
    <row r="62" spans="2:60" ht="12">
      <c r="B62" s="2"/>
      <c r="C62" s="6"/>
      <c r="D62" s="6"/>
      <c r="E62" s="292"/>
      <c r="F62" s="6"/>
      <c r="G62" s="20"/>
      <c r="H62" s="6"/>
      <c r="I62" s="30"/>
      <c r="J62" s="6"/>
      <c r="K62" s="30"/>
      <c r="L62" s="6"/>
      <c r="M62" s="30"/>
      <c r="N62" s="6"/>
      <c r="O62" s="295"/>
      <c r="P62" s="6"/>
      <c r="Q62" s="30"/>
      <c r="R62" s="6"/>
      <c r="S62" s="20"/>
      <c r="T62" s="6"/>
      <c r="U62" s="20"/>
      <c r="V62" s="6"/>
      <c r="W62" s="20"/>
      <c r="X62" s="6"/>
      <c r="Y62" s="296"/>
      <c r="Z62" s="255"/>
      <c r="AB62" s="154"/>
      <c r="AC62" s="124"/>
      <c r="AD62" s="159"/>
      <c r="AE62" s="3"/>
      <c r="AF62" s="162"/>
      <c r="AG62" s="3"/>
      <c r="AH62" s="162"/>
      <c r="AI62" s="3"/>
      <c r="AJ62" s="162"/>
      <c r="AK62" s="3"/>
      <c r="AL62" s="161"/>
      <c r="AM62" s="3"/>
      <c r="AN62" s="162"/>
      <c r="AO62" s="3"/>
      <c r="AP62" s="162"/>
      <c r="AQ62" s="3"/>
      <c r="AR62" s="162"/>
      <c r="AS62" s="162"/>
      <c r="AT62" s="161"/>
      <c r="AU62" s="3"/>
      <c r="AV62" s="161"/>
      <c r="AW62" s="299"/>
      <c r="AX62" s="163"/>
      <c r="AZ62" s="154"/>
      <c r="BA62" s="124"/>
      <c r="BB62" s="162"/>
      <c r="BC62" s="3"/>
      <c r="BD62" s="162"/>
      <c r="BE62" s="3"/>
      <c r="BF62" s="161"/>
      <c r="BG62" s="3"/>
      <c r="BH62" s="165"/>
    </row>
    <row r="63" spans="2:60">
      <c r="B63" s="2"/>
      <c r="C63" s="3"/>
      <c r="D63" s="3"/>
      <c r="E63" s="178"/>
      <c r="F63" s="3"/>
      <c r="G63" s="290"/>
      <c r="H63" s="3"/>
      <c r="I63" s="290"/>
      <c r="J63" s="3"/>
      <c r="K63" s="290"/>
      <c r="L63" s="3"/>
      <c r="M63" s="290"/>
      <c r="N63" s="3"/>
      <c r="O63" s="290"/>
      <c r="P63" s="3"/>
      <c r="Q63" s="290"/>
      <c r="R63" s="3"/>
      <c r="S63" s="290"/>
      <c r="T63" s="3"/>
      <c r="U63" s="290"/>
      <c r="V63" s="3"/>
      <c r="W63" s="290"/>
      <c r="X63" s="3"/>
      <c r="Y63" s="300"/>
      <c r="Z63" s="255"/>
      <c r="AB63" s="2"/>
      <c r="AC63" s="3"/>
      <c r="AD63" s="3"/>
      <c r="AE63" s="3"/>
      <c r="AF63" s="301"/>
      <c r="AG63" s="3"/>
      <c r="AH63" s="301"/>
      <c r="AI63" s="3"/>
      <c r="AJ63" s="301"/>
      <c r="AK63" s="3"/>
      <c r="AL63" s="299"/>
      <c r="AM63" s="3"/>
      <c r="AN63" s="301"/>
      <c r="AO63" s="3"/>
      <c r="AP63" s="301"/>
      <c r="AQ63" s="3"/>
      <c r="AR63" s="301"/>
      <c r="AS63" s="301"/>
      <c r="AT63" s="301"/>
      <c r="AU63" s="3"/>
      <c r="AV63" s="299"/>
      <c r="AW63" s="299"/>
      <c r="AX63" s="302"/>
      <c r="AZ63" s="2"/>
      <c r="BA63" s="3"/>
      <c r="BB63" s="301"/>
      <c r="BC63" s="3"/>
      <c r="BD63" s="3"/>
      <c r="BE63" s="3"/>
      <c r="BF63" s="299"/>
      <c r="BG63" s="3"/>
      <c r="BH63" s="255"/>
    </row>
    <row r="64" spans="2:60" ht="12">
      <c r="B64" s="2"/>
      <c r="C64" s="303" t="str">
        <f>G14&amp;"-year Nominal Levelized at "&amp;TEXT($G$18,"#.00%")</f>
        <v>26-year Nominal Levelized at 7.32%</v>
      </c>
      <c r="E64" s="178"/>
      <c r="F64" s="3"/>
      <c r="G64" s="20">
        <f>+-PMT($G$18,$G$14,NPV($G$18,G28:G62))</f>
        <v>93610.458301428735</v>
      </c>
      <c r="H64" s="6"/>
      <c r="I64" s="30">
        <f>+-PMT($G$18,$G$14,NPV($G$18,I28:I62))</f>
        <v>195.91500411726048</v>
      </c>
      <c r="J64" s="30"/>
      <c r="K64" s="30">
        <f>+-PMT($G$18,$G$14,NPV($G$18,K28:K62))</f>
        <v>25.588514350957322</v>
      </c>
      <c r="L64" s="6"/>
      <c r="M64" s="30">
        <f>+-PMT($G$18,$G$14,NPV($G$18,M28:M62))</f>
        <v>0</v>
      </c>
      <c r="N64" s="6"/>
      <c r="O64" s="30">
        <f>+-PMT($G$18,$G$14,NPV($G$18,O28:O62))</f>
        <v>0</v>
      </c>
      <c r="P64" s="6"/>
      <c r="Q64" s="30">
        <f>+-PMT($G$18,$G$14,NPV($G$18,Q28:Q62))</f>
        <v>-21.17524254782824</v>
      </c>
      <c r="R64" s="6"/>
      <c r="S64" s="20">
        <f>+-PMT($G$18,$G$14,NPV($G$18,S28:S62))</f>
        <v>2819.202047347113</v>
      </c>
      <c r="T64" s="6"/>
      <c r="U64" s="20">
        <f>+-PMT($G$18,$G$14,NPV($G$18,U28:U62))</f>
        <v>8829.2935321472123</v>
      </c>
      <c r="V64" s="3"/>
      <c r="W64" s="20">
        <f>+-PMT($G$18,$G$14,NPV($G$18,W28:W62))</f>
        <v>-6010.0914848000994</v>
      </c>
      <c r="X64" s="3"/>
      <c r="Y64" s="296">
        <f>+-PMT($G$18,$G$14,NPV($G$18,Y28:Y62))</f>
        <v>-63.542288348681581</v>
      </c>
      <c r="Z64" s="255"/>
      <c r="AB64" s="2"/>
      <c r="AC64" s="3"/>
      <c r="AD64" s="159">
        <f>+-PMT($G$18,$G$14,NPV($G$18,AD28:AD62))</f>
        <v>93610.458301428735</v>
      </c>
      <c r="AE64" s="3"/>
      <c r="AF64" s="162">
        <f>+-PMT($G$18,$G$14,NPV($G$18,AF28:AF62))</f>
        <v>127.26585126986444</v>
      </c>
      <c r="AG64" s="3"/>
      <c r="AH64" s="162">
        <f>+-PMT($G$18,$G$14,NPV($G$18,AH28:AH62))</f>
        <v>9.5646728295377379</v>
      </c>
      <c r="AI64" s="3"/>
      <c r="AJ64" s="162">
        <f>+-PMT($G$18,$G$14,NPV($G$18,AJ28:AJ62))</f>
        <v>3.6006977774712814</v>
      </c>
      <c r="AK64" s="3"/>
      <c r="AL64" s="161">
        <f>+-PMT($G$18,$G$14,NPV($G$18,AL28:AL62))</f>
        <v>2757.8097077534921</v>
      </c>
      <c r="AM64" s="3"/>
      <c r="AN64" s="162">
        <f>+-PMT($G$18,$G$14,NPV($G$18,AN28:AN62))</f>
        <v>10.437282608914646</v>
      </c>
      <c r="AO64" s="3"/>
      <c r="AP64" s="162">
        <f>+-PMT($G$18,$G$14,NPV($G$18,AP28:AP62))</f>
        <v>76.553972291531593</v>
      </c>
      <c r="AQ64" s="3"/>
      <c r="AR64" s="162">
        <f>+-PMT($G$18,$G$14,NPV($G$18,AR28:AR62))</f>
        <v>2.9049251833177898</v>
      </c>
      <c r="AS64" s="162"/>
      <c r="AT64" s="161">
        <f>+-PMT($G$18,$G$14,NPV($G$18,AT28:AT62))</f>
        <v>1275.0432949612712</v>
      </c>
      <c r="AU64" s="3"/>
      <c r="AV64" s="161">
        <f>+-PMT($G$18,$G$14,NPV($G$18,AV28:AV62))</f>
        <v>7554.25023718594</v>
      </c>
      <c r="AW64" s="299"/>
      <c r="AX64" s="163">
        <f>+-PMT($G$18,$G$14,NPV($G$18,AX28:AX62))</f>
        <v>8829.2935321472123</v>
      </c>
      <c r="AZ64" s="2"/>
      <c r="BA64" s="3"/>
      <c r="BB64" s="162">
        <f>+-PMT($G$18,$G$14,NPV($G$18,BB28:BB62))</f>
        <v>81.241436636620648</v>
      </c>
      <c r="BC64" s="3"/>
      <c r="BD64" s="162">
        <f>+-PMT($G$18,$G$14,NPV($G$18,BD28:BD62))</f>
        <v>5.3495294610657842</v>
      </c>
      <c r="BE64" s="3"/>
      <c r="BF64" s="161">
        <f>+-PMT($G$18,$G$14,NPV($G$18,BF28:BF62))</f>
        <v>1482.7664127922212</v>
      </c>
      <c r="BG64" s="3"/>
      <c r="BH64" s="165"/>
    </row>
    <row r="65" spans="2:60">
      <c r="B65" s="2"/>
      <c r="C65" s="3"/>
      <c r="D65" s="3"/>
      <c r="E65" s="178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04"/>
      <c r="X65" s="3"/>
      <c r="Y65" s="305"/>
      <c r="Z65" s="255"/>
      <c r="AB65" s="2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299"/>
      <c r="AU65" s="3"/>
      <c r="AV65" s="3"/>
      <c r="AW65" s="3"/>
      <c r="AX65" s="255"/>
      <c r="AZ65" s="2"/>
      <c r="BA65" s="3"/>
      <c r="BB65" s="3"/>
      <c r="BC65" s="3"/>
      <c r="BD65" s="3"/>
      <c r="BE65" s="3"/>
      <c r="BF65" s="3"/>
      <c r="BG65" s="3"/>
      <c r="BH65" s="255"/>
    </row>
    <row r="66" spans="2:60">
      <c r="B66" s="258"/>
      <c r="C66" s="306"/>
      <c r="D66" s="306"/>
      <c r="E66" s="307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259"/>
      <c r="AB66" s="258"/>
      <c r="AC66" s="306"/>
      <c r="AD66" s="306"/>
      <c r="AE66" s="306"/>
      <c r="AF66" s="306"/>
      <c r="AG66" s="306"/>
      <c r="AH66" s="306"/>
      <c r="AI66" s="306"/>
      <c r="AJ66" s="306"/>
      <c r="AK66" s="306"/>
      <c r="AL66" s="306"/>
      <c r="AM66" s="306"/>
      <c r="AN66" s="306"/>
      <c r="AO66" s="306"/>
      <c r="AP66" s="306"/>
      <c r="AQ66" s="306"/>
      <c r="AR66" s="306"/>
      <c r="AS66" s="306"/>
      <c r="AT66" s="306"/>
      <c r="AU66" s="306"/>
      <c r="AV66" s="306"/>
      <c r="AW66" s="306"/>
      <c r="AX66" s="259"/>
      <c r="AZ66" s="258"/>
      <c r="BA66" s="306"/>
      <c r="BB66" s="306"/>
      <c r="BC66" s="306"/>
      <c r="BD66" s="306"/>
      <c r="BE66" s="306"/>
      <c r="BF66" s="306"/>
      <c r="BG66" s="306"/>
      <c r="BH66" s="259"/>
    </row>
    <row r="67" spans="2:60">
      <c r="E67" s="308"/>
    </row>
    <row r="68" spans="2:60">
      <c r="E68" s="308"/>
      <c r="G68" s="309"/>
      <c r="I68" s="309"/>
      <c r="K68" s="309"/>
      <c r="O68" s="309"/>
      <c r="Q68" s="309"/>
      <c r="S68" s="309"/>
      <c r="U68" s="309"/>
      <c r="W68" s="309"/>
    </row>
    <row r="69" spans="2:60">
      <c r="E69" s="308"/>
    </row>
    <row r="70" spans="2:60">
      <c r="E70" s="308"/>
    </row>
    <row r="71" spans="2:60">
      <c r="E71" s="308"/>
    </row>
    <row r="72" spans="2:60">
      <c r="E72" s="308"/>
    </row>
    <row r="73" spans="2:60">
      <c r="E73" s="308"/>
    </row>
    <row r="74" spans="2:60">
      <c r="E74" s="308"/>
    </row>
    <row r="75" spans="2:60">
      <c r="E75" s="308"/>
    </row>
    <row r="76" spans="2:60">
      <c r="E76" s="308"/>
    </row>
    <row r="77" spans="2:60">
      <c r="E77" s="308"/>
    </row>
    <row r="78" spans="2:60">
      <c r="E78" s="308"/>
    </row>
    <row r="79" spans="2:60">
      <c r="E79" s="308"/>
    </row>
    <row r="80" spans="2:60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  <row r="88" spans="5:5">
      <c r="E88" s="308"/>
    </row>
    <row r="89" spans="5:5">
      <c r="E89" s="308"/>
    </row>
    <row r="90" spans="5:5">
      <c r="E90" s="308"/>
    </row>
  </sheetData>
  <pageMargins left="0.25" right="0.25" top="0.25" bottom="0.75" header="0.3" footer="0.3"/>
  <pageSetup paperSize="5" scale="4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46CC-F793-434F-A881-1B0E567278FC}">
  <sheetPr codeName="Sheet7">
    <tabColor theme="0" tint="-0.249977111117893"/>
    <pageSetUpPr fitToPage="1"/>
  </sheetPr>
  <dimension ref="A1:BH84"/>
  <sheetViews>
    <sheetView topLeftCell="V46" workbookViewId="0">
      <selection activeCell="AX47" sqref="AX47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315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222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99</v>
      </c>
      <c r="H11" s="275"/>
      <c r="AB11" s="129" t="s">
        <v>99</v>
      </c>
      <c r="AC11" s="130"/>
      <c r="AD11" s="130"/>
      <c r="AE11" s="130"/>
      <c r="AF11" s="312">
        <f>+G11*(G12/AJ16)</f>
        <v>76.042753820960684</v>
      </c>
      <c r="AG11" s="134"/>
      <c r="AH11" s="130" t="s">
        <v>100</v>
      </c>
      <c r="AI11" s="131"/>
      <c r="AJ11" s="174">
        <f>'(2.1)_Proxy Resources'!N70</f>
        <v>7.5808934397681389</v>
      </c>
      <c r="AK11" s="255"/>
      <c r="AZ11" s="129" t="s">
        <v>99</v>
      </c>
      <c r="BA11" s="130"/>
      <c r="BB11" s="130"/>
      <c r="BC11" s="130"/>
      <c r="BD11" s="141">
        <f>(AF11*AF13-G11*G19)</f>
        <v>71.419453820960683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0.374</v>
      </c>
      <c r="H12" s="275"/>
      <c r="AB12" s="129" t="s">
        <v>32</v>
      </c>
      <c r="AC12" s="130"/>
      <c r="AD12" s="130"/>
      <c r="AE12" s="130"/>
      <c r="AF12" s="138">
        <f>+AD58/8760/AF11</f>
        <v>0.44220914574100206</v>
      </c>
      <c r="AG12" s="134"/>
      <c r="AH12" s="124" t="s">
        <v>101</v>
      </c>
      <c r="AI12" s="125"/>
      <c r="AJ12" s="124">
        <v>2008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Resources'!$O$70</f>
        <v>2.8538881199911357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Resources'!H70*(1+E28)</f>
        <v>7277.4747099407059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138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192</v>
      </c>
      <c r="AC15" s="130"/>
      <c r="AD15" s="130"/>
      <c r="AE15" s="130"/>
      <c r="AF15" s="175">
        <f>'(2.1)_Proxy Resources'!J70</f>
        <v>1174.8198494434653</v>
      </c>
      <c r="AG15" s="134"/>
      <c r="AH15" s="124" t="s">
        <v>145</v>
      </c>
      <c r="AI15" s="125"/>
      <c r="AJ15" s="174">
        <f>'(2.1)_Proxy Resources'!$P$57</f>
        <v>2.302423580786026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138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Resources'!K68</f>
        <v>8.5860000000000006E-2</v>
      </c>
      <c r="AG16" s="134"/>
      <c r="AH16" s="124" t="s">
        <v>110</v>
      </c>
      <c r="AI16" s="131"/>
      <c r="AJ16" s="145">
        <f>'(2.1)_Proxy Resources'!$D$57</f>
        <v>0.48691029900332239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138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'(2.2)_Forward_Price_Curve'!W5</f>
        <v>7.3164524549999999E-2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'(2.2)_Forward_Price_Curve'!G80</f>
        <v>4.6699999999999998E-2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2009</v>
      </c>
      <c r="D28" s="6"/>
      <c r="E28" s="292">
        <f>+INDEX('(2.2)_Forward_Price_Curve'!$R:$R,MATCH($C28,'(2.2)_Forward_Price_Curve'!C:C,0))</f>
        <v>1.7999999999999999E-2</v>
      </c>
      <c r="F28" s="6"/>
      <c r="G28" s="20">
        <v>39974.699999999997</v>
      </c>
      <c r="H28" s="6"/>
      <c r="I28" s="293">
        <f>$G$15*(1+E28)</f>
        <v>0</v>
      </c>
      <c r="J28" s="293"/>
      <c r="K28" s="293">
        <v>63.8</v>
      </c>
      <c r="L28" s="294"/>
      <c r="M28" s="293">
        <f>$G$17</f>
        <v>0</v>
      </c>
      <c r="N28" s="6"/>
      <c r="O28" s="295">
        <f>'(2.2)_Forward_Price_Curve'!U21</f>
        <v>5.2748738999999985</v>
      </c>
      <c r="P28" s="6"/>
      <c r="Q28" s="30"/>
      <c r="R28" s="6"/>
      <c r="S28" s="20">
        <f>(I28*$G$11*1000+(K28+M28+O28+Q28)*G28)/1000</f>
        <v>2761.2473616903299</v>
      </c>
      <c r="T28" s="6"/>
      <c r="U28" s="20">
        <f t="shared" ref="U28:U46" si="0">AX28</f>
        <v>7062.3088561280674</v>
      </c>
      <c r="V28" s="6"/>
      <c r="W28" s="20">
        <f t="shared" ref="W28:W46" si="1">S28-U28</f>
        <v>-4301.0614944377376</v>
      </c>
      <c r="X28" s="6"/>
      <c r="Y28" s="296">
        <f>+W28*1000/G28</f>
        <v>-107.59459093971282</v>
      </c>
      <c r="Z28" s="255"/>
      <c r="AB28" s="154">
        <f>$C$28</f>
        <v>2009</v>
      </c>
      <c r="AC28" s="124"/>
      <c r="AD28" s="159">
        <f t="shared" ref="AD28:AD46" si="2">G28</f>
        <v>39974.699999999997</v>
      </c>
      <c r="AE28" s="3"/>
      <c r="AF28" s="160">
        <f>$AF$15*$AF$16*(1+E28)</f>
        <v>102.68569285413383</v>
      </c>
      <c r="AG28" s="297"/>
      <c r="AH28" s="160">
        <f>$AJ$11*(1+E28)</f>
        <v>7.7173495216839658</v>
      </c>
      <c r="AI28" s="297"/>
      <c r="AJ28" s="160">
        <f>$AJ$13*(1+E28)</f>
        <v>2.9052581061509763</v>
      </c>
      <c r="AK28" s="298"/>
      <c r="AL28" s="161">
        <f>((AF28+AH28)*$AF$11*1000+AJ28*AD28)/1000</f>
        <v>8511.4881936853581</v>
      </c>
      <c r="AM28" s="3"/>
      <c r="AN28" s="162">
        <f>INDEX('(2.2)_Forward_Price_Curve'!$L:$L,MATCH($AB28,'(2.2)_Forward_Price_Curve'!$C:$C,0),1)</f>
        <v>11.848729166666667</v>
      </c>
      <c r="AO28" s="310"/>
      <c r="AP28" s="162">
        <f>AN28*$AF$14/1000+$AJ$14/(1+E29)</f>
        <v>86.228826855353489</v>
      </c>
      <c r="AQ28" s="297"/>
      <c r="AR28" s="160">
        <f>$AJ$15*(1+E28)</f>
        <v>2.3438672052401746</v>
      </c>
      <c r="AS28" s="160"/>
      <c r="AT28" s="161">
        <f>AL28-BF28</f>
        <v>3521.6419828640546</v>
      </c>
      <c r="AU28" s="298"/>
      <c r="AV28" s="161">
        <f t="shared" ref="AV28:AV46" si="3">(AP28+AR28)*AD28/1000</f>
        <v>3540.6668732640132</v>
      </c>
      <c r="AW28" s="299"/>
      <c r="AX28" s="163">
        <f>AT28+AV28</f>
        <v>7062.3088561280674</v>
      </c>
      <c r="AZ28" s="154">
        <f>$C$28</f>
        <v>2009</v>
      </c>
      <c r="BA28" s="124"/>
      <c r="BB28" s="160">
        <f>$BD$14*$BD$15*(1+E28)</f>
        <v>65.550445199999999</v>
      </c>
      <c r="BC28" s="3"/>
      <c r="BD28" s="160">
        <f>$BB$16*(1+E28)</f>
        <v>4.3163200000000002</v>
      </c>
      <c r="BE28" s="297"/>
      <c r="BF28" s="161">
        <f>(BB28+BD28)*$BD$11</f>
        <v>4989.8462108213034</v>
      </c>
      <c r="BG28" s="297"/>
      <c r="BH28" s="164"/>
    </row>
    <row r="29" spans="1:60" ht="12">
      <c r="B29" s="2"/>
      <c r="C29" s="6">
        <f>+IF(C28&gt;$G$13+$G$14,XX,C28+1)</f>
        <v>2010</v>
      </c>
      <c r="D29" s="6"/>
      <c r="E29" s="292">
        <f>+INDEX('(2.2)_Forward_Price_Curve'!$R:$R,MATCH($C29,'(2.2)_Forward_Price_Curve'!C:C,0))</f>
        <v>1.7999999999999999E-2</v>
      </c>
      <c r="F29" s="6"/>
      <c r="G29" s="20">
        <v>299989.49999999994</v>
      </c>
      <c r="H29" s="6"/>
      <c r="I29" s="30">
        <f>I28*(1+$E29)</f>
        <v>0</v>
      </c>
      <c r="J29" s="6"/>
      <c r="K29" s="30">
        <v>63.8</v>
      </c>
      <c r="L29" s="6"/>
      <c r="M29" s="30">
        <f>M28*(1+$E29)</f>
        <v>0</v>
      </c>
      <c r="N29" s="6"/>
      <c r="O29" s="295">
        <f>'(2.2)_Forward_Price_Curve'!U22</f>
        <v>5.3750965040999983</v>
      </c>
      <c r="P29" s="6"/>
      <c r="Q29" s="30"/>
      <c r="R29" s="6"/>
      <c r="S29" s="20">
        <f t="shared" ref="S29:S46" si="4">(I29*$G$11*1000+(K29+M29+O29+Q29)*G29)/1000</f>
        <v>20751.8026127167</v>
      </c>
      <c r="T29" s="6"/>
      <c r="U29" s="20">
        <f t="shared" si="0"/>
        <v>28728.528057563424</v>
      </c>
      <c r="V29" s="6"/>
      <c r="W29" s="20">
        <f t="shared" si="1"/>
        <v>-7976.7254448467247</v>
      </c>
      <c r="X29" s="6"/>
      <c r="Y29" s="296">
        <f t="shared" ref="Y29:Y46" si="5">+W29*1000/G29</f>
        <v>-26.590015466697089</v>
      </c>
      <c r="Z29" s="255"/>
      <c r="AB29" s="154">
        <f>+IF(AB28&gt;$G$13+$G$14,XX,AB28+1)</f>
        <v>2010</v>
      </c>
      <c r="AC29" s="124"/>
      <c r="AD29" s="159">
        <f t="shared" si="2"/>
        <v>299989.49999999994</v>
      </c>
      <c r="AE29" s="3"/>
      <c r="AF29" s="162">
        <f>AF28*(1+$E29)</f>
        <v>104.53403532550824</v>
      </c>
      <c r="AG29" s="3"/>
      <c r="AH29" s="162">
        <f>AH28*(1+$E29)</f>
        <v>7.8562618130742772</v>
      </c>
      <c r="AI29" s="3"/>
      <c r="AJ29" s="162">
        <f>AJ28*(1+$E29)</f>
        <v>2.957552752061694</v>
      </c>
      <c r="AK29" s="3"/>
      <c r="AL29" s="161">
        <f t="shared" ref="AL29:AL46" si="6">((AF29+AH29)*$AF$11*1000+AJ29*AD29)/1000</f>
        <v>9433.7024684884655</v>
      </c>
      <c r="AM29" s="3"/>
      <c r="AN29" s="162">
        <f>INDEX('(2.2)_Forward_Price_Curve'!$L:$L,MATCH($AB29,'(2.2)_Forward_Price_Curve'!$C:$C,0),1)</f>
        <v>10.836874999999999</v>
      </c>
      <c r="AO29" s="3"/>
      <c r="AP29" s="162">
        <f>AN29*$AF$14/1000+$AJ$14</f>
        <v>78.865083747288679</v>
      </c>
      <c r="AQ29" s="3"/>
      <c r="AR29" s="162">
        <f>AR28*(1+$E29)</f>
        <v>2.3860568149344976</v>
      </c>
      <c r="AS29" s="162"/>
      <c r="AT29" s="161">
        <f t="shared" ref="AT29:AT46" si="7">AL29-BF29</f>
        <v>4354.0390258723801</v>
      </c>
      <c r="AU29" s="3"/>
      <c r="AV29" s="161">
        <f t="shared" si="3"/>
        <v>24374.489031691046</v>
      </c>
      <c r="AW29" s="299"/>
      <c r="AX29" s="163">
        <f t="shared" ref="AX29:AX46" si="8">AT29+AV29</f>
        <v>28728.528057563424</v>
      </c>
      <c r="AZ29" s="154">
        <f>+IF(AZ28&gt;$G$13+$G$14,XX,AZ28+1)</f>
        <v>2010</v>
      </c>
      <c r="BA29" s="124"/>
      <c r="BB29" s="162">
        <f>BB28*(1+$E29)</f>
        <v>66.730353213599997</v>
      </c>
      <c r="BC29" s="3"/>
      <c r="BD29" s="162">
        <f>BD28*(1+$E29)</f>
        <v>4.39401376</v>
      </c>
      <c r="BE29" s="3"/>
      <c r="BF29" s="161">
        <f t="shared" ref="BF29:BF46" si="9">(BB29+BD29)*$BD$11</f>
        <v>5079.6634426160854</v>
      </c>
      <c r="BG29" s="3"/>
      <c r="BH29" s="165"/>
    </row>
    <row r="30" spans="1:60" ht="12">
      <c r="B30" s="2"/>
      <c r="C30" s="6">
        <f>+IF(C29&gt;$G$13+$G$14,XX,C29+1)</f>
        <v>2011</v>
      </c>
      <c r="D30" s="6"/>
      <c r="E30" s="292">
        <f>+INDEX('(2.2)_Forward_Price_Curve'!$R:$R,MATCH($C30,'(2.2)_Forward_Price_Curve'!C:C,0))</f>
        <v>1.9E-2</v>
      </c>
      <c r="F30" s="6"/>
      <c r="G30" s="20">
        <v>299989.49999999994</v>
      </c>
      <c r="H30" s="6"/>
      <c r="I30" s="30">
        <f t="shared" ref="I30:I47" si="10">I29*(1+$E30)</f>
        <v>0</v>
      </c>
      <c r="J30" s="6"/>
      <c r="K30" s="30">
        <v>63.8</v>
      </c>
      <c r="L30" s="6"/>
      <c r="M30" s="30">
        <f t="shared" ref="M30:M46" si="11">M29*(1+$E30)</f>
        <v>0</v>
      </c>
      <c r="N30" s="6"/>
      <c r="O30" s="295">
        <f>'(2.2)_Forward_Price_Curve'!U23</f>
        <v>5.4772233376778976</v>
      </c>
      <c r="P30" s="6"/>
      <c r="Q30" s="30"/>
      <c r="R30" s="6"/>
      <c r="S30" s="20">
        <f t="shared" si="4"/>
        <v>20782.439590458318</v>
      </c>
      <c r="T30" s="6"/>
      <c r="U30" s="20">
        <f t="shared" si="0"/>
        <v>27913.610455216432</v>
      </c>
      <c r="V30" s="6"/>
      <c r="W30" s="20">
        <f t="shared" si="1"/>
        <v>-7131.1708647581145</v>
      </c>
      <c r="X30" s="6"/>
      <c r="Y30" s="296">
        <f t="shared" si="5"/>
        <v>-23.771401548247908</v>
      </c>
      <c r="Z30" s="255"/>
      <c r="AB30" s="154">
        <f>+IF(AB29&gt;$G$13+$G$14,XX,AB29+1)</f>
        <v>2011</v>
      </c>
      <c r="AC30" s="124"/>
      <c r="AD30" s="159">
        <f t="shared" si="2"/>
        <v>299989.49999999994</v>
      </c>
      <c r="AE30" s="3"/>
      <c r="AF30" s="162">
        <f t="shared" ref="AF30:AF47" si="12">AF29*(1+$E30)</f>
        <v>106.52018199669288</v>
      </c>
      <c r="AG30" s="3"/>
      <c r="AH30" s="162">
        <f t="shared" ref="AH30:AH47" si="13">AH29*(1+$E30)</f>
        <v>8.0055307875226873</v>
      </c>
      <c r="AI30" s="3"/>
      <c r="AJ30" s="162">
        <f t="shared" ref="AJ30:AJ47" si="14">AJ29*(1+$E30)</f>
        <v>3.013746254350866</v>
      </c>
      <c r="AK30" s="3"/>
      <c r="AL30" s="161">
        <f t="shared" si="6"/>
        <v>9612.9428153897443</v>
      </c>
      <c r="AM30" s="3"/>
      <c r="AN30" s="162">
        <f>INDEX('(2.2)_Forward_Price_Curve'!$L:$L,MATCH($AB30,'(2.2)_Forward_Price_Curve'!$C:$C,0),1)</f>
        <v>10.419479166666667</v>
      </c>
      <c r="AO30" s="3"/>
      <c r="AP30" s="162">
        <f>AN30*$AF$14/1000+$AJ$14*(1+E30)</f>
        <v>75.827496126170729</v>
      </c>
      <c r="AQ30" s="3"/>
      <c r="AR30" s="162">
        <f t="shared" ref="AR30:AR47" si="15">AR29*(1+$E30)</f>
        <v>2.4313918944182529</v>
      </c>
      <c r="AS30" s="162"/>
      <c r="AT30" s="161">
        <f t="shared" si="7"/>
        <v>4436.7657673639533</v>
      </c>
      <c r="AU30" s="3"/>
      <c r="AV30" s="161">
        <f t="shared" si="3"/>
        <v>23476.844687852477</v>
      </c>
      <c r="AW30" s="299"/>
      <c r="AX30" s="163">
        <f t="shared" si="8"/>
        <v>27913.610455216432</v>
      </c>
      <c r="AZ30" s="154">
        <f>+IF(AZ29&gt;$G$13+$G$14,XX,AZ29+1)</f>
        <v>2011</v>
      </c>
      <c r="BA30" s="124"/>
      <c r="BB30" s="162">
        <f t="shared" ref="BB30:BB47" si="16">BB29*(1+$E30)</f>
        <v>67.998229924658389</v>
      </c>
      <c r="BC30" s="3"/>
      <c r="BD30" s="162">
        <f t="shared" ref="BD30:BD47" si="17">BD29*(1+$E30)</f>
        <v>4.4775000214399991</v>
      </c>
      <c r="BE30" s="3"/>
      <c r="BF30" s="161">
        <f t="shared" si="9"/>
        <v>5176.177048025791</v>
      </c>
      <c r="BG30" s="3"/>
      <c r="BH30" s="165"/>
    </row>
    <row r="31" spans="1:60" ht="12">
      <c r="B31" s="2"/>
      <c r="C31" s="6">
        <f>+IF(C30&gt;$G$13+$G$14,XX,C30+1)</f>
        <v>2012</v>
      </c>
      <c r="D31" s="6"/>
      <c r="E31" s="292">
        <f>+INDEX('(2.2)_Forward_Price_Curve'!$R:$R,MATCH($C31,'(2.2)_Forward_Price_Curve'!C:C,0))</f>
        <v>0.02</v>
      </c>
      <c r="F31" s="6"/>
      <c r="G31" s="20">
        <v>327004</v>
      </c>
      <c r="H31" s="6"/>
      <c r="I31" s="30">
        <f t="shared" si="10"/>
        <v>0</v>
      </c>
      <c r="J31" s="6"/>
      <c r="K31" s="30">
        <v>63.8</v>
      </c>
      <c r="L31" s="6"/>
      <c r="M31" s="30">
        <f t="shared" si="11"/>
        <v>0</v>
      </c>
      <c r="N31" s="6"/>
      <c r="O31" s="295">
        <f>'(2.2)_Forward_Price_Curve'!U24</f>
        <v>5.5867678044314557</v>
      </c>
      <c r="P31" s="6"/>
      <c r="Q31" s="30"/>
      <c r="R31" s="6"/>
      <c r="S31" s="20">
        <f t="shared" si="4"/>
        <v>22689.750619120303</v>
      </c>
      <c r="T31" s="6"/>
      <c r="U31" s="20">
        <f t="shared" si="0"/>
        <v>30237.315165660631</v>
      </c>
      <c r="V31" s="6"/>
      <c r="W31" s="20">
        <f t="shared" si="1"/>
        <v>-7547.5645465403286</v>
      </c>
      <c r="X31" s="6"/>
      <c r="Y31" s="296">
        <f t="shared" si="5"/>
        <v>-23.080954809544618</v>
      </c>
      <c r="Z31" s="255"/>
      <c r="AB31" s="154">
        <f>+IF(AB30&gt;$G$13+$G$14,XX,AB30+1)</f>
        <v>2012</v>
      </c>
      <c r="AC31" s="124"/>
      <c r="AD31" s="159">
        <f t="shared" si="2"/>
        <v>327004</v>
      </c>
      <c r="AE31" s="3"/>
      <c r="AF31" s="162">
        <f t="shared" si="12"/>
        <v>108.65058563662674</v>
      </c>
      <c r="AG31" s="3"/>
      <c r="AH31" s="162">
        <f t="shared" si="13"/>
        <v>8.1656414032731419</v>
      </c>
      <c r="AI31" s="3"/>
      <c r="AJ31" s="162">
        <f t="shared" si="14"/>
        <v>3.0740211794378833</v>
      </c>
      <c r="AK31" s="3"/>
      <c r="AL31" s="161">
        <f t="shared" si="6"/>
        <v>9888.2448168494629</v>
      </c>
      <c r="AM31" s="3"/>
      <c r="AN31" s="162">
        <f>INDEX('(2.2)_Forward_Price_Curve'!$L:$L,MATCH($AB31,'(2.2)_Forward_Price_Curve'!$C:$C,0),1)</f>
        <v>10.428681771666666</v>
      </c>
      <c r="AO31" s="3"/>
      <c r="AP31" s="162">
        <f>AN31*$AF$14/1000+$AJ$14*(1+E31)</f>
        <v>75.894467851323782</v>
      </c>
      <c r="AQ31" s="3"/>
      <c r="AR31" s="162">
        <f t="shared" si="15"/>
        <v>2.480019732306618</v>
      </c>
      <c r="AS31" s="162"/>
      <c r="AT31" s="161">
        <f t="shared" si="7"/>
        <v>4608.5442278631563</v>
      </c>
      <c r="AU31" s="3"/>
      <c r="AV31" s="161">
        <f t="shared" si="3"/>
        <v>25628.770937797475</v>
      </c>
      <c r="AW31" s="299"/>
      <c r="AX31" s="163">
        <f t="shared" si="8"/>
        <v>30237.315165660631</v>
      </c>
      <c r="AZ31" s="154">
        <f>+IF(AZ30&gt;$G$13+$G$14,XX,AZ30+1)</f>
        <v>2012</v>
      </c>
      <c r="BA31" s="124"/>
      <c r="BB31" s="162">
        <f t="shared" si="16"/>
        <v>69.358194523151553</v>
      </c>
      <c r="BC31" s="3"/>
      <c r="BD31" s="162">
        <f t="shared" si="17"/>
        <v>4.5670500218687993</v>
      </c>
      <c r="BE31" s="3"/>
      <c r="BF31" s="161">
        <f t="shared" si="9"/>
        <v>5279.7005889863067</v>
      </c>
      <c r="BG31" s="3"/>
      <c r="BH31" s="165"/>
    </row>
    <row r="32" spans="1:60" ht="12">
      <c r="B32" s="2"/>
      <c r="C32" s="6">
        <f>+IF(C31&gt;$G$13+$G$14,XX,C31+1)</f>
        <v>2013</v>
      </c>
      <c r="D32" s="6"/>
      <c r="E32" s="292">
        <f>+INDEX('(2.2)_Forward_Price_Curve'!$R:$R,MATCH($C32,'(2.2)_Forward_Price_Curve'!C:C,0))</f>
        <v>0.02</v>
      </c>
      <c r="F32" s="6"/>
      <c r="G32" s="20">
        <v>325985</v>
      </c>
      <c r="H32" s="6"/>
      <c r="I32" s="30">
        <f t="shared" si="10"/>
        <v>0</v>
      </c>
      <c r="J32" s="6"/>
      <c r="K32" s="30">
        <v>63.8</v>
      </c>
      <c r="L32" s="6"/>
      <c r="M32" s="30">
        <f t="shared" si="11"/>
        <v>0</v>
      </c>
      <c r="N32" s="6"/>
      <c r="O32" s="295">
        <f>'(2.2)_Forward_Price_Curve'!U25</f>
        <v>5.6929163927156532</v>
      </c>
      <c r="P32" s="6"/>
      <c r="Q32" s="30"/>
      <c r="R32" s="6"/>
      <c r="S32" s="20">
        <f t="shared" si="4"/>
        <v>22653.648350279414</v>
      </c>
      <c r="T32" s="6"/>
      <c r="U32" s="20">
        <f t="shared" si="0"/>
        <v>30746.950656188252</v>
      </c>
      <c r="V32" s="6"/>
      <c r="W32" s="20">
        <f t="shared" si="1"/>
        <v>-8093.3023059088373</v>
      </c>
      <c r="X32" s="6"/>
      <c r="Y32" s="296">
        <f t="shared" si="5"/>
        <v>-24.827223049860692</v>
      </c>
      <c r="Z32" s="255"/>
      <c r="AB32" s="154">
        <f>+IF(AB31&gt;$G$13+$G$14,XX,AB31+1)</f>
        <v>2013</v>
      </c>
      <c r="AC32" s="124"/>
      <c r="AD32" s="159">
        <f t="shared" si="2"/>
        <v>325985</v>
      </c>
      <c r="AE32" s="3"/>
      <c r="AF32" s="162">
        <f t="shared" si="12"/>
        <v>110.82359734935928</v>
      </c>
      <c r="AG32" s="3"/>
      <c r="AH32" s="162">
        <f t="shared" si="13"/>
        <v>8.3289542313386047</v>
      </c>
      <c r="AI32" s="3"/>
      <c r="AJ32" s="162">
        <f t="shared" si="14"/>
        <v>3.1355016030266412</v>
      </c>
      <c r="AK32" s="3"/>
      <c r="AL32" s="161">
        <f t="shared" si="6"/>
        <v>10082.814637052967</v>
      </c>
      <c r="AM32" s="3"/>
      <c r="AN32" s="162">
        <f>INDEX('(2.2)_Forward_Price_Curve'!$L:$L,MATCH($AB32,'(2.2)_Forward_Price_Curve'!$C:$C,0),1)</f>
        <v>10.632848438333333</v>
      </c>
      <c r="AO32" s="3"/>
      <c r="AP32" s="162">
        <f t="shared" ref="AP32:AP46" si="18">AN32*$AF$14/1000+$AJ$14*(1+E32)</f>
        <v>77.380285604603358</v>
      </c>
      <c r="AQ32" s="3"/>
      <c r="AR32" s="162">
        <f t="shared" si="15"/>
        <v>2.5296201269527505</v>
      </c>
      <c r="AS32" s="162"/>
      <c r="AT32" s="161">
        <f t="shared" si="7"/>
        <v>4697.5200362869336</v>
      </c>
      <c r="AU32" s="3"/>
      <c r="AV32" s="161">
        <f t="shared" si="3"/>
        <v>26049.430619901319</v>
      </c>
      <c r="AW32" s="299"/>
      <c r="AX32" s="163">
        <f t="shared" si="8"/>
        <v>30746.950656188252</v>
      </c>
      <c r="AZ32" s="154">
        <f>+IF(AZ31&gt;$G$13+$G$14,XX,AZ31+1)</f>
        <v>2013</v>
      </c>
      <c r="BA32" s="124"/>
      <c r="BB32" s="162">
        <f t="shared" si="16"/>
        <v>70.745358413614582</v>
      </c>
      <c r="BC32" s="3"/>
      <c r="BD32" s="162">
        <f t="shared" si="17"/>
        <v>4.6583910223061755</v>
      </c>
      <c r="BE32" s="3"/>
      <c r="BF32" s="161">
        <f t="shared" si="9"/>
        <v>5385.294600766033</v>
      </c>
      <c r="BG32" s="3"/>
      <c r="BH32" s="165"/>
    </row>
    <row r="33" spans="2:60" ht="12">
      <c r="B33" s="2"/>
      <c r="C33" s="6">
        <f>+IF(C32&gt;$G$13+$G$14,XX,C32+1)</f>
        <v>2014</v>
      </c>
      <c r="D33" s="6"/>
      <c r="E33" s="292">
        <f>+INDEX('(2.2)_Forward_Price_Curve'!$R:$R,MATCH($C33,'(2.2)_Forward_Price_Curve'!C:C,0))</f>
        <v>0.02</v>
      </c>
      <c r="F33" s="6"/>
      <c r="G33" s="20">
        <v>299989.49999999994</v>
      </c>
      <c r="H33" s="6"/>
      <c r="I33" s="30">
        <f t="shared" si="10"/>
        <v>0</v>
      </c>
      <c r="J33" s="6"/>
      <c r="K33" s="30">
        <v>63.8</v>
      </c>
      <c r="L33" s="6"/>
      <c r="M33" s="30">
        <f t="shared" si="11"/>
        <v>0</v>
      </c>
      <c r="N33" s="6"/>
      <c r="O33" s="295">
        <f>'(2.2)_Forward_Price_Curve'!U26</f>
        <v>5.7953888877845348</v>
      </c>
      <c r="P33" s="6"/>
      <c r="Q33" s="30"/>
      <c r="R33" s="6"/>
      <c r="S33" s="20">
        <f t="shared" si="4"/>
        <v>20877.885914752038</v>
      </c>
      <c r="T33" s="6"/>
      <c r="U33" s="20">
        <f t="shared" si="0"/>
        <v>28071.488215502446</v>
      </c>
      <c r="V33" s="6"/>
      <c r="W33" s="20">
        <f t="shared" si="1"/>
        <v>-7193.6023007504082</v>
      </c>
      <c r="X33" s="6"/>
      <c r="Y33" s="296">
        <f t="shared" si="5"/>
        <v>-23.979513618811357</v>
      </c>
      <c r="Z33" s="255"/>
      <c r="AB33" s="154">
        <f>+IF(AB32&gt;$G$13+$G$14,XX,AB32+1)</f>
        <v>2014</v>
      </c>
      <c r="AC33" s="124"/>
      <c r="AD33" s="159">
        <f t="shared" si="2"/>
        <v>299989.49999999994</v>
      </c>
      <c r="AE33" s="3"/>
      <c r="AF33" s="162">
        <f t="shared" si="12"/>
        <v>113.04006929634646</v>
      </c>
      <c r="AG33" s="3"/>
      <c r="AH33" s="162">
        <f t="shared" si="13"/>
        <v>8.4955333159653765</v>
      </c>
      <c r="AI33" s="3"/>
      <c r="AJ33" s="162">
        <f t="shared" si="14"/>
        <v>3.1982116350871741</v>
      </c>
      <c r="AK33" s="3"/>
      <c r="AL33" s="161">
        <f t="shared" si="6"/>
        <v>10201.331819234118</v>
      </c>
      <c r="AM33" s="3"/>
      <c r="AN33" s="162">
        <f>INDEX('(2.2)_Forward_Price_Curve'!$L:$L,MATCH($AB33,'(2.2)_Forward_Price_Curve'!$C:$C,0),1)</f>
        <v>10.346954939583332</v>
      </c>
      <c r="AO33" s="3"/>
      <c r="AP33" s="162">
        <f>AN33*$AF$14/1000+$AJ$14*(1+E33)</f>
        <v>75.299702897713772</v>
      </c>
      <c r="AQ33" s="3"/>
      <c r="AR33" s="162">
        <f t="shared" si="15"/>
        <v>2.5802125294918055</v>
      </c>
      <c r="AS33" s="162"/>
      <c r="AT33" s="161">
        <f t="shared" si="7"/>
        <v>4708.3313264527642</v>
      </c>
      <c r="AU33" s="3"/>
      <c r="AV33" s="161">
        <f t="shared" si="3"/>
        <v>23363.156889049682</v>
      </c>
      <c r="AW33" s="299"/>
      <c r="AX33" s="163">
        <f t="shared" si="8"/>
        <v>28071.488215502446</v>
      </c>
      <c r="AZ33" s="154">
        <f>+IF(AZ32&gt;$G$13+$G$14,XX,AZ32+1)</f>
        <v>2014</v>
      </c>
      <c r="BA33" s="124"/>
      <c r="BB33" s="162">
        <f t="shared" si="16"/>
        <v>72.160265581886875</v>
      </c>
      <c r="BC33" s="3"/>
      <c r="BD33" s="162">
        <f t="shared" si="17"/>
        <v>4.7515588427522992</v>
      </c>
      <c r="BE33" s="3"/>
      <c r="BF33" s="161">
        <f t="shared" si="9"/>
        <v>5493.0004927813534</v>
      </c>
      <c r="BG33" s="3"/>
      <c r="BH33" s="165"/>
    </row>
    <row r="34" spans="2:60" ht="12">
      <c r="B34" s="2"/>
      <c r="C34" s="6">
        <f>+IF(C33&gt;$G$13+$G$14,XX,C33+1)</f>
        <v>2015</v>
      </c>
      <c r="D34" s="6"/>
      <c r="E34" s="292">
        <f>+INDEX('(2.2)_Forward_Price_Curve'!$R:$R,MATCH($C34,'(2.2)_Forward_Price_Curve'!C:C,0))</f>
        <v>0.02</v>
      </c>
      <c r="F34" s="6"/>
      <c r="G34" s="20">
        <v>325985</v>
      </c>
      <c r="H34" s="6"/>
      <c r="I34" s="30">
        <f t="shared" si="10"/>
        <v>0</v>
      </c>
      <c r="J34" s="6"/>
      <c r="K34" s="30">
        <v>63.8</v>
      </c>
      <c r="L34" s="6"/>
      <c r="M34" s="30">
        <f t="shared" si="11"/>
        <v>0</v>
      </c>
      <c r="N34" s="6"/>
      <c r="O34" s="295">
        <f>'(2.2)_Forward_Price_Curve'!U27</f>
        <v>5.8997058877646564</v>
      </c>
      <c r="P34" s="6"/>
      <c r="Q34" s="30"/>
      <c r="R34" s="6"/>
      <c r="S34" s="20">
        <f t="shared" si="4"/>
        <v>22721.058623822963</v>
      </c>
      <c r="T34" s="6"/>
      <c r="U34" s="20">
        <f t="shared" si="0"/>
        <v>27886.395517494831</v>
      </c>
      <c r="V34" s="6"/>
      <c r="W34" s="20">
        <f t="shared" si="1"/>
        <v>-5165.3368936718689</v>
      </c>
      <c r="X34" s="6"/>
      <c r="Y34" s="296">
        <f t="shared" si="5"/>
        <v>-15.845320777556848</v>
      </c>
      <c r="Z34" s="255"/>
      <c r="AB34" s="154">
        <f>+IF(AB33&gt;$G$13+$G$14,XX,AB33+1)</f>
        <v>2015</v>
      </c>
      <c r="AC34" s="124"/>
      <c r="AD34" s="159">
        <f t="shared" si="2"/>
        <v>325985</v>
      </c>
      <c r="AE34" s="3"/>
      <c r="AF34" s="162">
        <f t="shared" si="12"/>
        <v>115.30087068227338</v>
      </c>
      <c r="AG34" s="3"/>
      <c r="AH34" s="162">
        <f t="shared" si="13"/>
        <v>8.6654439822846836</v>
      </c>
      <c r="AI34" s="3"/>
      <c r="AJ34" s="162">
        <f t="shared" si="14"/>
        <v>3.2621758677889177</v>
      </c>
      <c r="AK34" s="3"/>
      <c r="AL34" s="161">
        <f t="shared" si="6"/>
        <v>10490.160348389909</v>
      </c>
      <c r="AM34" s="3"/>
      <c r="AN34" s="162">
        <f>INDEX('(2.2)_Forward_Price_Curve'!$L:$L,MATCH($AB34,'(2.2)_Forward_Price_Curve'!$C:$C,0),1)</f>
        <v>9.3330180370833329</v>
      </c>
      <c r="AO34" s="3"/>
      <c r="AP34" s="162">
        <f t="shared" si="18"/>
        <v>67.920802732294405</v>
      </c>
      <c r="AQ34" s="3"/>
      <c r="AR34" s="162">
        <f t="shared" si="15"/>
        <v>2.6318167800816417</v>
      </c>
      <c r="AS34" s="162"/>
      <c r="AT34" s="161">
        <f t="shared" si="7"/>
        <v>4887.2998457529284</v>
      </c>
      <c r="AU34" s="3"/>
      <c r="AV34" s="161">
        <f t="shared" si="3"/>
        <v>22999.095671741903</v>
      </c>
      <c r="AW34" s="299"/>
      <c r="AX34" s="163">
        <f t="shared" si="8"/>
        <v>27886.395517494831</v>
      </c>
      <c r="AZ34" s="154">
        <f>+IF(AZ33&gt;$G$13+$G$14,XX,AZ33+1)</f>
        <v>2015</v>
      </c>
      <c r="BA34" s="124"/>
      <c r="BB34" s="162">
        <f t="shared" si="16"/>
        <v>73.603470893524616</v>
      </c>
      <c r="BC34" s="3"/>
      <c r="BD34" s="162">
        <f t="shared" si="17"/>
        <v>4.846590019607345</v>
      </c>
      <c r="BE34" s="3"/>
      <c r="BF34" s="161">
        <f t="shared" si="9"/>
        <v>5602.8605026369805</v>
      </c>
      <c r="BG34" s="3"/>
      <c r="BH34" s="165"/>
    </row>
    <row r="35" spans="2:60" ht="12">
      <c r="B35" s="2"/>
      <c r="C35" s="6">
        <f>+IF(C34&gt;$G$13+$G$14,XX,C34+1)</f>
        <v>2016</v>
      </c>
      <c r="D35" s="6"/>
      <c r="E35" s="292">
        <f>+INDEX('(2.2)_Forward_Price_Curve'!$R:$R,MATCH($C35,'(2.2)_Forward_Price_Curve'!C:C,0))</f>
        <v>0.02</v>
      </c>
      <c r="F35" s="6"/>
      <c r="G35" s="20">
        <v>327004</v>
      </c>
      <c r="H35" s="6"/>
      <c r="I35" s="30">
        <f t="shared" si="10"/>
        <v>0</v>
      </c>
      <c r="J35" s="6"/>
      <c r="K35" s="30">
        <v>63.8</v>
      </c>
      <c r="L35" s="6"/>
      <c r="M35" s="30">
        <f t="shared" si="11"/>
        <v>0</v>
      </c>
      <c r="N35" s="6"/>
      <c r="O35" s="295">
        <f>'(2.2)_Forward_Price_Curve'!U28</f>
        <v>6.0059005937444203</v>
      </c>
      <c r="P35" s="6"/>
      <c r="Q35" s="30"/>
      <c r="R35" s="6"/>
      <c r="S35" s="20">
        <f t="shared" si="4"/>
        <v>22826.808717756798</v>
      </c>
      <c r="T35" s="6"/>
      <c r="U35" s="20">
        <f t="shared" si="0"/>
        <v>27175.060963688462</v>
      </c>
      <c r="V35" s="6"/>
      <c r="W35" s="20">
        <f t="shared" si="1"/>
        <v>-4348.2522459316642</v>
      </c>
      <c r="X35" s="6"/>
      <c r="Y35" s="296">
        <f t="shared" si="5"/>
        <v>-13.297244822484325</v>
      </c>
      <c r="Z35" s="255"/>
      <c r="AB35" s="154">
        <f>+IF(AB34&gt;$G$13+$G$14,XX,AB34+1)</f>
        <v>2016</v>
      </c>
      <c r="AC35" s="124"/>
      <c r="AD35" s="159">
        <f t="shared" si="2"/>
        <v>327004</v>
      </c>
      <c r="AE35" s="3"/>
      <c r="AF35" s="162">
        <f t="shared" si="12"/>
        <v>117.60688809591885</v>
      </c>
      <c r="AG35" s="3"/>
      <c r="AH35" s="162">
        <f t="shared" si="13"/>
        <v>8.8387528619303772</v>
      </c>
      <c r="AI35" s="3"/>
      <c r="AJ35" s="162">
        <f t="shared" si="14"/>
        <v>3.327419385144696</v>
      </c>
      <c r="AK35" s="3"/>
      <c r="AL35" s="161">
        <f t="shared" si="6"/>
        <v>10703.354195711167</v>
      </c>
      <c r="AM35" s="3"/>
      <c r="AN35" s="162">
        <f>INDEX('(2.2)_Forward_Price_Curve'!$L:$L,MATCH($AB35,'(2.2)_Forward_Price_Curve'!$C:$C,0),1)</f>
        <v>8.9541666666666657</v>
      </c>
      <c r="AO35" s="3"/>
      <c r="AP35" s="162">
        <f t="shared" si="18"/>
        <v>65.163721465260735</v>
      </c>
      <c r="AQ35" s="3"/>
      <c r="AR35" s="162">
        <f t="shared" si="15"/>
        <v>2.6844531156832745</v>
      </c>
      <c r="AS35" s="162"/>
      <c r="AT35" s="161">
        <f t="shared" si="7"/>
        <v>4988.4364830214454</v>
      </c>
      <c r="AU35" s="3"/>
      <c r="AV35" s="161">
        <f t="shared" si="3"/>
        <v>22186.624480667015</v>
      </c>
      <c r="AW35" s="299"/>
      <c r="AX35" s="163">
        <f t="shared" si="8"/>
        <v>27175.060963688462</v>
      </c>
      <c r="AZ35" s="154">
        <f>+IF(AZ34&gt;$G$13+$G$14,XX,AZ34+1)</f>
        <v>2016</v>
      </c>
      <c r="BA35" s="124"/>
      <c r="BB35" s="162">
        <f t="shared" si="16"/>
        <v>75.075540311395116</v>
      </c>
      <c r="BC35" s="3"/>
      <c r="BD35" s="162">
        <f t="shared" si="17"/>
        <v>4.9435218199994919</v>
      </c>
      <c r="BE35" s="3"/>
      <c r="BF35" s="161">
        <f t="shared" si="9"/>
        <v>5714.9177126897212</v>
      </c>
      <c r="BG35" s="3"/>
      <c r="BH35" s="165"/>
    </row>
    <row r="36" spans="2:60" ht="12">
      <c r="B36" s="2"/>
      <c r="C36" s="6">
        <f>+IF(C35&gt;$G$13+$G$14,XX,C35+1)</f>
        <v>2017</v>
      </c>
      <c r="D36" s="6"/>
      <c r="E36" s="292">
        <f>+INDEX('(2.2)_Forward_Price_Curve'!$R:$R,MATCH($C36,'(2.2)_Forward_Price_Curve'!C:C,0))</f>
        <v>1.9E-2</v>
      </c>
      <c r="F36" s="6"/>
      <c r="G36" s="20">
        <v>325985</v>
      </c>
      <c r="H36" s="6"/>
      <c r="I36" s="30">
        <f t="shared" si="10"/>
        <v>0</v>
      </c>
      <c r="J36" s="6"/>
      <c r="K36" s="30">
        <v>63.8</v>
      </c>
      <c r="L36" s="6"/>
      <c r="M36" s="30">
        <f t="shared" si="11"/>
        <v>0</v>
      </c>
      <c r="N36" s="6"/>
      <c r="O36" s="295">
        <f>'(2.2)_Forward_Price_Curve'!U29</f>
        <v>6.1140068044318197</v>
      </c>
      <c r="P36" s="6"/>
      <c r="Q36" s="30"/>
      <c r="R36" s="6"/>
      <c r="S36" s="20">
        <f t="shared" si="4"/>
        <v>22790.917508142706</v>
      </c>
      <c r="T36" s="6"/>
      <c r="U36" s="20">
        <f t="shared" si="0"/>
        <v>28845.853090548509</v>
      </c>
      <c r="V36" s="6"/>
      <c r="W36" s="20">
        <f t="shared" si="1"/>
        <v>-6054.9355824058039</v>
      </c>
      <c r="X36" s="6"/>
      <c r="Y36" s="296">
        <f t="shared" si="5"/>
        <v>-18.574276676552</v>
      </c>
      <c r="Z36" s="255"/>
      <c r="AB36" s="154">
        <f>+IF(AB35&gt;$G$13+$G$14,XX,AB35+1)</f>
        <v>2017</v>
      </c>
      <c r="AC36" s="124"/>
      <c r="AD36" s="159">
        <f t="shared" si="2"/>
        <v>325985</v>
      </c>
      <c r="AE36" s="3"/>
      <c r="AF36" s="162">
        <f t="shared" si="12"/>
        <v>119.8414189697413</v>
      </c>
      <c r="AG36" s="3"/>
      <c r="AH36" s="162">
        <f t="shared" si="13"/>
        <v>9.0066891663070532</v>
      </c>
      <c r="AI36" s="3"/>
      <c r="AJ36" s="162">
        <f t="shared" si="14"/>
        <v>3.390640353462445</v>
      </c>
      <c r="AK36" s="3"/>
      <c r="AL36" s="161">
        <f t="shared" si="6"/>
        <v>10903.262862909502</v>
      </c>
      <c r="AM36" s="3"/>
      <c r="AN36" s="162">
        <f>INDEX('(2.2)_Forward_Price_Curve'!$L:$L,MATCH($AB36,'(2.2)_Forward_Price_Curve'!$C:$C,0),1)</f>
        <v>9.6420833333333338</v>
      </c>
      <c r="AO36" s="3"/>
      <c r="AP36" s="162">
        <f t="shared" si="18"/>
        <v>70.170017609474115</v>
      </c>
      <c r="AQ36" s="3"/>
      <c r="AR36" s="162">
        <f t="shared" si="15"/>
        <v>2.7354577248812566</v>
      </c>
      <c r="AS36" s="162"/>
      <c r="AT36" s="161">
        <f t="shared" si="7"/>
        <v>5079.7617136786766</v>
      </c>
      <c r="AU36" s="3"/>
      <c r="AV36" s="161">
        <f t="shared" si="3"/>
        <v>23766.091376869834</v>
      </c>
      <c r="AW36" s="299"/>
      <c r="AX36" s="163">
        <f t="shared" si="8"/>
        <v>28845.853090548509</v>
      </c>
      <c r="AZ36" s="154">
        <f>+IF(AZ35&gt;$G$13+$G$14,XX,AZ35+1)</f>
        <v>2017</v>
      </c>
      <c r="BA36" s="124"/>
      <c r="BB36" s="162">
        <f t="shared" si="16"/>
        <v>76.501975577311612</v>
      </c>
      <c r="BC36" s="3"/>
      <c r="BD36" s="162">
        <f t="shared" si="17"/>
        <v>5.0374487345794821</v>
      </c>
      <c r="BE36" s="3"/>
      <c r="BF36" s="161">
        <f t="shared" si="9"/>
        <v>5823.5011492308249</v>
      </c>
      <c r="BG36" s="3"/>
      <c r="BH36" s="165"/>
    </row>
    <row r="37" spans="2:60" ht="12">
      <c r="B37" s="2"/>
      <c r="C37" s="6">
        <f>+IF(C36&gt;$G$13+$G$14,XX,C36+1)</f>
        <v>2018</v>
      </c>
      <c r="D37" s="6"/>
      <c r="E37" s="292">
        <f>+INDEX('(2.2)_Forward_Price_Curve'!$R:$R,MATCH($C37,'(2.2)_Forward_Price_Curve'!C:C,0))</f>
        <v>1.9E-2</v>
      </c>
      <c r="F37" s="6"/>
      <c r="G37" s="20">
        <v>325985</v>
      </c>
      <c r="H37" s="6"/>
      <c r="I37" s="30">
        <f t="shared" si="10"/>
        <v>0</v>
      </c>
      <c r="J37" s="6"/>
      <c r="K37" s="30">
        <v>63.8</v>
      </c>
      <c r="L37" s="6"/>
      <c r="M37" s="30">
        <f t="shared" si="11"/>
        <v>0</v>
      </c>
      <c r="N37" s="6"/>
      <c r="O37" s="295">
        <f>'(2.2)_Forward_Price_Curve'!U30</f>
        <v>6.2240589269115922</v>
      </c>
      <c r="P37" s="6"/>
      <c r="Q37" s="30"/>
      <c r="R37" s="6"/>
      <c r="S37" s="20">
        <f t="shared" si="4"/>
        <v>22826.792849289275</v>
      </c>
      <c r="T37" s="6"/>
      <c r="U37" s="20">
        <f t="shared" si="0"/>
        <v>32907.292995200951</v>
      </c>
      <c r="V37" s="6"/>
      <c r="W37" s="20">
        <f t="shared" si="1"/>
        <v>-10080.500145911676</v>
      </c>
      <c r="X37" s="6"/>
      <c r="Y37" s="296">
        <f t="shared" si="5"/>
        <v>-30.923202435423946</v>
      </c>
      <c r="Z37" s="255"/>
      <c r="AB37" s="154">
        <f>+IF(AB36&gt;$G$13+$G$14,XX,AB36+1)</f>
        <v>2018</v>
      </c>
      <c r="AC37" s="124"/>
      <c r="AD37" s="159">
        <f t="shared" si="2"/>
        <v>325985</v>
      </c>
      <c r="AE37" s="3"/>
      <c r="AF37" s="162">
        <f t="shared" si="12"/>
        <v>122.11840593016638</v>
      </c>
      <c r="AG37" s="3"/>
      <c r="AH37" s="162">
        <f t="shared" si="13"/>
        <v>9.1778162604668871</v>
      </c>
      <c r="AI37" s="3"/>
      <c r="AJ37" s="162">
        <f t="shared" si="14"/>
        <v>3.455062520178231</v>
      </c>
      <c r="AK37" s="3"/>
      <c r="AL37" s="161">
        <f t="shared" si="6"/>
        <v>11110.424857304783</v>
      </c>
      <c r="AM37" s="3"/>
      <c r="AN37" s="162">
        <f>INDEX('(2.2)_Forward_Price_Curve'!$L:$L,MATCH($AB37,'(2.2)_Forward_Price_Curve'!$C:$C,0),1)</f>
        <v>11.30625</v>
      </c>
      <c r="AO37" s="3"/>
      <c r="AP37" s="162">
        <f t="shared" si="18"/>
        <v>82.280948439267121</v>
      </c>
      <c r="AQ37" s="3"/>
      <c r="AR37" s="162">
        <f t="shared" si="15"/>
        <v>2.7874314216540004</v>
      </c>
      <c r="AS37" s="162"/>
      <c r="AT37" s="161">
        <f t="shared" si="7"/>
        <v>5176.2771862385725</v>
      </c>
      <c r="AU37" s="3"/>
      <c r="AV37" s="161">
        <f t="shared" si="3"/>
        <v>27731.015808962376</v>
      </c>
      <c r="AW37" s="299"/>
      <c r="AX37" s="163">
        <f t="shared" si="8"/>
        <v>32907.292995200951</v>
      </c>
      <c r="AZ37" s="154">
        <f>+IF(AZ36&gt;$G$13+$G$14,XX,AZ36+1)</f>
        <v>2018</v>
      </c>
      <c r="BA37" s="124"/>
      <c r="BB37" s="162">
        <f t="shared" si="16"/>
        <v>77.955513113280531</v>
      </c>
      <c r="BC37" s="3"/>
      <c r="BD37" s="162">
        <f t="shared" si="17"/>
        <v>5.1331602605364921</v>
      </c>
      <c r="BE37" s="3"/>
      <c r="BF37" s="161">
        <f t="shared" si="9"/>
        <v>5934.14767106621</v>
      </c>
      <c r="BG37" s="3"/>
      <c r="BH37" s="165"/>
    </row>
    <row r="38" spans="2:60" ht="12">
      <c r="B38" s="2"/>
      <c r="C38" s="6">
        <f>+IF(C37&gt;$G$13+$G$14,XX,C37+1)</f>
        <v>2019</v>
      </c>
      <c r="D38" s="6"/>
      <c r="E38" s="292">
        <f>+INDEX('(2.2)_Forward_Price_Curve'!$R:$R,MATCH($C38,'(2.2)_Forward_Price_Curve'!C:C,0))</f>
        <v>1.9E-2</v>
      </c>
      <c r="F38" s="6"/>
      <c r="G38" s="20">
        <v>325985</v>
      </c>
      <c r="H38" s="6"/>
      <c r="I38" s="30">
        <f t="shared" si="10"/>
        <v>0</v>
      </c>
      <c r="J38" s="6"/>
      <c r="K38" s="30">
        <v>63.8</v>
      </c>
      <c r="L38" s="6"/>
      <c r="M38" s="30">
        <f t="shared" si="11"/>
        <v>0</v>
      </c>
      <c r="N38" s="6"/>
      <c r="O38" s="295">
        <f>'(2.2)_Forward_Price_Curve'!U31</f>
        <v>6.3360919875960011</v>
      </c>
      <c r="P38" s="6"/>
      <c r="Q38" s="30"/>
      <c r="R38" s="6"/>
      <c r="S38" s="20">
        <f t="shared" si="4"/>
        <v>22863.313946576483</v>
      </c>
      <c r="T38" s="6"/>
      <c r="U38" s="20">
        <f t="shared" si="0"/>
        <v>34080.578452902409</v>
      </c>
      <c r="V38" s="6"/>
      <c r="W38" s="20">
        <f t="shared" si="1"/>
        <v>-11217.264506325926</v>
      </c>
      <c r="X38" s="6"/>
      <c r="Y38" s="296">
        <f t="shared" si="5"/>
        <v>-34.410370128459675</v>
      </c>
      <c r="Z38" s="255"/>
      <c r="AB38" s="154">
        <f>+IF(AB37&gt;$G$13+$G$14,XX,AB37+1)</f>
        <v>2019</v>
      </c>
      <c r="AC38" s="124"/>
      <c r="AD38" s="159">
        <f t="shared" si="2"/>
        <v>325985</v>
      </c>
      <c r="AE38" s="3"/>
      <c r="AF38" s="162">
        <f t="shared" si="12"/>
        <v>124.43865564283952</v>
      </c>
      <c r="AG38" s="3"/>
      <c r="AH38" s="162">
        <f t="shared" si="13"/>
        <v>9.3521947694157568</v>
      </c>
      <c r="AI38" s="3"/>
      <c r="AJ38" s="162">
        <f t="shared" si="14"/>
        <v>3.5207087080616173</v>
      </c>
      <c r="AK38" s="3"/>
      <c r="AL38" s="161">
        <f t="shared" si="6"/>
        <v>11321.52292959357</v>
      </c>
      <c r="AM38" s="3"/>
      <c r="AN38" s="162">
        <f>INDEX('(2.2)_Forward_Price_Curve'!$L:$L,MATCH($AB38,'(2.2)_Forward_Price_Curve'!$C:$C,0),1)</f>
        <v>11.752083333333331</v>
      </c>
      <c r="AO38" s="3"/>
      <c r="AP38" s="162">
        <f t="shared" si="18"/>
        <v>85.525489247448988</v>
      </c>
      <c r="AQ38" s="3"/>
      <c r="AR38" s="162">
        <f t="shared" si="15"/>
        <v>2.840392618665426</v>
      </c>
      <c r="AS38" s="162"/>
      <c r="AT38" s="161">
        <f t="shared" si="7"/>
        <v>5274.6264527771018</v>
      </c>
      <c r="AU38" s="3"/>
      <c r="AV38" s="161">
        <f t="shared" si="3"/>
        <v>28805.952000125311</v>
      </c>
      <c r="AW38" s="299"/>
      <c r="AX38" s="163">
        <f t="shared" si="8"/>
        <v>34080.578452902409</v>
      </c>
      <c r="AZ38" s="154">
        <f>+IF(AZ37&gt;$G$13+$G$14,XX,AZ37+1)</f>
        <v>2019</v>
      </c>
      <c r="BA38" s="124"/>
      <c r="BB38" s="162">
        <f t="shared" si="16"/>
        <v>79.436667862432856</v>
      </c>
      <c r="BC38" s="3"/>
      <c r="BD38" s="162">
        <f t="shared" si="17"/>
        <v>5.2306903054866849</v>
      </c>
      <c r="BE38" s="3"/>
      <c r="BF38" s="161">
        <f t="shared" si="9"/>
        <v>6046.8964768164678</v>
      </c>
      <c r="BG38" s="3"/>
      <c r="BH38" s="165"/>
    </row>
    <row r="39" spans="2:60" ht="12">
      <c r="B39" s="2"/>
      <c r="C39" s="6">
        <f>+IF(C38&gt;$G$13+$G$14,XX,C38+1)</f>
        <v>2020</v>
      </c>
      <c r="D39" s="6"/>
      <c r="E39" s="292">
        <f>+INDEX('(2.2)_Forward_Price_Curve'!$R:$R,MATCH($C39,'(2.2)_Forward_Price_Curve'!C:C,0))</f>
        <v>1.9E-2</v>
      </c>
      <c r="F39" s="6"/>
      <c r="G39" s="20">
        <v>327004</v>
      </c>
      <c r="H39" s="6"/>
      <c r="I39" s="30">
        <f t="shared" si="10"/>
        <v>0</v>
      </c>
      <c r="J39" s="6"/>
      <c r="K39" s="30">
        <v>63.8</v>
      </c>
      <c r="L39" s="6"/>
      <c r="M39" s="30">
        <f t="shared" si="11"/>
        <v>0</v>
      </c>
      <c r="N39" s="6"/>
      <c r="O39" s="295">
        <f>'(2.2)_Forward_Price_Curve'!U32</f>
        <v>6.4501416433727297</v>
      </c>
      <c r="P39" s="6"/>
      <c r="Q39" s="30"/>
      <c r="R39" s="6"/>
      <c r="S39" s="20">
        <f t="shared" si="4"/>
        <v>22972.077317949454</v>
      </c>
      <c r="T39" s="6"/>
      <c r="U39" s="20">
        <f t="shared" si="0"/>
        <v>33629.777067970746</v>
      </c>
      <c r="V39" s="6"/>
      <c r="W39" s="20">
        <f t="shared" si="1"/>
        <v>-10657.699750021293</v>
      </c>
      <c r="X39" s="6"/>
      <c r="Y39" s="296">
        <f t="shared" si="5"/>
        <v>-32.591955297248028</v>
      </c>
      <c r="Z39" s="255"/>
      <c r="AB39" s="154">
        <f>+IF(AB38&gt;$G$13+$G$14,XX,AB38+1)</f>
        <v>2020</v>
      </c>
      <c r="AC39" s="124"/>
      <c r="AD39" s="159">
        <f t="shared" si="2"/>
        <v>327004</v>
      </c>
      <c r="AE39" s="3"/>
      <c r="AF39" s="162">
        <f t="shared" si="12"/>
        <v>126.80299010005346</v>
      </c>
      <c r="AG39" s="3"/>
      <c r="AH39" s="162">
        <f t="shared" si="13"/>
        <v>9.5298864700346559</v>
      </c>
      <c r="AI39" s="3"/>
      <c r="AJ39" s="162">
        <f t="shared" si="14"/>
        <v>3.5876021735147878</v>
      </c>
      <c r="AK39" s="3"/>
      <c r="AL39" s="161">
        <f t="shared" si="6"/>
        <v>11540.28763187066</v>
      </c>
      <c r="AM39" s="3"/>
      <c r="AN39" s="162">
        <f>INDEX('(2.2)_Forward_Price_Curve'!$L:$L,MATCH($AB39,'(2.2)_Forward_Price_Curve'!$C:$C,0),1)</f>
        <v>11.473750000000003</v>
      </c>
      <c r="AO39" s="3"/>
      <c r="AP39" s="162">
        <f t="shared" si="18"/>
        <v>83.4999254531822</v>
      </c>
      <c r="AQ39" s="3"/>
      <c r="AR39" s="162">
        <f t="shared" si="15"/>
        <v>2.8943600784200689</v>
      </c>
      <c r="AS39" s="162"/>
      <c r="AT39" s="161">
        <f t="shared" si="7"/>
        <v>5378.5001219946798</v>
      </c>
      <c r="AU39" s="3"/>
      <c r="AV39" s="161">
        <f t="shared" si="3"/>
        <v>28251.276945976068</v>
      </c>
      <c r="AW39" s="299"/>
      <c r="AX39" s="163">
        <f t="shared" si="8"/>
        <v>33629.777067970746</v>
      </c>
      <c r="AZ39" s="154">
        <f>+IF(AZ38&gt;$G$13+$G$14,XX,AZ38+1)</f>
        <v>2020</v>
      </c>
      <c r="BA39" s="124"/>
      <c r="BB39" s="162">
        <f t="shared" si="16"/>
        <v>80.945964551819074</v>
      </c>
      <c r="BC39" s="3"/>
      <c r="BD39" s="162">
        <f t="shared" si="17"/>
        <v>5.3300734212909315</v>
      </c>
      <c r="BE39" s="3"/>
      <c r="BF39" s="161">
        <f t="shared" si="9"/>
        <v>6161.7875098759805</v>
      </c>
      <c r="BG39" s="3"/>
      <c r="BH39" s="165"/>
    </row>
    <row r="40" spans="2:60" ht="12">
      <c r="B40" s="2"/>
      <c r="C40" s="6">
        <f>+IF(C39&gt;$G$13+$G$14,XX,C39+1)</f>
        <v>2021</v>
      </c>
      <c r="D40" s="6"/>
      <c r="E40" s="292">
        <f>+INDEX('(2.2)_Forward_Price_Curve'!$R:$R,MATCH($C40,'(2.2)_Forward_Price_Curve'!C:C,0))</f>
        <v>1.7999999999999999E-2</v>
      </c>
      <c r="F40" s="6"/>
      <c r="G40" s="20">
        <v>325985</v>
      </c>
      <c r="H40" s="6"/>
      <c r="I40" s="30">
        <f t="shared" si="10"/>
        <v>0</v>
      </c>
      <c r="J40" s="6"/>
      <c r="K40" s="30">
        <v>63.8</v>
      </c>
      <c r="L40" s="6"/>
      <c r="M40" s="30">
        <f t="shared" si="11"/>
        <v>0</v>
      </c>
      <c r="N40" s="6"/>
      <c r="O40" s="295">
        <f>'(2.2)_Forward_Price_Curve'!U33</f>
        <v>6.5662441929534392</v>
      </c>
      <c r="P40" s="6"/>
      <c r="Q40" s="30"/>
      <c r="R40" s="6"/>
      <c r="S40" s="20">
        <f t="shared" si="4"/>
        <v>22938.340113239927</v>
      </c>
      <c r="T40" s="6"/>
      <c r="U40" s="20">
        <f t="shared" si="0"/>
        <v>34169.778604133884</v>
      </c>
      <c r="V40" s="6"/>
      <c r="W40" s="20">
        <f t="shared" si="1"/>
        <v>-11231.438490893957</v>
      </c>
      <c r="X40" s="6"/>
      <c r="Y40" s="296">
        <f t="shared" si="5"/>
        <v>-34.453850609365333</v>
      </c>
      <c r="Z40" s="255"/>
      <c r="AB40" s="154">
        <f>+IF(AB39&gt;$G$13+$G$14,XX,AB39+1)</f>
        <v>2021</v>
      </c>
      <c r="AC40" s="124"/>
      <c r="AD40" s="159">
        <f t="shared" si="2"/>
        <v>325985</v>
      </c>
      <c r="AE40" s="3"/>
      <c r="AF40" s="162">
        <f t="shared" si="12"/>
        <v>129.08544392185442</v>
      </c>
      <c r="AG40" s="3"/>
      <c r="AH40" s="162">
        <f t="shared" si="13"/>
        <v>9.7014244264952794</v>
      </c>
      <c r="AI40" s="3"/>
      <c r="AJ40" s="162">
        <f t="shared" si="14"/>
        <v>3.652179012638054</v>
      </c>
      <c r="AK40" s="3"/>
      <c r="AL40" s="161">
        <f t="shared" si="6"/>
        <v>11744.29123883045</v>
      </c>
      <c r="AM40" s="3"/>
      <c r="AN40" s="162">
        <f>INDEX('(2.2)_Forward_Price_Curve'!$L:$L,MATCH($AB40,'(2.2)_Forward_Price_Curve'!$C:$C,0),1)</f>
        <v>11.692083333333334</v>
      </c>
      <c r="AO40" s="3"/>
      <c r="AP40" s="162">
        <f t="shared" si="18"/>
        <v>85.088840764852577</v>
      </c>
      <c r="AQ40" s="3"/>
      <c r="AR40" s="162">
        <f t="shared" si="15"/>
        <v>2.9464585598316302</v>
      </c>
      <c r="AS40" s="162"/>
      <c r="AT40" s="161">
        <f t="shared" si="7"/>
        <v>5471.5915537767014</v>
      </c>
      <c r="AU40" s="3"/>
      <c r="AV40" s="161">
        <f t="shared" si="3"/>
        <v>28698.187050357181</v>
      </c>
      <c r="AW40" s="299"/>
      <c r="AX40" s="163">
        <f t="shared" si="8"/>
        <v>34169.778604133884</v>
      </c>
      <c r="AZ40" s="154">
        <f>+IF(AZ39&gt;$G$13+$G$14,XX,AZ39+1)</f>
        <v>2021</v>
      </c>
      <c r="BA40" s="124"/>
      <c r="BB40" s="162">
        <f t="shared" si="16"/>
        <v>82.402991913751819</v>
      </c>
      <c r="BC40" s="3"/>
      <c r="BD40" s="162">
        <f t="shared" si="17"/>
        <v>5.4260147428741687</v>
      </c>
      <c r="BE40" s="3"/>
      <c r="BF40" s="161">
        <f t="shared" si="9"/>
        <v>6272.6996850537489</v>
      </c>
      <c r="BG40" s="3"/>
      <c r="BH40" s="165"/>
    </row>
    <row r="41" spans="2:60" ht="12">
      <c r="B41" s="2"/>
      <c r="C41" s="6">
        <f>+IF(C40&gt;$G$13+$G$14,XX,C40+1)</f>
        <v>2022</v>
      </c>
      <c r="D41" s="6"/>
      <c r="E41" s="292">
        <f>+INDEX('(2.2)_Forward_Price_Curve'!$R:$R,MATCH($C41,'(2.2)_Forward_Price_Curve'!C:C,0))</f>
        <v>1.7999999999999999E-2</v>
      </c>
      <c r="F41" s="6"/>
      <c r="G41" s="20">
        <v>325985</v>
      </c>
      <c r="H41" s="6"/>
      <c r="I41" s="30">
        <f t="shared" si="10"/>
        <v>0</v>
      </c>
      <c r="J41" s="6"/>
      <c r="K41" s="30">
        <v>63.8</v>
      </c>
      <c r="L41" s="6"/>
      <c r="M41" s="30">
        <f t="shared" si="11"/>
        <v>0</v>
      </c>
      <c r="N41" s="6"/>
      <c r="O41" s="295">
        <f>'(2.2)_Forward_Price_Curve'!U34</f>
        <v>6.6910028326195539</v>
      </c>
      <c r="P41" s="6"/>
      <c r="Q41" s="30"/>
      <c r="R41" s="6"/>
      <c r="S41" s="20">
        <f t="shared" si="4"/>
        <v>22979.009558391484</v>
      </c>
      <c r="T41" s="6"/>
      <c r="U41" s="20">
        <f t="shared" si="0"/>
        <v>34809.449702245314</v>
      </c>
      <c r="V41" s="6"/>
      <c r="W41" s="20">
        <f t="shared" si="1"/>
        <v>-11830.44014385383</v>
      </c>
      <c r="X41" s="6"/>
      <c r="Y41" s="296">
        <f t="shared" si="5"/>
        <v>-36.291363540818843</v>
      </c>
      <c r="Z41" s="255"/>
      <c r="AB41" s="154">
        <f>+IF(AB40&gt;$G$13+$G$14,XX,AB40+1)</f>
        <v>2022</v>
      </c>
      <c r="AC41" s="124"/>
      <c r="AD41" s="159">
        <f t="shared" si="2"/>
        <v>325985</v>
      </c>
      <c r="AE41" s="3"/>
      <c r="AF41" s="162">
        <f t="shared" si="12"/>
        <v>131.40898191244781</v>
      </c>
      <c r="AG41" s="3"/>
      <c r="AH41" s="162">
        <f t="shared" si="13"/>
        <v>9.8760500661721942</v>
      </c>
      <c r="AI41" s="3"/>
      <c r="AJ41" s="162">
        <f t="shared" si="14"/>
        <v>3.7179182348655391</v>
      </c>
      <c r="AK41" s="3"/>
      <c r="AL41" s="161">
        <f t="shared" si="6"/>
        <v>11955.6884811294</v>
      </c>
      <c r="AM41" s="3"/>
      <c r="AN41" s="162">
        <f>INDEX('(2.2)_Forward_Price_Curve'!$L:$L,MATCH($AB41,'(2.2)_Forward_Price_Curve'!$C:$C,0),1)</f>
        <v>11.912916666666668</v>
      </c>
      <c r="AO41" s="3"/>
      <c r="AP41" s="162">
        <f t="shared" si="18"/>
        <v>86.695949763297804</v>
      </c>
      <c r="AQ41" s="3"/>
      <c r="AR41" s="162">
        <f t="shared" si="15"/>
        <v>2.9994948139085995</v>
      </c>
      <c r="AS41" s="162"/>
      <c r="AT41" s="161">
        <f t="shared" si="7"/>
        <v>5570.080201744684</v>
      </c>
      <c r="AU41" s="3"/>
      <c r="AV41" s="161">
        <f t="shared" si="3"/>
        <v>29239.36950050063</v>
      </c>
      <c r="AW41" s="299"/>
      <c r="AX41" s="163">
        <f t="shared" si="8"/>
        <v>34809.449702245314</v>
      </c>
      <c r="AZ41" s="154">
        <f>+IF(AZ40&gt;$G$13+$G$14,XX,AZ40+1)</f>
        <v>2022</v>
      </c>
      <c r="BA41" s="124"/>
      <c r="BB41" s="162">
        <f t="shared" si="16"/>
        <v>83.886245768199359</v>
      </c>
      <c r="BC41" s="3"/>
      <c r="BD41" s="162">
        <f t="shared" si="17"/>
        <v>5.5236830082459036</v>
      </c>
      <c r="BE41" s="3"/>
      <c r="BF41" s="161">
        <f t="shared" si="9"/>
        <v>6385.6082793847163</v>
      </c>
      <c r="BG41" s="3"/>
      <c r="BH41" s="165"/>
    </row>
    <row r="42" spans="2:60" ht="12">
      <c r="B42" s="2"/>
      <c r="C42" s="6">
        <f>+IF(C41&gt;$G$13+$G$14,XX,C41+1)</f>
        <v>2023</v>
      </c>
      <c r="D42" s="6"/>
      <c r="E42" s="292">
        <f>+INDEX('(2.2)_Forward_Price_Curve'!$R:$R,MATCH($C42,'(2.2)_Forward_Price_Curve'!C:C,0))</f>
        <v>1.9E-2</v>
      </c>
      <c r="F42" s="6"/>
      <c r="G42" s="20">
        <v>325985</v>
      </c>
      <c r="H42" s="6"/>
      <c r="I42" s="30">
        <f t="shared" si="10"/>
        <v>0</v>
      </c>
      <c r="J42" s="6"/>
      <c r="K42" s="30">
        <v>63.8</v>
      </c>
      <c r="L42" s="6"/>
      <c r="M42" s="30">
        <f t="shared" si="11"/>
        <v>0</v>
      </c>
      <c r="N42" s="6"/>
      <c r="O42" s="295">
        <f>'(2.2)_Forward_Price_Curve'!U35</f>
        <v>6.8181318864393248</v>
      </c>
      <c r="P42" s="6"/>
      <c r="Q42" s="30"/>
      <c r="R42" s="6"/>
      <c r="S42" s="20">
        <f t="shared" si="4"/>
        <v>23020.451723000926</v>
      </c>
      <c r="T42" s="6"/>
      <c r="U42" s="20">
        <f t="shared" si="0"/>
        <v>35470.602885088447</v>
      </c>
      <c r="V42" s="6"/>
      <c r="W42" s="20">
        <f t="shared" si="1"/>
        <v>-12450.151162087521</v>
      </c>
      <c r="X42" s="6"/>
      <c r="Y42" s="296">
        <f t="shared" si="5"/>
        <v>-38.192405055715817</v>
      </c>
      <c r="Z42" s="255"/>
      <c r="AB42" s="154">
        <f>+IF(AB41&gt;$G$13+$G$14,XX,AB41+1)</f>
        <v>2023</v>
      </c>
      <c r="AC42" s="124"/>
      <c r="AD42" s="159">
        <f t="shared" si="2"/>
        <v>325985</v>
      </c>
      <c r="AE42" s="3"/>
      <c r="AF42" s="162">
        <f t="shared" si="12"/>
        <v>133.90575256878432</v>
      </c>
      <c r="AG42" s="3"/>
      <c r="AH42" s="162">
        <f t="shared" si="13"/>
        <v>10.063695017429465</v>
      </c>
      <c r="AI42" s="3"/>
      <c r="AJ42" s="162">
        <f t="shared" si="14"/>
        <v>3.7885586813279839</v>
      </c>
      <c r="AK42" s="3"/>
      <c r="AL42" s="161">
        <f t="shared" si="6"/>
        <v>12182.846562270861</v>
      </c>
      <c r="AM42" s="3"/>
      <c r="AN42" s="162">
        <f>INDEX('(2.2)_Forward_Price_Curve'!$L:$L,MATCH($AB42,'(2.2)_Forward_Price_Curve'!$C:$C,0),1)</f>
        <v>12.139166666666668</v>
      </c>
      <c r="AO42" s="3"/>
      <c r="AP42" s="162">
        <f t="shared" si="18"/>
        <v>88.342478416421898</v>
      </c>
      <c r="AQ42" s="3"/>
      <c r="AR42" s="162">
        <f t="shared" si="15"/>
        <v>3.0564852153728626</v>
      </c>
      <c r="AS42" s="162"/>
      <c r="AT42" s="161">
        <f t="shared" si="7"/>
        <v>5675.9117255778356</v>
      </c>
      <c r="AU42" s="3"/>
      <c r="AV42" s="161">
        <f t="shared" si="3"/>
        <v>29794.691159510614</v>
      </c>
      <c r="AW42" s="299"/>
      <c r="AX42" s="163">
        <f t="shared" si="8"/>
        <v>35470.602885088447</v>
      </c>
      <c r="AZ42" s="154">
        <f>+IF(AZ41&gt;$G$13+$G$14,XX,AZ41+1)</f>
        <v>2023</v>
      </c>
      <c r="BA42" s="124"/>
      <c r="BB42" s="162">
        <f t="shared" si="16"/>
        <v>85.480084437795142</v>
      </c>
      <c r="BC42" s="3"/>
      <c r="BD42" s="162">
        <f t="shared" si="17"/>
        <v>5.6286329854025752</v>
      </c>
      <c r="BE42" s="3"/>
      <c r="BF42" s="161">
        <f t="shared" si="9"/>
        <v>6506.9348366930253</v>
      </c>
      <c r="BG42" s="3"/>
      <c r="BH42" s="165"/>
    </row>
    <row r="43" spans="2:60" ht="12">
      <c r="B43" s="2"/>
      <c r="C43" s="6">
        <f>+IF(C42&gt;$G$13+$G$14,XX,C42+1)</f>
        <v>2024</v>
      </c>
      <c r="D43" s="6"/>
      <c r="E43" s="292">
        <f>+INDEX('(2.2)_Forward_Price_Curve'!$R:$R,MATCH($C43,'(2.2)_Forward_Price_Curve'!C:C,0))</f>
        <v>1.9E-2</v>
      </c>
      <c r="F43" s="6"/>
      <c r="G43" s="20">
        <v>327004</v>
      </c>
      <c r="H43" s="6"/>
      <c r="I43" s="30">
        <f t="shared" si="10"/>
        <v>0</v>
      </c>
      <c r="J43" s="6"/>
      <c r="K43" s="30">
        <v>63.8</v>
      </c>
      <c r="L43" s="6"/>
      <c r="M43" s="30">
        <f t="shared" si="11"/>
        <v>0</v>
      </c>
      <c r="N43" s="6"/>
      <c r="O43" s="295">
        <f>'(2.2)_Forward_Price_Curve'!U36</f>
        <v>6.9476763922816716</v>
      </c>
      <c r="P43" s="6"/>
      <c r="Q43" s="30"/>
      <c r="R43" s="6"/>
      <c r="S43" s="20">
        <f t="shared" si="4"/>
        <v>23134.773170981676</v>
      </c>
      <c r="T43" s="6"/>
      <c r="U43" s="20">
        <f t="shared" si="0"/>
        <v>36246.808226835266</v>
      </c>
      <c r="V43" s="6"/>
      <c r="W43" s="20">
        <f t="shared" si="1"/>
        <v>-13112.03505585359</v>
      </c>
      <c r="X43" s="6"/>
      <c r="Y43" s="296">
        <f t="shared" si="5"/>
        <v>-40.097476042658776</v>
      </c>
      <c r="Z43" s="255"/>
      <c r="AB43" s="154">
        <f>+IF(AB42&gt;$G$13+$G$14,XX,AB42+1)</f>
        <v>2024</v>
      </c>
      <c r="AC43" s="124"/>
      <c r="AD43" s="159">
        <f t="shared" si="2"/>
        <v>327004</v>
      </c>
      <c r="AE43" s="3"/>
      <c r="AF43" s="162">
        <f t="shared" si="12"/>
        <v>136.44996186759121</v>
      </c>
      <c r="AG43" s="3"/>
      <c r="AH43" s="162">
        <f t="shared" si="13"/>
        <v>10.254905222760623</v>
      </c>
      <c r="AI43" s="3"/>
      <c r="AJ43" s="162">
        <f t="shared" si="14"/>
        <v>3.8605412962732153</v>
      </c>
      <c r="AK43" s="3"/>
      <c r="AL43" s="161">
        <f t="shared" si="6"/>
        <v>12418.254538534909</v>
      </c>
      <c r="AM43" s="3"/>
      <c r="AN43" s="162">
        <f>INDEX('(2.2)_Forward_Price_Curve'!$L:$L,MATCH($AB43,'(2.2)_Forward_Price_Curve'!$C:$C,0),1)</f>
        <v>12.371250000000002</v>
      </c>
      <c r="AO43" s="3"/>
      <c r="AP43" s="162">
        <f t="shared" si="18"/>
        <v>90.031459005353966</v>
      </c>
      <c r="AQ43" s="3"/>
      <c r="AR43" s="162">
        <f t="shared" si="15"/>
        <v>3.1145584344649468</v>
      </c>
      <c r="AS43" s="162"/>
      <c r="AT43" s="161">
        <f t="shared" si="7"/>
        <v>5787.6879399447171</v>
      </c>
      <c r="AU43" s="3"/>
      <c r="AV43" s="161">
        <f t="shared" si="3"/>
        <v>30459.120286890549</v>
      </c>
      <c r="AW43" s="299"/>
      <c r="AX43" s="163">
        <f t="shared" si="8"/>
        <v>36246.808226835266</v>
      </c>
      <c r="AZ43" s="154">
        <f>+IF(AZ42&gt;$G$13+$G$14,XX,AZ42+1)</f>
        <v>2024</v>
      </c>
      <c r="BA43" s="124"/>
      <c r="BB43" s="162">
        <f t="shared" si="16"/>
        <v>87.104206042113248</v>
      </c>
      <c r="BC43" s="3"/>
      <c r="BD43" s="162">
        <f t="shared" si="17"/>
        <v>5.7355770121252236</v>
      </c>
      <c r="BE43" s="3"/>
      <c r="BF43" s="161">
        <f t="shared" si="9"/>
        <v>6630.5665985901924</v>
      </c>
      <c r="BG43" s="3"/>
      <c r="BH43" s="165"/>
    </row>
    <row r="44" spans="2:60" ht="12">
      <c r="B44" s="2"/>
      <c r="C44" s="6">
        <f>+IF(C43&gt;$G$13+$G$14,XX,C43+1)</f>
        <v>2025</v>
      </c>
      <c r="D44" s="6"/>
      <c r="E44" s="292">
        <f>+INDEX('(2.2)_Forward_Price_Curve'!$R:$R,MATCH($C44,'(2.2)_Forward_Price_Curve'!C:C,0))</f>
        <v>1.9E-2</v>
      </c>
      <c r="F44" s="6"/>
      <c r="G44" s="20">
        <v>325985</v>
      </c>
      <c r="H44" s="6"/>
      <c r="I44" s="30">
        <f t="shared" si="10"/>
        <v>0</v>
      </c>
      <c r="J44" s="6"/>
      <c r="K44" s="30">
        <v>63.8</v>
      </c>
      <c r="L44" s="6"/>
      <c r="M44" s="30">
        <f t="shared" si="11"/>
        <v>0</v>
      </c>
      <c r="N44" s="6"/>
      <c r="O44" s="295">
        <f>'(2.2)_Forward_Price_Curve'!U37</f>
        <v>7.0796822437350224</v>
      </c>
      <c r="P44" s="6"/>
      <c r="Q44" s="30"/>
      <c r="R44" s="6"/>
      <c r="S44" s="20">
        <f t="shared" si="4"/>
        <v>23105.713216223958</v>
      </c>
      <c r="T44" s="6"/>
      <c r="U44" s="20">
        <f t="shared" si="0"/>
        <v>36803.010940881955</v>
      </c>
      <c r="V44" s="6"/>
      <c r="W44" s="20">
        <f t="shared" si="1"/>
        <v>-13697.297724657998</v>
      </c>
      <c r="X44" s="6"/>
      <c r="Y44" s="296">
        <f t="shared" si="5"/>
        <v>-42.018184041161398</v>
      </c>
      <c r="Z44" s="255"/>
      <c r="AB44" s="154">
        <f>+IF(AB43&gt;$G$13+$G$14,XX,AB43+1)</f>
        <v>2025</v>
      </c>
      <c r="AC44" s="124"/>
      <c r="AD44" s="159">
        <f t="shared" si="2"/>
        <v>325985</v>
      </c>
      <c r="AE44" s="3"/>
      <c r="AF44" s="162">
        <f t="shared" si="12"/>
        <v>139.04251114307544</v>
      </c>
      <c r="AG44" s="3"/>
      <c r="AH44" s="162">
        <f t="shared" si="13"/>
        <v>10.449748421993075</v>
      </c>
      <c r="AI44" s="3"/>
      <c r="AJ44" s="162">
        <f t="shared" si="14"/>
        <v>3.9338915809024062</v>
      </c>
      <c r="AK44" s="3"/>
      <c r="AL44" s="161">
        <f t="shared" si="6"/>
        <v>12650.192739246131</v>
      </c>
      <c r="AM44" s="3"/>
      <c r="AN44" s="162">
        <f>INDEX('(2.2)_Forward_Price_Curve'!$L:$L,MATCH($AB44,'(2.2)_Forward_Price_Curve'!$C:$C,0),1)</f>
        <v>12.592916666666667</v>
      </c>
      <c r="AO44" s="3"/>
      <c r="AP44" s="162">
        <f t="shared" si="18"/>
        <v>91.644632566057481</v>
      </c>
      <c r="AQ44" s="3"/>
      <c r="AR44" s="162">
        <f t="shared" si="15"/>
        <v>3.1737350447197805</v>
      </c>
      <c r="AS44" s="162"/>
      <c r="AT44" s="161">
        <f t="shared" si="7"/>
        <v>5893.6453752827265</v>
      </c>
      <c r="AU44" s="3"/>
      <c r="AV44" s="161">
        <f t="shared" si="3"/>
        <v>30909.365565599226</v>
      </c>
      <c r="AW44" s="299"/>
      <c r="AX44" s="163">
        <f t="shared" si="8"/>
        <v>36803.010940881955</v>
      </c>
      <c r="AZ44" s="154">
        <f>+IF(AZ43&gt;$G$13+$G$14,XX,AZ43+1)</f>
        <v>2025</v>
      </c>
      <c r="BA44" s="124"/>
      <c r="BB44" s="162">
        <f t="shared" si="16"/>
        <v>88.759185956913385</v>
      </c>
      <c r="BC44" s="3"/>
      <c r="BD44" s="162">
        <f t="shared" si="17"/>
        <v>5.8445529753556027</v>
      </c>
      <c r="BE44" s="3"/>
      <c r="BF44" s="161">
        <f t="shared" si="9"/>
        <v>6756.5473639634047</v>
      </c>
      <c r="BG44" s="3"/>
      <c r="BH44" s="165"/>
    </row>
    <row r="45" spans="2:60" ht="12">
      <c r="B45" s="2"/>
      <c r="C45" s="6">
        <f>+IF(C44&gt;$G$13+$G$14,XX,C44+1)</f>
        <v>2026</v>
      </c>
      <c r="D45" s="6"/>
      <c r="E45" s="292">
        <f>+INDEX('(2.2)_Forward_Price_Curve'!$R:$R,MATCH($C45,'(2.2)_Forward_Price_Curve'!C:C,0))</f>
        <v>1.9E-2</v>
      </c>
      <c r="F45" s="6"/>
      <c r="G45" s="20">
        <v>325985</v>
      </c>
      <c r="H45" s="6"/>
      <c r="I45" s="30">
        <f t="shared" si="10"/>
        <v>0</v>
      </c>
      <c r="J45" s="6"/>
      <c r="K45" s="30">
        <v>63.8</v>
      </c>
      <c r="L45" s="6"/>
      <c r="M45" s="30">
        <f t="shared" si="11"/>
        <v>0</v>
      </c>
      <c r="N45" s="6"/>
      <c r="O45" s="295">
        <f>'(2.2)_Forward_Price_Curve'!U38</f>
        <v>7.2141962063659868</v>
      </c>
      <c r="P45" s="6"/>
      <c r="Q45" s="30"/>
      <c r="R45" s="6"/>
      <c r="S45" s="20">
        <f t="shared" si="4"/>
        <v>23149.562750332214</v>
      </c>
      <c r="T45" s="6"/>
      <c r="U45" s="20">
        <f t="shared" si="0"/>
        <v>37471.391056353488</v>
      </c>
      <c r="V45" s="6"/>
      <c r="W45" s="20">
        <f t="shared" si="1"/>
        <v>-14321.828306021274</v>
      </c>
      <c r="X45" s="6"/>
      <c r="Y45" s="296">
        <f t="shared" si="5"/>
        <v>-43.934010172312455</v>
      </c>
      <c r="Z45" s="255"/>
      <c r="AB45" s="154">
        <f>+IF(AB44&gt;$G$13+$G$14,XX,AB44+1)</f>
        <v>2026</v>
      </c>
      <c r="AC45" s="124"/>
      <c r="AD45" s="159">
        <f t="shared" si="2"/>
        <v>325985</v>
      </c>
      <c r="AE45" s="3"/>
      <c r="AF45" s="162">
        <f t="shared" si="12"/>
        <v>141.68431885479387</v>
      </c>
      <c r="AG45" s="3"/>
      <c r="AH45" s="162">
        <f t="shared" si="13"/>
        <v>10.648293642010943</v>
      </c>
      <c r="AI45" s="3"/>
      <c r="AJ45" s="162">
        <f t="shared" si="14"/>
        <v>4.0086355209395519</v>
      </c>
      <c r="AK45" s="3"/>
      <c r="AL45" s="161">
        <f t="shared" si="6"/>
        <v>12890.546401291807</v>
      </c>
      <c r="AM45" s="3"/>
      <c r="AN45" s="162">
        <f>INDEX('(2.2)_Forward_Price_Curve'!$L:$L,MATCH($AB45,'(2.2)_Forward_Price_Curve'!$C:$C,0),1)</f>
        <v>12.819166666666668</v>
      </c>
      <c r="AO45" s="3"/>
      <c r="AP45" s="162">
        <f t="shared" si="18"/>
        <v>93.291161219181575</v>
      </c>
      <c r="AQ45" s="3"/>
      <c r="AR45" s="162">
        <f t="shared" si="15"/>
        <v>3.2340360105694561</v>
      </c>
      <c r="AS45" s="162"/>
      <c r="AT45" s="161">
        <f t="shared" si="7"/>
        <v>6005.6246374130969</v>
      </c>
      <c r="AU45" s="3"/>
      <c r="AV45" s="161">
        <f t="shared" si="3"/>
        <v>31465.766418940388</v>
      </c>
      <c r="AW45" s="299"/>
      <c r="AX45" s="163">
        <f t="shared" si="8"/>
        <v>37471.391056353488</v>
      </c>
      <c r="AZ45" s="154">
        <f>+IF(AZ44&gt;$G$13+$G$14,XX,AZ44+1)</f>
        <v>2026</v>
      </c>
      <c r="BA45" s="124"/>
      <c r="BB45" s="162">
        <f t="shared" si="16"/>
        <v>90.445610490094737</v>
      </c>
      <c r="BC45" s="3"/>
      <c r="BD45" s="162">
        <f t="shared" si="17"/>
        <v>5.9555994818873588</v>
      </c>
      <c r="BE45" s="3"/>
      <c r="BF45" s="161">
        <f t="shared" si="9"/>
        <v>6884.9217638787104</v>
      </c>
      <c r="BG45" s="3"/>
      <c r="BH45" s="165"/>
    </row>
    <row r="46" spans="2:60" ht="12">
      <c r="B46" s="2"/>
      <c r="C46" s="6">
        <f>+IF(C45&gt;$G$13+$G$14,XX,C45+1)</f>
        <v>2027</v>
      </c>
      <c r="D46" s="6"/>
      <c r="E46" s="292">
        <f>+INDEX('(2.2)_Forward_Price_Curve'!$R:$R,MATCH($C46,'(2.2)_Forward_Price_Curve'!C:C,0))</f>
        <v>1.9E-2</v>
      </c>
      <c r="F46" s="6"/>
      <c r="G46" s="20">
        <v>325985</v>
      </c>
      <c r="H46" s="6"/>
      <c r="I46" s="30">
        <f t="shared" si="10"/>
        <v>0</v>
      </c>
      <c r="J46" s="6"/>
      <c r="K46" s="30">
        <v>63.8</v>
      </c>
      <c r="L46" s="6"/>
      <c r="M46" s="30">
        <f t="shared" si="11"/>
        <v>0</v>
      </c>
      <c r="N46" s="6"/>
      <c r="O46" s="295">
        <f>'(2.2)_Forward_Price_Curve'!U39</f>
        <v>7.35126593428694</v>
      </c>
      <c r="P46" s="6"/>
      <c r="Q46" s="30"/>
      <c r="R46" s="6"/>
      <c r="S46" s="20">
        <f t="shared" si="4"/>
        <v>23194.245425588531</v>
      </c>
      <c r="T46" s="6"/>
      <c r="U46" s="20">
        <f t="shared" si="0"/>
        <v>38185.765304013046</v>
      </c>
      <c r="V46" s="6"/>
      <c r="W46" s="20">
        <f t="shared" si="1"/>
        <v>-14991.519878424515</v>
      </c>
      <c r="X46" s="6"/>
      <c r="Y46" s="296">
        <f t="shared" si="5"/>
        <v>-45.988373325228196</v>
      </c>
      <c r="Z46" s="255"/>
      <c r="AB46" s="154">
        <f>+IF(AB45&gt;$G$13+$G$14,XX,AB45+1)</f>
        <v>2027</v>
      </c>
      <c r="AC46" s="124"/>
      <c r="AD46" s="159">
        <f t="shared" si="2"/>
        <v>325985</v>
      </c>
      <c r="AE46" s="3"/>
      <c r="AF46" s="162">
        <f t="shared" si="12"/>
        <v>144.37632091303493</v>
      </c>
      <c r="AG46" s="3"/>
      <c r="AH46" s="162">
        <f t="shared" si="13"/>
        <v>10.850611221209149</v>
      </c>
      <c r="AI46" s="3"/>
      <c r="AJ46" s="162">
        <f t="shared" si="14"/>
        <v>4.0847995958374028</v>
      </c>
      <c r="AK46" s="3"/>
      <c r="AL46" s="161">
        <f t="shared" si="6"/>
        <v>13135.466782916348</v>
      </c>
      <c r="AM46" s="3"/>
      <c r="AN46" s="162">
        <f>INDEX('(2.2)_Forward_Price_Curve'!$L:$L,MATCH($AB46,'(2.2)_Forward_Price_Curve'!$C:$C,0),1)</f>
        <v>13.063749999999999</v>
      </c>
      <c r="AO46" s="3"/>
      <c r="AP46" s="162">
        <f t="shared" si="18"/>
        <v>95.071110241987881</v>
      </c>
      <c r="AQ46" s="3"/>
      <c r="AR46" s="162">
        <f t="shared" si="15"/>
        <v>3.2954826947702753</v>
      </c>
      <c r="AS46" s="162"/>
      <c r="AT46" s="161">
        <f t="shared" si="7"/>
        <v>6119.7315055239433</v>
      </c>
      <c r="AU46" s="3"/>
      <c r="AV46" s="161">
        <f t="shared" si="3"/>
        <v>32066.033798489105</v>
      </c>
      <c r="AW46" s="299"/>
      <c r="AX46" s="163">
        <f t="shared" si="8"/>
        <v>38185.765304013046</v>
      </c>
      <c r="AZ46" s="154">
        <f>+IF(AZ45&gt;$G$13+$G$14,XX,AZ45+1)</f>
        <v>2027</v>
      </c>
      <c r="BA46" s="124"/>
      <c r="BB46" s="162">
        <f t="shared" si="16"/>
        <v>92.164077089406533</v>
      </c>
      <c r="BC46" s="3"/>
      <c r="BD46" s="162">
        <f t="shared" si="17"/>
        <v>6.0687558720432184</v>
      </c>
      <c r="BE46" s="3"/>
      <c r="BF46" s="161">
        <f t="shared" si="9"/>
        <v>7015.7352773924049</v>
      </c>
      <c r="BG46" s="3"/>
      <c r="BH46" s="165"/>
    </row>
    <row r="47" spans="2:60" ht="12">
      <c r="B47" s="2"/>
      <c r="C47" s="6">
        <f>+IF(C46&gt;$G$13+$G$14,XX,C46+1)</f>
        <v>2028</v>
      </c>
      <c r="D47" s="6"/>
      <c r="E47" s="292">
        <f>+INDEX('(2.2)_Forward_Price_Curve'!$R:$R,MATCH($C47,'(2.2)_Forward_Price_Curve'!C:C,0))</f>
        <v>1.9E-2</v>
      </c>
      <c r="F47" s="6"/>
      <c r="G47" s="20">
        <v>327004</v>
      </c>
      <c r="H47" s="6"/>
      <c r="I47" s="30">
        <f t="shared" si="10"/>
        <v>0</v>
      </c>
      <c r="J47" s="6"/>
      <c r="K47" s="30">
        <v>64.8</v>
      </c>
      <c r="L47" s="6"/>
      <c r="M47" s="30"/>
      <c r="N47" s="6"/>
      <c r="O47" s="295">
        <f>'(2.2)_Forward_Price_Curve'!U40</f>
        <v>7.4909399870383915</v>
      </c>
      <c r="P47" s="6"/>
      <c r="Q47" s="30"/>
      <c r="R47" s="6"/>
      <c r="S47" s="20">
        <f t="shared" ref="S47" si="19">(I47*$G$11*1000+(K47+M47+O47+Q47)*G47)/1000</f>
        <v>23639.426539521501</v>
      </c>
      <c r="T47" s="6"/>
      <c r="U47" s="20">
        <f t="shared" ref="U47" si="20">AX47</f>
        <v>39016.975336573589</v>
      </c>
      <c r="V47" s="6"/>
      <c r="W47" s="20">
        <f t="shared" ref="W47" si="21">S47-U47</f>
        <v>-15377.548797052088</v>
      </c>
      <c r="X47" s="6"/>
      <c r="Y47" s="296">
        <f t="shared" ref="Y47" si="22">+W47*1000/G47</f>
        <v>-47.025567873946763</v>
      </c>
      <c r="Z47" s="255"/>
      <c r="AB47" s="154">
        <f>+IF(AB46&gt;$G$13+$G$14,XX,AB46+1)</f>
        <v>2028</v>
      </c>
      <c r="AC47" s="124"/>
      <c r="AD47" s="159">
        <f t="shared" ref="AD47" si="23">G47</f>
        <v>327004</v>
      </c>
      <c r="AE47" s="3"/>
      <c r="AF47" s="162">
        <f t="shared" si="12"/>
        <v>147.11947101038257</v>
      </c>
      <c r="AG47" s="3"/>
      <c r="AH47" s="162">
        <f t="shared" si="13"/>
        <v>11.056772834412122</v>
      </c>
      <c r="AI47" s="3"/>
      <c r="AJ47" s="162">
        <f t="shared" si="14"/>
        <v>4.1624107881583132</v>
      </c>
      <c r="AK47" s="3"/>
      <c r="AL47" s="161">
        <f t="shared" ref="AL47" si="24">((AF47+AH47)*$AF$11*1000+AJ47*AD47)/1000</f>
        <v>13389.282148384891</v>
      </c>
      <c r="AM47" s="3"/>
      <c r="AN47" s="162">
        <f>INDEX('(2.2)_Forward_Price_Curve'!$L:$L,MATCH($AB47,'(2.2)_Forward_Price_Curve'!$C:$C,0),1)</f>
        <v>13.311666666666667</v>
      </c>
      <c r="AO47" s="3"/>
      <c r="AP47" s="162">
        <f t="shared" ref="AP47" si="25">AN47*$AF$14/1000+$AJ$14*(1+E47)</f>
        <v>96.875317513827369</v>
      </c>
      <c r="AQ47" s="3"/>
      <c r="AR47" s="162">
        <f t="shared" si="15"/>
        <v>3.3580968659709103</v>
      </c>
      <c r="AS47" s="162"/>
      <c r="AT47" s="161">
        <f t="shared" ref="AT47" si="26">AL47-BF47</f>
        <v>6240.2479007220318</v>
      </c>
      <c r="AU47" s="3"/>
      <c r="AV47" s="161">
        <f t="shared" ref="AV47" si="27">(AP47+AR47)*AD47/1000</f>
        <v>32776.727435851557</v>
      </c>
      <c r="AW47" s="299"/>
      <c r="AX47" s="163">
        <f t="shared" ref="AX47" si="28">AT47+AV47</f>
        <v>39016.975336573589</v>
      </c>
      <c r="AZ47" s="154">
        <f>+IF(AZ46&gt;$G$13+$G$14,XX,AZ46+1)</f>
        <v>2028</v>
      </c>
      <c r="BA47" s="124"/>
      <c r="BB47" s="162">
        <f t="shared" si="16"/>
        <v>93.915194554105241</v>
      </c>
      <c r="BC47" s="3"/>
      <c r="BD47" s="162">
        <f t="shared" si="17"/>
        <v>6.184062233612039</v>
      </c>
      <c r="BE47" s="3"/>
      <c r="BF47" s="161">
        <f t="shared" ref="BF47" si="29">(BB47+BD47)*$BD$11</f>
        <v>7149.0342476628593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7.32%</v>
      </c>
      <c r="E58" s="178"/>
      <c r="F58" s="3"/>
      <c r="G58" s="20">
        <f>+-PMT($G$18,$G$14,NPV($G$18,G28:G56))</f>
        <v>294570.77857297263</v>
      </c>
      <c r="H58" s="6"/>
      <c r="I58" s="30">
        <f>+-PMT($G$18,$G$14,NPV($G$18,I28:I56))</f>
        <v>0</v>
      </c>
      <c r="J58" s="30"/>
      <c r="K58" s="30">
        <f>+-PMT($G$18,$G$14,NPV($G$18,K28:K56))</f>
        <v>63.823562521838063</v>
      </c>
      <c r="L58" s="6"/>
      <c r="M58" s="30">
        <f>+-PMT($G$18,$G$14,NPV($G$18,M28:M56))</f>
        <v>0</v>
      </c>
      <c r="N58" s="6"/>
      <c r="O58" s="30">
        <f>+-PMT($G$18,$G$14,NPV($G$18,O28:O56))</f>
        <v>6.0593316732660467</v>
      </c>
      <c r="P58" s="6"/>
      <c r="Q58" s="30">
        <f>+-PMT($G$18,$G$14,NPV($G$18,Q28:Q56))</f>
        <v>0</v>
      </c>
      <c r="R58" s="6"/>
      <c r="S58" s="20">
        <f>+-PMT($G$18,$G$14,NPV($G$18,S28:S56))</f>
        <v>20609.598859325553</v>
      </c>
      <c r="T58" s="6"/>
      <c r="U58" s="20">
        <f>+-PMT($G$18,$G$14,NPV($G$18,U28:U56))</f>
        <v>29273.264706634131</v>
      </c>
      <c r="V58" s="3"/>
      <c r="W58" s="20">
        <f>+-PMT($G$18,$G$14,NPV($G$18,W28:W56))</f>
        <v>-8663.6658473085809</v>
      </c>
      <c r="X58" s="3"/>
      <c r="Y58" s="296">
        <f>+-PMT($G$18,$G$14,NPV($G$18,Y28:Y56))</f>
        <v>-35.513823799757304</v>
      </c>
      <c r="Z58" s="255"/>
      <c r="AB58" s="2"/>
      <c r="AC58" s="3"/>
      <c r="AD58" s="159">
        <f>+-PMT($G$18,$G$14,NPV($G$18,AD28:AD56))</f>
        <v>294570.77857297263</v>
      </c>
      <c r="AE58" s="3"/>
      <c r="AF58" s="162">
        <f>+-PMT($G$18,$G$14,NPV($G$18,AF28:AF56))</f>
        <v>118.49764464132298</v>
      </c>
      <c r="AG58" s="3"/>
      <c r="AH58" s="162">
        <f>+-PMT($G$18,$G$14,NPV($G$18,AH28:AH56))</f>
        <v>8.9056977245352993</v>
      </c>
      <c r="AI58" s="3"/>
      <c r="AJ58" s="162">
        <f>+-PMT($G$18,$G$14,NPV($G$18,AJ28:AJ56))</f>
        <v>3.3526213154449436</v>
      </c>
      <c r="AK58" s="3"/>
      <c r="AL58" s="161">
        <f>+-PMT($G$18,$G$14,NPV($G$18,AL28:AL56))</f>
        <v>10689.047349331997</v>
      </c>
      <c r="AM58" s="3"/>
      <c r="AN58" s="162">
        <f>+-PMT($G$18,$G$14,NPV($G$18,AN28:AN56))</f>
        <v>11.039764603516314</v>
      </c>
      <c r="AO58" s="3"/>
      <c r="AP58" s="162">
        <f>+-PMT($G$18,$G$14,NPV($G$18,AP28:AP56))</f>
        <v>80.341607705788547</v>
      </c>
      <c r="AQ58" s="3"/>
      <c r="AR58" s="162">
        <f>+-PMT($G$18,$G$14,NPV($G$18,AR28:AR56))</f>
        <v>2.704785208661324</v>
      </c>
      <c r="AS58" s="162"/>
      <c r="AT58" s="161">
        <f>+-PMT($G$18,$G$14,NPV($G$18,AT28:AT56))</f>
        <v>4930.8447539160834</v>
      </c>
      <c r="AU58" s="3"/>
      <c r="AV58" s="161">
        <f>+-PMT($G$18,$G$14,NPV($G$18,AV28:AV56))</f>
        <v>24342.41995271805</v>
      </c>
      <c r="AW58" s="299"/>
      <c r="AX58" s="163">
        <f>+-PMT($G$18,$G$14,NPV($G$18,AX28:AX56))</f>
        <v>29273.264706634131</v>
      </c>
      <c r="AZ58" s="2"/>
      <c r="BA58" s="3"/>
      <c r="BB58" s="162">
        <f>+-PMT($G$18,$G$14,NPV($G$18,BB28:BB56))</f>
        <v>75.644163714452802</v>
      </c>
      <c r="BC58" s="3"/>
      <c r="BD58" s="162">
        <f>+-PMT($G$18,$G$14,NPV($G$18,BD28:BD56))</f>
        <v>4.9809641372804432</v>
      </c>
      <c r="BE58" s="3"/>
      <c r="BF58" s="161">
        <f>+-PMT($G$18,$G$14,NPV($G$18,BF28:BF56))</f>
        <v>5758.2025954159135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B7590-1A4A-4C81-8A07-0B324C0DE857}">
  <sheetPr codeName="Sheet12">
    <tabColor theme="0" tint="-0.249977111117893"/>
    <pageSetUpPr fitToPage="1"/>
  </sheetPr>
  <dimension ref="A1:BH84"/>
  <sheetViews>
    <sheetView topLeftCell="C39" workbookViewId="0">
      <selection activeCell="T54" sqref="T54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307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tr">
        <f>'[5]New_Cedar Springs I PPA'!$X$11</f>
        <v>Cedar Springs I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'[5]New_Cedar Springs I PPA'!$X$12</f>
        <v>200</v>
      </c>
      <c r="H11" s="275"/>
      <c r="AB11" s="129" t="s">
        <v>99</v>
      </c>
      <c r="AC11" s="130"/>
      <c r="AD11" s="130"/>
      <c r="AE11" s="130"/>
      <c r="AF11" s="312">
        <f>+G11*(G12/AJ16)</f>
        <v>121.73195109965545</v>
      </c>
      <c r="AG11" s="134"/>
      <c r="AH11" s="130" t="s">
        <v>100</v>
      </c>
      <c r="AI11" s="131"/>
      <c r="AJ11" s="174">
        <f>'(2.1)_Proxy Resources'!N29</f>
        <v>19.805241420865066</v>
      </c>
      <c r="AK11" s="255"/>
      <c r="AZ11" s="129" t="s">
        <v>99</v>
      </c>
      <c r="BA11" s="130"/>
      <c r="BB11" s="130"/>
      <c r="BC11" s="130"/>
      <c r="BD11" s="141">
        <f>(AF11*AF13-G11*G19)</f>
        <v>90.131951099655453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'[5]New_Cedar Springs I PPA'!$X$13</f>
        <v>0.42780000000000001</v>
      </c>
      <c r="H12" s="275"/>
      <c r="AB12" s="129" t="s">
        <v>32</v>
      </c>
      <c r="AC12" s="130"/>
      <c r="AD12" s="130"/>
      <c r="AE12" s="130"/>
      <c r="AF12" s="138">
        <f>+AD58/8760/AF11</f>
        <v>0.70215287956755568</v>
      </c>
      <c r="AG12" s="134"/>
      <c r="AH12" s="124" t="s">
        <v>101</v>
      </c>
      <c r="AI12" s="125"/>
      <c r="AJ12" s="124">
        <v>2016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Resources'!O29</f>
        <v>2.02116486562735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Resources'!H29*(1+E28)</f>
        <v>6568.8407594737137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288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231</v>
      </c>
      <c r="AC15" s="130"/>
      <c r="AD15" s="130"/>
      <c r="AE15" s="130"/>
      <c r="AF15" s="175">
        <f>'(2.1)_Proxy Resources'!J29</f>
        <v>1362.6215812395926</v>
      </c>
      <c r="AG15" s="134"/>
      <c r="AH15" s="124" t="s">
        <v>145</v>
      </c>
      <c r="AI15" s="125"/>
      <c r="AJ15" s="174">
        <f>'(2.1)_Proxy Resources'!P29</f>
        <v>2.2807762714164963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288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Resources'!K28</f>
        <v>7.2562879502455491E-2</v>
      </c>
      <c r="AG16" s="134"/>
      <c r="AH16" s="124" t="s">
        <v>110</v>
      </c>
      <c r="AI16" s="131"/>
      <c r="AJ16" s="145">
        <f>'(2.1)_Proxy Resources'!D29</f>
        <v>0.70285573530285894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288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'(2.2)_Forward_Price_Curve'!W8</f>
        <v>6.5699999999999995E-2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2021</v>
      </c>
      <c r="D28" s="6"/>
      <c r="E28" s="292">
        <f>'(2.2)_Forward_Price_Curve'!P33</f>
        <v>2.4E-2</v>
      </c>
      <c r="F28" s="6"/>
      <c r="G28" s="20">
        <v>748756.09440000006</v>
      </c>
      <c r="H28" s="6"/>
      <c r="I28" s="293">
        <f>$G$15*(1+E28)</f>
        <v>0</v>
      </c>
      <c r="J28" s="293"/>
      <c r="K28" s="293">
        <v>15.5</v>
      </c>
      <c r="L28" s="294"/>
      <c r="M28" s="293">
        <f>$G$17</f>
        <v>0</v>
      </c>
      <c r="N28" s="6"/>
      <c r="O28" s="295">
        <f>'(2.2)_Forward_Price_Curve'!Y33</f>
        <v>1.1679956801767024</v>
      </c>
      <c r="P28" s="6"/>
      <c r="Q28" s="30"/>
      <c r="R28" s="6"/>
      <c r="S28" s="20">
        <f>(I28*$G$11*1000+(K28+M28+O28+Q28)*G28)/1000</f>
        <v>12480.263346965181</v>
      </c>
      <c r="T28" s="6"/>
      <c r="U28" s="20">
        <f t="shared" ref="U28:U47" si="0">AX28</f>
        <v>25907.310539473689</v>
      </c>
      <c r="V28" s="6"/>
      <c r="W28" s="20">
        <f t="shared" ref="W28:W47" si="1">S28-U28</f>
        <v>-13427.047192508508</v>
      </c>
      <c r="X28" s="6"/>
      <c r="Y28" s="296">
        <f>+W28*1000/G28</f>
        <v>-17.932471325349265</v>
      </c>
      <c r="Z28" s="255"/>
      <c r="AB28" s="154">
        <f>$C$28</f>
        <v>2021</v>
      </c>
      <c r="AC28" s="124"/>
      <c r="AD28" s="159">
        <f t="shared" ref="AD28:AD47" si="2">G28</f>
        <v>748756.09440000006</v>
      </c>
      <c r="AE28" s="3"/>
      <c r="AF28" s="160">
        <f>$AF$15*$AF$16*(1+E28)</f>
        <v>101.24876350150033</v>
      </c>
      <c r="AG28" s="297"/>
      <c r="AH28" s="160">
        <f>$AJ$11*(1+E28)</f>
        <v>20.280567214965828</v>
      </c>
      <c r="AI28" s="297"/>
      <c r="AJ28" s="160">
        <f>$AJ$13*(1+E28)</f>
        <v>2.0696728224024064</v>
      </c>
      <c r="AK28" s="298"/>
      <c r="AL28" s="161">
        <f>((AF28+AH28)*$AF$11*1000+AJ28*AD28)/1000</f>
        <v>16343.682683138564</v>
      </c>
      <c r="AM28" s="3"/>
      <c r="AN28" s="162">
        <f>INDEX('(2.2)_Forward_Price_Curve'!$G:$G,MATCH($AB28,'(2.2)_Forward_Price_Curve'!$C:$C,0),1)</f>
        <v>2.8767624999999999</v>
      </c>
      <c r="AO28" s="310"/>
      <c r="AP28" s="162">
        <f>AN28*$AF$14/1000+$AJ$14/(1+E29)</f>
        <v>18.896994765325498</v>
      </c>
      <c r="AQ28" s="297"/>
      <c r="AR28" s="160">
        <f>$AJ$15*(1+E28)</f>
        <v>2.3355149019304924</v>
      </c>
      <c r="AS28" s="160"/>
      <c r="AT28" s="161">
        <f t="shared" ref="AT28:AT47" si="3">AL28-BF28</f>
        <v>10009.339526708849</v>
      </c>
      <c r="AU28" s="298"/>
      <c r="AV28" s="161">
        <f t="shared" ref="AV28:AV47" si="4">(AP28+AR28)*AD28/1000</f>
        <v>15897.97101276484</v>
      </c>
      <c r="AW28" s="299"/>
      <c r="AX28" s="163">
        <f>AT28+AV28</f>
        <v>25907.310539473689</v>
      </c>
      <c r="AZ28" s="154">
        <f>$C$28</f>
        <v>2021</v>
      </c>
      <c r="BA28" s="124"/>
      <c r="BB28" s="160">
        <f>$BD$14*$BD$15*(1+E28)</f>
        <v>65.936793600000001</v>
      </c>
      <c r="BC28" s="3"/>
      <c r="BD28" s="160">
        <f>$BB$16*(1+E28)</f>
        <v>4.3417600000000007</v>
      </c>
      <c r="BE28" s="297"/>
      <c r="BF28" s="161">
        <f>(BB28+BD28)*$BD$11</f>
        <v>6334.3431564297152</v>
      </c>
      <c r="BG28" s="297"/>
      <c r="BH28" s="164"/>
    </row>
    <row r="29" spans="1:60" ht="12">
      <c r="B29" s="2"/>
      <c r="C29" s="6">
        <f>+IF(C28&gt;$G$13+$G$14,XX,C28+1)</f>
        <v>2022</v>
      </c>
      <c r="D29" s="6"/>
      <c r="E29" s="292">
        <f>'(2.2)_Forward_Price_Curve'!P34</f>
        <v>2.4E-2</v>
      </c>
      <c r="F29" s="6"/>
      <c r="G29" s="20">
        <v>748756.09440000006</v>
      </c>
      <c r="H29" s="6"/>
      <c r="I29" s="30">
        <f>I28*(1+$E29)</f>
        <v>0</v>
      </c>
      <c r="J29" s="6"/>
      <c r="K29" s="30">
        <v>15.5</v>
      </c>
      <c r="L29" s="6"/>
      <c r="M29" s="30">
        <f>M28*(1+$E29)</f>
        <v>0</v>
      </c>
      <c r="N29" s="6"/>
      <c r="O29" s="295">
        <f>'(2.2)_Forward_Price_Curve'!Y34</f>
        <v>1.1974836718320334</v>
      </c>
      <c r="P29" s="6"/>
      <c r="Q29" s="30"/>
      <c r="R29" s="6"/>
      <c r="S29" s="20">
        <f t="shared" ref="S29:S47" si="5">(I29*$G$11*1000+(K29+M29+O29+Q29)*G29)/1000</f>
        <v>12502.342660428725</v>
      </c>
      <c r="T29" s="6"/>
      <c r="U29" s="20">
        <f t="shared" si="0"/>
        <v>26844.110211689407</v>
      </c>
      <c r="V29" s="6"/>
      <c r="W29" s="20">
        <f t="shared" si="1"/>
        <v>-14341.767551260682</v>
      </c>
      <c r="X29" s="6"/>
      <c r="Y29" s="296">
        <f t="shared" ref="Y29:Y47" si="6">+W29*1000/G29</f>
        <v>-19.154124632205036</v>
      </c>
      <c r="Z29" s="255"/>
      <c r="AB29" s="154">
        <f>+IF(AB28&gt;$G$13+$G$14,XX,AB28+1)</f>
        <v>2022</v>
      </c>
      <c r="AC29" s="124"/>
      <c r="AD29" s="159">
        <f t="shared" si="2"/>
        <v>748756.09440000006</v>
      </c>
      <c r="AE29" s="3"/>
      <c r="AF29" s="162">
        <f>AF28*(1+$E29)</f>
        <v>103.67873382553634</v>
      </c>
      <c r="AG29" s="3"/>
      <c r="AH29" s="162">
        <f>AH28*(1+$E29)</f>
        <v>20.767300828125009</v>
      </c>
      <c r="AI29" s="3"/>
      <c r="AJ29" s="162">
        <f>AJ28*(1+$E29)</f>
        <v>2.1193449701400642</v>
      </c>
      <c r="AK29" s="3"/>
      <c r="AL29" s="161">
        <f t="shared" ref="AL29:AL47" si="7">((AF29+AH29)*$AF$11*1000+AJ29*AD29)/1000</f>
        <v>16735.931067533889</v>
      </c>
      <c r="AM29" s="3"/>
      <c r="AN29" s="162">
        <f>INDEX('(2.2)_Forward_Price_Curve'!$G:$G,MATCH($AB29,'(2.2)_Forward_Price_Curve'!$C:$C,0),1)</f>
        <v>3.0098541666666665</v>
      </c>
      <c r="AO29" s="3"/>
      <c r="AP29" s="162">
        <f>AN29*$AF$14/1000+$AJ$14</f>
        <v>19.771252730071787</v>
      </c>
      <c r="AQ29" s="3"/>
      <c r="AR29" s="162">
        <f>AR28*(1+$E29)</f>
        <v>2.3915672595768243</v>
      </c>
      <c r="AS29" s="162"/>
      <c r="AT29" s="161">
        <f t="shared" si="3"/>
        <v>10249.563675349862</v>
      </c>
      <c r="AU29" s="3"/>
      <c r="AV29" s="161">
        <f t="shared" si="4"/>
        <v>16594.546536339545</v>
      </c>
      <c r="AW29" s="299"/>
      <c r="AX29" s="163">
        <f t="shared" ref="AX29:AX47" si="8">AT29+AV29</f>
        <v>26844.110211689407</v>
      </c>
      <c r="AZ29" s="154">
        <f>+IF(AZ28&gt;$G$13+$G$14,XX,AZ28+1)</f>
        <v>2022</v>
      </c>
      <c r="BA29" s="124"/>
      <c r="BB29" s="162">
        <f>BB28*(1+$E29)</f>
        <v>67.519276646400002</v>
      </c>
      <c r="BC29" s="3"/>
      <c r="BD29" s="162">
        <f>BD28*(1+$E29)</f>
        <v>4.445962240000001</v>
      </c>
      <c r="BE29" s="3"/>
      <c r="BF29" s="161">
        <f t="shared" ref="BF29:BF47" si="9">(BB29+BD29)*$BD$11</f>
        <v>6486.3673921840282</v>
      </c>
      <c r="BG29" s="3"/>
      <c r="BH29" s="165"/>
    </row>
    <row r="30" spans="1:60" ht="12">
      <c r="B30" s="2"/>
      <c r="C30" s="6">
        <f>+IF(C29&gt;$G$13+$G$14,XX,C29+1)</f>
        <v>2023</v>
      </c>
      <c r="D30" s="6"/>
      <c r="E30" s="292">
        <f>'(2.2)_Forward_Price_Curve'!P35</f>
        <v>2.4E-2</v>
      </c>
      <c r="F30" s="6"/>
      <c r="G30" s="20">
        <v>748756.09440000006</v>
      </c>
      <c r="H30" s="6"/>
      <c r="I30" s="30">
        <f t="shared" ref="I30:I47" si="10">I29*(1+$E30)</f>
        <v>0</v>
      </c>
      <c r="J30" s="6"/>
      <c r="K30" s="30">
        <v>15.5</v>
      </c>
      <c r="L30" s="6"/>
      <c r="M30" s="30">
        <f t="shared" ref="M30:M46" si="11">M29*(1+$E30)</f>
        <v>0</v>
      </c>
      <c r="N30" s="6"/>
      <c r="O30" s="295">
        <f>'(2.2)_Forward_Price_Curve'!Y35</f>
        <v>1.2269144627008759</v>
      </c>
      <c r="P30" s="6"/>
      <c r="Q30" s="30"/>
      <c r="R30" s="6"/>
      <c r="S30" s="20">
        <f t="shared" si="5"/>
        <v>12524.379144454782</v>
      </c>
      <c r="T30" s="6"/>
      <c r="U30" s="20">
        <f t="shared" si="0"/>
        <v>29431.206285353066</v>
      </c>
      <c r="V30" s="6"/>
      <c r="W30" s="20">
        <f t="shared" si="1"/>
        <v>-16906.827140898284</v>
      </c>
      <c r="X30" s="6"/>
      <c r="Y30" s="296">
        <f t="shared" si="6"/>
        <v>-22.579885849805621</v>
      </c>
      <c r="Z30" s="255"/>
      <c r="AB30" s="154">
        <f>+IF(AB29&gt;$G$13+$G$14,XX,AB29+1)</f>
        <v>2023</v>
      </c>
      <c r="AC30" s="124"/>
      <c r="AD30" s="159">
        <f t="shared" si="2"/>
        <v>748756.09440000006</v>
      </c>
      <c r="AE30" s="3"/>
      <c r="AF30" s="162">
        <f t="shared" ref="AF30:AF47" si="12">AF29*(1+$E30)</f>
        <v>106.16702343734921</v>
      </c>
      <c r="AG30" s="3"/>
      <c r="AH30" s="162">
        <f t="shared" ref="AH30:AH47" si="13">AH29*(1+$E30)</f>
        <v>21.265716048000009</v>
      </c>
      <c r="AI30" s="3"/>
      <c r="AJ30" s="162">
        <f t="shared" ref="AJ30:AJ47" si="14">AJ29*(1+$E30)</f>
        <v>2.1702092494234257</v>
      </c>
      <c r="AK30" s="3"/>
      <c r="AL30" s="161">
        <f t="shared" si="7"/>
        <v>17137.593413154704</v>
      </c>
      <c r="AM30" s="3"/>
      <c r="AN30" s="162">
        <f>INDEX('(2.2)_Forward_Price_Curve'!$G:$G,MATCH($AB30,'(2.2)_Forward_Price_Curve'!$C:$C,0),1)</f>
        <v>3.4771000000000001</v>
      </c>
      <c r="AO30" s="3"/>
      <c r="AP30" s="162">
        <f>AN30*$AF$14/1000+$AJ$14*(1+E30)</f>
        <v>22.84051620476605</v>
      </c>
      <c r="AQ30" s="3"/>
      <c r="AR30" s="162">
        <f t="shared" ref="AR30:AR47" si="15">AR29*(1+$E30)</f>
        <v>2.4489648738066681</v>
      </c>
      <c r="AS30" s="162"/>
      <c r="AT30" s="161">
        <f t="shared" si="3"/>
        <v>10495.553203558258</v>
      </c>
      <c r="AU30" s="3"/>
      <c r="AV30" s="161">
        <f t="shared" si="4"/>
        <v>18935.653081794808</v>
      </c>
      <c r="AW30" s="299"/>
      <c r="AX30" s="163">
        <f t="shared" si="8"/>
        <v>29431.206285353066</v>
      </c>
      <c r="AZ30" s="154">
        <f>+IF(AZ29&gt;$G$13+$G$14,XX,AZ29+1)</f>
        <v>2023</v>
      </c>
      <c r="BA30" s="124"/>
      <c r="BB30" s="162">
        <f t="shared" ref="BB30:BB47" si="16">BB29*(1+$E30)</f>
        <v>69.139739285913606</v>
      </c>
      <c r="BC30" s="3"/>
      <c r="BD30" s="162">
        <f t="shared" ref="BD30:BD47" si="17">BD29*(1+$E30)</f>
        <v>4.5526653337600012</v>
      </c>
      <c r="BE30" s="3"/>
      <c r="BF30" s="161">
        <f t="shared" si="9"/>
        <v>6642.0402095964455</v>
      </c>
      <c r="BG30" s="3"/>
      <c r="BH30" s="165"/>
    </row>
    <row r="31" spans="1:60" ht="12">
      <c r="B31" s="2"/>
      <c r="C31" s="6">
        <f>+IF(C30&gt;$G$13+$G$14,XX,C30+1)</f>
        <v>2024</v>
      </c>
      <c r="D31" s="6"/>
      <c r="E31" s="292">
        <f>'(2.2)_Forward_Price_Curve'!P36</f>
        <v>2.3E-2</v>
      </c>
      <c r="F31" s="6"/>
      <c r="G31" s="20">
        <v>748756.09440000006</v>
      </c>
      <c r="H31" s="6"/>
      <c r="I31" s="30">
        <f t="shared" si="10"/>
        <v>0</v>
      </c>
      <c r="J31" s="6"/>
      <c r="K31" s="30">
        <v>15.5</v>
      </c>
      <c r="L31" s="6"/>
      <c r="M31" s="30">
        <f t="shared" si="11"/>
        <v>0</v>
      </c>
      <c r="N31" s="6"/>
      <c r="O31" s="295">
        <f>'(2.2)_Forward_Price_Curve'!Y36</f>
        <v>1.2554480395092353</v>
      </c>
      <c r="P31" s="6"/>
      <c r="Q31" s="30"/>
      <c r="R31" s="6"/>
      <c r="S31" s="20">
        <f t="shared" si="5"/>
        <v>12545.743833985074</v>
      </c>
      <c r="T31" s="6"/>
      <c r="U31" s="20">
        <f t="shared" si="0"/>
        <v>32059.32628265904</v>
      </c>
      <c r="V31" s="6"/>
      <c r="W31" s="20">
        <f t="shared" si="1"/>
        <v>-19513.582448673966</v>
      </c>
      <c r="X31" s="6"/>
      <c r="Y31" s="296">
        <f t="shared" si="6"/>
        <v>-26.061333716837076</v>
      </c>
      <c r="Z31" s="255"/>
      <c r="AB31" s="154">
        <f>+IF(AB30&gt;$G$13+$G$14,XX,AB30+1)</f>
        <v>2024</v>
      </c>
      <c r="AC31" s="124"/>
      <c r="AD31" s="159">
        <f t="shared" si="2"/>
        <v>748756.09440000006</v>
      </c>
      <c r="AE31" s="3"/>
      <c r="AF31" s="162">
        <f t="shared" si="12"/>
        <v>108.60886497640824</v>
      </c>
      <c r="AG31" s="3"/>
      <c r="AH31" s="162">
        <f t="shared" si="13"/>
        <v>21.754827517104008</v>
      </c>
      <c r="AI31" s="3"/>
      <c r="AJ31" s="162">
        <f t="shared" si="14"/>
        <v>2.2201240621601643</v>
      </c>
      <c r="AK31" s="3"/>
      <c r="AL31" s="161">
        <f t="shared" si="7"/>
        <v>17531.75806165726</v>
      </c>
      <c r="AM31" s="3"/>
      <c r="AN31" s="162">
        <f>INDEX('(2.2)_Forward_Price_Curve'!$G:$G,MATCH($AB31,'(2.2)_Forward_Price_Curve'!$C:$C,0),1)</f>
        <v>3.9537833333333325</v>
      </c>
      <c r="AO31" s="3"/>
      <c r="AP31" s="162">
        <f>AN31*$AF$14/1000+$AJ$14*(1+E31)</f>
        <v>25.971773114127839</v>
      </c>
      <c r="AQ31" s="3"/>
      <c r="AR31" s="162">
        <f t="shared" si="15"/>
        <v>2.5052910659042213</v>
      </c>
      <c r="AS31" s="162"/>
      <c r="AT31" s="161">
        <f t="shared" si="3"/>
        <v>10736.950927240097</v>
      </c>
      <c r="AU31" s="3"/>
      <c r="AV31" s="161">
        <f t="shared" si="4"/>
        <v>21322.375355418942</v>
      </c>
      <c r="AW31" s="299"/>
      <c r="AX31" s="163">
        <f t="shared" si="8"/>
        <v>32059.32628265904</v>
      </c>
      <c r="AZ31" s="154">
        <f>+IF(AZ30&gt;$G$13+$G$14,XX,AZ30+1)</f>
        <v>2024</v>
      </c>
      <c r="BA31" s="124"/>
      <c r="BB31" s="162">
        <f t="shared" si="16"/>
        <v>70.729953289489615</v>
      </c>
      <c r="BC31" s="3"/>
      <c r="BD31" s="162">
        <f t="shared" si="17"/>
        <v>4.6573766364364806</v>
      </c>
      <c r="BE31" s="3"/>
      <c r="BF31" s="161">
        <f t="shared" si="9"/>
        <v>6794.8071344171631</v>
      </c>
      <c r="BG31" s="3"/>
      <c r="BH31" s="165"/>
    </row>
    <row r="32" spans="1:60" ht="12">
      <c r="B32" s="2"/>
      <c r="C32" s="6">
        <f>+IF(C31&gt;$G$13+$G$14,XX,C31+1)</f>
        <v>2025</v>
      </c>
      <c r="D32" s="6"/>
      <c r="E32" s="292">
        <f>'(2.2)_Forward_Price_Curve'!P37</f>
        <v>2.1999999999999999E-2</v>
      </c>
      <c r="F32" s="6"/>
      <c r="G32" s="20">
        <v>748756.09440000006</v>
      </c>
      <c r="H32" s="6"/>
      <c r="I32" s="30">
        <f t="shared" si="10"/>
        <v>0</v>
      </c>
      <c r="J32" s="6"/>
      <c r="K32" s="30">
        <v>15.5</v>
      </c>
      <c r="L32" s="6"/>
      <c r="M32" s="30">
        <f t="shared" si="11"/>
        <v>0</v>
      </c>
      <c r="N32" s="6"/>
      <c r="O32" s="295">
        <f>'(2.2)_Forward_Price_Curve'!Y37</f>
        <v>1.2834505366016622</v>
      </c>
      <c r="P32" s="6"/>
      <c r="Q32" s="30"/>
      <c r="R32" s="6"/>
      <c r="S32" s="20">
        <f t="shared" si="5"/>
        <v>12566.710874341446</v>
      </c>
      <c r="T32" s="6"/>
      <c r="U32" s="20">
        <f t="shared" si="0"/>
        <v>33098.615849872127</v>
      </c>
      <c r="V32" s="6"/>
      <c r="W32" s="20">
        <f t="shared" si="1"/>
        <v>-20531.904975530681</v>
      </c>
      <c r="X32" s="6"/>
      <c r="Y32" s="296">
        <f t="shared" si="6"/>
        <v>-27.421352733006454</v>
      </c>
      <c r="Z32" s="255"/>
      <c r="AB32" s="154">
        <f>+IF(AB31&gt;$G$13+$G$14,XX,AB31+1)</f>
        <v>2025</v>
      </c>
      <c r="AC32" s="124"/>
      <c r="AD32" s="159">
        <f t="shared" si="2"/>
        <v>748756.09440000006</v>
      </c>
      <c r="AE32" s="3"/>
      <c r="AF32" s="162">
        <f t="shared" si="12"/>
        <v>110.99826000588922</v>
      </c>
      <c r="AG32" s="3"/>
      <c r="AH32" s="162">
        <f t="shared" si="13"/>
        <v>22.233433722480296</v>
      </c>
      <c r="AI32" s="3"/>
      <c r="AJ32" s="162">
        <f t="shared" si="14"/>
        <v>2.2689667915276881</v>
      </c>
      <c r="AK32" s="3"/>
      <c r="AL32" s="161">
        <f t="shared" si="7"/>
        <v>17917.45673901372</v>
      </c>
      <c r="AM32" s="3"/>
      <c r="AN32" s="162">
        <f>INDEX('(2.2)_Forward_Price_Curve'!$G:$G,MATCH($AB32,'(2.2)_Forward_Price_Curve'!$C:$C,0),1)</f>
        <v>4.1086708333333339</v>
      </c>
      <c r="AO32" s="3"/>
      <c r="AP32" s="162">
        <f t="shared" ref="AP32:AP47" si="18">AN32*$AF$14/1000+$AJ$14*(1+E32)</f>
        <v>26.989204437260831</v>
      </c>
      <c r="AQ32" s="3"/>
      <c r="AR32" s="162">
        <f t="shared" si="15"/>
        <v>2.5604074693541143</v>
      </c>
      <c r="AS32" s="162"/>
      <c r="AT32" s="161">
        <f t="shared" si="3"/>
        <v>10973.16384763938</v>
      </c>
      <c r="AU32" s="3"/>
      <c r="AV32" s="161">
        <f t="shared" si="4"/>
        <v>22125.452002232745</v>
      </c>
      <c r="AW32" s="299"/>
      <c r="AX32" s="163">
        <f t="shared" si="8"/>
        <v>33098.615849872127</v>
      </c>
      <c r="AZ32" s="154">
        <f>+IF(AZ31&gt;$G$13+$G$14,XX,AZ31+1)</f>
        <v>2025</v>
      </c>
      <c r="BA32" s="124"/>
      <c r="BB32" s="162">
        <f t="shared" si="16"/>
        <v>72.286012261858389</v>
      </c>
      <c r="BC32" s="3"/>
      <c r="BD32" s="162">
        <f t="shared" si="17"/>
        <v>4.7598389224380835</v>
      </c>
      <c r="BE32" s="3"/>
      <c r="BF32" s="161">
        <f t="shared" si="9"/>
        <v>6944.2928913743399</v>
      </c>
      <c r="BG32" s="3"/>
      <c r="BH32" s="165"/>
    </row>
    <row r="33" spans="2:60" ht="12">
      <c r="B33" s="2"/>
      <c r="C33" s="6">
        <f>+IF(C32&gt;$G$13+$G$14,XX,C32+1)</f>
        <v>2026</v>
      </c>
      <c r="D33" s="6"/>
      <c r="E33" s="292">
        <f>'(2.2)_Forward_Price_Curve'!P38</f>
        <v>2.1999999999999999E-2</v>
      </c>
      <c r="F33" s="6"/>
      <c r="G33" s="20">
        <v>748756.09440000006</v>
      </c>
      <c r="H33" s="6"/>
      <c r="I33" s="30">
        <f t="shared" si="10"/>
        <v>0</v>
      </c>
      <c r="J33" s="6"/>
      <c r="K33" s="30">
        <v>15.5</v>
      </c>
      <c r="L33" s="6"/>
      <c r="M33" s="30">
        <f t="shared" si="11"/>
        <v>0</v>
      </c>
      <c r="N33" s="6"/>
      <c r="O33" s="295">
        <f>'(2.2)_Forward_Price_Curve'!Y38</f>
        <v>1.3117597482561225</v>
      </c>
      <c r="P33" s="6"/>
      <c r="Q33" s="30"/>
      <c r="R33" s="6"/>
      <c r="S33" s="20">
        <f t="shared" si="5"/>
        <v>12587.907569095383</v>
      </c>
      <c r="T33" s="6"/>
      <c r="U33" s="20">
        <f t="shared" si="0"/>
        <v>33765.001718050597</v>
      </c>
      <c r="V33" s="6"/>
      <c r="W33" s="20">
        <f t="shared" si="1"/>
        <v>-21177.094148955213</v>
      </c>
      <c r="X33" s="6"/>
      <c r="Y33" s="296">
        <f t="shared" si="6"/>
        <v>-28.28303409793951</v>
      </c>
      <c r="Z33" s="255"/>
      <c r="AB33" s="154">
        <f>+IF(AB32&gt;$G$13+$G$14,XX,AB32+1)</f>
        <v>2026</v>
      </c>
      <c r="AC33" s="124"/>
      <c r="AD33" s="159">
        <f t="shared" si="2"/>
        <v>748756.09440000006</v>
      </c>
      <c r="AE33" s="3"/>
      <c r="AF33" s="162">
        <f t="shared" si="12"/>
        <v>113.44022172601879</v>
      </c>
      <c r="AG33" s="3"/>
      <c r="AH33" s="162">
        <f t="shared" si="13"/>
        <v>22.722569264374862</v>
      </c>
      <c r="AI33" s="3"/>
      <c r="AJ33" s="162">
        <f t="shared" si="14"/>
        <v>2.3188840609412971</v>
      </c>
      <c r="AK33" s="3"/>
      <c r="AL33" s="161">
        <f t="shared" si="7"/>
        <v>18311.640787272023</v>
      </c>
      <c r="AM33" s="3"/>
      <c r="AN33" s="162">
        <f>INDEX('(2.2)_Forward_Price_Curve'!$G:$G,MATCH($AB33,'(2.2)_Forward_Price_Curve'!$C:$C,0),1)</f>
        <v>4.1864999999999997</v>
      </c>
      <c r="AO33" s="3"/>
      <c r="AP33" s="162">
        <f t="shared" si="18"/>
        <v>27.500451839536701</v>
      </c>
      <c r="AQ33" s="3"/>
      <c r="AR33" s="162">
        <f t="shared" si="15"/>
        <v>2.6167364336799048</v>
      </c>
      <c r="AS33" s="162"/>
      <c r="AT33" s="161">
        <f t="shared" si="3"/>
        <v>11214.573452287448</v>
      </c>
      <c r="AU33" s="3"/>
      <c r="AV33" s="161">
        <f t="shared" si="4"/>
        <v>22550.428265763148</v>
      </c>
      <c r="AW33" s="299"/>
      <c r="AX33" s="163">
        <f t="shared" si="8"/>
        <v>33765.001718050597</v>
      </c>
      <c r="AZ33" s="154">
        <f>+IF(AZ32&gt;$G$13+$G$14,XX,AZ32+1)</f>
        <v>2026</v>
      </c>
      <c r="BA33" s="124"/>
      <c r="BB33" s="162">
        <f t="shared" si="16"/>
        <v>73.876304531619269</v>
      </c>
      <c r="BC33" s="3"/>
      <c r="BD33" s="162">
        <f t="shared" si="17"/>
        <v>4.8645553787317217</v>
      </c>
      <c r="BE33" s="3"/>
      <c r="BF33" s="161">
        <f t="shared" si="9"/>
        <v>7097.0673349845756</v>
      </c>
      <c r="BG33" s="3"/>
      <c r="BH33" s="165"/>
    </row>
    <row r="34" spans="2:60" ht="12">
      <c r="B34" s="2"/>
      <c r="C34" s="6">
        <f>+IF(C33&gt;$G$13+$G$14,XX,C33+1)</f>
        <v>2027</v>
      </c>
      <c r="D34" s="6"/>
      <c r="E34" s="292">
        <f>'(2.2)_Forward_Price_Curve'!P39</f>
        <v>2.1999999999999999E-2</v>
      </c>
      <c r="F34" s="6"/>
      <c r="G34" s="20">
        <v>748756.09440000006</v>
      </c>
      <c r="H34" s="6"/>
      <c r="I34" s="30">
        <f t="shared" si="10"/>
        <v>0</v>
      </c>
      <c r="J34" s="6"/>
      <c r="K34" s="30">
        <v>15.5</v>
      </c>
      <c r="L34" s="6"/>
      <c r="M34" s="30">
        <f t="shared" si="11"/>
        <v>0</v>
      </c>
      <c r="N34" s="6"/>
      <c r="O34" s="295">
        <f>'(2.2)_Forward_Price_Curve'!Y39</f>
        <v>1.3408534982838876</v>
      </c>
      <c r="P34" s="6"/>
      <c r="Q34" s="30"/>
      <c r="R34" s="6"/>
      <c r="S34" s="20">
        <f t="shared" si="5"/>
        <v>12609.691691737622</v>
      </c>
      <c r="T34" s="6"/>
      <c r="U34" s="20">
        <f t="shared" si="0"/>
        <v>35386.807203119948</v>
      </c>
      <c r="V34" s="6"/>
      <c r="W34" s="20">
        <f t="shared" si="1"/>
        <v>-22777.115511382326</v>
      </c>
      <c r="X34" s="6"/>
      <c r="Y34" s="296">
        <f t="shared" si="6"/>
        <v>-30.419940060233216</v>
      </c>
      <c r="Z34" s="255"/>
      <c r="AB34" s="154">
        <f>+IF(AB33&gt;$G$13+$G$14,XX,AB33+1)</f>
        <v>2027</v>
      </c>
      <c r="AC34" s="124"/>
      <c r="AD34" s="159">
        <f t="shared" si="2"/>
        <v>748756.09440000006</v>
      </c>
      <c r="AE34" s="3"/>
      <c r="AF34" s="162">
        <f t="shared" si="12"/>
        <v>115.93590660399121</v>
      </c>
      <c r="AG34" s="3"/>
      <c r="AH34" s="162">
        <f t="shared" si="13"/>
        <v>23.222465788191109</v>
      </c>
      <c r="AI34" s="3"/>
      <c r="AJ34" s="162">
        <f t="shared" si="14"/>
        <v>2.3698995102820057</v>
      </c>
      <c r="AK34" s="3"/>
      <c r="AL34" s="161">
        <f t="shared" si="7"/>
        <v>18714.496884592008</v>
      </c>
      <c r="AM34" s="3"/>
      <c r="AN34" s="162">
        <f>INDEX('(2.2)_Forward_Price_Curve'!$G:$G,MATCH($AB34,'(2.2)_Forward_Price_Curve'!$C:$C,0),1)</f>
        <v>4.4573125000000005</v>
      </c>
      <c r="AO34" s="3"/>
      <c r="AP34" s="162">
        <f t="shared" si="18"/>
        <v>29.279376027711681</v>
      </c>
      <c r="AQ34" s="3"/>
      <c r="AR34" s="162">
        <f t="shared" si="15"/>
        <v>2.6743046352208628</v>
      </c>
      <c r="AS34" s="162"/>
      <c r="AT34" s="161">
        <f t="shared" si="3"/>
        <v>11461.294068237772</v>
      </c>
      <c r="AU34" s="3"/>
      <c r="AV34" s="161">
        <f t="shared" si="4"/>
        <v>23925.513134882178</v>
      </c>
      <c r="AW34" s="299"/>
      <c r="AX34" s="163">
        <f t="shared" si="8"/>
        <v>35386.807203119948</v>
      </c>
      <c r="AZ34" s="154">
        <f>+IF(AZ33&gt;$G$13+$G$14,XX,AZ33+1)</f>
        <v>2027</v>
      </c>
      <c r="BA34" s="124"/>
      <c r="BB34" s="162">
        <f t="shared" si="16"/>
        <v>75.501583231314896</v>
      </c>
      <c r="BC34" s="3"/>
      <c r="BD34" s="162">
        <f t="shared" si="17"/>
        <v>4.9715755970638194</v>
      </c>
      <c r="BE34" s="3"/>
      <c r="BF34" s="161">
        <f t="shared" si="9"/>
        <v>7253.2028163542363</v>
      </c>
      <c r="BG34" s="3"/>
      <c r="BH34" s="165"/>
    </row>
    <row r="35" spans="2:60" ht="12">
      <c r="B35" s="2"/>
      <c r="C35" s="6">
        <f>+IF(C34&gt;$G$13+$G$14,XX,C34+1)</f>
        <v>2028</v>
      </c>
      <c r="D35" s="6"/>
      <c r="E35" s="292">
        <f>'(2.2)_Forward_Price_Curve'!P40</f>
        <v>2.1999999999999999E-2</v>
      </c>
      <c r="F35" s="6"/>
      <c r="G35" s="20">
        <v>748756.09440000006</v>
      </c>
      <c r="H35" s="6"/>
      <c r="I35" s="30">
        <f t="shared" si="10"/>
        <v>0</v>
      </c>
      <c r="J35" s="6"/>
      <c r="K35" s="30">
        <v>15.5</v>
      </c>
      <c r="L35" s="6"/>
      <c r="M35" s="30">
        <f t="shared" si="11"/>
        <v>0</v>
      </c>
      <c r="N35" s="6"/>
      <c r="O35" s="295">
        <f>'(2.2)_Forward_Price_Curve'!Y40</f>
        <v>1.3709529466223729</v>
      </c>
      <c r="P35" s="6"/>
      <c r="Q35" s="30"/>
      <c r="R35" s="6"/>
      <c r="S35" s="20">
        <f t="shared" si="5"/>
        <v>12632.228837119141</v>
      </c>
      <c r="T35" s="6"/>
      <c r="U35" s="20">
        <f t="shared" si="0"/>
        <v>36451.722755070332</v>
      </c>
      <c r="V35" s="6"/>
      <c r="W35" s="20">
        <f t="shared" si="1"/>
        <v>-23819.493917951193</v>
      </c>
      <c r="X35" s="6"/>
      <c r="Y35" s="296">
        <f t="shared" si="6"/>
        <v>-31.812086867938543</v>
      </c>
      <c r="Z35" s="255"/>
      <c r="AB35" s="154">
        <f>+IF(AB34&gt;$G$13+$G$14,XX,AB34+1)</f>
        <v>2028</v>
      </c>
      <c r="AC35" s="124"/>
      <c r="AD35" s="159">
        <f t="shared" si="2"/>
        <v>748756.09440000006</v>
      </c>
      <c r="AE35" s="3"/>
      <c r="AF35" s="162">
        <f t="shared" si="12"/>
        <v>118.48649654927902</v>
      </c>
      <c r="AG35" s="3"/>
      <c r="AH35" s="162">
        <f t="shared" si="13"/>
        <v>23.733360035531312</v>
      </c>
      <c r="AI35" s="3"/>
      <c r="AJ35" s="162">
        <f t="shared" si="14"/>
        <v>2.4220372995082098</v>
      </c>
      <c r="AK35" s="3"/>
      <c r="AL35" s="161">
        <f t="shared" si="7"/>
        <v>19126.215816053038</v>
      </c>
      <c r="AM35" s="3"/>
      <c r="AN35" s="162">
        <f>INDEX('(2.2)_Forward_Price_Curve'!$G:$G,MATCH($AB35,'(2.2)_Forward_Price_Curve'!$C:$C,0),1)</f>
        <v>4.6136041666666676</v>
      </c>
      <c r="AO35" s="3"/>
      <c r="AP35" s="162">
        <f t="shared" si="18"/>
        <v>30.30603109807776</v>
      </c>
      <c r="AQ35" s="3"/>
      <c r="AR35" s="162">
        <f t="shared" si="15"/>
        <v>2.733139337195722</v>
      </c>
      <c r="AS35" s="162"/>
      <c r="AT35" s="161">
        <f t="shared" si="3"/>
        <v>11713.442537739009</v>
      </c>
      <c r="AU35" s="3"/>
      <c r="AV35" s="161">
        <f t="shared" si="4"/>
        <v>24738.280217331325</v>
      </c>
      <c r="AW35" s="299"/>
      <c r="AX35" s="163">
        <f t="shared" si="8"/>
        <v>36451.722755070332</v>
      </c>
      <c r="AZ35" s="154">
        <f>+IF(AZ34&gt;$G$13+$G$14,XX,AZ34+1)</f>
        <v>2028</v>
      </c>
      <c r="BA35" s="124"/>
      <c r="BB35" s="162">
        <f t="shared" si="16"/>
        <v>77.162618062403823</v>
      </c>
      <c r="BC35" s="3"/>
      <c r="BD35" s="162">
        <f t="shared" si="17"/>
        <v>5.0809502601992236</v>
      </c>
      <c r="BE35" s="3"/>
      <c r="BF35" s="161">
        <f t="shared" si="9"/>
        <v>7412.7732783140291</v>
      </c>
      <c r="BG35" s="3"/>
      <c r="BH35" s="165"/>
    </row>
    <row r="36" spans="2:60" ht="12">
      <c r="B36" s="2"/>
      <c r="C36" s="6">
        <f>+IF(C35&gt;$G$13+$G$14,XX,C35+1)</f>
        <v>2029</v>
      </c>
      <c r="D36" s="6"/>
      <c r="E36" s="292">
        <f>'(2.2)_Forward_Price_Curve'!P41</f>
        <v>2.1999999999999999E-2</v>
      </c>
      <c r="F36" s="6"/>
      <c r="G36" s="20">
        <v>748756.09440000006</v>
      </c>
      <c r="H36" s="6"/>
      <c r="I36" s="30">
        <f t="shared" si="10"/>
        <v>0</v>
      </c>
      <c r="J36" s="6"/>
      <c r="K36" s="30">
        <v>15.5</v>
      </c>
      <c r="L36" s="6"/>
      <c r="M36" s="30">
        <f t="shared" si="11"/>
        <v>0</v>
      </c>
      <c r="N36" s="6"/>
      <c r="O36" s="295">
        <f>'(2.2)_Forward_Price_Curve'!Y41</f>
        <v>1.4021626326399876</v>
      </c>
      <c r="P36" s="6"/>
      <c r="Q36" s="30"/>
      <c r="R36" s="6"/>
      <c r="S36" s="20">
        <f t="shared" si="5"/>
        <v>12655.597279729142</v>
      </c>
      <c r="T36" s="6"/>
      <c r="U36" s="20">
        <f t="shared" si="0"/>
        <v>37445.791465832874</v>
      </c>
      <c r="V36" s="6"/>
      <c r="W36" s="20">
        <f t="shared" si="1"/>
        <v>-24790.194186103734</v>
      </c>
      <c r="X36" s="6"/>
      <c r="Y36" s="296">
        <f t="shared" si="6"/>
        <v>-33.108504052937072</v>
      </c>
      <c r="Z36" s="255"/>
      <c r="AB36" s="154">
        <f>+IF(AB35&gt;$G$13+$G$14,XX,AB35+1)</f>
        <v>2029</v>
      </c>
      <c r="AC36" s="124"/>
      <c r="AD36" s="159">
        <f t="shared" si="2"/>
        <v>748756.09440000006</v>
      </c>
      <c r="AE36" s="3"/>
      <c r="AF36" s="162">
        <f t="shared" si="12"/>
        <v>121.09319947336317</v>
      </c>
      <c r="AG36" s="3"/>
      <c r="AH36" s="162">
        <f t="shared" si="13"/>
        <v>24.255493956313003</v>
      </c>
      <c r="AI36" s="3"/>
      <c r="AJ36" s="162">
        <f t="shared" si="14"/>
        <v>2.4753221200973905</v>
      </c>
      <c r="AK36" s="3"/>
      <c r="AL36" s="161">
        <f t="shared" si="7"/>
        <v>19546.992564006203</v>
      </c>
      <c r="AM36" s="3"/>
      <c r="AN36" s="162">
        <f>INDEX('(2.2)_Forward_Price_Curve'!$G:$G,MATCH($AB36,'(2.2)_Forward_Price_Curve'!$C:$C,0),1)</f>
        <v>4.7541666666666673</v>
      </c>
      <c r="AO36" s="3"/>
      <c r="AP36" s="162">
        <f t="shared" si="18"/>
        <v>31.229363777331283</v>
      </c>
      <c r="AQ36" s="3"/>
      <c r="AR36" s="162">
        <f t="shared" si="15"/>
        <v>2.7932684026140278</v>
      </c>
      <c r="AS36" s="162"/>
      <c r="AT36" s="161">
        <f t="shared" si="3"/>
        <v>11971.138273569264</v>
      </c>
      <c r="AU36" s="3"/>
      <c r="AV36" s="161">
        <f t="shared" si="4"/>
        <v>25474.65319226361</v>
      </c>
      <c r="AW36" s="299"/>
      <c r="AX36" s="163">
        <f t="shared" si="8"/>
        <v>37445.791465832874</v>
      </c>
      <c r="AZ36" s="154">
        <f>+IF(AZ35&gt;$G$13+$G$14,XX,AZ35+1)</f>
        <v>2029</v>
      </c>
      <c r="BA36" s="124"/>
      <c r="BB36" s="162">
        <f t="shared" si="16"/>
        <v>78.860195659776707</v>
      </c>
      <c r="BC36" s="3"/>
      <c r="BD36" s="162">
        <f t="shared" si="17"/>
        <v>5.1927311659236066</v>
      </c>
      <c r="BE36" s="3"/>
      <c r="BF36" s="161">
        <f t="shared" si="9"/>
        <v>7575.8542904369388</v>
      </c>
      <c r="BG36" s="3"/>
      <c r="BH36" s="165"/>
    </row>
    <row r="37" spans="2:60" ht="12">
      <c r="B37" s="2"/>
      <c r="C37" s="6">
        <f>+IF(C36&gt;$G$13+$G$14,XX,C36+1)</f>
        <v>2030</v>
      </c>
      <c r="D37" s="6"/>
      <c r="E37" s="292">
        <f>'(2.2)_Forward_Price_Curve'!P42</f>
        <v>2.1999999999999999E-2</v>
      </c>
      <c r="F37" s="6"/>
      <c r="G37" s="20">
        <v>748756.09440000006</v>
      </c>
      <c r="H37" s="6"/>
      <c r="I37" s="30">
        <f t="shared" si="10"/>
        <v>0</v>
      </c>
      <c r="J37" s="6"/>
      <c r="K37" s="30">
        <v>15.5</v>
      </c>
      <c r="L37" s="6"/>
      <c r="M37" s="30">
        <f t="shared" si="11"/>
        <v>0</v>
      </c>
      <c r="N37" s="6"/>
      <c r="O37" s="295">
        <f>'(2.2)_Forward_Price_Curve'!Y42</f>
        <v>1.4335840474923813</v>
      </c>
      <c r="P37" s="6"/>
      <c r="Q37" s="30"/>
      <c r="R37" s="6"/>
      <c r="S37" s="20">
        <f t="shared" si="5"/>
        <v>12679.124255594541</v>
      </c>
      <c r="T37" s="6"/>
      <c r="U37" s="20">
        <f t="shared" si="0"/>
        <v>39222.652884149589</v>
      </c>
      <c r="V37" s="6"/>
      <c r="W37" s="20">
        <f t="shared" si="1"/>
        <v>-26543.528628555046</v>
      </c>
      <c r="X37" s="6"/>
      <c r="Y37" s="296">
        <f t="shared" si="6"/>
        <v>-35.450167053164549</v>
      </c>
      <c r="Z37" s="255"/>
      <c r="AB37" s="154">
        <f>+IF(AB36&gt;$G$13+$G$14,XX,AB36+1)</f>
        <v>2030</v>
      </c>
      <c r="AC37" s="124"/>
      <c r="AD37" s="159">
        <f t="shared" si="2"/>
        <v>748756.09440000006</v>
      </c>
      <c r="AE37" s="3"/>
      <c r="AF37" s="162">
        <f t="shared" si="12"/>
        <v>123.75724986177717</v>
      </c>
      <c r="AG37" s="3"/>
      <c r="AH37" s="162">
        <f t="shared" si="13"/>
        <v>24.789114823351891</v>
      </c>
      <c r="AI37" s="3"/>
      <c r="AJ37" s="162">
        <f t="shared" si="14"/>
        <v>2.529779206739533</v>
      </c>
      <c r="AK37" s="3"/>
      <c r="AL37" s="161">
        <f t="shared" si="7"/>
        <v>19977.026400414336</v>
      </c>
      <c r="AM37" s="3"/>
      <c r="AN37" s="162">
        <f>INDEX('(2.2)_Forward_Price_Curve'!$G:$G,MATCH($AB37,'(2.2)_Forward_Price_Curve'!$C:$C,0),1)</f>
        <v>5.052529166666667</v>
      </c>
      <c r="AO37" s="3"/>
      <c r="AP37" s="162">
        <f t="shared" si="18"/>
        <v>33.189259528429758</v>
      </c>
      <c r="AQ37" s="3"/>
      <c r="AR37" s="162">
        <f t="shared" si="15"/>
        <v>2.8547203074715366</v>
      </c>
      <c r="AS37" s="162"/>
      <c r="AT37" s="161">
        <f t="shared" si="3"/>
        <v>12234.503315587783</v>
      </c>
      <c r="AU37" s="3"/>
      <c r="AV37" s="161">
        <f t="shared" si="4"/>
        <v>26988.14956856181</v>
      </c>
      <c r="AW37" s="299"/>
      <c r="AX37" s="163">
        <f t="shared" si="8"/>
        <v>39222.652884149589</v>
      </c>
      <c r="AZ37" s="154">
        <f>+IF(AZ36&gt;$G$13+$G$14,XX,AZ36+1)</f>
        <v>2030</v>
      </c>
      <c r="BA37" s="124"/>
      <c r="BB37" s="162">
        <f t="shared" si="16"/>
        <v>80.595119964291797</v>
      </c>
      <c r="BC37" s="3"/>
      <c r="BD37" s="162">
        <f t="shared" si="17"/>
        <v>5.306971251573926</v>
      </c>
      <c r="BE37" s="3"/>
      <c r="BF37" s="161">
        <f t="shared" si="9"/>
        <v>7742.5230848265519</v>
      </c>
      <c r="BG37" s="3"/>
      <c r="BH37" s="165"/>
    </row>
    <row r="38" spans="2:60" ht="12">
      <c r="B38" s="2"/>
      <c r="C38" s="6">
        <f>+IF(C37&gt;$G$13+$G$14,XX,C37+1)</f>
        <v>2031</v>
      </c>
      <c r="D38" s="6"/>
      <c r="E38" s="292">
        <f>'(2.2)_Forward_Price_Curve'!P43</f>
        <v>2.1999999999999999E-2</v>
      </c>
      <c r="F38" s="6"/>
      <c r="G38" s="20">
        <v>748756.09440000006</v>
      </c>
      <c r="H38" s="6"/>
      <c r="I38" s="30">
        <f t="shared" si="10"/>
        <v>0</v>
      </c>
      <c r="J38" s="6"/>
      <c r="K38" s="30">
        <v>15.5</v>
      </c>
      <c r="L38" s="6"/>
      <c r="M38" s="30">
        <f t="shared" si="11"/>
        <v>0</v>
      </c>
      <c r="N38" s="6"/>
      <c r="O38" s="295">
        <f>'(2.2)_Forward_Price_Curve'!Y43</f>
        <v>1.4649463685254571</v>
      </c>
      <c r="P38" s="6"/>
      <c r="Q38" s="30"/>
      <c r="R38" s="6"/>
      <c r="S38" s="20">
        <f t="shared" si="5"/>
        <v>12702.606984602586</v>
      </c>
      <c r="T38" s="6"/>
      <c r="U38" s="20">
        <f t="shared" si="0"/>
        <v>40214.387139548715</v>
      </c>
      <c r="V38" s="6"/>
      <c r="W38" s="20">
        <f t="shared" si="1"/>
        <v>-27511.780154946129</v>
      </c>
      <c r="X38" s="6"/>
      <c r="Y38" s="296">
        <f t="shared" si="6"/>
        <v>-36.743313825034193</v>
      </c>
      <c r="Z38" s="255"/>
      <c r="AB38" s="154">
        <f>+IF(AB37&gt;$G$13+$G$14,XX,AB37+1)</f>
        <v>2031</v>
      </c>
      <c r="AC38" s="124"/>
      <c r="AD38" s="159">
        <f t="shared" si="2"/>
        <v>748756.09440000006</v>
      </c>
      <c r="AE38" s="3"/>
      <c r="AF38" s="162">
        <f t="shared" si="12"/>
        <v>126.47990935873626</v>
      </c>
      <c r="AG38" s="3"/>
      <c r="AH38" s="162">
        <f t="shared" si="13"/>
        <v>25.334475349465635</v>
      </c>
      <c r="AI38" s="3"/>
      <c r="AJ38" s="162">
        <f t="shared" si="14"/>
        <v>2.5854343492878029</v>
      </c>
      <c r="AK38" s="3"/>
      <c r="AL38" s="161">
        <f t="shared" si="7"/>
        <v>20416.520981223453</v>
      </c>
      <c r="AM38" s="3"/>
      <c r="AN38" s="162">
        <f>INDEX('(2.2)_Forward_Price_Curve'!$G:$G,MATCH($AB38,'(2.2)_Forward_Price_Curve'!$C:$C,0),1)</f>
        <v>5.1898791666666666</v>
      </c>
      <c r="AO38" s="3"/>
      <c r="AP38" s="162">
        <f t="shared" si="18"/>
        <v>34.091489806743468</v>
      </c>
      <c r="AQ38" s="3"/>
      <c r="AR38" s="162">
        <f t="shared" si="15"/>
        <v>2.9175241542359105</v>
      </c>
      <c r="AS38" s="162"/>
      <c r="AT38" s="161">
        <f t="shared" si="3"/>
        <v>12503.662388530716</v>
      </c>
      <c r="AU38" s="3"/>
      <c r="AV38" s="161">
        <f t="shared" si="4"/>
        <v>27710.724751017999</v>
      </c>
      <c r="AW38" s="299"/>
      <c r="AX38" s="163">
        <f t="shared" si="8"/>
        <v>40214.387139548715</v>
      </c>
      <c r="AZ38" s="154">
        <f>+IF(AZ37&gt;$G$13+$G$14,XX,AZ37+1)</f>
        <v>2031</v>
      </c>
      <c r="BA38" s="124"/>
      <c r="BB38" s="162">
        <f t="shared" si="16"/>
        <v>82.368212603506223</v>
      </c>
      <c r="BC38" s="3"/>
      <c r="BD38" s="162">
        <f t="shared" si="17"/>
        <v>5.4237246191085529</v>
      </c>
      <c r="BE38" s="3"/>
      <c r="BF38" s="161">
        <f t="shared" si="9"/>
        <v>7912.8585926927362</v>
      </c>
      <c r="BG38" s="3"/>
      <c r="BH38" s="165"/>
    </row>
    <row r="39" spans="2:60" ht="12">
      <c r="B39" s="2"/>
      <c r="C39" s="6">
        <f>+IF(C38&gt;$G$13+$G$14,XX,C38+1)</f>
        <v>2032</v>
      </c>
      <c r="D39" s="6"/>
      <c r="E39" s="292">
        <f>'(2.2)_Forward_Price_Curve'!P44</f>
        <v>2.1000000000000001E-2</v>
      </c>
      <c r="F39" s="6"/>
      <c r="G39" s="20">
        <v>748756.09440000006</v>
      </c>
      <c r="H39" s="6"/>
      <c r="I39" s="30">
        <f t="shared" si="10"/>
        <v>0</v>
      </c>
      <c r="J39" s="6"/>
      <c r="K39" s="30">
        <v>15.5</v>
      </c>
      <c r="L39" s="6"/>
      <c r="M39" s="30">
        <f t="shared" si="11"/>
        <v>0</v>
      </c>
      <c r="N39" s="6"/>
      <c r="O39" s="295">
        <f>'(2.2)_Forward_Price_Curve'!Y44</f>
        <v>1.4965465421812867</v>
      </c>
      <c r="P39" s="6"/>
      <c r="Q39" s="30"/>
      <c r="R39" s="6"/>
      <c r="S39" s="20">
        <f t="shared" si="5"/>
        <v>12726.267807211485</v>
      </c>
      <c r="T39" s="6"/>
      <c r="U39" s="20">
        <f t="shared" si="0"/>
        <v>41225.235854679602</v>
      </c>
      <c r="V39" s="6"/>
      <c r="W39" s="20">
        <f t="shared" si="1"/>
        <v>-28498.968047468115</v>
      </c>
      <c r="X39" s="6"/>
      <c r="Y39" s="296">
        <f t="shared" si="6"/>
        <v>-38.061751030293998</v>
      </c>
      <c r="Z39" s="255"/>
      <c r="AB39" s="154">
        <f>+IF(AB38&gt;$G$13+$G$14,XX,AB38+1)</f>
        <v>2032</v>
      </c>
      <c r="AC39" s="124"/>
      <c r="AD39" s="159">
        <f t="shared" si="2"/>
        <v>748756.09440000006</v>
      </c>
      <c r="AE39" s="3"/>
      <c r="AF39" s="162">
        <f t="shared" si="12"/>
        <v>129.13598745526971</v>
      </c>
      <c r="AG39" s="3"/>
      <c r="AH39" s="162">
        <f t="shared" si="13"/>
        <v>25.866499331804409</v>
      </c>
      <c r="AI39" s="3"/>
      <c r="AJ39" s="162">
        <f t="shared" si="14"/>
        <v>2.6397284706228463</v>
      </c>
      <c r="AK39" s="3"/>
      <c r="AL39" s="161">
        <f t="shared" si="7"/>
        <v>20845.267921829145</v>
      </c>
      <c r="AM39" s="3"/>
      <c r="AN39" s="162">
        <f>INDEX('(2.2)_Forward_Price_Curve'!$G:$G,MATCH($AB39,'(2.2)_Forward_Price_Curve'!$C:$C,0),1)</f>
        <v>5.3326874999999996</v>
      </c>
      <c r="AO39" s="3"/>
      <c r="AP39" s="162">
        <f t="shared" si="18"/>
        <v>35.029575007535975</v>
      </c>
      <c r="AQ39" s="3"/>
      <c r="AR39" s="162">
        <f t="shared" si="15"/>
        <v>2.9787921614748645</v>
      </c>
      <c r="AS39" s="162"/>
      <c r="AT39" s="161">
        <f t="shared" si="3"/>
        <v>12766.239298689863</v>
      </c>
      <c r="AU39" s="3"/>
      <c r="AV39" s="161">
        <f t="shared" si="4"/>
        <v>28458.996555989743</v>
      </c>
      <c r="AW39" s="299"/>
      <c r="AX39" s="163">
        <f t="shared" si="8"/>
        <v>41225.235854679602</v>
      </c>
      <c r="AZ39" s="154">
        <f>+IF(AZ38&gt;$G$13+$G$14,XX,AZ38+1)</f>
        <v>2032</v>
      </c>
      <c r="BA39" s="124"/>
      <c r="BB39" s="162">
        <f t="shared" si="16"/>
        <v>84.09794506817984</v>
      </c>
      <c r="BC39" s="3"/>
      <c r="BD39" s="162">
        <f t="shared" si="17"/>
        <v>5.5376228361098319</v>
      </c>
      <c r="BE39" s="3"/>
      <c r="BF39" s="161">
        <f t="shared" si="9"/>
        <v>8079.0286231392829</v>
      </c>
      <c r="BG39" s="3"/>
      <c r="BH39" s="165"/>
    </row>
    <row r="40" spans="2:60" ht="12">
      <c r="B40" s="2"/>
      <c r="C40" s="6">
        <f>+IF(C39&gt;$G$13+$G$14,XX,C39+1)</f>
        <v>2033</v>
      </c>
      <c r="D40" s="6"/>
      <c r="E40" s="292">
        <f>'(2.2)_Forward_Price_Curve'!P45</f>
        <v>2.1000000000000001E-2</v>
      </c>
      <c r="F40" s="6"/>
      <c r="G40" s="20">
        <v>748756.09440000006</v>
      </c>
      <c r="H40" s="6"/>
      <c r="I40" s="30">
        <f t="shared" si="10"/>
        <v>0</v>
      </c>
      <c r="J40" s="6"/>
      <c r="K40" s="30">
        <v>15.5</v>
      </c>
      <c r="L40" s="6"/>
      <c r="M40" s="30">
        <f t="shared" si="11"/>
        <v>0</v>
      </c>
      <c r="N40" s="6"/>
      <c r="O40" s="295">
        <f>'(2.2)_Forward_Price_Curve'!Y45</f>
        <v>1.5286401492284176</v>
      </c>
      <c r="P40" s="6"/>
      <c r="Q40" s="30"/>
      <c r="R40" s="6"/>
      <c r="S40" s="20">
        <f t="shared" si="5"/>
        <v>12750.298091079307</v>
      </c>
      <c r="T40" s="6"/>
      <c r="U40" s="20">
        <f t="shared" si="0"/>
        <v>42445.919864479321</v>
      </c>
      <c r="V40" s="6"/>
      <c r="W40" s="20">
        <f t="shared" si="1"/>
        <v>-29695.621773400017</v>
      </c>
      <c r="X40" s="6"/>
      <c r="Y40" s="296">
        <f t="shared" si="6"/>
        <v>-39.65993999313752</v>
      </c>
      <c r="Z40" s="255"/>
      <c r="AB40" s="154">
        <f>+IF(AB39&gt;$G$13+$G$14,XX,AB39+1)</f>
        <v>2033</v>
      </c>
      <c r="AC40" s="124"/>
      <c r="AD40" s="159">
        <f t="shared" si="2"/>
        <v>748756.09440000006</v>
      </c>
      <c r="AE40" s="3"/>
      <c r="AF40" s="162">
        <f t="shared" si="12"/>
        <v>131.84784319183038</v>
      </c>
      <c r="AG40" s="3"/>
      <c r="AH40" s="162">
        <f t="shared" si="13"/>
        <v>26.409695817772299</v>
      </c>
      <c r="AI40" s="3"/>
      <c r="AJ40" s="162">
        <f t="shared" si="14"/>
        <v>2.6951627685059258</v>
      </c>
      <c r="AK40" s="3"/>
      <c r="AL40" s="161">
        <f t="shared" si="7"/>
        <v>21283.018548187552</v>
      </c>
      <c r="AM40" s="3"/>
      <c r="AN40" s="162">
        <f>INDEX('(2.2)_Forward_Price_Curve'!$G:$G,MATCH($AB40,'(2.2)_Forward_Price_Curve'!$C:$C,0),1)</f>
        <v>5.5168416666666671</v>
      </c>
      <c r="AO40" s="3"/>
      <c r="AP40" s="162">
        <f t="shared" si="18"/>
        <v>36.239254403562896</v>
      </c>
      <c r="AQ40" s="3"/>
      <c r="AR40" s="162">
        <f t="shared" si="15"/>
        <v>3.0413467968658363</v>
      </c>
      <c r="AS40" s="162"/>
      <c r="AT40" s="161">
        <f t="shared" si="3"/>
        <v>13034.330323962346</v>
      </c>
      <c r="AU40" s="3"/>
      <c r="AV40" s="161">
        <f t="shared" si="4"/>
        <v>29411.589540516972</v>
      </c>
      <c r="AW40" s="299"/>
      <c r="AX40" s="163">
        <f t="shared" si="8"/>
        <v>42445.919864479321</v>
      </c>
      <c r="AZ40" s="154">
        <f>+IF(AZ39&gt;$G$13+$G$14,XX,AZ39+1)</f>
        <v>2033</v>
      </c>
      <c r="BA40" s="124"/>
      <c r="BB40" s="162">
        <f t="shared" si="16"/>
        <v>85.864001914611606</v>
      </c>
      <c r="BC40" s="3"/>
      <c r="BD40" s="162">
        <f t="shared" si="17"/>
        <v>5.6539129156681378</v>
      </c>
      <c r="BE40" s="3"/>
      <c r="BF40" s="161">
        <f t="shared" si="9"/>
        <v>8248.6882242252068</v>
      </c>
      <c r="BG40" s="3"/>
      <c r="BH40" s="165"/>
    </row>
    <row r="41" spans="2:60" ht="12">
      <c r="B41" s="2"/>
      <c r="C41" s="6">
        <f>+IF(C40&gt;$G$13+$G$14,XX,C40+1)</f>
        <v>2034</v>
      </c>
      <c r="D41" s="6"/>
      <c r="E41" s="292">
        <f>'(2.2)_Forward_Price_Curve'!P46</f>
        <v>2.1000000000000001E-2</v>
      </c>
      <c r="F41" s="6"/>
      <c r="G41" s="20">
        <v>748756.09440000006</v>
      </c>
      <c r="H41" s="6"/>
      <c r="I41" s="30">
        <f t="shared" si="10"/>
        <v>0</v>
      </c>
      <c r="J41" s="6"/>
      <c r="K41" s="30">
        <v>15.5</v>
      </c>
      <c r="L41" s="6"/>
      <c r="M41" s="30">
        <f t="shared" si="11"/>
        <v>0</v>
      </c>
      <c r="N41" s="6"/>
      <c r="O41" s="295">
        <f>'(2.2)_Forward_Price_Curve'!Y46</f>
        <v>1.5607569013547813</v>
      </c>
      <c r="P41" s="6"/>
      <c r="Q41" s="30"/>
      <c r="R41" s="6"/>
      <c r="S41" s="20">
        <f t="shared" si="5"/>
        <v>12774.345704966254</v>
      </c>
      <c r="T41" s="6"/>
      <c r="U41" s="20">
        <f t="shared" si="0"/>
        <v>43610.752950956026</v>
      </c>
      <c r="V41" s="6"/>
      <c r="W41" s="20">
        <f t="shared" si="1"/>
        <v>-30836.407245989772</v>
      </c>
      <c r="X41" s="6"/>
      <c r="Y41" s="296">
        <f t="shared" si="6"/>
        <v>-41.18351419990762</v>
      </c>
      <c r="Z41" s="255"/>
      <c r="AB41" s="154">
        <f>+IF(AB40&gt;$G$13+$G$14,XX,AB40+1)</f>
        <v>2034</v>
      </c>
      <c r="AC41" s="124"/>
      <c r="AD41" s="159">
        <f t="shared" si="2"/>
        <v>748756.09440000006</v>
      </c>
      <c r="AE41" s="3"/>
      <c r="AF41" s="162">
        <f t="shared" si="12"/>
        <v>134.61664789885882</v>
      </c>
      <c r="AG41" s="3"/>
      <c r="AH41" s="162">
        <f t="shared" si="13"/>
        <v>26.964299429945516</v>
      </c>
      <c r="AI41" s="3"/>
      <c r="AJ41" s="162">
        <f t="shared" si="14"/>
        <v>2.7517611866445502</v>
      </c>
      <c r="AK41" s="3"/>
      <c r="AL41" s="161">
        <f t="shared" si="7"/>
        <v>21729.961937699492</v>
      </c>
      <c r="AM41" s="3"/>
      <c r="AN41" s="162">
        <f>INDEX('(2.2)_Forward_Price_Curve'!$G:$G,MATCH($AB41,'(2.2)_Forward_Price_Curve'!$C:$C,0),1)</f>
        <v>5.688295833333334</v>
      </c>
      <c r="AO41" s="3"/>
      <c r="AP41" s="162">
        <f t="shared" si="18"/>
        <v>37.365509521944496</v>
      </c>
      <c r="AQ41" s="3"/>
      <c r="AR41" s="162">
        <f t="shared" si="15"/>
        <v>3.1052150796000184</v>
      </c>
      <c r="AS41" s="162"/>
      <c r="AT41" s="161">
        <f t="shared" si="3"/>
        <v>13308.051260765558</v>
      </c>
      <c r="AU41" s="3"/>
      <c r="AV41" s="161">
        <f>(AP41+AR41)*AD41/1000</f>
        <v>30302.701690190472</v>
      </c>
      <c r="AW41" s="299"/>
      <c r="AX41" s="163">
        <f t="shared" si="8"/>
        <v>43610.752950956026</v>
      </c>
      <c r="AZ41" s="154">
        <f>+IF(AZ40&gt;$G$13+$G$14,XX,AZ40+1)</f>
        <v>2034</v>
      </c>
      <c r="BA41" s="124"/>
      <c r="BB41" s="162">
        <f t="shared" si="16"/>
        <v>87.667145954818437</v>
      </c>
      <c r="BC41" s="3"/>
      <c r="BD41" s="162">
        <f t="shared" si="17"/>
        <v>5.7726450868971684</v>
      </c>
      <c r="BE41" s="3"/>
      <c r="BF41" s="161">
        <f t="shared" si="9"/>
        <v>8421.9106769339342</v>
      </c>
      <c r="BG41" s="3"/>
      <c r="BH41" s="165"/>
    </row>
    <row r="42" spans="2:60" ht="12">
      <c r="B42" s="2"/>
      <c r="C42" s="6">
        <f>+IF(C41&gt;$G$13+$G$14,XX,C41+1)</f>
        <v>2035</v>
      </c>
      <c r="D42" s="6"/>
      <c r="E42" s="292">
        <f>'(2.2)_Forward_Price_Curve'!P47</f>
        <v>2.1000000000000001E-2</v>
      </c>
      <c r="F42" s="6"/>
      <c r="G42" s="20">
        <v>748756.09440000006</v>
      </c>
      <c r="H42" s="6"/>
      <c r="I42" s="30">
        <f t="shared" si="10"/>
        <v>0</v>
      </c>
      <c r="J42" s="6"/>
      <c r="K42" s="30">
        <v>15.5</v>
      </c>
      <c r="L42" s="6"/>
      <c r="M42" s="30">
        <f t="shared" si="11"/>
        <v>0</v>
      </c>
      <c r="N42" s="6"/>
      <c r="O42" s="295">
        <f>'(2.2)_Forward_Price_Curve'!Y47</f>
        <v>1.5935251628391218</v>
      </c>
      <c r="P42" s="6"/>
      <c r="Q42" s="30"/>
      <c r="R42" s="6"/>
      <c r="S42" s="20">
        <f t="shared" si="5"/>
        <v>12798.881140455545</v>
      </c>
      <c r="T42" s="6"/>
      <c r="U42" s="20">
        <f t="shared" si="0"/>
        <v>44714.709615353022</v>
      </c>
      <c r="V42" s="6"/>
      <c r="W42" s="20">
        <f t="shared" si="1"/>
        <v>-31915.828474897477</v>
      </c>
      <c r="X42" s="6"/>
      <c r="Y42" s="296">
        <f t="shared" si="6"/>
        <v>-42.625133489527798</v>
      </c>
      <c r="Z42" s="255"/>
      <c r="AB42" s="154">
        <f>+IF(AB41&gt;$G$13+$G$14,XX,AB41+1)</f>
        <v>2035</v>
      </c>
      <c r="AC42" s="124"/>
      <c r="AD42" s="159">
        <f t="shared" si="2"/>
        <v>748756.09440000006</v>
      </c>
      <c r="AE42" s="3"/>
      <c r="AF42" s="162">
        <f t="shared" si="12"/>
        <v>137.44359750473484</v>
      </c>
      <c r="AG42" s="3"/>
      <c r="AH42" s="162">
        <f t="shared" si="13"/>
        <v>27.53054971797437</v>
      </c>
      <c r="AI42" s="3"/>
      <c r="AJ42" s="162">
        <f t="shared" si="14"/>
        <v>2.8095481715640855</v>
      </c>
      <c r="AK42" s="3"/>
      <c r="AL42" s="161">
        <f t="shared" si="7"/>
        <v>22186.291138391181</v>
      </c>
      <c r="AM42" s="3"/>
      <c r="AN42" s="162">
        <f>INDEX('(2.2)_Forward_Price_Curve'!$G:$G,MATCH($AB42,'(2.2)_Forward_Price_Curve'!$C:$C,0),1)</f>
        <v>5.846000000000001</v>
      </c>
      <c r="AO42" s="3"/>
      <c r="AP42" s="162">
        <f t="shared" si="18"/>
        <v>38.401443079883336</v>
      </c>
      <c r="AQ42" s="3"/>
      <c r="AR42" s="162">
        <f t="shared" si="15"/>
        <v>3.1704245962716184</v>
      </c>
      <c r="AS42" s="162"/>
      <c r="AT42" s="161">
        <f t="shared" si="3"/>
        <v>13587.520337241636</v>
      </c>
      <c r="AU42" s="3"/>
      <c r="AV42" s="161">
        <f t="shared" si="4"/>
        <v>31127.189278111386</v>
      </c>
      <c r="AW42" s="299"/>
      <c r="AX42" s="163">
        <f t="shared" si="8"/>
        <v>44714.709615353022</v>
      </c>
      <c r="AZ42" s="154">
        <f>+IF(AZ41&gt;$G$13+$G$14,XX,AZ41+1)</f>
        <v>2035</v>
      </c>
      <c r="BA42" s="124"/>
      <c r="BB42" s="162">
        <f t="shared" si="16"/>
        <v>89.508156019869617</v>
      </c>
      <c r="BC42" s="3"/>
      <c r="BD42" s="162">
        <f t="shared" si="17"/>
        <v>5.8938706337220088</v>
      </c>
      <c r="BE42" s="3"/>
      <c r="BF42" s="161">
        <f t="shared" si="9"/>
        <v>8598.7708011495452</v>
      </c>
      <c r="BG42" s="3"/>
      <c r="BH42" s="165"/>
    </row>
    <row r="43" spans="2:60" ht="12">
      <c r="B43" s="2"/>
      <c r="C43" s="6">
        <f>+IF(C42&gt;$G$13+$G$14,XX,C42+1)</f>
        <v>2036</v>
      </c>
      <c r="D43" s="6"/>
      <c r="E43" s="292">
        <f>'(2.2)_Forward_Price_Curve'!P48</f>
        <v>2.1000000000000001E-2</v>
      </c>
      <c r="F43" s="6"/>
      <c r="G43" s="20">
        <v>748756.09440000006</v>
      </c>
      <c r="H43" s="6"/>
      <c r="I43" s="30">
        <f t="shared" si="10"/>
        <v>0</v>
      </c>
      <c r="J43" s="6"/>
      <c r="K43" s="30">
        <v>15.5</v>
      </c>
      <c r="L43" s="6"/>
      <c r="M43" s="30">
        <f t="shared" si="11"/>
        <v>0</v>
      </c>
      <c r="N43" s="6"/>
      <c r="O43" s="295">
        <f>'(2.2)_Forward_Price_Curve'!Y48</f>
        <v>1.6267336732773778</v>
      </c>
      <c r="P43" s="6"/>
      <c r="Q43" s="30"/>
      <c r="R43" s="6"/>
      <c r="S43" s="20">
        <f t="shared" si="5"/>
        <v>12823.746215032135</v>
      </c>
      <c r="T43" s="6"/>
      <c r="U43" s="20">
        <f t="shared" si="0"/>
        <v>46160.261649339373</v>
      </c>
      <c r="V43" s="6"/>
      <c r="W43" s="20">
        <f t="shared" si="1"/>
        <v>-33336.515434307235</v>
      </c>
      <c r="X43" s="6"/>
      <c r="Y43" s="296">
        <f t="shared" si="6"/>
        <v>-44.522529677732706</v>
      </c>
      <c r="Z43" s="255"/>
      <c r="AB43" s="154">
        <f>+IF(AB42&gt;$G$13+$G$14,XX,AB42+1)</f>
        <v>2036</v>
      </c>
      <c r="AC43" s="124"/>
      <c r="AD43" s="159">
        <f t="shared" si="2"/>
        <v>748756.09440000006</v>
      </c>
      <c r="AE43" s="3"/>
      <c r="AF43" s="162">
        <f t="shared" si="12"/>
        <v>140.32991305233426</v>
      </c>
      <c r="AG43" s="3"/>
      <c r="AH43" s="162">
        <f t="shared" si="13"/>
        <v>28.108691262051831</v>
      </c>
      <c r="AI43" s="3"/>
      <c r="AJ43" s="162">
        <f t="shared" si="14"/>
        <v>2.8685486831669311</v>
      </c>
      <c r="AK43" s="3"/>
      <c r="AL43" s="161">
        <f t="shared" si="7"/>
        <v>22652.203252297393</v>
      </c>
      <c r="AM43" s="3"/>
      <c r="AN43" s="162">
        <f>INDEX('(2.2)_Forward_Price_Curve'!$G:$G,MATCH($AB43,'(2.2)_Forward_Price_Curve'!$C:$C,0),1)</f>
        <v>6.0717541666666675</v>
      </c>
      <c r="AO43" s="3"/>
      <c r="AP43" s="162">
        <f t="shared" si="18"/>
        <v>39.88438625150436</v>
      </c>
      <c r="AQ43" s="3"/>
      <c r="AR43" s="162">
        <f t="shared" si="15"/>
        <v>3.2370035127933221</v>
      </c>
      <c r="AS43" s="162"/>
      <c r="AT43" s="161">
        <f t="shared" si="3"/>
        <v>13872.858264323706</v>
      </c>
      <c r="AU43" s="3"/>
      <c r="AV43" s="161">
        <f t="shared" si="4"/>
        <v>32287.40338501567</v>
      </c>
      <c r="AW43" s="299"/>
      <c r="AX43" s="163">
        <f t="shared" si="8"/>
        <v>46160.261649339373</v>
      </c>
      <c r="AZ43" s="154">
        <f>+IF(AZ42&gt;$G$13+$G$14,XX,AZ42+1)</f>
        <v>2036</v>
      </c>
      <c r="BA43" s="124"/>
      <c r="BB43" s="162">
        <f t="shared" si="16"/>
        <v>91.387827296286872</v>
      </c>
      <c r="BC43" s="3"/>
      <c r="BD43" s="162">
        <f t="shared" si="17"/>
        <v>6.0176419170301703</v>
      </c>
      <c r="BE43" s="3"/>
      <c r="BF43" s="161">
        <f t="shared" si="9"/>
        <v>8779.3449879736872</v>
      </c>
      <c r="BG43" s="3"/>
      <c r="BH43" s="165"/>
    </row>
    <row r="44" spans="2:60" ht="12">
      <c r="B44" s="2"/>
      <c r="C44" s="6">
        <f>+IF(C43&gt;$G$13+$G$14,XX,C43+1)</f>
        <v>2037</v>
      </c>
      <c r="D44" s="6"/>
      <c r="E44" s="292">
        <f>'(2.2)_Forward_Price_Curve'!P49</f>
        <v>2.1000000000000001E-2</v>
      </c>
      <c r="F44" s="6"/>
      <c r="G44" s="20">
        <v>748756.09440000006</v>
      </c>
      <c r="H44" s="6"/>
      <c r="I44" s="30">
        <f t="shared" si="10"/>
        <v>0</v>
      </c>
      <c r="J44" s="6"/>
      <c r="K44" s="30">
        <v>15.5</v>
      </c>
      <c r="L44" s="6"/>
      <c r="M44" s="30">
        <f t="shared" si="11"/>
        <v>0</v>
      </c>
      <c r="N44" s="6"/>
      <c r="O44" s="295">
        <f>'(2.2)_Forward_Price_Curve'!Y49</f>
        <v>1.6606577113778709</v>
      </c>
      <c r="P44" s="6"/>
      <c r="Q44" s="30"/>
      <c r="R44" s="6"/>
      <c r="S44" s="20">
        <f t="shared" si="5"/>
        <v>12849.147045306539</v>
      </c>
      <c r="T44" s="6"/>
      <c r="U44" s="20">
        <f t="shared" si="0"/>
        <v>47330.266663721719</v>
      </c>
      <c r="V44" s="6"/>
      <c r="W44" s="20">
        <f t="shared" si="1"/>
        <v>-34481.119618415178</v>
      </c>
      <c r="X44" s="6"/>
      <c r="Y44" s="296">
        <f t="shared" si="6"/>
        <v>-46.051203958541258</v>
      </c>
      <c r="Z44" s="255"/>
      <c r="AB44" s="154">
        <f>+IF(AB43&gt;$G$13+$G$14,XX,AB43+1)</f>
        <v>2037</v>
      </c>
      <c r="AC44" s="124"/>
      <c r="AD44" s="159">
        <f t="shared" si="2"/>
        <v>748756.09440000006</v>
      </c>
      <c r="AE44" s="3"/>
      <c r="AF44" s="162">
        <f t="shared" si="12"/>
        <v>143.27684122643328</v>
      </c>
      <c r="AG44" s="3"/>
      <c r="AH44" s="162">
        <f t="shared" si="13"/>
        <v>28.698973778554919</v>
      </c>
      <c r="AI44" s="3"/>
      <c r="AJ44" s="162">
        <f t="shared" si="14"/>
        <v>2.9287882055134364</v>
      </c>
      <c r="AK44" s="3"/>
      <c r="AL44" s="161">
        <f t="shared" si="7"/>
        <v>23127.899520595642</v>
      </c>
      <c r="AM44" s="3"/>
      <c r="AN44" s="162">
        <f>INDEX('(2.2)_Forward_Price_Curve'!$G:$G,MATCH($AB44,'(2.2)_Forward_Price_Curve'!$C:$C,0),1)</f>
        <v>6.240054166666666</v>
      </c>
      <c r="AO44" s="3"/>
      <c r="AP44" s="162">
        <f t="shared" si="18"/>
        <v>40.989922151323775</v>
      </c>
      <c r="AQ44" s="3"/>
      <c r="AR44" s="162">
        <f t="shared" si="15"/>
        <v>3.3049805865619817</v>
      </c>
      <c r="AS44" s="162"/>
      <c r="AT44" s="161">
        <f t="shared" si="3"/>
        <v>14164.188287874509</v>
      </c>
      <c r="AU44" s="3"/>
      <c r="AV44" s="161">
        <f t="shared" si="4"/>
        <v>33166.07837584721</v>
      </c>
      <c r="AW44" s="299"/>
      <c r="AX44" s="163">
        <f t="shared" si="8"/>
        <v>47330.266663721719</v>
      </c>
      <c r="AZ44" s="154">
        <f>+IF(AZ43&gt;$G$13+$G$14,XX,AZ43+1)</f>
        <v>2037</v>
      </c>
      <c r="BA44" s="124"/>
      <c r="BB44" s="162">
        <f t="shared" si="16"/>
        <v>93.306971669508883</v>
      </c>
      <c r="BC44" s="3"/>
      <c r="BD44" s="162">
        <f t="shared" si="17"/>
        <v>6.1440123972878036</v>
      </c>
      <c r="BE44" s="3"/>
      <c r="BF44" s="161">
        <f t="shared" si="9"/>
        <v>8963.7112327211325</v>
      </c>
      <c r="BG44" s="3"/>
      <c r="BH44" s="165"/>
    </row>
    <row r="45" spans="2:60" ht="12">
      <c r="B45" s="2"/>
      <c r="C45" s="6">
        <f>+IF(C44&gt;$G$13+$G$14,XX,C44+1)</f>
        <v>2038</v>
      </c>
      <c r="D45" s="6"/>
      <c r="E45" s="292">
        <f>'(2.2)_Forward_Price_Curve'!P50</f>
        <v>2.1000000000000001E-2</v>
      </c>
      <c r="F45" s="6"/>
      <c r="G45" s="20">
        <v>748756.09440000006</v>
      </c>
      <c r="H45" s="6"/>
      <c r="I45" s="30">
        <f t="shared" si="10"/>
        <v>0</v>
      </c>
      <c r="J45" s="6"/>
      <c r="K45" s="30">
        <v>15.5</v>
      </c>
      <c r="L45" s="6"/>
      <c r="M45" s="30">
        <f t="shared" si="11"/>
        <v>0</v>
      </c>
      <c r="N45" s="6"/>
      <c r="O45" s="295">
        <f>'(2.2)_Forward_Price_Curve'!Y50</f>
        <v>1.6953423361778306</v>
      </c>
      <c r="P45" s="6"/>
      <c r="Q45" s="30"/>
      <c r="R45" s="6"/>
      <c r="S45" s="20">
        <f t="shared" si="5"/>
        <v>12875.117369507487</v>
      </c>
      <c r="T45" s="6"/>
      <c r="U45" s="20">
        <f t="shared" si="0"/>
        <v>49255.310246663226</v>
      </c>
      <c r="V45" s="6"/>
      <c r="W45" s="20">
        <f t="shared" si="1"/>
        <v>-36380.192877155743</v>
      </c>
      <c r="X45" s="6"/>
      <c r="Y45" s="296">
        <f t="shared" si="6"/>
        <v>-48.587508200929229</v>
      </c>
      <c r="Z45" s="255"/>
      <c r="AB45" s="154">
        <f>+IF(AB44&gt;$G$13+$G$14,XX,AB44+1)</f>
        <v>2038</v>
      </c>
      <c r="AC45" s="124"/>
      <c r="AD45" s="159">
        <f t="shared" si="2"/>
        <v>748756.09440000006</v>
      </c>
      <c r="AE45" s="3"/>
      <c r="AF45" s="162">
        <f t="shared" si="12"/>
        <v>146.28565489218838</v>
      </c>
      <c r="AG45" s="3"/>
      <c r="AH45" s="162">
        <f t="shared" si="13"/>
        <v>29.301652227904569</v>
      </c>
      <c r="AI45" s="3"/>
      <c r="AJ45" s="162">
        <f t="shared" si="14"/>
        <v>2.9902927578292182</v>
      </c>
      <c r="AK45" s="3"/>
      <c r="AL45" s="161">
        <f t="shared" si="7"/>
        <v>23613.585410528147</v>
      </c>
      <c r="AM45" s="3"/>
      <c r="AN45" s="162">
        <f>INDEX('(2.2)_Forward_Price_Curve'!$G:$G,MATCH($AB45,'(2.2)_Forward_Price_Curve'!$C:$C,0),1)</f>
        <v>6.5604041666666673</v>
      </c>
      <c r="AO45" s="3"/>
      <c r="AP45" s="162">
        <f t="shared" si="18"/>
        <v>43.09425028862119</v>
      </c>
      <c r="AQ45" s="3"/>
      <c r="AR45" s="162">
        <f t="shared" si="15"/>
        <v>3.3743851788797832</v>
      </c>
      <c r="AS45" s="162"/>
      <c r="AT45" s="161">
        <f>AL45-BF45</f>
        <v>14461.636241919872</v>
      </c>
      <c r="AU45" s="3"/>
      <c r="AV45" s="161">
        <f t="shared" si="4"/>
        <v>34793.674004743356</v>
      </c>
      <c r="AW45" s="299"/>
      <c r="AX45" s="163">
        <f>AT45+AV45</f>
        <v>49255.310246663226</v>
      </c>
      <c r="AZ45" s="154">
        <f>+IF(AZ44&gt;$G$13+$G$14,XX,AZ44+1)</f>
        <v>2038</v>
      </c>
      <c r="BA45" s="124"/>
      <c r="BB45" s="162">
        <f t="shared" si="16"/>
        <v>95.266418074568563</v>
      </c>
      <c r="BC45" s="3"/>
      <c r="BD45" s="162">
        <f t="shared" si="17"/>
        <v>6.2730366576308469</v>
      </c>
      <c r="BE45" s="3"/>
      <c r="BF45" s="161">
        <f t="shared" si="9"/>
        <v>9151.9491686082747</v>
      </c>
      <c r="BG45" s="3"/>
      <c r="BH45" s="165"/>
    </row>
    <row r="46" spans="2:60" ht="12">
      <c r="B46" s="2"/>
      <c r="C46" s="6">
        <f>+IF(C45&gt;$G$13+$G$14,XX,C45+1)</f>
        <v>2039</v>
      </c>
      <c r="D46" s="6"/>
      <c r="E46" s="292">
        <f>'(2.2)_Forward_Price_Curve'!P51</f>
        <v>2.1000000000000001E-2</v>
      </c>
      <c r="F46" s="6"/>
      <c r="G46" s="20">
        <v>748756.09440000006</v>
      </c>
      <c r="H46" s="6"/>
      <c r="I46" s="30">
        <f t="shared" si="10"/>
        <v>0</v>
      </c>
      <c r="J46" s="6"/>
      <c r="K46" s="30">
        <v>15.5</v>
      </c>
      <c r="L46" s="6"/>
      <c r="M46" s="30">
        <f t="shared" si="11"/>
        <v>0</v>
      </c>
      <c r="N46" s="6"/>
      <c r="O46" s="295">
        <f>'(2.2)_Forward_Price_Curve'!Y51</f>
        <v>1.730529504666237</v>
      </c>
      <c r="P46" s="6"/>
      <c r="Q46" s="30"/>
      <c r="R46" s="6"/>
      <c r="S46" s="20">
        <f t="shared" si="5"/>
        <v>12901.463976357858</v>
      </c>
      <c r="T46" s="6"/>
      <c r="U46" s="20">
        <f t="shared" si="0"/>
        <v>50654.018191029012</v>
      </c>
      <c r="V46" s="6"/>
      <c r="W46" s="20">
        <f t="shared" si="1"/>
        <v>-37752.554214671152</v>
      </c>
      <c r="X46" s="6"/>
      <c r="Y46" s="296">
        <f>+W46*1000/G46</f>
        <v>-50.42036318238366</v>
      </c>
      <c r="Z46" s="255"/>
      <c r="AB46" s="154">
        <f>+IF(AB45&gt;$G$13+$G$14,XX,AB45+1)</f>
        <v>2039</v>
      </c>
      <c r="AC46" s="124"/>
      <c r="AD46" s="159">
        <f t="shared" si="2"/>
        <v>748756.09440000006</v>
      </c>
      <c r="AE46" s="3"/>
      <c r="AF46" s="162">
        <f t="shared" si="12"/>
        <v>149.35765364492431</v>
      </c>
      <c r="AG46" s="3"/>
      <c r="AH46" s="162">
        <f t="shared" si="13"/>
        <v>29.916986924690562</v>
      </c>
      <c r="AI46" s="3"/>
      <c r="AJ46" s="162">
        <f t="shared" si="14"/>
        <v>3.0530889057436315</v>
      </c>
      <c r="AK46" s="3"/>
      <c r="AL46" s="161">
        <f t="shared" si="7"/>
        <v>24109.470704149237</v>
      </c>
      <c r="AM46" s="3"/>
      <c r="AN46" s="162">
        <f>INDEX('(2.2)_Forward_Price_Curve'!$G:$G,MATCH($AB46,'(2.2)_Forward_Price_Curve'!$C:$C,0),1)</f>
        <v>6.7722499999999988</v>
      </c>
      <c r="AO46" s="3"/>
      <c r="AP46" s="162">
        <f t="shared" si="18"/>
        <v>44.485831833345848</v>
      </c>
      <c r="AQ46" s="3"/>
      <c r="AR46" s="162">
        <f t="shared" si="15"/>
        <v>3.4452472676362582</v>
      </c>
      <c r="AS46" s="162"/>
      <c r="AT46" s="161">
        <f t="shared" si="3"/>
        <v>14765.330603000188</v>
      </c>
      <c r="AU46" s="3"/>
      <c r="AV46" s="161">
        <f t="shared" si="4"/>
        <v>35888.687588028828</v>
      </c>
      <c r="AW46" s="299"/>
      <c r="AX46" s="163">
        <f t="shared" si="8"/>
        <v>50654.018191029012</v>
      </c>
      <c r="AZ46" s="154">
        <f>+IF(AZ45&gt;$G$13+$G$14,XX,AZ45+1)</f>
        <v>2039</v>
      </c>
      <c r="BA46" s="124"/>
      <c r="BB46" s="162">
        <f t="shared" si="16"/>
        <v>97.267012854134492</v>
      </c>
      <c r="BC46" s="3"/>
      <c r="BD46" s="162">
        <f t="shared" si="17"/>
        <v>6.4047704274410941</v>
      </c>
      <c r="BE46" s="3"/>
      <c r="BF46" s="161">
        <f t="shared" si="9"/>
        <v>9344.1401011490489</v>
      </c>
      <c r="BG46" s="3"/>
      <c r="BH46" s="165"/>
    </row>
    <row r="47" spans="2:60" ht="12">
      <c r="B47" s="2"/>
      <c r="C47" s="6">
        <f>+IF(C46&gt;$G$13+$G$14,XX,C46+1)</f>
        <v>2040</v>
      </c>
      <c r="D47" s="6"/>
      <c r="E47" s="292">
        <f>'(2.2)_Forward_Price_Curve'!P52</f>
        <v>2.1000000000000001E-2</v>
      </c>
      <c r="F47" s="6"/>
      <c r="G47" s="20">
        <v>748756.09440000006</v>
      </c>
      <c r="H47" s="6"/>
      <c r="I47" s="30">
        <f t="shared" si="10"/>
        <v>0</v>
      </c>
      <c r="J47" s="6"/>
      <c r="K47" s="30">
        <v>15.5</v>
      </c>
      <c r="L47" s="6"/>
      <c r="M47" s="30"/>
      <c r="N47" s="6"/>
      <c r="O47" s="295">
        <f>'(2.2)_Forward_Price_Curve'!Y52</f>
        <v>1.7664344168351047</v>
      </c>
      <c r="P47" s="6"/>
      <c r="Q47" s="30"/>
      <c r="R47" s="6"/>
      <c r="S47" s="20">
        <f t="shared" si="5"/>
        <v>12928.347998163195</v>
      </c>
      <c r="T47" s="6"/>
      <c r="U47" s="20">
        <f t="shared" si="0"/>
        <v>52511.158710388816</v>
      </c>
      <c r="V47" s="6"/>
      <c r="W47" s="20">
        <f t="shared" si="1"/>
        <v>-39582.810712225619</v>
      </c>
      <c r="X47" s="6"/>
      <c r="Y47" s="296">
        <f t="shared" si="6"/>
        <v>-52.864759309831683</v>
      </c>
      <c r="Z47" s="255"/>
      <c r="AB47" s="154">
        <f>+IF(AB46&gt;$G$13+$G$14,XX,AB46+1)</f>
        <v>2040</v>
      </c>
      <c r="AC47" s="124"/>
      <c r="AD47" s="159">
        <f t="shared" si="2"/>
        <v>748756.09440000006</v>
      </c>
      <c r="AE47" s="3"/>
      <c r="AF47" s="162">
        <f t="shared" si="12"/>
        <v>152.49416437146772</v>
      </c>
      <c r="AG47" s="3"/>
      <c r="AH47" s="162">
        <f t="shared" si="13"/>
        <v>30.545243650109061</v>
      </c>
      <c r="AI47" s="3"/>
      <c r="AJ47" s="162">
        <f t="shared" si="14"/>
        <v>3.1172037727642476</v>
      </c>
      <c r="AK47" s="3"/>
      <c r="AL47" s="161">
        <f t="shared" si="7"/>
        <v>24615.769588936371</v>
      </c>
      <c r="AM47" s="3"/>
      <c r="AN47" s="162">
        <f>INDEX('(2.2)_Forward_Price_Curve'!$G:$G,MATCH($AB47,'(2.2)_Forward_Price_Curve'!$C:$C,0),1)</f>
        <v>7.075779166666667</v>
      </c>
      <c r="AO47" s="3"/>
      <c r="AP47" s="162">
        <f t="shared" si="18"/>
        <v>46.479666595034949</v>
      </c>
      <c r="AQ47" s="3"/>
      <c r="AR47" s="162">
        <f t="shared" si="15"/>
        <v>3.5175974602566193</v>
      </c>
      <c r="AS47" s="162"/>
      <c r="AT47" s="161">
        <f t="shared" si="3"/>
        <v>15075.402545663193</v>
      </c>
      <c r="AU47" s="3"/>
      <c r="AV47" s="161">
        <f t="shared" si="4"/>
        <v>37435.756164725623</v>
      </c>
      <c r="AW47" s="299"/>
      <c r="AX47" s="163">
        <f t="shared" si="8"/>
        <v>52511.158710388816</v>
      </c>
      <c r="AZ47" s="154">
        <f>+IF(AZ46&gt;$G$13+$G$14,XX,AZ46+1)</f>
        <v>2040</v>
      </c>
      <c r="BA47" s="124"/>
      <c r="BB47" s="162">
        <f t="shared" si="16"/>
        <v>99.309620124071301</v>
      </c>
      <c r="BC47" s="3"/>
      <c r="BD47" s="162">
        <f t="shared" si="17"/>
        <v>6.5392706064173565</v>
      </c>
      <c r="BE47" s="3"/>
      <c r="BF47" s="161">
        <f t="shared" si="9"/>
        <v>9540.3670432731778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6.57%</v>
      </c>
      <c r="E58" s="178"/>
      <c r="F58" s="3"/>
      <c r="G58" s="20">
        <f>+-PMT($G$18,$G$14,NPV($G$18,G28:G56))</f>
        <v>748756.09439999948</v>
      </c>
      <c r="H58" s="6"/>
      <c r="I58" s="30">
        <f>+-PMT($G$18,$G$14,NPV($G$18,I28:I56))</f>
        <v>0</v>
      </c>
      <c r="J58" s="30"/>
      <c r="K58" s="30">
        <f>+-PMT($G$18,$G$14,NPV($G$18,K28:K56))</f>
        <v>15.499999999999993</v>
      </c>
      <c r="L58" s="6"/>
      <c r="M58" s="30">
        <f>+-PMT($G$18,$G$14,NPV($G$18,M28:M56))</f>
        <v>0</v>
      </c>
      <c r="N58" s="6"/>
      <c r="O58" s="30">
        <f>+-PMT($G$18,$G$14,NPV($G$18,O28:O56))</f>
        <v>1.3915143264500005</v>
      </c>
      <c r="P58" s="6"/>
      <c r="Q58" s="30">
        <f>+-PMT($G$18,$G$14,NPV($G$18,Q28:Q56))</f>
        <v>0</v>
      </c>
      <c r="R58" s="6"/>
      <c r="S58" s="20">
        <f>+-PMT($G$18,$G$14,NPV($G$18,S28:S56))</f>
        <v>12647.624295574342</v>
      </c>
      <c r="T58" s="6"/>
      <c r="U58" s="20">
        <f>+-PMT($G$18,$G$14,NPV($G$18,U28:U56))</f>
        <v>36666.223596023403</v>
      </c>
      <c r="V58" s="3"/>
      <c r="W58" s="20">
        <f>+-PMT($G$18,$G$14,NPV($G$18,W28:W56))</f>
        <v>-24018.599300449048</v>
      </c>
      <c r="X58" s="3"/>
      <c r="Y58" s="296">
        <f>+-PMT($G$18,$G$14,NPV($G$18,Y28:Y56))</f>
        <v>-32.078001741936873</v>
      </c>
      <c r="Z58" s="255"/>
      <c r="AB58" s="2"/>
      <c r="AC58" s="3"/>
      <c r="AD58" s="159">
        <f>+-PMT($G$18,$G$14,NPV($G$18,AD28:AD56))</f>
        <v>748756.09439999948</v>
      </c>
      <c r="AE58" s="3"/>
      <c r="AF58" s="162">
        <f>+-PMT($G$18,$G$14,NPV($G$18,AF28:AF56))</f>
        <v>120.24366524670354</v>
      </c>
      <c r="AG58" s="3"/>
      <c r="AH58" s="162">
        <f>+-PMT($G$18,$G$14,NPV($G$18,AH28:AH56))</f>
        <v>24.085328559824685</v>
      </c>
      <c r="AI58" s="3"/>
      <c r="AJ58" s="162">
        <f>+-PMT($G$18,$G$14,NPV($G$18,AJ28:AJ56))</f>
        <v>2.4579563978918837</v>
      </c>
      <c r="AK58" s="3"/>
      <c r="AL58" s="161">
        <f>+-PMT($G$18,$G$14,NPV($G$18,AL28:AL56))</f>
        <v>19409.859849009783</v>
      </c>
      <c r="AM58" s="3"/>
      <c r="AN58" s="162">
        <f>+-PMT($G$18,$G$14,NPV($G$18,AN28:AN56))</f>
        <v>4.6157267710799834</v>
      </c>
      <c r="AO58" s="3"/>
      <c r="AP58" s="162">
        <f>+-PMT($G$18,$G$14,NPV($G$18,AP28:AP56))</f>
        <v>30.31997414846419</v>
      </c>
      <c r="AQ58" s="3"/>
      <c r="AR58" s="162">
        <f>+-PMT($G$18,$G$14,NPV($G$18,AR28:AR56))</f>
        <v>2.7736721154353288</v>
      </c>
      <c r="AS58" s="162"/>
      <c r="AT58" s="161">
        <f>+-PMT($G$18,$G$14,NPV($G$18,AT28:AT56))</f>
        <v>11887.154270010835</v>
      </c>
      <c r="AU58" s="3"/>
      <c r="AV58" s="161">
        <f>+-PMT($G$18,$G$14,NPV($G$18,AV28:AV56))</f>
        <v>24779.069326012555</v>
      </c>
      <c r="AW58" s="299"/>
      <c r="AX58" s="163">
        <f>+-PMT($G$18,$G$14,NPV($G$18,AX28:AX56))</f>
        <v>36666.223596023403</v>
      </c>
      <c r="AZ58" s="2"/>
      <c r="BA58" s="3"/>
      <c r="BB58" s="162">
        <f>+-PMT($G$18,$G$14,NPV($G$18,BB28:BB56))</f>
        <v>78.306948775348715</v>
      </c>
      <c r="BC58" s="3"/>
      <c r="BD58" s="162">
        <f>+-PMT($G$18,$G$14,NPV($G$18,BD28:BD56))</f>
        <v>5.1563013509176479</v>
      </c>
      <c r="BE58" s="3"/>
      <c r="BF58" s="161">
        <f>+-PMT($G$18,$G$14,NPV($G$18,BF28:BF56))</f>
        <v>7522.7055789989518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24696C51CF9AB4D892F501045C3B257" ma:contentTypeVersion="20" ma:contentTypeDescription="" ma:contentTypeScope="" ma:versionID="9073d4279ee927fcd0bfabdc941ca6c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Closed</CaseStatus>
    <OpenedDate xmlns="dc463f71-b30c-4ab2-9473-d307f9d35888">2022-06-01T07:00:00+00:00</OpenedDate>
    <SignificantOrder xmlns="dc463f71-b30c-4ab2-9473-d307f9d35888">false</SignificantOrder>
    <Date1 xmlns="dc463f71-b30c-4ab2-9473-d307f9d35888">2022-06-01T07:00:00+00:00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220410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156CD37-DBB9-475C-95FE-4A02A0AA0D29}"/>
</file>

<file path=customXml/itemProps2.xml><?xml version="1.0" encoding="utf-8"?>
<ds:datastoreItem xmlns:ds="http://schemas.openxmlformats.org/officeDocument/2006/customXml" ds:itemID="{BFB505BA-07FF-4A8E-A093-C40AE77743AA}"/>
</file>

<file path=customXml/itemProps3.xml><?xml version="1.0" encoding="utf-8"?>
<ds:datastoreItem xmlns:ds="http://schemas.openxmlformats.org/officeDocument/2006/customXml" ds:itemID="{E373F7B5-7B3D-4987-9BBA-9F0F1C97139F}"/>
</file>

<file path=customXml/itemProps4.xml><?xml version="1.0" encoding="utf-8"?>
<ds:datastoreItem xmlns:ds="http://schemas.openxmlformats.org/officeDocument/2006/customXml" ds:itemID="{1BC05B3C-7BED-481D-8677-4694BE2C35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</vt:i4>
      </vt:variant>
    </vt:vector>
  </HeadingPairs>
  <TitlesOfParts>
    <vt:vector size="45" baseType="lpstr">
      <vt:lpstr>Workpaper Index</vt:lpstr>
      <vt:lpstr>(1.1)_Summary</vt:lpstr>
      <vt:lpstr>(1.2)_Lvl_Resource_</vt:lpstr>
      <vt:lpstr>(2.1)_Proxy Resources</vt:lpstr>
      <vt:lpstr>(2.2)_Forward_Price_Curve</vt:lpstr>
      <vt:lpstr>Big Fork (2003IRP)</vt:lpstr>
      <vt:lpstr>Blundell 2</vt:lpstr>
      <vt:lpstr>Cambell Hill (PPA)</vt:lpstr>
      <vt:lpstr>Cedar Springs I (PPA)</vt:lpstr>
      <vt:lpstr>Cedar Springs II</vt:lpstr>
      <vt:lpstr>Cedar Springs III (PPA)</vt:lpstr>
      <vt:lpstr>Dunlap - Repower</vt:lpstr>
      <vt:lpstr>Ekola Flats Wind</vt:lpstr>
      <vt:lpstr>Glenrock I - Repower</vt:lpstr>
      <vt:lpstr>Glenrock III - Repower</vt:lpstr>
      <vt:lpstr>Goodnoe_Hills - Repower</vt:lpstr>
      <vt:lpstr>High Plains - Repower</vt:lpstr>
      <vt:lpstr>JC Boyle (2004 IRP)</vt:lpstr>
      <vt:lpstr>Latigo (PPA)</vt:lpstr>
      <vt:lpstr>Leaning Juniper -Repower</vt:lpstr>
      <vt:lpstr>Lemolo 1 (2003IRP)</vt:lpstr>
      <vt:lpstr>Lemolo 2 (2008 IRP)</vt:lpstr>
      <vt:lpstr>Marengo - Repower</vt:lpstr>
      <vt:lpstr>Marengo 2 - Repower</vt:lpstr>
      <vt:lpstr>McFadden Ridge - Repower</vt:lpstr>
      <vt:lpstr>Mountain Wind I (PPA)</vt:lpstr>
      <vt:lpstr>Mountain Wind II (PPA)</vt:lpstr>
      <vt:lpstr>Pavant II (PPA)</vt:lpstr>
      <vt:lpstr>Pioneer Wind (PPA)</vt:lpstr>
      <vt:lpstr>Prospect 2 (2003 IRP)</vt:lpstr>
      <vt:lpstr>Rock River (PPA)</vt:lpstr>
      <vt:lpstr>Rolling Hills - Repower</vt:lpstr>
      <vt:lpstr>Sage Solar I (PPA)</vt:lpstr>
      <vt:lpstr>Sage Solar II (PPA)</vt:lpstr>
      <vt:lpstr>Sage Solar III (PPA)</vt:lpstr>
      <vt:lpstr>Seven Mile Hill I- Repower</vt:lpstr>
      <vt:lpstr>Seven Mile Hill II- Repower</vt:lpstr>
      <vt:lpstr>Sweetwater (PPA)</vt:lpstr>
      <vt:lpstr>Top of World (PPA)</vt:lpstr>
      <vt:lpstr>TB Flats I Wind</vt:lpstr>
      <vt:lpstr>TB Flats II Wind</vt:lpstr>
      <vt:lpstr>Wolverine Creek PPA</vt:lpstr>
      <vt:lpstr>'(2.1)_Proxy Resources'!Print_Area</vt:lpstr>
      <vt:lpstr>'(2.2)_Forward_Price_Curve'!Print_Area</vt:lpstr>
      <vt:lpstr>'(2.2)_Forward_Price_Curve'!Print_Titles</vt:lpstr>
    </vt:vector>
  </TitlesOfParts>
  <Company>PacifiCorp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Kishore, Pooja</dc:creator>
  <cp:lastModifiedBy>Brewer, April</cp:lastModifiedBy>
  <dcterms:created xsi:type="dcterms:W3CDTF">2015-05-22T20:59:26Z</dcterms:created>
  <dcterms:modified xsi:type="dcterms:W3CDTF">2022-05-27T22:02:09Z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0x0101006E56B4D1795A2E4DB2F0B01679ED314A00024696C51CF9AB4D892F501045C3B257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