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rinterSettings/printerSettings27.bin" ContentType="application/vnd.openxmlformats-officedocument.spreadsheetml.printerSettings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21.bin" ContentType="application/vnd.openxmlformats-officedocument.spreadsheetml.printerSettings"/>
  <Override PartName="/xl/printerSettings/printerSettings20.bin" ContentType="application/vnd.openxmlformats-officedocument.spreadsheetml.printerSettings"/>
  <Override PartName="/xl/printerSettings/printerSettings19.bin" ContentType="application/vnd.openxmlformats-officedocument.spreadsheetml.printerSettings"/>
  <Override PartName="/xl/printerSettings/printerSettings18.bin" ContentType="application/vnd.openxmlformats-officedocument.spreadsheetml.printerSettings"/>
  <Override PartName="/xl/printerSettings/printerSettings22.bin" ContentType="application/vnd.openxmlformats-officedocument.spreadsheetml.printerSettings"/>
  <Override PartName="/xl/printerSettings/printerSettings23.bin" ContentType="application/vnd.openxmlformats-officedocument.spreadsheetml.printerSettings"/>
  <Override PartName="/xl/printerSettings/printerSettings24.bin" ContentType="application/vnd.openxmlformats-officedocument.spreadsheetml.printerSettings"/>
  <Override PartName="/xl/printerSettings/printerSettings25.bin" ContentType="application/vnd.openxmlformats-officedocument.spreadsheetml.printerSettings"/>
  <Override PartName="/xl/printerSettings/printerSettings26.bin" ContentType="application/vnd.openxmlformats-officedocument.spreadsheetml.printerSettings"/>
  <Override PartName="/xl/printerSettings/printerSettings17.bin" ContentType="application/vnd.openxmlformats-officedocument.spreadsheetml.printerSettings"/>
  <Override PartName="/xl/printerSettings/printerSettings16.bin" ContentType="application/vnd.openxmlformats-officedocument.spreadsheetml.printerSettings"/>
  <Override PartName="/xl/printerSettings/printerSettings15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printerSettings/printerSettings8.bin" ContentType="application/vnd.openxmlformats-officedocument.spreadsheetml.printerSettings"/>
  <Override PartName="/xl/printerSettings/printerSettings9.bin" ContentType="application/vnd.openxmlformats-officedocument.spreadsheetml.printerSettings"/>
  <Override PartName="/xl/printerSettings/printerSettings10.bin" ContentType="application/vnd.openxmlformats-officedocument.spreadsheetml.printerSettings"/>
  <Override PartName="/xl/printerSettings/printerSettings11.bin" ContentType="application/vnd.openxmlformats-officedocument.spreadsheetml.printerSettings"/>
  <Override PartName="/xl/printerSettings/printerSettings12.bin" ContentType="application/vnd.openxmlformats-officedocument.spreadsheetml.printerSettings"/>
  <Override PartName="/xl/printerSettings/printerSettings13.bin" ContentType="application/vnd.openxmlformats-officedocument.spreadsheetml.printerSettings"/>
  <Override PartName="/xl/printerSettings/printerSettings14.bin" ContentType="application/vnd.openxmlformats-officedocument.spreadsheetml.printerSettings"/>
  <Override PartName="/xl/externalLinks/externalLink10.xml" ContentType="application/vnd.openxmlformats-officedocument.spreadsheetml.externalLink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-45" yWindow="-45" windowWidth="14520" windowHeight="14685" firstSheet="1" activeTab="1"/>
  </bookViews>
  <sheets>
    <sheet name="_com.sap.ip.bi.xl.hiddensheet" sheetId="55" state="veryHidden" r:id="rId1"/>
    <sheet name="1.02 COC" sheetId="21" r:id="rId2"/>
    <sheet name="1.01 ROR ROE" sheetId="20" r:id="rId3"/>
    <sheet name="model" sheetId="1" r:id="rId4"/>
    <sheet name="Earnings Sharing-CBR to Adj CBR" sheetId="51" r:id="rId5"/>
    <sheet name="Inputs" sheetId="53" r:id="rId6"/>
    <sheet name="Restating Print Macros" sheetId="2" state="veryHidden" r:id="rId7"/>
    <sheet name="Module13" sheetId="3" state="veryHidden" r:id="rId8"/>
    <sheet name="Module14" sheetId="4" state="veryHidden" r:id="rId9"/>
    <sheet name="Module15" sheetId="5" state="veryHidden" r:id="rId10"/>
    <sheet name="Module1" sheetId="6" state="very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______________six6" localSheetId="5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5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5" hidden="1">{#N/A,#N/A,FALSE,"schA"}</definedName>
    <definedName name="____________________www1" hidden="1">{#N/A,#N/A,FALSE,"schA"}</definedName>
    <definedName name="__________________six6" localSheetId="5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5" hidden="1">{#N/A,#N/A,FALSE,"schA"}</definedName>
    <definedName name="__________________www1" hidden="1">{#N/A,#N/A,FALSE,"schA"}</definedName>
    <definedName name="_________________six6" localSheetId="5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5" hidden="1">{#N/A,#N/A,FALSE,"schA"}</definedName>
    <definedName name="_________________www1" hidden="1">{#N/A,#N/A,FALSE,"schA"}</definedName>
    <definedName name="________________six6" localSheetId="5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5" hidden="1">{#N/A,#N/A,FALSE,"schA"}</definedName>
    <definedName name="________________www1" hidden="1">{#N/A,#N/A,FALSE,"schA"}</definedName>
    <definedName name="_______________six6" localSheetId="5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5" hidden="1">{#N/A,#N/A,FALSE,"schA"}</definedName>
    <definedName name="_______________www1" hidden="1">{#N/A,#N/A,FALSE,"schA"}</definedName>
    <definedName name="______________six6" localSheetId="5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5" hidden="1">{#N/A,#N/A,FALSE,"schA"}</definedName>
    <definedName name="______________www1" hidden="1">{#N/A,#N/A,FALSE,"schA"}</definedName>
    <definedName name="_____________six6" localSheetId="5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5" hidden="1">{#N/A,#N/A,FALSE,"schA"}</definedName>
    <definedName name="_____________www1" hidden="1">{#N/A,#N/A,FALSE,"schA"}</definedName>
    <definedName name="____________six6" localSheetId="5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5" hidden="1">{#N/A,#N/A,FALSE,"schA"}</definedName>
    <definedName name="____________www1" hidden="1">{#N/A,#N/A,FALSE,"schA"}</definedName>
    <definedName name="___________six6" localSheetId="5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5" hidden="1">{#N/A,#N/A,FALSE,"schA"}</definedName>
    <definedName name="___________www1" hidden="1">{#N/A,#N/A,FALSE,"schA"}</definedName>
    <definedName name="__________six6" localSheetId="5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5" hidden="1">{#N/A,#N/A,FALSE,"schA"}</definedName>
    <definedName name="__________www1" hidden="1">{#N/A,#N/A,FALSE,"schA"}</definedName>
    <definedName name="_________six6" localSheetId="5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5" hidden="1">{#N/A,#N/A,FALSE,"schA"}</definedName>
    <definedName name="_________www1" hidden="1">{#N/A,#N/A,FALSE,"schA"}</definedName>
    <definedName name="________six6" localSheetId="5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5" hidden="1">{#N/A,#N/A,FALSE,"schA"}</definedName>
    <definedName name="________www1" hidden="1">{#N/A,#N/A,FALSE,"schA"}</definedName>
    <definedName name="_______ex1" localSheetId="5" hidden="1">{#N/A,#N/A,FALSE,"Summ";#N/A,#N/A,FALSE,"General"}</definedName>
    <definedName name="_______ex1" hidden="1">{#N/A,#N/A,FALSE,"Summ";#N/A,#N/A,FALSE,"General"}</definedName>
    <definedName name="_______new1" localSheetId="5" hidden="1">{#N/A,#N/A,FALSE,"Summ";#N/A,#N/A,FALSE,"General"}</definedName>
    <definedName name="_______new1" hidden="1">{#N/A,#N/A,FALSE,"Summ";#N/A,#N/A,FALSE,"General"}</definedName>
    <definedName name="_______six6" localSheetId="5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5" hidden="1">{#N/A,#N/A,FALSE,"schA"}</definedName>
    <definedName name="_______www1" hidden="1">{#N/A,#N/A,FALSE,"schA"}</definedName>
    <definedName name="______ex1" localSheetId="5" hidden="1">{#N/A,#N/A,FALSE,"Summ";#N/A,#N/A,FALSE,"General"}</definedName>
    <definedName name="______ex1" hidden="1">{#N/A,#N/A,FALSE,"Summ";#N/A,#N/A,FALSE,"General"}</definedName>
    <definedName name="______new1" localSheetId="5" hidden="1">{#N/A,#N/A,FALSE,"Summ";#N/A,#N/A,FALSE,"General"}</definedName>
    <definedName name="______new1" hidden="1">{#N/A,#N/A,FALSE,"Summ";#N/A,#N/A,FALSE,"General"}</definedName>
    <definedName name="______six6" localSheetId="5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5" hidden="1">{#N/A,#N/A,FALSE,"schA"}</definedName>
    <definedName name="______www1" hidden="1">{#N/A,#N/A,FALSE,"schA"}</definedName>
    <definedName name="_____ex1" localSheetId="5" hidden="1">{#N/A,#N/A,FALSE,"Summ";#N/A,#N/A,FALSE,"General"}</definedName>
    <definedName name="_____ex1" hidden="1">{#N/A,#N/A,FALSE,"Summ";#N/A,#N/A,FALSE,"General"}</definedName>
    <definedName name="_____new1" localSheetId="5" hidden="1">{#N/A,#N/A,FALSE,"Summ";#N/A,#N/A,FALSE,"General"}</definedName>
    <definedName name="_____new1" hidden="1">{#N/A,#N/A,FALSE,"Summ";#N/A,#N/A,FALSE,"General"}</definedName>
    <definedName name="_____six6" localSheetId="5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5" hidden="1">{#N/A,#N/A,FALSE,"schA"}</definedName>
    <definedName name="_____www1" hidden="1">{#N/A,#N/A,FALSE,"schA"}</definedName>
    <definedName name="____ex1" localSheetId="5" hidden="1">{#N/A,#N/A,FALSE,"Summ";#N/A,#N/A,FALSE,"General"}</definedName>
    <definedName name="____ex1" hidden="1">{#N/A,#N/A,FALSE,"Summ";#N/A,#N/A,FALSE,"General"}</definedName>
    <definedName name="____new1" localSheetId="5" hidden="1">{#N/A,#N/A,FALSE,"Summ";#N/A,#N/A,FALSE,"General"}</definedName>
    <definedName name="____new1" hidden="1">{#N/A,#N/A,FALSE,"Summ";#N/A,#N/A,FALSE,"General"}</definedName>
    <definedName name="____six6" localSheetId="5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5" hidden="1">{#N/A,#N/A,FALSE,"schA"}</definedName>
    <definedName name="____www1" hidden="1">{#N/A,#N/A,FALSE,"schA"}</definedName>
    <definedName name="___ex1" localSheetId="5" hidden="1">{#N/A,#N/A,FALSE,"Summ";#N/A,#N/A,FALSE,"General"}</definedName>
    <definedName name="___ex1" hidden="1">{#N/A,#N/A,FALSE,"Summ";#N/A,#N/A,FALSE,"General"}</definedName>
    <definedName name="___new1" localSheetId="5" hidden="1">{#N/A,#N/A,FALSE,"Summ";#N/A,#N/A,FALSE,"General"}</definedName>
    <definedName name="___new1" hidden="1">{#N/A,#N/A,FALSE,"Summ";#N/A,#N/A,FALSE,"General"}</definedName>
    <definedName name="___six6" localSheetId="5" hidden="1">{#N/A,#N/A,FALSE,"CRPT";#N/A,#N/A,FALSE,"TREND";#N/A,#N/A,FALSE,"%Curve"}</definedName>
    <definedName name="___six6" hidden="1">{#N/A,#N/A,FALSE,"CRPT";#N/A,#N/A,FALSE,"TREND";#N/A,#N/A,FALSE,"%Curve"}</definedName>
    <definedName name="___www1" localSheetId="5" hidden="1">{#N/A,#N/A,FALSE,"schA"}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D" hidden="1">#REF!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ex1" localSheetId="5" hidden="1">{#N/A,#N/A,FALSE,"Summ";#N/A,#N/A,FALSE,"General"}</definedName>
    <definedName name="__ex1" hidden="1">{#N/A,#N/A,FALSE,"Summ";#N/A,#N/A,FALSE,"General"}</definedName>
    <definedName name="__new1" localSheetId="5" hidden="1">{#N/A,#N/A,FALSE,"Summ";#N/A,#N/A,FALSE,"General"}</definedName>
    <definedName name="__new1" hidden="1">{#N/A,#N/A,FALSE,"Summ";#N/A,#N/A,FALSE,"General"}</definedName>
    <definedName name="__six6" localSheetId="5" hidden="1">{#N/A,#N/A,FALSE,"CRPT";#N/A,#N/A,FALSE,"TREND";#N/A,#N/A,FALSE,"%Curve"}</definedName>
    <definedName name="__six6" hidden="1">{#N/A,#N/A,FALSE,"CRPT";#N/A,#N/A,FALSE,"TREND";#N/A,#N/A,FALSE,"%Curve"}</definedName>
    <definedName name="__www1" localSheetId="5" hidden="1">{#N/A,#N/A,FALSE,"schA"}</definedName>
    <definedName name="__www1" hidden="1">{#N/A,#N/A,FALSE,"schA"}</definedName>
    <definedName name="_1__123Graph_ABUDG6_D_ESCRPR" hidden="1">[1]Quant!$D$71:$O$71</definedName>
    <definedName name="_2__123Graph_ABUDG6_Dtons_inv" hidden="1">[3]Quant!#REF!</definedName>
    <definedName name="_3__123Graph_ABUDG6_Dtons_inv" localSheetId="5" hidden="1">[4]Quant!#REF!</definedName>
    <definedName name="_3__123Graph_ABUDG6_Dtons_inv" hidden="1">[4]Quant!#REF!</definedName>
    <definedName name="_3__123Graph_BBUDG6_D_ESCRPR" hidden="1">[1]Quant!$D$72:$O$72</definedName>
    <definedName name="_4__123Graph_ABUDG6_Dtons_inv" localSheetId="5" hidden="1">'[5]Area D 2011'!#REF!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hidden="1">'[5]Area D 2011'!#REF!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hidden="1">'[5]Area D 2011'!#REF!</definedName>
    <definedName name="_8__123Graph_XBUDG6_Dtons_inv" hidden="1">[1]Quant!$D$5:$O$5</definedName>
    <definedName name="_ex1" localSheetId="5" hidden="1">{#N/A,#N/A,FALSE,"Summ";#N/A,#N/A,FALSE,"General"}</definedName>
    <definedName name="_ex1" hidden="1">{#N/A,#N/A,FALSE,"Summ";#N/A,#N/A,FALSE,"General"}</definedName>
    <definedName name="_Fill" localSheetId="5" hidden="1">#REF!</definedName>
    <definedName name="_Fill" hidden="1">#REF!</definedName>
    <definedName name="_Key1" localSheetId="5" hidden="1">#REF!</definedName>
    <definedName name="_Key1" hidden="1">#REF!</definedName>
    <definedName name="_Key2" localSheetId="5" hidden="1">#REF!</definedName>
    <definedName name="_Key2" hidden="1">#REF!</definedName>
    <definedName name="_new1" localSheetId="5" hidden="1">{#N/A,#N/A,FALSE,"Summ";#N/A,#N/A,FALSE,"General"}</definedName>
    <definedName name="_new1" hidden="1">{#N/A,#N/A,FALSE,"Summ";#N/A,#N/A,FALSE,"General"}</definedName>
    <definedName name="_Parse_In" localSheetId="5" hidden="1">#REF!</definedName>
    <definedName name="_Parse_In" hidden="1">#REF!</definedName>
    <definedName name="_six6" localSheetId="5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5" hidden="1">{#N/A,#N/A,FALSE,"schA"}</definedName>
    <definedName name="_www1" hidden="1">{#N/A,#N/A,FALSE,"schA"}</definedName>
    <definedName name="a" localSheetId="5" hidden="1">{#N/A,#N/A,FALSE,"Coversheet";#N/A,#N/A,FALSE,"QA"}</definedName>
    <definedName name="a" hidden="1">{#N/A,#N/A,FALSE,"Coversheet";#N/A,#N/A,FALSE,"QA"}</definedName>
    <definedName name="aaa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5" hidden="1">{#N/A,#N/A,FALSE,"Coversheet";#N/A,#N/A,FALSE,"QA"}</definedName>
    <definedName name="AAAAAAAAAAAAAA" hidden="1">{#N/A,#N/A,FALSE,"Coversheet";#N/A,#N/A,FALSE,"QA"}</definedName>
    <definedName name="b" localSheetId="5" hidden="1">{#N/A,#N/A,FALSE,"Coversheet";#N/A,#N/A,FALSE,"QA"}</definedName>
    <definedName name="b" hidden="1">{#N/A,#N/A,FALSE,"Coversheet";#N/A,#N/A,FALSE,"QA"}</definedName>
    <definedName name="BEm" localSheetId="5" hidden="1">#REF!</definedName>
    <definedName name="BEm" hidden="1">#REF!</definedName>
    <definedName name="BEx0017DGUEDPCFJUPUZOOLJCS2B" localSheetId="5" hidden="1">#REF!</definedName>
    <definedName name="BEx0017DGUEDPCFJUPUZOOLJCS2B" hidden="1">#REF!</definedName>
    <definedName name="BEx001CNWHJ5RULCSFM36ZCGJ1UH" localSheetId="5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localSheetId="5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5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5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LETE01" localSheetId="5" hidden="1">{#N/A,#N/A,FALSE,"Coversheet";#N/A,#N/A,FALSE,"QA"}</definedName>
    <definedName name="DELETE01" hidden="1">{#N/A,#N/A,FALSE,"Coversheet";#N/A,#N/A,FALSE,"QA"}</definedName>
    <definedName name="DELETE02" localSheetId="5" hidden="1">{#N/A,#N/A,FALSE,"Schedule F";#N/A,#N/A,FALSE,"Schedule G"}</definedName>
    <definedName name="DELETE02" hidden="1">{#N/A,#N/A,FALSE,"Schedule F";#N/A,#N/A,FALSE,"Schedule G"}</definedName>
    <definedName name="Delete06" localSheetId="5" hidden="1">{#N/A,#N/A,FALSE,"Coversheet";#N/A,#N/A,FALSE,"QA"}</definedName>
    <definedName name="Delete06" hidden="1">{#N/A,#N/A,FALSE,"Coversheet";#N/A,#N/A,FALSE,"QA"}</definedName>
    <definedName name="Delete09" localSheetId="5" hidden="1">{#N/A,#N/A,FALSE,"Coversheet";#N/A,#N/A,FALSE,"QA"}</definedName>
    <definedName name="Delete09" hidden="1">{#N/A,#N/A,FALSE,"Coversheet";#N/A,#N/A,FALSE,"QA"}</definedName>
    <definedName name="Delete1" localSheetId="5" hidden="1">{#N/A,#N/A,FALSE,"Coversheet";#N/A,#N/A,FALSE,"QA"}</definedName>
    <definedName name="Delete1" hidden="1">{#N/A,#N/A,FALSE,"Coversheet";#N/A,#N/A,FALSE,"QA"}</definedName>
    <definedName name="Delete10" localSheetId="5" hidden="1">{#N/A,#N/A,FALSE,"Schedule F";#N/A,#N/A,FALSE,"Schedule G"}</definedName>
    <definedName name="Delete10" hidden="1">{#N/A,#N/A,FALSE,"Schedule F";#N/A,#N/A,FALSE,"Schedule G"}</definedName>
    <definedName name="Delete21" localSheetId="5" hidden="1">{#N/A,#N/A,FALSE,"Coversheet";#N/A,#N/A,FALSE,"QA"}</definedName>
    <definedName name="Delete21" hidden="1">{#N/A,#N/A,FALSE,"Coversheet";#N/A,#N/A,FALSE,"QA"}</definedName>
    <definedName name="df" localSheetId="5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5" hidden="1">{#N/A,#N/A,FALSE,"Coversheet";#N/A,#N/A,FALSE,"QA"}</definedName>
    <definedName name="DFIT" hidden="1">{#N/A,#N/A,FALSE,"Coversheet";#N/A,#N/A,FALSE,"QA"}</definedName>
    <definedName name="ee" localSheetId="5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5" hidden="1">{#N/A,#N/A,FALSE,"Coversheet";#N/A,#N/A,FALSE,"QA"}</definedName>
    <definedName name="error" hidden="1">{#N/A,#N/A,FALSE,"Coversheet";#N/A,#N/A,FALSE,"QA"}</definedName>
    <definedName name="Estimate" localSheetId="5" hidden="1">{#N/A,#N/A,FALSE,"Summ";#N/A,#N/A,FALSE,"General"}</definedName>
    <definedName name="Estimate" hidden="1">{#N/A,#N/A,FALSE,"Summ";#N/A,#N/A,FALSE,"General"}</definedName>
    <definedName name="ex" localSheetId="5" hidden="1">{#N/A,#N/A,FALSE,"Summ";#N/A,#N/A,FALSE,"General"}</definedName>
    <definedName name="ex" hidden="1">{#N/A,#N/A,FALSE,"Summ";#N/A,#N/A,FALSE,"General"}</definedName>
    <definedName name="fdasfdas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5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5" hidden="1">{#N/A,#N/A,FALSE,"Coversheet";#N/A,#N/A,FALSE,"QA"}</definedName>
    <definedName name="ffff" hidden="1">{#N/A,#N/A,FALSE,"Coversheet";#N/A,#N/A,FALSE,"QA"}</definedName>
    <definedName name="fffgf" localSheetId="5" hidden="1">{#N/A,#N/A,FALSE,"Coversheet";#N/A,#N/A,FALSE,"QA"}</definedName>
    <definedName name="fffgf" hidden="1">{#N/A,#N/A,FALSE,"Coversheet";#N/A,#N/A,FALSE,"QA"}</definedName>
    <definedName name="gary" localSheetId="5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5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5" hidden="1">{#N/A,#N/A,FALSE,"Coversheet";#N/A,#N/A,FALSE,"QA"}</definedName>
    <definedName name="HELP" hidden="1">{#N/A,#N/A,FALSE,"Coversheet";#N/A,#N/A,FALSE,"QA"}</definedName>
    <definedName name="income_satement_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5" hidden="1">{#N/A,#N/A,FALSE,"Summ";#N/A,#N/A,FALSE,"General"}</definedName>
    <definedName name="jfkljsdkljiejgr" hidden="1">{#N/A,#N/A,FALSE,"Summ";#N/A,#N/A,FALSE,"General"}</definedName>
    <definedName name="k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5" hidden="1">{#N/A,#N/A,FALSE,"Coversheet";#N/A,#N/A,FALSE,"QA"}</definedName>
    <definedName name="lookup" hidden="1">{#N/A,#N/A,FALSE,"Coversheet";#N/A,#N/A,FALSE,"QA"}</definedName>
    <definedName name="Miller" localSheetId="5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5" hidden="1">{#N/A,#N/A,FALSE,"Summ";#N/A,#N/A,FALSE,"General"}</definedName>
    <definedName name="new" hidden="1">{#N/A,#N/A,FALSE,"Summ";#N/A,#N/A,FALSE,"General"}</definedName>
    <definedName name="NOYT" localSheetId="5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5" hidden="1">{#N/A,#N/A,FALSE,"Coversheet";#N/A,#N/A,FALSE,"QA"}</definedName>
    <definedName name="q" hidden="1">{#N/A,#N/A,FALSE,"Coversheet";#N/A,#N/A,FALSE,"QA"}</definedName>
    <definedName name="qqq" localSheetId="5" hidden="1">{#N/A,#N/A,FALSE,"schA"}</definedName>
    <definedName name="qqq" hidden="1">{#N/A,#N/A,FALSE,"schA"}</definedName>
    <definedName name="rec_weco_gl_contract_aug99" localSheetId="5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APCrosstab1">#REF!</definedName>
    <definedName name="SAPCrosstab2">#REF!</definedName>
    <definedName name="sdlfhsdlhfkl" localSheetId="5" hidden="1">{#N/A,#N/A,FALSE,"Summ";#N/A,#N/A,FALSE,"General"}</definedName>
    <definedName name="sdlfhsdlhfkl" hidden="1">{#N/A,#N/A,FALSE,"Summ";#N/A,#N/A,FALSE,"General"}</definedName>
    <definedName name="seven" localSheetId="5" hidden="1">{#N/A,#N/A,FALSE,"CRPT";#N/A,#N/A,FALSE,"TREND";#N/A,#N/A,FALSE,"%Curve"}</definedName>
    <definedName name="seven" hidden="1">{#N/A,#N/A,FALSE,"CRPT";#N/A,#N/A,FALSE,"TREND";#N/A,#N/A,FALSE,"%Curve"}</definedName>
    <definedName name="six" localSheetId="5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ue" localSheetId="5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5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5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5" hidden="1">{#N/A,#N/A,FALSE,"Summ";#N/A,#N/A,FALSE,"General"}</definedName>
    <definedName name="tem" hidden="1">{#N/A,#N/A,FALSE,"Summ";#N/A,#N/A,FALSE,"General"}</definedName>
    <definedName name="TEMP" localSheetId="5" hidden="1">{#N/A,#N/A,FALSE,"Summ";#N/A,#N/A,FALSE,"General"}</definedName>
    <definedName name="TEMP" hidden="1">{#N/A,#N/A,FALSE,"Summ";#N/A,#N/A,FALSE,"General"}</definedName>
    <definedName name="Temp1" localSheetId="5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5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5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5" hidden="1">{#N/A,#N/A,FALSE,"Summ";#N/A,#N/A,FALSE,"General"}</definedName>
    <definedName name="u" hidden="1">{#N/A,#N/A,FALSE,"Summ";#N/A,#N/A,FALSE,"General"}</definedName>
    <definedName name="v" localSheetId="5" hidden="1">{#N/A,#N/A,FALSE,"Coversheet";#N/A,#N/A,FALSE,"QA"}</definedName>
    <definedName name="v" hidden="1">{#N/A,#N/A,FALSE,"Coversheet";#N/A,#N/A,FALSE,"QA"}</definedName>
    <definedName name="Value" localSheetId="5" hidden="1">{#N/A,#N/A,FALSE,"Summ";#N/A,#N/A,FALSE,"General"}</definedName>
    <definedName name="Value" hidden="1">{#N/A,#N/A,FALSE,"Summ";#N/A,#N/A,FALSE,"General"}</definedName>
    <definedName name="w" localSheetId="5" hidden="1">{#N/A,#N/A,FALSE,"Schedule F";#N/A,#N/A,FALSE,"Schedule G"}</definedName>
    <definedName name="w" hidden="1">{#N/A,#N/A,FALSE,"Schedule F";#N/A,#N/A,FALSE,"Schedule G"}</definedName>
    <definedName name="we" localSheetId="5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5" hidden="1">{#N/A,#N/A,FALSE,"Coversheet";#N/A,#N/A,FALSE,"QA"}</definedName>
    <definedName name="WH" hidden="1">{#N/A,#N/A,FALSE,"Coversheet";#N/A,#N/A,FALSE,"QA"}</definedName>
    <definedName name="wrn.1._.Bi._.Monthly._.CR." localSheetId="5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5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5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5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5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5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5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5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5" hidden="1">{#N/A,#N/A,FALSE,"Cost Adjustment "}</definedName>
    <definedName name="wrn.Cost._.Adjustment." hidden="1">{#N/A,#N/A,FALSE,"Cost Adjustment 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5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5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5" hidden="1">{#N/A,#N/A,FALSE,"schA"}</definedName>
    <definedName name="wrn.ECR." hidden="1">{#N/A,#N/A,FALSE,"schA"}</definedName>
    <definedName name="wrn.ESTIMATE." localSheetId="5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5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5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5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5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5" hidden="1">{#N/A,#N/A,FALSE,"Coversheet";#N/A,#N/A,FALSE,"QA"}</definedName>
    <definedName name="wrn.Incentive._.Overhead." hidden="1">{#N/A,#N/A,FALSE,"Coversheet";#N/A,#N/A,FALSE,"QA"}</definedName>
    <definedName name="wrn.limit_reports." localSheetId="5" hidden="1">{#N/A,#N/A,FALSE,"Schedule F";#N/A,#N/A,FALSE,"Schedule G"}</definedName>
    <definedName name="wrn.limit_reports." hidden="1">{#N/A,#N/A,FALSE,"Schedule F";#N/A,#N/A,FALSE,"Schedule G"}</definedName>
    <definedName name="wrn.MARGIN_WO_QTR." localSheetId="5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5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5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localSheetId="5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5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5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5" hidden="1">{#N/A,#N/A,FALSE,"7617 Fab";#N/A,#N/A,FALSE,"7617 NSK"}</definedName>
    <definedName name="wrn.SCHEDULE." hidden="1">{#N/A,#N/A,FALSE,"7617 Fab";#N/A,#N/A,FALSE,"7617 NSK"}</definedName>
    <definedName name="wrn.Semi._.Annual._.Cost._.Adj." localSheetId="5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5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5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5" hidden="1">{#N/A,#N/A,FALSE,"2002 Small Tool OH";#N/A,#N/A,FALSE,"QA"}</definedName>
    <definedName name="wrn.Small._.Tools._.Overhead." hidden="1">{#N/A,#N/A,FALSE,"2002 Small Tool OH";#N/A,#N/A,FALSE,"QA"}</definedName>
    <definedName name="wrn.Summary." localSheetId="5" hidden="1">{#N/A,#N/A,FALSE,"Summ";#N/A,#N/A,FALSE,"General"}</definedName>
    <definedName name="wrn.Summary." hidden="1">{#N/A,#N/A,FALSE,"Summ";#N/A,#N/A,FALSE,"General"}</definedName>
    <definedName name="wrn.test." localSheetId="5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5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5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5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5" hidden="1">{#N/A,#N/A,FALSE,"schA"}</definedName>
    <definedName name="www" hidden="1">{#N/A,#N/A,FALSE,"schA"}</definedName>
    <definedName name="x" localSheetId="5" hidden="1">{#N/A,#N/A,FALSE,"Coversheet";#N/A,#N/A,FALSE,"QA"}</definedName>
    <definedName name="x" hidden="1">{#N/A,#N/A,FALSE,"Coversheet";#N/A,#N/A,FALSE,"QA"}</definedName>
    <definedName name="xx" localSheetId="5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5" hidden="1">{#N/A,#N/A,FALSE,"Summ";#N/A,#N/A,FALSE,"General"}</definedName>
    <definedName name="yuf" hidden="1">{#N/A,#N/A,FALSE,"Summ";#N/A,#N/A,FALSE,"General"}</definedName>
    <definedName name="z" localSheetId="5" hidden="1">{#N/A,#N/A,FALSE,"Coversheet";#N/A,#N/A,FALSE,"QA"}</definedName>
    <definedName name="z" hidden="1">{#N/A,#N/A,FALSE,"Coversheet";#N/A,#N/A,FALSE,"QA"}</definedName>
    <definedName name="zzz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 concurrentManualCount="12"/>
  <customWorkbookViews>
    <customWorkbookView name="PAGE 2.02" guid="{DF51FD8A-8BA9-46B7-B455-DFD0D532E42D}" maximized="1" windowWidth="1276" windowHeight="746" activeSheetId="6"/>
    <customWorkbookView name="PAGE 2.03" guid="{1E45DDAB-A557-4269-B1F7-CCA75743796E}" maximized="1" windowWidth="1276" windowHeight="746" activeSheetId="6"/>
    <customWorkbookView name="PAGE 2.04" guid="{114781A2-0298-429A-B53B-CCDE7FC07C8A}" maximized="1" windowWidth="1276" windowHeight="746" activeSheetId="6"/>
    <customWorkbookView name="PAGE 2.05" guid="{70410578-0BAB-407F-B45A-A1FD00E78914}" maximized="1" windowWidth="1276" windowHeight="746" activeSheetId="6"/>
    <customWorkbookView name="PAGE 2.06" guid="{833E8250-6973-4555-A9B1-5ACEC89F3481}" maximized="1" windowWidth="1276" windowHeight="746" activeSheetId="6"/>
    <customWorkbookView name="PAGE 2.07" guid="{2C3700F5-7337-49E6-9C17-9B49CE910373}" maximized="1" windowWidth="1276" windowHeight="746" activeSheetId="6"/>
    <customWorkbookView name="PAGE 2.08" guid="{57344CAB-EDB4-4D23-8F83-6632FA133D6F}" maximized="1" windowWidth="1276" windowHeight="746" activeSheetId="6"/>
    <customWorkbookView name="PAGE 2.15" guid="{368BDFFC-8B6F-4E1E-88F3-F226428845CF}" maximized="1" windowWidth="1276" windowHeight="746" activeSheetId="6"/>
    <customWorkbookView name="PAGE 2.17" guid="{BEBB2007-766E-4870-AB0B-58E56CB3F651}" maximized="1" windowWidth="1020" windowHeight="579" activeSheetId="1"/>
    <customWorkbookView name="PAGE 4.00" guid="{F0C9B202-A28C-4D84-9483-9F8FC93D796D}" maximized="1" windowWidth="1020" windowHeight="579" activeSheetId="1"/>
    <customWorkbookView name="PAGE 4.02" guid="{5528C217-5C85-409E-BEF2-118EFA30D59F}" maximized="1" windowWidth="1020" windowHeight="579" activeSheetId="1"/>
    <customWorkbookView name="PAGE 4.03" guid="{3CBED636-2D45-404E-AAC8-3EE8AD1E87DC}" maximized="1" windowWidth="1020" windowHeight="579" activeSheetId="1"/>
    <customWorkbookView name="PAGE 2.01" guid="{31DFCE0A-9DA6-4A87-B609-465F85B537E0}" maximized="1" windowWidth="1020" windowHeight="579" activeSheetId="1"/>
    <customWorkbookView name="PAGE 2.09" guid="{363BCC7B-365C-4862-8308-FD01127C4AC4}" maximized="1" windowWidth="1020" windowHeight="579" activeSheetId="1"/>
    <customWorkbookView name="PAGE 2.10" guid="{4D415296-881A-4775-98CD-22EFE3033486}" maximized="1" windowWidth="1020" windowHeight="579" activeSheetId="1"/>
    <customWorkbookView name="PAGE 2.11" guid="{1B900283-A429-4403-A9D8-C71CBE042C5B}" maximized="1" windowWidth="1020" windowHeight="579" activeSheetId="1"/>
    <customWorkbookView name="PAGE 2.12" guid="{1C1C43A1-DC1D-4B83-8878-3010F6B52F39}" maximized="1" windowWidth="1020" windowHeight="579" activeSheetId="1"/>
    <customWorkbookView name="PAGE 2.13" guid="{9BA720D1-BA25-4C52-A40B-874BAF7D1762}" maximized="1" windowWidth="1020" windowHeight="579" activeSheetId="1"/>
    <customWorkbookView name="PAGE 2.14" guid="{416960AD-1B0E-43B1-BBE2-4C2BAE619099}" maximized="1" windowWidth="1020" windowHeight="579" activeSheetId="1"/>
    <customWorkbookView name="PAGE 2.16" guid="{E75FE358-FE2D-4487-BA5A-B5AB72EE82DF}" maximized="1" windowWidth="1020" windowHeight="579" activeSheetId="1"/>
    <customWorkbookView name="Spreadsheet and summary" guid="{6734E4FA-60B7-471C-AEFF-A65F9BB053D8}" maximized="1" windowWidth="1020" windowHeight="579" activeSheetId="1"/>
    <customWorkbookView name="ckrueg - Personal view" guid="{9180F71E-9CF3-48FD-9127-9BC9888EC40C}" maximized="1" windowWidth="1020" windowHeight="579" activeSheetId="1"/>
  </customWorkbookViews>
</workbook>
</file>

<file path=xl/calcChain.xml><?xml version="1.0" encoding="utf-8"?>
<calcChain xmlns="http://schemas.openxmlformats.org/spreadsheetml/2006/main">
  <c r="E12" i="51" l="1"/>
  <c r="J14" i="1"/>
  <c r="E34" i="1" l="1"/>
  <c r="E33" i="1"/>
  <c r="E32" i="1"/>
  <c r="E31" i="1"/>
  <c r="E30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E16" i="51" l="1"/>
  <c r="V57" i="1" l="1"/>
  <c r="T57" i="1"/>
  <c r="V24" i="1"/>
  <c r="T24" i="1"/>
  <c r="N25" i="1" l="1"/>
  <c r="N24" i="1"/>
  <c r="N23" i="1"/>
  <c r="N22" i="1"/>
  <c r="N18" i="1"/>
  <c r="N17" i="1"/>
  <c r="AQ17" i="1" l="1"/>
  <c r="U22" i="1" l="1"/>
  <c r="U19" i="1"/>
  <c r="BF12" i="1" l="1"/>
  <c r="BE12" i="1"/>
  <c r="AW12" i="1" l="1"/>
  <c r="AV12" i="1"/>
  <c r="AL13" i="1" l="1"/>
  <c r="AK13" i="1" l="1"/>
  <c r="AK15" i="1"/>
  <c r="AL15" i="1" l="1"/>
  <c r="AF18" i="1" l="1"/>
  <c r="AE18" i="1"/>
  <c r="AG24" i="1" l="1"/>
  <c r="AD13" i="1" l="1"/>
  <c r="AG12" i="1" l="1"/>
  <c r="AF12" i="1"/>
  <c r="AD12" i="1"/>
  <c r="AE12" i="1"/>
  <c r="AD14" i="1"/>
  <c r="AE14" i="1"/>
  <c r="AG14" i="1"/>
  <c r="AF14" i="1"/>
  <c r="AE13" i="1"/>
  <c r="AF13" i="1"/>
  <c r="AG13" i="1"/>
  <c r="AH12" i="1" l="1"/>
  <c r="AH14" i="1"/>
  <c r="AH13" i="1"/>
  <c r="BP20" i="1" l="1"/>
  <c r="BQ16" i="1"/>
  <c r="BP16" i="1"/>
  <c r="V56" i="1" l="1"/>
  <c r="V55" i="1"/>
  <c r="V54" i="1"/>
  <c r="V53" i="1"/>
  <c r="V52" i="1"/>
  <c r="V51" i="1"/>
  <c r="V50" i="1"/>
  <c r="V49" i="1"/>
  <c r="V48" i="1"/>
  <c r="V47" i="1"/>
  <c r="V46" i="1"/>
  <c r="V45" i="1"/>
  <c r="V44" i="1"/>
  <c r="V32" i="1"/>
  <c r="V31" i="1"/>
  <c r="V30" i="1"/>
  <c r="V29" i="1"/>
  <c r="V28" i="1"/>
  <c r="V23" i="1"/>
  <c r="V21" i="1"/>
  <c r="V20" i="1"/>
  <c r="V18" i="1"/>
  <c r="V17" i="1"/>
  <c r="V16" i="1"/>
  <c r="V15" i="1"/>
  <c r="V14" i="1"/>
  <c r="CL32" i="1" l="1"/>
  <c r="J21" i="1"/>
  <c r="BK13" i="1" l="1"/>
  <c r="BK12" i="1"/>
  <c r="BJ13" i="1"/>
  <c r="BJ12" i="1"/>
  <c r="Z17" i="1" l="1"/>
  <c r="Z15" i="1"/>
  <c r="Z14" i="1"/>
  <c r="Z16" i="1" l="1"/>
  <c r="BB12" i="1"/>
  <c r="F17" i="21" l="1"/>
  <c r="D19" i="21"/>
  <c r="F19" i="21" s="1"/>
  <c r="D17" i="21"/>
  <c r="C19" i="21"/>
  <c r="C17" i="21"/>
  <c r="CG16" i="1"/>
  <c r="DC16" i="1" s="1"/>
  <c r="CG29" i="1"/>
  <c r="CG30" i="1"/>
  <c r="CG31" i="1"/>
  <c r="DC31" i="1" s="1"/>
  <c r="CG32" i="1"/>
  <c r="DC32" i="1" s="1"/>
  <c r="CG33" i="1"/>
  <c r="DC33" i="1" s="1"/>
  <c r="CG34" i="1"/>
  <c r="DC34" i="1" s="1"/>
  <c r="CG35" i="1"/>
  <c r="DC35" i="1" s="1"/>
  <c r="CG36" i="1"/>
  <c r="CG37" i="1"/>
  <c r="DC37" i="1" s="1"/>
  <c r="CG38" i="1"/>
  <c r="CG39" i="1"/>
  <c r="DC39" i="1" s="1"/>
  <c r="CG40" i="1"/>
  <c r="CG41" i="1"/>
  <c r="DC41" i="1" s="1"/>
  <c r="CG28" i="1"/>
  <c r="CG24" i="1"/>
  <c r="DC24" i="1" s="1"/>
  <c r="DC26" i="1" s="1"/>
  <c r="CG14" i="1"/>
  <c r="DC14" i="1" s="1"/>
  <c r="CB14" i="1"/>
  <c r="CC13" i="1"/>
  <c r="B7" i="53" s="1"/>
  <c r="I29" i="1" s="1"/>
  <c r="CC12" i="1"/>
  <c r="B6" i="53" s="1"/>
  <c r="E11" i="51"/>
  <c r="I27" i="51"/>
  <c r="K27" i="51"/>
  <c r="B14" i="51"/>
  <c r="B15" i="51"/>
  <c r="B16" i="51"/>
  <c r="B17" i="51"/>
  <c r="B11" i="51"/>
  <c r="B12" i="51"/>
  <c r="N27" i="1"/>
  <c r="S13" i="1"/>
  <c r="S14" i="1"/>
  <c r="S15" i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BW21" i="1"/>
  <c r="BX15" i="1"/>
  <c r="CX53" i="1" s="1"/>
  <c r="BX13" i="1"/>
  <c r="BV21" i="1"/>
  <c r="BX19" i="1"/>
  <c r="BX21" i="1" s="1"/>
  <c r="BX22" i="1" s="1"/>
  <c r="CX40" i="1" s="1"/>
  <c r="BX14" i="1"/>
  <c r="CX52" i="1" s="1"/>
  <c r="BF15" i="1"/>
  <c r="BE15" i="1"/>
  <c r="BB15" i="1"/>
  <c r="AW14" i="1"/>
  <c r="AV14" i="1"/>
  <c r="BV16" i="1"/>
  <c r="CV57" i="1"/>
  <c r="CV46" i="1"/>
  <c r="CU57" i="1"/>
  <c r="CU46" i="1"/>
  <c r="CT57" i="1"/>
  <c r="CT46" i="1"/>
  <c r="CS57" i="1"/>
  <c r="CS46" i="1" s="1"/>
  <c r="CR57" i="1"/>
  <c r="CQ57" i="1"/>
  <c r="CQ46" i="1" s="1"/>
  <c r="CN57" i="1"/>
  <c r="CN46" i="1" s="1"/>
  <c r="CM57" i="1"/>
  <c r="CM46" i="1"/>
  <c r="CL57" i="1"/>
  <c r="CL46" i="1"/>
  <c r="CK57" i="1"/>
  <c r="CK46" i="1"/>
  <c r="CJ57" i="1"/>
  <c r="CI57" i="1"/>
  <c r="CI46" i="1"/>
  <c r="CH57" i="1"/>
  <c r="CH46" i="1" s="1"/>
  <c r="BR20" i="1"/>
  <c r="CW16" i="1" s="1"/>
  <c r="CW17" i="1" s="1"/>
  <c r="K38" i="1"/>
  <c r="K15" i="1"/>
  <c r="CI14" i="1" s="1"/>
  <c r="E24" i="1"/>
  <c r="CE5" i="1"/>
  <c r="DA3" i="1"/>
  <c r="CO3" i="1"/>
  <c r="CE3" i="1"/>
  <c r="BY4" i="1"/>
  <c r="BS4" i="1"/>
  <c r="BM4" i="1"/>
  <c r="BH4" i="1"/>
  <c r="BC4" i="1"/>
  <c r="AY4" i="1"/>
  <c r="AT4" i="1"/>
  <c r="AN4" i="1"/>
  <c r="AI4" i="1"/>
  <c r="AB4" i="1"/>
  <c r="W4" i="1"/>
  <c r="S4" i="1"/>
  <c r="O4" i="1"/>
  <c r="L4" i="1"/>
  <c r="G4" i="1"/>
  <c r="A4" i="1"/>
  <c r="BK17" i="1"/>
  <c r="BF18" i="1"/>
  <c r="AW18" i="1"/>
  <c r="AP24" i="1"/>
  <c r="AL20" i="1"/>
  <c r="AG28" i="1"/>
  <c r="Y22" i="1"/>
  <c r="U61" i="1"/>
  <c r="Q23" i="1"/>
  <c r="I42" i="1"/>
  <c r="CB19" i="1"/>
  <c r="D49" i="1"/>
  <c r="A7" i="21"/>
  <c r="DA5" i="1"/>
  <c r="CO5" i="1"/>
  <c r="BY6" i="1"/>
  <c r="BS6" i="1"/>
  <c r="BM6" i="1"/>
  <c r="BH6" i="1"/>
  <c r="BC6" i="1"/>
  <c r="AY6" i="1"/>
  <c r="AT6" i="1"/>
  <c r="AN6" i="1"/>
  <c r="AI6" i="1"/>
  <c r="AB6" i="1"/>
  <c r="W6" i="1"/>
  <c r="S6" i="1"/>
  <c r="O6" i="1"/>
  <c r="L6" i="1"/>
  <c r="G6" i="1"/>
  <c r="A6" i="1"/>
  <c r="A2" i="20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BM13" i="1"/>
  <c r="BM14" i="1"/>
  <c r="BM15" i="1"/>
  <c r="BM16" i="1" s="1"/>
  <c r="BM17" i="1" s="1"/>
  <c r="BM18" i="1" s="1"/>
  <c r="BM19" i="1" s="1"/>
  <c r="BM20" i="1" s="1"/>
  <c r="BM21" i="1" s="1"/>
  <c r="BM22" i="1" s="1"/>
  <c r="BM23" i="1" s="1"/>
  <c r="BM24" i="1" s="1"/>
  <c r="BM25" i="1" s="1"/>
  <c r="BM26" i="1"/>
  <c r="BM27" i="1" s="1"/>
  <c r="BM28" i="1" s="1"/>
  <c r="BM29" i="1" s="1"/>
  <c r="CX26" i="1"/>
  <c r="CX17" i="1"/>
  <c r="CW26" i="1"/>
  <c r="BX2" i="1"/>
  <c r="BR2" i="1"/>
  <c r="BS13" i="1"/>
  <c r="BS14" i="1" s="1"/>
  <c r="BS15" i="1" s="1"/>
  <c r="BS16" i="1" s="1"/>
  <c r="BS17" i="1" s="1"/>
  <c r="L13" i="1"/>
  <c r="L14" i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/>
  <c r="L26" i="1" s="1"/>
  <c r="L27" i="1" s="1"/>
  <c r="L28" i="1" s="1"/>
  <c r="L29" i="1" s="1"/>
  <c r="L30" i="1"/>
  <c r="L31" i="1"/>
  <c r="L32" i="1"/>
  <c r="CK41" i="1"/>
  <c r="D19" i="20"/>
  <c r="D21" i="20"/>
  <c r="F39" i="1"/>
  <c r="CH24" i="1"/>
  <c r="CH26" i="1" s="1"/>
  <c r="AI13" i="1"/>
  <c r="AI14" i="1" s="1"/>
  <c r="AI15" i="1" s="1"/>
  <c r="AI16" i="1" s="1"/>
  <c r="AI17" i="1" s="1"/>
  <c r="AI18" i="1" s="1"/>
  <c r="AI19" i="1"/>
  <c r="AI20" i="1" s="1"/>
  <c r="AI21" i="1" s="1"/>
  <c r="F2" i="1"/>
  <c r="K2" i="1"/>
  <c r="BH13" i="1"/>
  <c r="BH14" i="1"/>
  <c r="BH15" i="1"/>
  <c r="BH16" i="1"/>
  <c r="BH17" i="1"/>
  <c r="BH18" i="1" s="1"/>
  <c r="BH19" i="1" s="1"/>
  <c r="W13" i="1"/>
  <c r="W14" i="1" s="1"/>
  <c r="W15" i="1" s="1"/>
  <c r="W16" i="1" s="1"/>
  <c r="W17" i="1" s="1"/>
  <c r="W18" i="1" s="1"/>
  <c r="W19" i="1" s="1"/>
  <c r="W20" i="1" s="1"/>
  <c r="W21" i="1"/>
  <c r="W22" i="1" s="1"/>
  <c r="W23" i="1" s="1"/>
  <c r="W24" i="1" s="1"/>
  <c r="CQ26" i="1"/>
  <c r="CQ17" i="1"/>
  <c r="AB13" i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13" i="1"/>
  <c r="A14" i="1"/>
  <c r="A15" i="1"/>
  <c r="A16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CJ17" i="1"/>
  <c r="CN17" i="1"/>
  <c r="CO14" i="1"/>
  <c r="CO15" i="1"/>
  <c r="CO16" i="1" s="1"/>
  <c r="CO17" i="1" s="1"/>
  <c r="CR17" i="1"/>
  <c r="CT17" i="1"/>
  <c r="CS17" i="1"/>
  <c r="CJ26" i="1"/>
  <c r="CK26" i="1"/>
  <c r="CN26" i="1"/>
  <c r="CR26" i="1"/>
  <c r="CT26" i="1"/>
  <c r="CU26" i="1"/>
  <c r="CS26" i="1"/>
  <c r="AT13" i="1"/>
  <c r="AT14" i="1"/>
  <c r="AT15" i="1" s="1"/>
  <c r="AT16" i="1" s="1"/>
  <c r="AT17" i="1" s="1"/>
  <c r="AT18" i="1" s="1"/>
  <c r="AT19" i="1" s="1"/>
  <c r="AT20" i="1" s="1"/>
  <c r="O13" i="1"/>
  <c r="O14" i="1"/>
  <c r="O15" i="1"/>
  <c r="O16" i="1"/>
  <c r="O17" i="1"/>
  <c r="O18" i="1" s="1"/>
  <c r="O19" i="1" s="1"/>
  <c r="O20" i="1" s="1"/>
  <c r="O21" i="1" s="1"/>
  <c r="O22" i="1"/>
  <c r="O23" i="1"/>
  <c r="O24" i="1"/>
  <c r="BY13" i="1"/>
  <c r="BY14" i="1" s="1"/>
  <c r="BY15" i="1" s="1"/>
  <c r="BY16" i="1" s="1"/>
  <c r="BY17" i="1" s="1"/>
  <c r="BC13" i="1"/>
  <c r="BC14" i="1" s="1"/>
  <c r="BC15" i="1" s="1"/>
  <c r="BC16" i="1" s="1"/>
  <c r="BC17" i="1" s="1"/>
  <c r="BC18" i="1" s="1"/>
  <c r="BC19" i="1"/>
  <c r="BC20" i="1"/>
  <c r="AY13" i="1"/>
  <c r="AY14" i="1" s="1"/>
  <c r="AY15" i="1" s="1"/>
  <c r="CR46" i="1"/>
  <c r="DA14" i="1"/>
  <c r="DA15" i="1"/>
  <c r="DA16" i="1"/>
  <c r="DA17" i="1" s="1"/>
  <c r="CE14" i="1"/>
  <c r="CE15" i="1"/>
  <c r="CE16" i="1" s="1"/>
  <c r="CE17" i="1" s="1"/>
  <c r="CE18" i="1" s="1"/>
  <c r="CE19" i="1" s="1"/>
  <c r="CE20" i="1" s="1"/>
  <c r="CE21" i="1" s="1"/>
  <c r="CE22" i="1" s="1"/>
  <c r="CE23" i="1"/>
  <c r="CE24" i="1" s="1"/>
  <c r="CE25" i="1" s="1"/>
  <c r="CE26" i="1" s="1"/>
  <c r="CE27" i="1" s="1"/>
  <c r="CE28" i="1"/>
  <c r="CE29" i="1"/>
  <c r="CE30" i="1"/>
  <c r="CE31" i="1"/>
  <c r="CE32" i="1"/>
  <c r="CE33" i="1" s="1"/>
  <c r="CE34" i="1" s="1"/>
  <c r="CE35" i="1" s="1"/>
  <c r="CE36" i="1" s="1"/>
  <c r="CE37" i="1" s="1"/>
  <c r="CE38" i="1" s="1"/>
  <c r="CE39" i="1" s="1"/>
  <c r="CE40" i="1" s="1"/>
  <c r="CE41" i="1" s="1"/>
  <c r="CE42" i="1"/>
  <c r="CE43" i="1" s="1"/>
  <c r="CE44" i="1" s="1"/>
  <c r="CE45" i="1" s="1"/>
  <c r="CE46" i="1" s="1"/>
  <c r="CE47" i="1" s="1"/>
  <c r="CE48" i="1" s="1"/>
  <c r="CE49" i="1" s="1"/>
  <c r="CE50" i="1" s="1"/>
  <c r="CE51" i="1" s="1"/>
  <c r="CE52" i="1" s="1"/>
  <c r="CE53" i="1" s="1"/>
  <c r="CE54" i="1" s="1"/>
  <c r="CE55" i="1" s="1"/>
  <c r="CE56" i="1" s="1"/>
  <c r="CE57" i="1" s="1"/>
  <c r="CJ46" i="1"/>
  <c r="DB15" i="1"/>
  <c r="DB44" i="1"/>
  <c r="CI26" i="1"/>
  <c r="N2" i="1"/>
  <c r="R2" i="1"/>
  <c r="V2" i="1"/>
  <c r="AA2" i="1"/>
  <c r="AH2" i="1"/>
  <c r="AS2" i="1"/>
  <c r="BB2" i="1"/>
  <c r="BG2" i="1"/>
  <c r="AX2" i="1"/>
  <c r="BL2" i="1"/>
  <c r="AM2" i="1"/>
  <c r="DC15" i="1"/>
  <c r="DA21" i="1"/>
  <c r="DA22" i="1" s="1"/>
  <c r="DA23" i="1" s="1"/>
  <c r="DA24" i="1" s="1"/>
  <c r="DA25" i="1" s="1"/>
  <c r="DA26" i="1"/>
  <c r="DA27" i="1"/>
  <c r="DA28" i="1" s="1"/>
  <c r="DA29" i="1" s="1"/>
  <c r="DA30" i="1" s="1"/>
  <c r="DA31" i="1" s="1"/>
  <c r="DA32" i="1"/>
  <c r="DA33" i="1"/>
  <c r="DA34" i="1"/>
  <c r="DA35" i="1"/>
  <c r="DA36" i="1" s="1"/>
  <c r="DA37" i="1" s="1"/>
  <c r="DA38" i="1" s="1"/>
  <c r="DA39" i="1" s="1"/>
  <c r="DA40" i="1" s="1"/>
  <c r="DA41" i="1" s="1"/>
  <c r="DA42" i="1" s="1"/>
  <c r="DA43" i="1" s="1"/>
  <c r="DA44" i="1" s="1"/>
  <c r="DA45" i="1" s="1"/>
  <c r="DA46" i="1" s="1"/>
  <c r="DA47" i="1" s="1"/>
  <c r="DA48" i="1" s="1"/>
  <c r="DA49" i="1" s="1"/>
  <c r="DA50" i="1" s="1"/>
  <c r="DA51" i="1" s="1"/>
  <c r="DA52" i="1" s="1"/>
  <c r="DA53" i="1" s="1"/>
  <c r="DA54" i="1" s="1"/>
  <c r="DA55" i="1" s="1"/>
  <c r="DA56" i="1" s="1"/>
  <c r="DA57" i="1" s="1"/>
  <c r="CK17" i="1"/>
  <c r="CO21" i="1"/>
  <c r="CO22" i="1" s="1"/>
  <c r="CO23" i="1" s="1"/>
  <c r="CO24" i="1" s="1"/>
  <c r="CU17" i="1"/>
  <c r="CV17" i="1"/>
  <c r="E26" i="1"/>
  <c r="E22" i="1"/>
  <c r="E18" i="1"/>
  <c r="E20" i="1"/>
  <c r="E16" i="1"/>
  <c r="AL16" i="1"/>
  <c r="E25" i="1"/>
  <c r="E21" i="1"/>
  <c r="E17" i="1"/>
  <c r="AK16" i="1"/>
  <c r="E15" i="1"/>
  <c r="C27" i="1"/>
  <c r="E23" i="1"/>
  <c r="F35" i="1"/>
  <c r="CH14" i="1" s="1"/>
  <c r="CH17" i="1" s="1"/>
  <c r="AM13" i="1"/>
  <c r="CQ34" i="1" s="1"/>
  <c r="E19" i="1"/>
  <c r="D27" i="1"/>
  <c r="AM15" i="1"/>
  <c r="CQ39" i="1" s="1"/>
  <c r="CY15" i="1"/>
  <c r="DD15" i="1" s="1"/>
  <c r="CZ15" i="1"/>
  <c r="CO25" i="1"/>
  <c r="Q16" i="1"/>
  <c r="BK14" i="1"/>
  <c r="AX12" i="1"/>
  <c r="AX14" i="1" s="1"/>
  <c r="Z18" i="1"/>
  <c r="AA18" i="1" s="1"/>
  <c r="AA20" i="1" s="1"/>
  <c r="BL12" i="1"/>
  <c r="K24" i="1"/>
  <c r="CI16" i="1" s="1"/>
  <c r="CT31" i="1"/>
  <c r="BJ14" i="1"/>
  <c r="BW16" i="1"/>
  <c r="BL13" i="1"/>
  <c r="BG12" i="1"/>
  <c r="BG15" i="1" s="1"/>
  <c r="DE15" i="1"/>
  <c r="AH16" i="1"/>
  <c r="AG21" i="1" s="1"/>
  <c r="BR16" i="1"/>
  <c r="CW53" i="1" s="1"/>
  <c r="DC38" i="1"/>
  <c r="DC36" i="1"/>
  <c r="DC48" i="1"/>
  <c r="AG18" i="1"/>
  <c r="AG20" i="1" s="1"/>
  <c r="CL33" i="1"/>
  <c r="CL24" i="1"/>
  <c r="V58" i="1"/>
  <c r="V33" i="1"/>
  <c r="CL16" i="1" s="1"/>
  <c r="E27" i="1" l="1"/>
  <c r="E17" i="21"/>
  <c r="CC14" i="1"/>
  <c r="CC16" i="1" s="1"/>
  <c r="CC18" i="1" s="1"/>
  <c r="CC19" i="1" s="1"/>
  <c r="CC20" i="1" s="1"/>
  <c r="CU34" i="1"/>
  <c r="BG17" i="1"/>
  <c r="BG18" i="1" s="1"/>
  <c r="CU40" i="1" s="1"/>
  <c r="CU42" i="1" s="1"/>
  <c r="CU44" i="1" s="1"/>
  <c r="AX16" i="1"/>
  <c r="CS34" i="1"/>
  <c r="AG22" i="1"/>
  <c r="AH25" i="1" s="1"/>
  <c r="AH28" i="1" s="1"/>
  <c r="CN40" i="1" s="1"/>
  <c r="N31" i="1"/>
  <c r="CG26" i="1"/>
  <c r="CG42" i="1" s="1"/>
  <c r="BX23" i="1"/>
  <c r="CX35" i="1"/>
  <c r="CX42" i="1" s="1"/>
  <c r="CX44" i="1" s="1"/>
  <c r="B8" i="53"/>
  <c r="BO24" i="1" s="1"/>
  <c r="BR24" i="1" s="1"/>
  <c r="CW39" i="1" s="1"/>
  <c r="AM16" i="1"/>
  <c r="AM18" i="1" s="1"/>
  <c r="CY24" i="1"/>
  <c r="DD24" i="1" s="1"/>
  <c r="CL26" i="1"/>
  <c r="CY25" i="1"/>
  <c r="CO26" i="1"/>
  <c r="CO27" i="1" s="1"/>
  <c r="CO28" i="1" s="1"/>
  <c r="CT42" i="1"/>
  <c r="CT44" i="1" s="1"/>
  <c r="BY18" i="1"/>
  <c r="BY19" i="1" s="1"/>
  <c r="BY20" i="1" s="1"/>
  <c r="BS18" i="1"/>
  <c r="BS19" i="1" s="1"/>
  <c r="BS20" i="1" s="1"/>
  <c r="BS21" i="1" s="1"/>
  <c r="BS22" i="1" s="1"/>
  <c r="BS23" i="1" s="1"/>
  <c r="BX16" i="1"/>
  <c r="C21" i="21"/>
  <c r="DC17" i="1"/>
  <c r="D21" i="21"/>
  <c r="BL14" i="1"/>
  <c r="BL16" i="1" s="1"/>
  <c r="CV34" i="1" s="1"/>
  <c r="BO22" i="1"/>
  <c r="CG17" i="1"/>
  <c r="CX51" i="1"/>
  <c r="F21" i="21"/>
  <c r="DC40" i="1"/>
  <c r="C20" i="20"/>
  <c r="E20" i="20" s="1"/>
  <c r="K26" i="1"/>
  <c r="V19" i="1"/>
  <c r="V22" i="1"/>
  <c r="DC29" i="1"/>
  <c r="DC30" i="1"/>
  <c r="D41" i="1"/>
  <c r="E41" i="1" s="1"/>
  <c r="CH34" i="1" s="1"/>
  <c r="I28" i="1"/>
  <c r="DC28" i="1"/>
  <c r="U39" i="1"/>
  <c r="BO23" i="1"/>
  <c r="BR23" i="1" s="1"/>
  <c r="CW34" i="1" s="1"/>
  <c r="D40" i="1"/>
  <c r="E40" i="1" s="1"/>
  <c r="U38" i="1"/>
  <c r="CY16" i="1"/>
  <c r="CI17" i="1"/>
  <c r="AA22" i="1"/>
  <c r="CM40" i="1" s="1"/>
  <c r="CM34" i="1"/>
  <c r="BR22" i="1" l="1"/>
  <c r="CW31" i="1" s="1"/>
  <c r="V25" i="1"/>
  <c r="I32" i="1"/>
  <c r="J32" i="1" s="1"/>
  <c r="CI39" i="1" s="1"/>
  <c r="CN31" i="1"/>
  <c r="CN42" i="1" s="1"/>
  <c r="CN44" i="1" s="1"/>
  <c r="AH27" i="1"/>
  <c r="AH29" i="1" s="1"/>
  <c r="BL17" i="1"/>
  <c r="CV40" i="1" s="1"/>
  <c r="CV42" i="1" s="1"/>
  <c r="CV44" i="1" s="1"/>
  <c r="V39" i="1"/>
  <c r="CL34" i="1" s="1"/>
  <c r="U40" i="1"/>
  <c r="V40" i="1" s="1"/>
  <c r="CL39" i="1" s="1"/>
  <c r="BG20" i="1"/>
  <c r="AX18" i="1"/>
  <c r="CS40" i="1" s="1"/>
  <c r="CS42" i="1" s="1"/>
  <c r="CS44" i="1" s="1"/>
  <c r="CZ24" i="1"/>
  <c r="CG44" i="1"/>
  <c r="CO29" i="1"/>
  <c r="CY28" i="1"/>
  <c r="AM20" i="1"/>
  <c r="CQ40" i="1" s="1"/>
  <c r="CQ42" i="1" s="1"/>
  <c r="CQ44" i="1" s="1"/>
  <c r="CY26" i="1"/>
  <c r="CZ26" i="1" s="1"/>
  <c r="D44" i="1"/>
  <c r="E44" i="1" s="1"/>
  <c r="F45" i="1" s="1"/>
  <c r="J28" i="1"/>
  <c r="CI31" i="1" s="1"/>
  <c r="CX57" i="1"/>
  <c r="CX46" i="1" s="1"/>
  <c r="J29" i="1"/>
  <c r="CI34" i="1" s="1"/>
  <c r="V38" i="1"/>
  <c r="DC42" i="1"/>
  <c r="DC44" i="1" s="1"/>
  <c r="CH31" i="1"/>
  <c r="F42" i="1"/>
  <c r="BR25" i="1"/>
  <c r="BR27" i="1" s="1"/>
  <c r="DD26" i="1"/>
  <c r="DE24" i="1"/>
  <c r="DE26" i="1" s="1"/>
  <c r="DD16" i="1"/>
  <c r="CZ16" i="1"/>
  <c r="AA23" i="1"/>
  <c r="CM42" i="1"/>
  <c r="CM44" i="1" s="1"/>
  <c r="K34" i="1" l="1"/>
  <c r="BL19" i="1"/>
  <c r="BL1" i="1" s="1"/>
  <c r="AX20" i="1"/>
  <c r="AM21" i="1"/>
  <c r="DD28" i="1"/>
  <c r="DE28" i="1" s="1"/>
  <c r="CZ28" i="1"/>
  <c r="CO30" i="1"/>
  <c r="CY29" i="1"/>
  <c r="CH39" i="1"/>
  <c r="F47" i="1"/>
  <c r="F49" i="1" s="1"/>
  <c r="CH40" i="1" s="1"/>
  <c r="CH42" i="1" s="1"/>
  <c r="CH44" i="1" s="1"/>
  <c r="K30" i="1"/>
  <c r="BR28" i="1"/>
  <c r="CW40" i="1" s="1"/>
  <c r="CW42" i="1" s="1"/>
  <c r="CW44" i="1" s="1"/>
  <c r="CL14" i="1"/>
  <c r="V35" i="1"/>
  <c r="CL31" i="1"/>
  <c r="V41" i="1"/>
  <c r="DE16" i="1"/>
  <c r="K40" i="1" l="1"/>
  <c r="K42" i="1" s="1"/>
  <c r="CI40" i="1" s="1"/>
  <c r="DD29" i="1"/>
  <c r="DE29" i="1" s="1"/>
  <c r="CZ29" i="1"/>
  <c r="CO31" i="1"/>
  <c r="CO32" i="1" s="1"/>
  <c r="CY30" i="1"/>
  <c r="F50" i="1"/>
  <c r="BR29" i="1"/>
  <c r="CL17" i="1"/>
  <c r="CY17" i="1" s="1"/>
  <c r="CZ17" i="1" s="1"/>
  <c r="CY14" i="1"/>
  <c r="V60" i="1"/>
  <c r="DD30" i="1" l="1"/>
  <c r="DE30" i="1" s="1"/>
  <c r="CZ30" i="1"/>
  <c r="CY32" i="1"/>
  <c r="CO33" i="1"/>
  <c r="CY31" i="1"/>
  <c r="CZ14" i="1"/>
  <c r="DD14" i="1"/>
  <c r="V61" i="1"/>
  <c r="CL40" i="1" s="1"/>
  <c r="CL42" i="1" s="1"/>
  <c r="CL44" i="1" s="1"/>
  <c r="K44" i="1"/>
  <c r="CI42" i="1"/>
  <c r="CI44" i="1" s="1"/>
  <c r="DD31" i="1" l="1"/>
  <c r="DE31" i="1" s="1"/>
  <c r="CZ31" i="1"/>
  <c r="CO34" i="1"/>
  <c r="CY33" i="1"/>
  <c r="DD32" i="1"/>
  <c r="DE32" i="1" s="1"/>
  <c r="CZ32" i="1"/>
  <c r="V62" i="1"/>
  <c r="DD17" i="1"/>
  <c r="DE14" i="1"/>
  <c r="DE17" i="1" s="1"/>
  <c r="CZ33" i="1" l="1"/>
  <c r="DD33" i="1"/>
  <c r="DE33" i="1" s="1"/>
  <c r="CO35" i="1"/>
  <c r="CO36" i="1" l="1"/>
  <c r="CY35" i="1"/>
  <c r="DD35" i="1" l="1"/>
  <c r="DE35" i="1" s="1"/>
  <c r="CZ35" i="1"/>
  <c r="CO37" i="1"/>
  <c r="CY36" i="1"/>
  <c r="DD36" i="1" l="1"/>
  <c r="DE36" i="1" s="1"/>
  <c r="CZ36" i="1"/>
  <c r="CO38" i="1"/>
  <c r="CY37" i="1"/>
  <c r="CZ37" i="1" l="1"/>
  <c r="DD37" i="1"/>
  <c r="DE37" i="1" s="1"/>
  <c r="CO39" i="1"/>
  <c r="CY38" i="1"/>
  <c r="DD38" i="1" l="1"/>
  <c r="CZ38" i="1"/>
  <c r="CO40" i="1"/>
  <c r="CO41" i="1" s="1"/>
  <c r="CO42" i="1" l="1"/>
  <c r="CO43" i="1" s="1"/>
  <c r="CO44" i="1" s="1"/>
  <c r="CO45" i="1" s="1"/>
  <c r="CO46" i="1" s="1"/>
  <c r="CO47" i="1" s="1"/>
  <c r="CO48" i="1" s="1"/>
  <c r="CO49" i="1" s="1"/>
  <c r="CO50" i="1" s="1"/>
  <c r="CO51" i="1" s="1"/>
  <c r="DE38" i="1"/>
  <c r="CO52" i="1" l="1"/>
  <c r="CO53" i="1" l="1"/>
  <c r="CO54" i="1" l="1"/>
  <c r="CY53" i="1"/>
  <c r="DD53" i="1" l="1"/>
  <c r="CO55" i="1"/>
  <c r="CY54" i="1"/>
  <c r="DD54" i="1" l="1"/>
  <c r="CY55" i="1"/>
  <c r="CO56" i="1"/>
  <c r="CO57" i="1" l="1"/>
  <c r="CY56" i="1"/>
  <c r="DD55" i="1"/>
  <c r="DD56" i="1" l="1"/>
  <c r="BP15" i="1" l="1"/>
  <c r="BP14" i="1"/>
  <c r="BP17" i="1" s="1"/>
  <c r="BQ15" i="1" l="1"/>
  <c r="BR15" i="1" s="1"/>
  <c r="CW52" i="1" s="1"/>
  <c r="CY52" i="1" s="1"/>
  <c r="DD52" i="1" l="1"/>
  <c r="BQ14" i="1"/>
  <c r="BR14" i="1" l="1"/>
  <c r="BQ17" i="1"/>
  <c r="CW51" i="1" l="1"/>
  <c r="BR17" i="1"/>
  <c r="CW57" i="1" l="1"/>
  <c r="CW46" i="1" s="1"/>
  <c r="CY51" i="1"/>
  <c r="DD51" i="1" l="1"/>
  <c r="CY57" i="1"/>
  <c r="CY46" i="1" s="1"/>
  <c r="DD46" i="1" l="1"/>
  <c r="DD57" i="1"/>
  <c r="N12" i="1" l="1"/>
  <c r="N15" i="1" l="1"/>
  <c r="N16" i="1"/>
  <c r="N30" i="1" s="1"/>
  <c r="CJ41" i="1" s="1"/>
  <c r="CY41" i="1" s="1"/>
  <c r="DD41" i="1" l="1"/>
  <c r="DE41" i="1" s="1"/>
  <c r="CZ41" i="1"/>
  <c r="N29" i="1"/>
  <c r="N19" i="1"/>
  <c r="CJ40" i="1" l="1"/>
  <c r="N32" i="1"/>
  <c r="CJ42" i="1" l="1"/>
  <c r="CJ44" i="1" s="1"/>
  <c r="AQ13" i="1" l="1"/>
  <c r="AR13" i="1" l="1"/>
  <c r="AS13" i="1" s="1"/>
  <c r="AS14" i="1" s="1"/>
  <c r="AR17" i="1"/>
  <c r="AS17" i="1" s="1"/>
  <c r="AS18" i="1" s="1"/>
  <c r="CR34" i="1" s="1"/>
  <c r="CY34" i="1" l="1"/>
  <c r="CR39" i="1"/>
  <c r="CY39" i="1" s="1"/>
  <c r="AS20" i="1"/>
  <c r="AS22" i="1"/>
  <c r="AS24" i="1" l="1"/>
  <c r="CR40" i="1" s="1"/>
  <c r="CR42" i="1" s="1"/>
  <c r="CR44" i="1" s="1"/>
  <c r="DD39" i="1"/>
  <c r="DE39" i="1" s="1"/>
  <c r="CZ39" i="1"/>
  <c r="CZ34" i="1"/>
  <c r="DD34" i="1"/>
  <c r="AS26" i="1" l="1"/>
  <c r="DE34" i="1"/>
  <c r="CG53" i="1" l="1"/>
  <c r="CG56" i="1"/>
  <c r="DC53" i="1" l="1"/>
  <c r="DE53" i="1" s="1"/>
  <c r="CZ53" i="1"/>
  <c r="DC56" i="1"/>
  <c r="DE56" i="1" s="1"/>
  <c r="CZ56" i="1"/>
  <c r="CG54" i="1"/>
  <c r="CG52" i="1"/>
  <c r="DC52" i="1" l="1"/>
  <c r="DE52" i="1" s="1"/>
  <c r="CZ52" i="1"/>
  <c r="DC54" i="1"/>
  <c r="DE54" i="1" s="1"/>
  <c r="CZ54" i="1"/>
  <c r="CG51" i="1" l="1"/>
  <c r="DC51" i="1" l="1"/>
  <c r="CZ51" i="1"/>
  <c r="DE51" i="1" l="1"/>
  <c r="CG55" i="1" l="1"/>
  <c r="DC55" i="1" l="1"/>
  <c r="CZ55" i="1"/>
  <c r="CZ57" i="1" s="1"/>
  <c r="CG57" i="1"/>
  <c r="CG46" i="1" s="1"/>
  <c r="DC46" i="1" l="1"/>
  <c r="CZ46" i="1"/>
  <c r="DE55" i="1"/>
  <c r="DE57" i="1" s="1"/>
  <c r="E10" i="51" s="1"/>
  <c r="DC57" i="1"/>
  <c r="DE46" i="1" l="1"/>
  <c r="C8" i="20" l="1"/>
  <c r="Q12" i="1"/>
  <c r="Q14" i="1" s="1"/>
  <c r="R17" i="1" s="1"/>
  <c r="C16" i="20" l="1"/>
  <c r="R21" i="1"/>
  <c r="R23" i="1" s="1"/>
  <c r="C19" i="20"/>
  <c r="C21" i="20" s="1"/>
  <c r="E8" i="20"/>
  <c r="E19" i="20" s="1"/>
  <c r="E21" i="20" s="1"/>
  <c r="R24" i="1" l="1"/>
  <c r="CK40" i="1"/>
  <c r="E16" i="20"/>
  <c r="CK42" i="1" l="1"/>
  <c r="CK44" i="1" s="1"/>
  <c r="CY40" i="1"/>
  <c r="DD40" i="1" l="1"/>
  <c r="CZ40" i="1"/>
  <c r="CZ42" i="1" s="1"/>
  <c r="CZ44" i="1" s="1"/>
  <c r="CY42" i="1"/>
  <c r="CY44" i="1" s="1"/>
  <c r="DE40" i="1" l="1"/>
  <c r="DD42" i="1"/>
  <c r="DD44" i="1" s="1"/>
  <c r="DE42" i="1" l="1"/>
  <c r="DE44" i="1" s="1"/>
  <c r="E13" i="51" l="1"/>
  <c r="C7" i="20"/>
  <c r="C10" i="20" l="1"/>
  <c r="C15" i="20"/>
  <c r="E19" i="51"/>
  <c r="E14" i="51"/>
  <c r="E15" i="51" s="1"/>
  <c r="E17" i="51" s="1"/>
  <c r="D7" i="20" s="1"/>
  <c r="D15" i="20" s="1"/>
  <c r="D17" i="20" s="1"/>
  <c r="E7" i="20" l="1"/>
  <c r="C17" i="20"/>
  <c r="E10" i="20" l="1"/>
  <c r="D10" i="20" s="1"/>
  <c r="E15" i="20"/>
  <c r="E17" i="20" s="1"/>
  <c r="E23" i="20" s="1"/>
  <c r="C23" i="20"/>
  <c r="D23" i="20" l="1"/>
</calcChain>
</file>

<file path=xl/sharedStrings.xml><?xml version="1.0" encoding="utf-8"?>
<sst xmlns="http://schemas.openxmlformats.org/spreadsheetml/2006/main" count="649" uniqueCount="374">
  <si>
    <t>OPERATING REVENUES:</t>
  </si>
  <si>
    <t>SALES TO CUSTOMERS</t>
  </si>
  <si>
    <t>OTHER OPERATING REVENUES</t>
  </si>
  <si>
    <t>TOTAL OPERATING REVENUES</t>
  </si>
  <si>
    <t>OPERATING REVENUE DEDUCTIONS:</t>
  </si>
  <si>
    <t>TOTAL PRODUCTION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</si>
  <si>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</si>
  <si>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</si>
  <si>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</si>
  <si>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</si>
  <si>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</si>
  <si>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</si>
  <si>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OTHER OPERATING EXPENSES</t>
  </si>
  <si>
    <t>TAXES OTHER THAN F.I.T.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</si>
  <si>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</si>
  <si>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</si>
  <si>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</si>
  <si>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</si>
  <si>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</si>
  <si>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</si>
  <si>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 xml:space="preserve"> </t>
  </si>
  <si>
    <t>CONVERSION FACTOR</t>
  </si>
  <si>
    <t>RESULTS OF OPERATIONS</t>
  </si>
  <si>
    <t>&gt;</t>
  </si>
  <si>
    <t>LINE</t>
  </si>
  <si>
    <t xml:space="preserve">LINE </t>
  </si>
  <si>
    <t>ACTUAL RESULTS OF</t>
  </si>
  <si>
    <t xml:space="preserve">FEDERAL </t>
  </si>
  <si>
    <t>TAX BENEFIT OF</t>
  </si>
  <si>
    <t xml:space="preserve">BAD </t>
  </si>
  <si>
    <t>ACTUAL</t>
  </si>
  <si>
    <t>TOTAL</t>
  </si>
  <si>
    <t>NO.</t>
  </si>
  <si>
    <t>DESCRIPTION</t>
  </si>
  <si>
    <t>RESTATED</t>
  </si>
  <si>
    <t>AMOUNT</t>
  </si>
  <si>
    <t>ADJUSTMENT</t>
  </si>
  <si>
    <t>OPERATIONS</t>
  </si>
  <si>
    <t>AMORTIZATION</t>
  </si>
  <si>
    <t>INCOME TAX</t>
  </si>
  <si>
    <t>RESTATED INTEREST</t>
  </si>
  <si>
    <t>DEBTS</t>
  </si>
  <si>
    <t>ADJUSTMENTS</t>
  </si>
  <si>
    <t>RESULTS OF</t>
  </si>
  <si>
    <t>BASE</t>
  </si>
  <si>
    <t>RATE</t>
  </si>
  <si>
    <t>1</t>
  </si>
  <si>
    <t>TAXABLE INCOME</t>
  </si>
  <si>
    <t>-</t>
  </si>
  <si>
    <t>OPERATING REVENUES</t>
  </si>
  <si>
    <t>INCREASE (DECREASE) EXPENSE</t>
  </si>
  <si>
    <t>INCREASE(DECREASE) EXPENSE</t>
  </si>
  <si>
    <t>MUNICIPAL ADDITIONS</t>
  </si>
  <si>
    <t>INCREASE (DECREASE) IN EXPENSE</t>
  </si>
  <si>
    <t>INCREASE(DECREASE) NOI</t>
  </si>
  <si>
    <t>INCREASE (DECREASE) NOI</t>
  </si>
  <si>
    <t>INCREASE(DECREASE) FIT</t>
  </si>
  <si>
    <t>FEDERAL INCOME TAX</t>
  </si>
  <si>
    <t>OTHER POWER SUPPLY EXPENSES</t>
  </si>
  <si>
    <t>CUSTOMER ACCOUNT EXPENSES</t>
  </si>
  <si>
    <t xml:space="preserve">   </t>
  </si>
  <si>
    <t>AMORTIZATION OF PROPERTY LOSS</t>
  </si>
  <si>
    <t>RATE BASE</t>
  </si>
  <si>
    <t>QUALIFIED RETIREMENT FUND</t>
  </si>
  <si>
    <t>STATEMENT OF OPERATING INCOME AND ADJUSTMENTS</t>
  </si>
  <si>
    <t>OTHER ENERGY SUPPLY EXPENSES</t>
  </si>
  <si>
    <t>WEIGHTED COST OF DEBT</t>
  </si>
  <si>
    <t xml:space="preserve">INCREASE (DECREASE) FIT @ </t>
  </si>
  <si>
    <t>RATE BASE:</t>
  </si>
  <si>
    <t>TOTAL RATE BASE</t>
  </si>
  <si>
    <t>ADJUSTED</t>
  </si>
  <si>
    <t>RESTATED EXCISE TAXES</t>
  </si>
  <si>
    <t>CHARGED TO EXPENSE FOR TEST YEAR</t>
  </si>
  <si>
    <t>INCREASE(DECREASE) EXCISE TAX</t>
  </si>
  <si>
    <t>INCREASE(DECREASE) WUTC FILING FEE</t>
  </si>
  <si>
    <t>RESTATED WUTC FILING FEE</t>
  </si>
  <si>
    <t>INCREASE (DECREASE) FIT</t>
  </si>
  <si>
    <t>BAD DEBTS</t>
  </si>
  <si>
    <t>EXCISE TAX &amp; FILING FEE</t>
  </si>
  <si>
    <t>EXCISE TAX &amp;</t>
  </si>
  <si>
    <t>FILING FEE</t>
  </si>
  <si>
    <t>GAS COSTS:</t>
  </si>
  <si>
    <t xml:space="preserve"> PURCHASED GAS</t>
  </si>
  <si>
    <t>DEPRECIATION</t>
  </si>
  <si>
    <t>COMMISSION BASIS REPORT</t>
  </si>
  <si>
    <t>TEST YEAR</t>
  </si>
  <si>
    <t>TAX BENEFIT OF RESTATED INTEREST</t>
  </si>
  <si>
    <t>INCREASE(DECREASE) OPERATING INCOME</t>
  </si>
  <si>
    <t>UNCOLLECTIBLES CHARGED TO EXPENSE IN TEST YEAR</t>
  </si>
  <si>
    <t>INCREASE (DECREASE) OPERATING INCOME</t>
  </si>
  <si>
    <t>INCREASE (DECREASE) FIT @</t>
  </si>
  <si>
    <t>D&amp;O INSURANCE</t>
  </si>
  <si>
    <t>D &amp; O INS. CHG  EXPENSE</t>
  </si>
  <si>
    <t>D&amp;O</t>
  </si>
  <si>
    <t>INSURANCE</t>
  </si>
  <si>
    <t>PERCENT</t>
  </si>
  <si>
    <t>NET</t>
  </si>
  <si>
    <t>GROSS</t>
  </si>
  <si>
    <t>WRITEOFFS</t>
  </si>
  <si>
    <t>REVENUES</t>
  </si>
  <si>
    <t>TO REVENUE</t>
  </si>
  <si>
    <t>YEAR</t>
  </si>
  <si>
    <t>TOTAL INCREASE (DECREASE) EXPENSE</t>
  </si>
  <si>
    <t>INTEREST ON CUSTOMER DEPOSITS</t>
  </si>
  <si>
    <t>INTEREST EXPENSE FOR TEST YEAR</t>
  </si>
  <si>
    <t xml:space="preserve">INTEREST ON </t>
  </si>
  <si>
    <t>CUST DEPOSITS</t>
  </si>
  <si>
    <t>PENSION PLAN</t>
  </si>
  <si>
    <t>INCREASE (DECREASE ) IN EXPENSE</t>
  </si>
  <si>
    <t>INCREASE (DECREASE) INCOME</t>
  </si>
  <si>
    <t xml:space="preserve">PENSION </t>
  </si>
  <si>
    <t>PLAN</t>
  </si>
  <si>
    <t>a</t>
  </si>
  <si>
    <t>b</t>
  </si>
  <si>
    <t>c=a/b</t>
  </si>
  <si>
    <t>d=a</t>
  </si>
  <si>
    <t>e</t>
  </si>
  <si>
    <t>f=d-e</t>
  </si>
  <si>
    <t>g=b</t>
  </si>
  <si>
    <t>h</t>
  </si>
  <si>
    <t>Equity Rate Base</t>
  </si>
  <si>
    <t>i=g*h</t>
  </si>
  <si>
    <t>j=f/i</t>
  </si>
  <si>
    <t>Restated Net Operating Income</t>
  </si>
  <si>
    <t>Restated Rate Base</t>
  </si>
  <si>
    <t>Actual Equity Percent</t>
  </si>
  <si>
    <t>Restated Return on Actual Equity</t>
  </si>
  <si>
    <t>Normalized Overall Rate of Return</t>
  </si>
  <si>
    <t>TEMPERATURE NORMALIZATION ADJUSTMENT:</t>
  </si>
  <si>
    <t>TEMP ADJ</t>
  </si>
  <si>
    <t>THERMS</t>
  </si>
  <si>
    <t>CHANGE</t>
  </si>
  <si>
    <t>REVENUE ADJUSTMENT:</t>
  </si>
  <si>
    <t>INCREASE (DECREASE) SALES TO CUSTOMERS</t>
  </si>
  <si>
    <t>UNCOLLECTIBLES @</t>
  </si>
  <si>
    <t>ANNUAL FILING FEE @</t>
  </si>
  <si>
    <t>STATE UTILITY TAX @</t>
  </si>
  <si>
    <t>INCREASE (DECREASE) TAXES OTHER</t>
  </si>
  <si>
    <t>TEMPERATURE</t>
  </si>
  <si>
    <t>NORMALIZATION</t>
  </si>
  <si>
    <t>SALES TO CUSTOMERS:</t>
  </si>
  <si>
    <t>TOTAL INCREASE (DECREASE) SALES TO CUSTOMERS</t>
  </si>
  <si>
    <t>TOTAL INCREASE (DECREASE) REVENUES</t>
  </si>
  <si>
    <t>OPERATING EXPENSES:</t>
  </si>
  <si>
    <t>PURCHASED GAS COSTS</t>
  </si>
  <si>
    <t>REMOVE REVENUES ASSOCIATED WITH RIDERS:</t>
  </si>
  <si>
    <t>REMOVE LOW INCOME RIDER - SCHEDULE 129</t>
  </si>
  <si>
    <t>REMOVE CONSERVATION TRACKER - SCHEDULE 120</t>
  </si>
  <si>
    <t>REMOVE REVENUE ASSOC WITH PGA AMORTIZATION - SCHEDULE 106</t>
  </si>
  <si>
    <t>TOTAL (INCREASE) DECREASE REVENUES</t>
  </si>
  <si>
    <t>DECREASE REVENUE SENSITIVE ITEMS FOR DECREASE IN REVENUES:</t>
  </si>
  <si>
    <t>ANNUAL FILING FEE</t>
  </si>
  <si>
    <t xml:space="preserve">STATE UTILITY TAX </t>
  </si>
  <si>
    <t xml:space="preserve">TOTAL </t>
  </si>
  <si>
    <t>REMOVE EXPENSES ASSOCIATED WITH RIDERS</t>
  </si>
  <si>
    <t>REMOVE LOW INCOME AMORTIZATION - SCHEDULE 129</t>
  </si>
  <si>
    <t>REMOVE CONSERVATION AMORTIZATION - SCHEDULE 120</t>
  </si>
  <si>
    <t>REMOVE PGA DEFERRAL AMORTIZATION EXP - SCHEDULE 106</t>
  </si>
  <si>
    <t>INCREASE (DECREASE) OPERATING INCOME BEFORE FIT</t>
  </si>
  <si>
    <t>PASS-THROUGH</t>
  </si>
  <si>
    <t>SUM OF TAXES OTHER</t>
  </si>
  <si>
    <t>STATE UTILITY TAX ( 3.852% - ( LINE 1 * 3.852% )  )</t>
  </si>
  <si>
    <t>INCREASE(DECREASE ) IN INCOME</t>
  </si>
  <si>
    <t>TEMPERATURE NORMALIZATION</t>
  </si>
  <si>
    <t>PASS-THROUGH REVENUE &amp; EXPENSE</t>
  </si>
  <si>
    <t>REVENUE &amp; EXPENSE</t>
  </si>
  <si>
    <t>REVENUE &amp; EXPENSE RESTATING</t>
  </si>
  <si>
    <t>&amp; EXPENSE</t>
  </si>
  <si>
    <t>REVENUE</t>
  </si>
  <si>
    <t>NET RATE BASE</t>
  </si>
  <si>
    <t>OTHER</t>
  </si>
  <si>
    <t>OPERATING</t>
  </si>
  <si>
    <t>Restated Interest Expense</t>
  </si>
  <si>
    <t>Restated NOI less Restated Interest Exp</t>
  </si>
  <si>
    <t>INCENTIVE</t>
  </si>
  <si>
    <t>PAY</t>
  </si>
  <si>
    <t>INCENTIVE PAY</t>
  </si>
  <si>
    <t>PAYROLL TAXES ASSOC WITH MERIT PAY</t>
  </si>
  <si>
    <t>INCREASE (DECREASE) OPERATING EXPENSE</t>
  </si>
  <si>
    <t>INCREASE(DECREASE) FIT @</t>
  </si>
  <si>
    <t>PUGET SOUND ENERGY, INC.</t>
  </si>
  <si>
    <t>Utility Capital Structure</t>
  </si>
  <si>
    <t>Cost of Capital and Rate of Return</t>
  </si>
  <si>
    <t>(A)</t>
  </si>
  <si>
    <t>(B)</t>
  </si>
  <si>
    <t>(C)</t>
  </si>
  <si>
    <t>(D)</t>
  </si>
  <si>
    <t>(E)</t>
  </si>
  <si>
    <t>Weighted</t>
  </si>
  <si>
    <t>Cost of</t>
  </si>
  <si>
    <t>Description</t>
  </si>
  <si>
    <t>Amount (i)</t>
  </si>
  <si>
    <t>Ratio</t>
  </si>
  <si>
    <t>Cost</t>
  </si>
  <si>
    <t>Capital</t>
  </si>
  <si>
    <t>Common Stock</t>
  </si>
  <si>
    <t>Total</t>
  </si>
  <si>
    <r>
      <t>(i)</t>
    </r>
    <r>
      <rPr>
        <sz val="10"/>
        <rFont val="Arial"/>
        <family val="2"/>
      </rPr>
      <t xml:space="preserve"> - Average of Month-End Balances</t>
    </r>
  </si>
  <si>
    <t xml:space="preserve">RESTATED </t>
  </si>
  <si>
    <t>RATE CASE</t>
  </si>
  <si>
    <t>EXPENSES</t>
  </si>
  <si>
    <t>RATE CASE EXPENSES</t>
  </si>
  <si>
    <t>EXPENSES TO BE NORMALIZED:</t>
  </si>
  <si>
    <t>INJURIES</t>
  </si>
  <si>
    <t>AND DAMAGES</t>
  </si>
  <si>
    <t>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</si>
  <si>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</si>
  <si>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</si>
  <si>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</si>
  <si>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</si>
  <si>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REMOVE MUNICIPAL TAXES ASSOC WITH SALES TO CUSTOMERS</t>
  </si>
  <si>
    <t>REMOVE MUNICIPAL TAXES ASSOC WITH OTHER OPRTG REV</t>
  </si>
  <si>
    <t>REMOVE CARBON OFFSET - SCHEDULE 137</t>
  </si>
  <si>
    <t>REMOVE OTHER ASSOC WITH CARBON OFFSET - SCHEDULE 137</t>
  </si>
  <si>
    <t>REMOVE CARBON OFFSET AMORTIZATION EXP - SCHEDULE 137</t>
  </si>
  <si>
    <t>OTHER OPERATING REVENUES:</t>
  </si>
  <si>
    <t>PUGET SOUND ENERGY</t>
  </si>
  <si>
    <t>REMOVE PROPERTY TAX AMORTIZATION EXP - SCHEDULE 140</t>
  </si>
  <si>
    <t>REMOVE PROPERTY TAX TRACKER - SCHEDULE 140</t>
  </si>
  <si>
    <t>Adj 3.01</t>
  </si>
  <si>
    <t>Adj 3.02</t>
  </si>
  <si>
    <t>Adj 3.03</t>
  </si>
  <si>
    <t xml:space="preserve"> Adj 3.04</t>
  </si>
  <si>
    <t>Adj 3.05</t>
  </si>
  <si>
    <t>Adj 3.06</t>
  </si>
  <si>
    <t>Adj 3.07</t>
  </si>
  <si>
    <t>Adj 3.08</t>
  </si>
  <si>
    <t>Adj 3.09</t>
  </si>
  <si>
    <t>Adj 3.10</t>
  </si>
  <si>
    <t>Adj 3.11</t>
  </si>
  <si>
    <t>Adj 3.12</t>
  </si>
  <si>
    <t>Adj 3.13</t>
  </si>
  <si>
    <t>Adj 4.01</t>
  </si>
  <si>
    <t>REMOVE DECOUPLING SCH 142 SURCHARGE AMORT EXPENSE</t>
  </si>
  <si>
    <t>3-YR AVERAGE OF NET WRITE OFF RATE</t>
  </si>
  <si>
    <t>REPORTING PERIOD REVENUES</t>
  </si>
  <si>
    <t>After Earnings</t>
  </si>
  <si>
    <t>Gas Commission Basis Report Cover Letter</t>
  </si>
  <si>
    <t>Adjusted Results</t>
  </si>
  <si>
    <t xml:space="preserve">Earnings </t>
  </si>
  <si>
    <t>of Operations</t>
  </si>
  <si>
    <t>Sharing</t>
  </si>
  <si>
    <t>PROFORMA BAD DEBT RATE</t>
  </si>
  <si>
    <t>PROFORMA BAD DEBTS</t>
  </si>
  <si>
    <t>TOTAL INCENTIVE / MERIT PAY</t>
  </si>
  <si>
    <t>December</t>
  </si>
  <si>
    <t>August</t>
  </si>
  <si>
    <t>Conversion Factor</t>
  </si>
  <si>
    <t>Difference</t>
  </si>
  <si>
    <t>Line 2 x Line 3</t>
  </si>
  <si>
    <t>Maximum Net Operating Income</t>
  </si>
  <si>
    <t xml:space="preserve">Restated Rate Base </t>
  </si>
  <si>
    <t>Source</t>
  </si>
  <si>
    <t>Line No.</t>
  </si>
  <si>
    <t>Commission Basis Report</t>
  </si>
  <si>
    <t>Total Debt</t>
  </si>
  <si>
    <t>Summary-2</t>
  </si>
  <si>
    <t>Summary-3</t>
  </si>
  <si>
    <t>Summary-1</t>
  </si>
  <si>
    <t>CONVERSION FACTOR EXCLUDING FEDERAL INCOME TAX ( 1 - LINE 5)</t>
  </si>
  <si>
    <t>FEDERAL INCOME TAX ( LINE 7 * 21%)</t>
  </si>
  <si>
    <t>Interruptible with firm option - com</t>
  </si>
  <si>
    <t>Trans. interrupt with firm option - com</t>
  </si>
  <si>
    <t>Non-excl interrupt w/ firm option - com</t>
  </si>
  <si>
    <t>Trans. non-exclus inter w/ firm option - com</t>
  </si>
  <si>
    <t>Special contracts - ind</t>
  </si>
  <si>
    <t xml:space="preserve">FEDERAL INCOME TAX </t>
  </si>
  <si>
    <t xml:space="preserve">   CURRENT FIT    @</t>
  </si>
  <si>
    <t xml:space="preserve">   DEFERRED FIT - DEBIT</t>
  </si>
  <si>
    <t xml:space="preserve">   DEFERRED FIT - OTHER</t>
  </si>
  <si>
    <t xml:space="preserve">   DEFERRED FIT - INV TAX CREDIT, NET OF AMORTIZATION</t>
  </si>
  <si>
    <t xml:space="preserve">                    TOTAL RESTATED FIT</t>
  </si>
  <si>
    <t>FIT PER BOOKS:</t>
  </si>
  <si>
    <t xml:space="preserve">   CURRENT FIT    </t>
  </si>
  <si>
    <t xml:space="preserve">   DEFERRED FIT - CREDIT</t>
  </si>
  <si>
    <t xml:space="preserve">                    TOTAL CHARGED TO EXPENSE</t>
  </si>
  <si>
    <t>INCREASE(DECREASE) DEFERRED FIT</t>
  </si>
  <si>
    <t>INCREASE(DECREASE) ITC</t>
  </si>
  <si>
    <t xml:space="preserve">INCREASE(DECREASE) NOI </t>
  </si>
  <si>
    <t>85T</t>
  </si>
  <si>
    <t>87T</t>
  </si>
  <si>
    <t>SC</t>
  </si>
  <si>
    <t>Adj 3.19</t>
  </si>
  <si>
    <t>Adj 3.21</t>
  </si>
  <si>
    <t>UTILITY PLANT RATEBASE</t>
  </si>
  <si>
    <t>PLANT BALANCE</t>
  </si>
  <si>
    <t xml:space="preserve">ACCUM DEPRECIATION </t>
  </si>
  <si>
    <t>DEFERRED INCOME TAX LIABILITY</t>
  </si>
  <si>
    <t>NET  PLANT RATEBASE</t>
  </si>
  <si>
    <t xml:space="preserve">CONVERSION FACTOR INCL FEDERAL INCOME TAX ( LINE 5 + LINE 8 ) </t>
  </si>
  <si>
    <t>EQUITY</t>
  </si>
  <si>
    <t>TOTAL AFTER TAX COST OF CAPITAL</t>
  </si>
  <si>
    <t>OTHER OPERATING EXPENSES:</t>
  </si>
  <si>
    <t>INCREASE (DECREASE) OPERATING EXPENSES</t>
  </si>
  <si>
    <t>FIT</t>
  </si>
  <si>
    <t>INCENTIVE MERIT / PAY</t>
  </si>
  <si>
    <t>REMOVE SCHEDULE 141Z PROTECTED EDIT (OFFSET IN FIT %)</t>
  </si>
  <si>
    <t>REMOVE EARNINGS SHARING ACCRUALS (no over earnings)</t>
  </si>
  <si>
    <t>TOTAL INCREASE (DECREASE) OTHER OPERATING REVENUES</t>
  </si>
  <si>
    <t>INCREASE (DECREASE) FIT  (LINE 49 * 21%)</t>
  </si>
  <si>
    <t>Company</t>
  </si>
  <si>
    <t>TestYear</t>
  </si>
  <si>
    <t>Filing</t>
  </si>
  <si>
    <t>Docket</t>
  </si>
  <si>
    <t>ExhibitNo</t>
  </si>
  <si>
    <t>Exhibit No.</t>
  </si>
  <si>
    <t>Filing Fee</t>
  </si>
  <si>
    <t>PUGET SOUND ENERGY - GAS</t>
  </si>
  <si>
    <t>Utility Tax</t>
  </si>
  <si>
    <t>UG-__________</t>
  </si>
  <si>
    <t>Bad Debt/Uncollectible</t>
  </si>
  <si>
    <t>ANNUAL NORMALIZATION (LINE 3 / LINE 4)</t>
  </si>
  <si>
    <t>REMOVE RENEWABLE NATURAL GAS - SCHEDULE 138 (RNG)</t>
  </si>
  <si>
    <t>REMOVE OTHER GAS REVENUE RENEWABLE NATURAL GAS - SCHEDULE 138 (RNG)</t>
  </si>
  <si>
    <t>REMOVE OTHER GAS EXPENSE RNG OFFSET PROGRAM- SCHEDULE 138</t>
  </si>
  <si>
    <t>REMOVE AMI RETURN DEFERRAL (ASSOCIATED PLANT REMOVED)</t>
  </si>
  <si>
    <t>BAD DEBTS - CUSTOMER ACCTS EXPENSES</t>
  </si>
  <si>
    <t>ANNUAL FILING FEE - ADMIN &amp; GENERAL EXPENSE</t>
  </si>
  <si>
    <t>STATE UTILITY TAX - TAXES OTHER THAN F.I.T.</t>
  </si>
  <si>
    <t>REMOVE AMI REVENUE AND RATEBASE</t>
  </si>
  <si>
    <t>REMOVE AMI</t>
  </si>
  <si>
    <t>REV &amp; RATEBASE</t>
  </si>
  <si>
    <t>ACCUM DEPR AND AMORT</t>
  </si>
  <si>
    <t>DEFERRED DEBITS AND CREDITS</t>
  </si>
  <si>
    <t>DEFERRED TAXES</t>
  </si>
  <si>
    <t>GROSS UTILITY PLANT IN SERVICE</t>
  </si>
  <si>
    <t>ALLOWANCE FOR WORKING CAPITAL</t>
  </si>
  <si>
    <t>UPGRADE RATE BASE</t>
  </si>
  <si>
    <t>REMOVE LNG DIST</t>
  </si>
  <si>
    <t>REMOVE LNG DISTRIBUTION PIPELINE UPGRADES</t>
  </si>
  <si>
    <t>LNG DISTRIBUTION UPGRADE RATEBASE</t>
  </si>
  <si>
    <t>PLANT BALANCE (AMA)</t>
  </si>
  <si>
    <t>ACCUM DEPRECIATION (AMA)</t>
  </si>
  <si>
    <t>DEFERRED INCOME TAX LIABILITY (AMA)</t>
  </si>
  <si>
    <t>NET  PLANT RATEBASE (AMA)</t>
  </si>
  <si>
    <t>LNG DISTRIBUTION UPGRADE OTHER OPERATING REVENUES</t>
  </si>
  <si>
    <t>REMOVE DEPRECIATION EXPENSE</t>
  </si>
  <si>
    <t xml:space="preserve">      2021 + 2019 GRC EXPENSES TO BE NORMALIZED</t>
  </si>
  <si>
    <t xml:space="preserve">      NORMALIZATION PERIOD IN 21GRC</t>
  </si>
  <si>
    <t>INCREASE (DECREASE) OPERATING EXPENSE BEFORE FIT</t>
  </si>
  <si>
    <r>
      <t>REMOVE BILL DISCOUNT RATE RIDER - SCHEDULE 129DG (</t>
    </r>
    <r>
      <rPr>
        <sz val="8.5"/>
        <color rgb="FF0000FF"/>
        <rFont val="Times New Roman"/>
        <family val="1"/>
      </rPr>
      <t>new</t>
    </r>
    <r>
      <rPr>
        <sz val="10"/>
        <rFont val="Times New Roman"/>
        <family val="1"/>
      </rPr>
      <t>)</t>
    </r>
  </si>
  <si>
    <r>
      <t>REMOVE DECOUPLING SCH 142 REVENUE (</t>
    </r>
    <r>
      <rPr>
        <i/>
        <sz val="10"/>
        <color rgb="FF0000FF"/>
        <rFont val="Times New Roman"/>
        <family val="1"/>
      </rPr>
      <t>Amort, not tariff</t>
    </r>
    <r>
      <rPr>
        <sz val="10"/>
        <rFont val="Times New Roman"/>
        <family val="1"/>
      </rPr>
      <t>)</t>
    </r>
  </si>
  <si>
    <t>BDRGAS Bill Discount Rate- Discounts</t>
  </si>
  <si>
    <t>REMOVE GAS  - SCHEDULE 129D DEFERRAL(new)</t>
  </si>
  <si>
    <t>Authorized ROR - prorated plus fifty basis points</t>
  </si>
  <si>
    <t>(Source: UE-220066 and UE-190529)</t>
  </si>
  <si>
    <t xml:space="preserve">RCW 80.28.425(6) </t>
  </si>
  <si>
    <t>Line 4 - Line 3</t>
  </si>
  <si>
    <t>Excess Earnings</t>
  </si>
  <si>
    <t>Incremental Earnings Sharing for CY 2023</t>
  </si>
  <si>
    <t>Line 6 ÷ Line 7</t>
  </si>
  <si>
    <t>Actual Return</t>
  </si>
  <si>
    <t>50 BP</t>
  </si>
  <si>
    <t>RCW</t>
  </si>
  <si>
    <t>(Source: CBR, Adj. 4.01)</t>
  </si>
  <si>
    <t>Gas Earnings Sharing Test - Based on RCW 80.28.425(6) per 2022 GRC</t>
  </si>
  <si>
    <t>Commission basis report Summary page</t>
  </si>
  <si>
    <t>Greater of zero or line 5</t>
  </si>
  <si>
    <t>FOR THE TWELVE MONTHS ENDED DECEMBER 31, 2024</t>
  </si>
  <si>
    <t>2024 Commission Basis Report</t>
  </si>
  <si>
    <t>12 ME December 31, 2024</t>
  </si>
  <si>
    <t>22GRC In Effect Jan 2024</t>
  </si>
  <si>
    <t>SHORT AND LONG TERM DEBT</t>
  </si>
  <si>
    <t>AFTER TAX SHORT TERM DEBT ( (LINE 1)* 79%)</t>
  </si>
  <si>
    <t>STATE UTILITY TAX ( 3.8455% - ( LINE 1 * 3.8455% )  )</t>
  </si>
  <si>
    <t>CONVERSION FACTOR EXCLUDING FEDERAL INCOME TAX ( 1 - LINE 17 )</t>
  </si>
  <si>
    <t xml:space="preserve">CONVERSION FACTOR INCL FEDERAL INCOME TAX ( LINE 18 - LINE 19 ) </t>
  </si>
  <si>
    <t>Threshold</t>
  </si>
  <si>
    <t>Return</t>
  </si>
  <si>
    <t>12 ME 12/01/2023 AND 8/31/2023</t>
  </si>
  <si>
    <t>12 ME 12/01/2020 AND 8/31/2020</t>
  </si>
  <si>
    <t>12 ME 12/01/2022 AND 8/31/2022</t>
  </si>
  <si>
    <t>2024 CBR Results</t>
  </si>
  <si>
    <t>LESS TEST YEAR EXPENSE:  GRC DIRECT CHARGES TO O&amp;M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</si>
</sst>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0.0000%"/>
    <numFmt numFmtId="166" formatCode="0.0%"/>
    <numFmt numFmtId="167" formatCode="0.000%"/>
    <numFmt numFmtId="168" formatCode="0.00000%"/>
    <numFmt numFmtId="169" formatCode="0.0000000"/>
    <numFmt numFmtId="170" formatCode="0.000000"/>
    <numFmt numFmtId="171" formatCode="#,##0.0000000;\(#,##0.0000000\)"/>
    <numFmt numFmtId="172" formatCode="#,##0;\(#,##0\)"/>
    <numFmt numFmtId="173" formatCode="yyyy"/>
    <numFmt numFmtId="174" formatCode="0."/>
    <numFmt numFmtId="175" formatCode=".0000000"/>
    <numFmt numFmtId="176" formatCode="&quot;$&quot;#,##0_);\(#,##0\)"/>
    <numFmt numFmtId="177" formatCode="_(* #,##0_);_(* \(#,##0\);_(* &quot;-&quot;??_);_(@_)"/>
    <numFmt numFmtId="178" formatCode="_(&quot;$&quot;* #,##0_);_(&quot;$&quot;* \(#,##0\);_(&quot;$&quot;* &quot;-&quot;??_);_(@_)"/>
    <numFmt numFmtId="179" formatCode="_(&quot;$&quot;* #,##0_);[Red]_(&quot;$&quot;* \(#,##0\);_(&quot;$&quot;* &quot;-&quot;_);_(@_)"/>
    <numFmt numFmtId="180" formatCode="_(&quot;$&quot;* #,##0.0000_);_(&quot;$&quot;* \(#,##0.0000\);_(&quot;$&quot;* &quot;-&quot;??_);_(@_)"/>
    <numFmt numFmtId="181" formatCode="0.00000"/>
    <numFmt numFmtId="182" formatCode="0.000000%"/>
    <numFmt numFmtId="183" formatCode="&quot;PAGE&quot;\ 0.00"/>
    <numFmt numFmtId="184" formatCode="[$-409]mmmm\ d\,\ yyyy;@"/>
    <numFmt numFmtId="186" formatCode="_(&quot;$&quot;* #,##0.0000_);_(&quot;$&quot;* \(#,##0.0000\);_(&quot;$&quot;* &quot;-&quot;????_);_(@_)"/>
    <numFmt numFmtId="187" formatCode="_(* #,##0.00_);_(* \(#,##0.00\);_(* &quot;-&quot;_);_(@_)"/>
    <numFmt numFmtId="188" formatCode="###,000"/>
  </numFmts>
  <fonts count="56" x14ac:knownFonts="1">
    <font>
      <sz val="8"/>
      <name val="Helv"/>
    </font>
    <font>
      <sz val="11"/>
      <color theme="1"/>
      <name val="Calibri"/>
      <family val="2"/>
      <scheme val="minor"/>
    </font>
    <font>
      <b/>
      <sz val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10"/>
      <name val="Times New Roman"/>
      <family val="1"/>
    </font>
    <font>
      <sz val="8"/>
      <name val="Times New Roman"/>
      <family val="1"/>
    </font>
    <font>
      <sz val="10"/>
      <color indexed="56"/>
      <name val="Times New Roman"/>
      <family val="1"/>
    </font>
    <font>
      <sz val="10"/>
      <color indexed="14"/>
      <name val="Times New Roman"/>
      <family val="1"/>
    </font>
    <font>
      <sz val="12"/>
      <color indexed="14"/>
      <name val="Times New Roman"/>
      <family val="1"/>
    </font>
    <font>
      <b/>
      <sz val="10"/>
      <color indexed="8"/>
      <name val="Times New Roman"/>
      <family val="1"/>
    </font>
    <font>
      <sz val="8"/>
      <name val="Helv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u val="double"/>
      <sz val="10"/>
      <name val="Arial"/>
      <family val="2"/>
    </font>
    <font>
      <b/>
      <sz val="11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Helv"/>
    </font>
    <font>
      <sz val="8"/>
      <color rgb="FFFF0000"/>
      <name val="Arial"/>
      <family val="2"/>
    </font>
    <font>
      <sz val="10"/>
      <color theme="1"/>
      <name val="Arial"/>
      <family val="2"/>
    </font>
    <font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8"/>
      <color rgb="FF0000FF"/>
      <name val="Helv"/>
    </font>
    <font>
      <sz val="10"/>
      <color theme="1"/>
      <name val="Times New Roman"/>
      <family val="1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theme="1"/>
      <name val="Times New Roman"/>
      <family val="1"/>
    </font>
    <font>
      <sz val="8.5"/>
      <color rgb="FF0000FF"/>
      <name val="Times New Roman"/>
      <family val="1"/>
    </font>
    <font>
      <i/>
      <sz val="10"/>
      <color rgb="FF0000FF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Helv"/>
    </font>
    <font>
      <sz val="11"/>
      <color rgb="FF0000FF"/>
      <name val="Arial"/>
      <family val="2"/>
    </font>
    <font>
      <i/>
      <sz val="11"/>
      <name val="Arial"/>
      <family val="2"/>
    </font>
    <font>
      <b/>
      <sz val="10"/>
      <color theme="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rgb="FFFFF3FD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170" fontId="0" fillId="0" borderId="0">
      <alignment horizontal="left" wrapText="1"/>
    </xf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86" fontId="7" fillId="0" borderId="0">
      <alignment horizontal="left" wrapText="1"/>
    </xf>
    <xf numFmtId="0" fontId="1" fillId="0" borderId="0"/>
    <xf numFmtId="0" fontId="7" fillId="0" borderId="0"/>
    <xf numFmtId="44" fontId="16" fillId="0" borderId="0" applyFont="0" applyFill="0" applyBorder="0" applyAlignment="0" applyProtection="0"/>
    <xf numFmtId="170" fontId="7" fillId="0" borderId="0">
      <alignment horizontal="left" wrapText="1"/>
    </xf>
    <xf numFmtId="0" fontId="34" fillId="5" borderId="24" applyNumberFormat="0" applyAlignment="0" applyProtection="0">
      <alignment horizontal="left" vertical="center" indent="1"/>
    </xf>
    <xf numFmtId="188" fontId="35" fillId="0" borderId="25" applyNumberFormat="0" applyProtection="0">
      <alignment horizontal="right" vertical="center"/>
    </xf>
    <xf numFmtId="188" fontId="34" fillId="0" borderId="26" applyNumberFormat="0" applyProtection="0">
      <alignment horizontal="right" vertical="center"/>
    </xf>
    <xf numFmtId="188" fontId="35" fillId="6" borderId="24" applyNumberFormat="0" applyAlignment="0" applyProtection="0">
      <alignment horizontal="left" vertical="center" indent="1"/>
    </xf>
    <xf numFmtId="0" fontId="36" fillId="7" borderId="26" applyNumberFormat="0" applyAlignment="0">
      <alignment horizontal="left" vertical="center" indent="1"/>
      <protection locked="0"/>
    </xf>
    <xf numFmtId="0" fontId="36" fillId="8" borderId="26" applyNumberFormat="0" applyAlignment="0" applyProtection="0">
      <alignment horizontal="left" vertical="center" indent="1"/>
    </xf>
    <xf numFmtId="188" fontId="35" fillId="9" borderId="25" applyNumberFormat="0" applyBorder="0">
      <alignment horizontal="right" vertical="center"/>
      <protection locked="0"/>
    </xf>
    <xf numFmtId="0" fontId="36" fillId="7" borderId="26" applyNumberFormat="0" applyAlignment="0">
      <alignment horizontal="left" vertical="center" indent="1"/>
      <protection locked="0"/>
    </xf>
    <xf numFmtId="188" fontId="34" fillId="8" borderId="26" applyNumberFormat="0" applyProtection="0">
      <alignment horizontal="right" vertical="center"/>
    </xf>
    <xf numFmtId="188" fontId="34" fillId="9" borderId="26" applyNumberFormat="0" applyBorder="0">
      <alignment horizontal="right" vertical="center"/>
      <protection locked="0"/>
    </xf>
    <xf numFmtId="188" fontId="37" fillId="10" borderId="27" applyNumberFormat="0" applyBorder="0" applyAlignment="0" applyProtection="0">
      <alignment horizontal="right" vertical="center" indent="1"/>
    </xf>
    <xf numFmtId="188" fontId="38" fillId="11" borderId="27" applyNumberFormat="0" applyBorder="0" applyAlignment="0" applyProtection="0">
      <alignment horizontal="right" vertical="center" indent="1"/>
    </xf>
    <xf numFmtId="188" fontId="38" fillId="12" borderId="27" applyNumberFormat="0" applyBorder="0" applyAlignment="0" applyProtection="0">
      <alignment horizontal="right" vertical="center" indent="1"/>
    </xf>
    <xf numFmtId="188" fontId="39" fillId="13" borderId="27" applyNumberFormat="0" applyBorder="0" applyAlignment="0" applyProtection="0">
      <alignment horizontal="right" vertical="center" indent="1"/>
    </xf>
    <xf numFmtId="188" fontId="39" fillId="14" borderId="27" applyNumberFormat="0" applyBorder="0" applyAlignment="0" applyProtection="0">
      <alignment horizontal="right" vertical="center" indent="1"/>
    </xf>
    <xf numFmtId="188" fontId="39" fillId="15" borderId="27" applyNumberFormat="0" applyBorder="0" applyAlignment="0" applyProtection="0">
      <alignment horizontal="right" vertical="center" indent="1"/>
    </xf>
    <xf numFmtId="188" fontId="40" fillId="16" borderId="27" applyNumberFormat="0" applyBorder="0" applyAlignment="0" applyProtection="0">
      <alignment horizontal="right" vertical="center" indent="1"/>
    </xf>
    <xf numFmtId="188" fontId="40" fillId="17" borderId="27" applyNumberFormat="0" applyBorder="0" applyAlignment="0" applyProtection="0">
      <alignment horizontal="right" vertical="center" indent="1"/>
    </xf>
    <xf numFmtId="188" fontId="40" fillId="18" borderId="27" applyNumberFormat="0" applyBorder="0" applyAlignment="0" applyProtection="0">
      <alignment horizontal="right" vertical="center" indent="1"/>
    </xf>
    <xf numFmtId="0" fontId="41" fillId="0" borderId="24" applyNumberFormat="0" applyFont="0" applyFill="0" applyAlignment="0" applyProtection="0"/>
    <xf numFmtId="188" fontId="42" fillId="6" borderId="0" applyNumberFormat="0" applyAlignment="0" applyProtection="0">
      <alignment horizontal="left" vertical="center" indent="1"/>
    </xf>
    <xf numFmtId="0" fontId="41" fillId="0" borderId="28" applyNumberFormat="0" applyFont="0" applyFill="0" applyAlignment="0" applyProtection="0"/>
    <xf numFmtId="188" fontId="35" fillId="0" borderId="25" applyNumberFormat="0" applyFill="0" applyBorder="0" applyAlignment="0" applyProtection="0">
      <alignment horizontal="right" vertical="center"/>
    </xf>
    <xf numFmtId="188" fontId="35" fillId="6" borderId="24" applyNumberFormat="0" applyAlignment="0" applyProtection="0">
      <alignment horizontal="left" vertical="center" indent="1"/>
    </xf>
    <xf numFmtId="0" fontId="34" fillId="5" borderId="26" applyNumberFormat="0" applyAlignment="0" applyProtection="0">
      <alignment horizontal="left" vertical="center" indent="1"/>
    </xf>
    <xf numFmtId="0" fontId="36" fillId="19" borderId="24" applyNumberFormat="0" applyAlignment="0" applyProtection="0">
      <alignment horizontal="left" vertical="center" indent="1"/>
    </xf>
    <xf numFmtId="0" fontId="36" fillId="20" borderId="24" applyNumberFormat="0" applyAlignment="0" applyProtection="0">
      <alignment horizontal="left" vertical="center" indent="1"/>
    </xf>
    <xf numFmtId="0" fontId="36" fillId="21" borderId="24" applyNumberFormat="0" applyAlignment="0" applyProtection="0">
      <alignment horizontal="left" vertical="center" indent="1"/>
    </xf>
    <xf numFmtId="0" fontId="36" fillId="9" borderId="24" applyNumberFormat="0" applyAlignment="0" applyProtection="0">
      <alignment horizontal="left" vertical="center" indent="1"/>
    </xf>
    <xf numFmtId="0" fontId="36" fillId="8" borderId="26" applyNumberFormat="0" applyAlignment="0" applyProtection="0">
      <alignment horizontal="left" vertical="center" indent="1"/>
    </xf>
    <xf numFmtId="0" fontId="43" fillId="0" borderId="29" applyNumberFormat="0" applyFill="0" applyBorder="0" applyAlignment="0" applyProtection="0"/>
    <xf numFmtId="0" fontId="44" fillId="0" borderId="29" applyNumberFormat="0" applyBorder="0" applyAlignment="0" applyProtection="0"/>
    <xf numFmtId="0" fontId="43" fillId="7" borderId="26" applyNumberFormat="0" applyAlignment="0">
      <alignment horizontal="left" vertical="center" indent="1"/>
      <protection locked="0"/>
    </xf>
    <xf numFmtId="0" fontId="43" fillId="7" borderId="26" applyNumberFormat="0" applyAlignment="0">
      <alignment horizontal="left" vertical="center" indent="1"/>
      <protection locked="0"/>
    </xf>
    <xf numFmtId="0" fontId="43" fillId="8" borderId="26" applyNumberFormat="0" applyAlignment="0" applyProtection="0">
      <alignment horizontal="left" vertical="center" indent="1"/>
    </xf>
    <xf numFmtId="188" fontId="45" fillId="8" borderId="26" applyNumberFormat="0" applyProtection="0">
      <alignment horizontal="right" vertical="center"/>
    </xf>
    <xf numFmtId="188" fontId="46" fillId="9" borderId="25" applyNumberFormat="0" applyBorder="0">
      <alignment horizontal="right" vertical="center"/>
      <protection locked="0"/>
    </xf>
    <xf numFmtId="188" fontId="45" fillId="9" borderId="26" applyNumberFormat="0" applyBorder="0">
      <alignment horizontal="right" vertical="center"/>
      <protection locked="0"/>
    </xf>
    <xf numFmtId="188" fontId="35" fillId="0" borderId="25" applyNumberFormat="0" applyFill="0" applyBorder="0" applyAlignment="0" applyProtection="0">
      <alignment horizontal="right" vertical="center"/>
    </xf>
    <xf numFmtId="41" fontId="16" fillId="0" borderId="0" applyFont="0" applyFill="0" applyBorder="0" applyAlignment="0" applyProtection="0"/>
  </cellStyleXfs>
  <cellXfs count="590">
    <xf numFmtId="0" fontId="0" fillId="0" borderId="0" xfId="0" applyNumberFormat="1" applyAlignment="1"/>
    <xf numFmtId="0" fontId="3" fillId="0" borderId="0" xfId="0" applyNumberFormat="1" applyFont="1" applyFill="1" applyBorder="1" applyAlignment="1"/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fill"/>
    </xf>
    <xf numFmtId="0" fontId="4" fillId="0" borderId="0" xfId="0" applyNumberFormat="1" applyFont="1" applyFill="1" applyAlignment="1">
      <alignment horizontal="centerContinuous"/>
    </xf>
    <xf numFmtId="42" fontId="8" fillId="0" borderId="0" xfId="0" applyNumberFormat="1" applyFont="1" applyFill="1" applyAlignment="1" applyProtection="1">
      <protection locked="0"/>
    </xf>
    <xf numFmtId="42" fontId="8" fillId="0" borderId="0" xfId="0" applyNumberFormat="1" applyFont="1" applyFill="1" applyAlignment="1" applyProtection="1"/>
    <xf numFmtId="41" fontId="8" fillId="0" borderId="0" xfId="0" applyNumberFormat="1" applyFont="1" applyFill="1" applyAlignment="1" applyProtection="1">
      <protection locked="0"/>
    </xf>
    <xf numFmtId="41" fontId="8" fillId="0" borderId="0" xfId="0" applyNumberFormat="1" applyFont="1" applyFill="1" applyAlignment="1" applyProtection="1">
      <alignment horizontal="left"/>
      <protection locked="0"/>
    </xf>
    <xf numFmtId="41" fontId="8" fillId="0" borderId="2" xfId="0" applyNumberFormat="1" applyFont="1" applyFill="1" applyBorder="1" applyAlignment="1" applyProtection="1">
      <protection locked="0"/>
    </xf>
    <xf numFmtId="42" fontId="8" fillId="0" borderId="4" xfId="0" applyNumberFormat="1" applyFont="1" applyFill="1" applyBorder="1" applyAlignment="1" applyProtection="1"/>
    <xf numFmtId="10" fontId="3" fillId="0" borderId="0" xfId="0" applyNumberFormat="1" applyFont="1" applyFill="1" applyAlignment="1"/>
    <xf numFmtId="42" fontId="3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172" fontId="3" fillId="0" borderId="0" xfId="0" applyNumberFormat="1" applyFont="1" applyFill="1" applyBorder="1" applyAlignment="1" applyProtection="1">
      <protection locked="0"/>
    </xf>
    <xf numFmtId="172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172" fontId="3" fillId="0" borderId="0" xfId="0" applyNumberFormat="1" applyFont="1" applyFill="1" applyAlignment="1"/>
    <xf numFmtId="0" fontId="3" fillId="0" borderId="0" xfId="0" applyNumberFormat="1" applyFont="1" applyFill="1" applyAlignment="1">
      <alignment vertical="center"/>
    </xf>
    <xf numFmtId="42" fontId="3" fillId="0" borderId="0" xfId="0" applyNumberFormat="1" applyFont="1" applyFill="1" applyAlignment="1"/>
    <xf numFmtId="42" fontId="3" fillId="0" borderId="0" xfId="0" applyNumberFormat="1" applyFont="1" applyFill="1" applyAlignment="1"/>
    <xf numFmtId="38" fontId="3" fillId="0" borderId="0" xfId="0" applyNumberFormat="1" applyFont="1" applyFill="1" applyBorder="1" applyAlignment="1"/>
    <xf numFmtId="0" fontId="3" fillId="0" borderId="0" xfId="0" quotePrefix="1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 applyProtection="1">
      <alignment horizontal="centerContinuous"/>
      <protection locked="0"/>
    </xf>
    <xf numFmtId="0" fontId="4" fillId="0" borderId="0" xfId="0" applyNumberFormat="1" applyFont="1" applyFill="1" applyAlignment="1"/>
    <xf numFmtId="18" fontId="4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 applyProtection="1">
      <protection locked="0"/>
    </xf>
    <xf numFmtId="0" fontId="4" fillId="0" borderId="2" xfId="0" applyNumberFormat="1" applyFont="1" applyFill="1" applyBorder="1" applyAlignment="1"/>
    <xf numFmtId="0" fontId="4" fillId="0" borderId="2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0" fontId="0" fillId="0" borderId="0" xfId="0" applyNumberFormat="1" applyFill="1" applyAlignment="1"/>
    <xf numFmtId="172" fontId="3" fillId="0" borderId="0" xfId="0" applyNumberFormat="1" applyFont="1" applyFill="1" applyAlignment="1">
      <alignment vertical="top"/>
    </xf>
    <xf numFmtId="0" fontId="3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Alignment="1" applyProtection="1">
      <alignment horizontal="center"/>
      <protection locked="0"/>
    </xf>
    <xf numFmtId="42" fontId="3" fillId="0" borderId="3" xfId="0" applyNumberFormat="1" applyFont="1" applyFill="1" applyBorder="1" applyAlignment="1" applyProtection="1">
      <protection locked="0"/>
    </xf>
    <xf numFmtId="42" fontId="3" fillId="0" borderId="3" xfId="0" applyNumberFormat="1" applyFont="1" applyFill="1" applyBorder="1" applyAlignment="1"/>
    <xf numFmtId="41" fontId="3" fillId="0" borderId="0" xfId="0" applyNumberFormat="1" applyFont="1" applyFill="1" applyAlignment="1"/>
    <xf numFmtId="41" fontId="3" fillId="0" borderId="2" xfId="0" applyNumberFormat="1" applyFont="1" applyFill="1" applyBorder="1" applyAlignment="1"/>
    <xf numFmtId="42" fontId="3" fillId="0" borderId="0" xfId="0" applyNumberFormat="1" applyFont="1" applyFill="1" applyBorder="1" applyAlignment="1"/>
    <xf numFmtId="41" fontId="3" fillId="0" borderId="0" xfId="0" applyNumberFormat="1" applyFont="1" applyFill="1" applyAlignment="1" applyProtection="1">
      <protection locked="0"/>
    </xf>
    <xf numFmtId="0" fontId="4" fillId="0" borderId="0" xfId="0" quotePrefix="1" applyNumberFormat="1" applyFont="1" applyFill="1" applyBorder="1" applyAlignment="1">
      <alignment horizontal="right"/>
    </xf>
    <xf numFmtId="0" fontId="3" fillId="0" borderId="0" xfId="0" applyNumberFormat="1" applyFont="1" applyFill="1" applyAlignment="1" applyProtection="1">
      <protection locked="0"/>
    </xf>
    <xf numFmtId="41" fontId="3" fillId="0" borderId="2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/>
    <xf numFmtId="10" fontId="3" fillId="0" borderId="0" xfId="0" applyNumberFormat="1" applyFont="1" applyFill="1" applyAlignment="1"/>
    <xf numFmtId="41" fontId="3" fillId="0" borderId="0" xfId="0" applyNumberFormat="1" applyFont="1" applyFill="1" applyBorder="1" applyAlignment="1"/>
    <xf numFmtId="0" fontId="4" fillId="0" borderId="2" xfId="0" applyNumberFormat="1" applyFont="1" applyFill="1" applyBorder="1" applyAlignment="1" applyProtection="1">
      <alignment horizontal="center"/>
      <protection locked="0"/>
    </xf>
    <xf numFmtId="1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Alignment="1"/>
    <xf numFmtId="172" fontId="3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vertical="top"/>
    </xf>
    <xf numFmtId="15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" vertical="center"/>
    </xf>
    <xf numFmtId="42" fontId="3" fillId="0" borderId="0" xfId="0" applyNumberFormat="1" applyFont="1" applyFill="1" applyAlignment="1">
      <alignment vertical="top"/>
    </xf>
    <xf numFmtId="0" fontId="4" fillId="0" borderId="0" xfId="0" quotePrefix="1" applyNumberFormat="1" applyFont="1" applyFill="1" applyAlignment="1">
      <alignment horizontal="fill"/>
    </xf>
    <xf numFmtId="42" fontId="3" fillId="0" borderId="0" xfId="0" applyNumberFormat="1" applyFont="1" applyFill="1" applyAlignment="1">
      <alignment horizontal="right"/>
    </xf>
    <xf numFmtId="41" fontId="3" fillId="0" borderId="0" xfId="0" applyNumberFormat="1" applyFont="1" applyFill="1" applyAlignment="1">
      <alignment horizontal="right"/>
    </xf>
    <xf numFmtId="41" fontId="3" fillId="0" borderId="2" xfId="0" applyNumberFormat="1" applyFont="1" applyFill="1" applyBorder="1" applyAlignment="1">
      <alignment horizontal="right"/>
    </xf>
    <xf numFmtId="41" fontId="3" fillId="0" borderId="0" xfId="0" applyNumberFormat="1" applyFont="1" applyFill="1" applyAlignment="1">
      <alignment horizontal="right"/>
    </xf>
    <xf numFmtId="180" fontId="3" fillId="0" borderId="0" xfId="0" applyNumberFormat="1" applyFont="1" applyFill="1" applyAlignment="1"/>
    <xf numFmtId="6" fontId="3" fillId="0" borderId="0" xfId="0" applyNumberFormat="1" applyFont="1" applyFill="1" applyAlignment="1">
      <alignment horizontal="right"/>
    </xf>
    <xf numFmtId="0" fontId="4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/>
    <xf numFmtId="18" fontId="3" fillId="0" borderId="0" xfId="0" applyNumberFormat="1" applyFont="1" applyFill="1" applyAlignment="1"/>
    <xf numFmtId="171" fontId="3" fillId="0" borderId="0" xfId="0" applyNumberFormat="1" applyFont="1" applyFill="1" applyBorder="1" applyAlignment="1" applyProtection="1">
      <protection locked="0"/>
    </xf>
    <xf numFmtId="6" fontId="3" fillId="0" borderId="0" xfId="0" applyNumberFormat="1" applyFont="1" applyFill="1" applyAlignment="1">
      <alignment vertical="top"/>
    </xf>
    <xf numFmtId="6" fontId="3" fillId="0" borderId="0" xfId="0" applyNumberFormat="1" applyFont="1" applyFill="1" applyAlignment="1">
      <alignment vertical="top"/>
    </xf>
    <xf numFmtId="1" fontId="3" fillId="0" borderId="0" xfId="0" applyNumberFormat="1" applyFont="1" applyFill="1" applyAlignment="1">
      <alignment vertical="top"/>
    </xf>
    <xf numFmtId="41" fontId="3" fillId="0" borderId="0" xfId="0" applyNumberFormat="1" applyFont="1" applyFill="1" applyAlignment="1">
      <alignment vertical="top"/>
    </xf>
    <xf numFmtId="17" fontId="3" fillId="0" borderId="0" xfId="0" applyNumberFormat="1" applyFont="1" applyFill="1" applyBorder="1" applyAlignment="1">
      <alignment horizontal="left"/>
    </xf>
    <xf numFmtId="172" fontId="3" fillId="0" borderId="0" xfId="0" applyNumberFormat="1" applyFont="1" applyFill="1" applyAlignment="1" applyProtection="1">
      <alignment horizontal="right"/>
      <protection locked="0"/>
    </xf>
    <xf numFmtId="0" fontId="3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Alignment="1"/>
    <xf numFmtId="41" fontId="3" fillId="0" borderId="2" xfId="0" applyNumberFormat="1" applyFont="1" applyFill="1" applyBorder="1" applyAlignment="1"/>
    <xf numFmtId="0" fontId="4" fillId="0" borderId="0" xfId="0" applyNumberFormat="1" applyFont="1" applyFill="1" applyBorder="1" applyAlignment="1"/>
    <xf numFmtId="3" fontId="3" fillId="0" borderId="0" xfId="0" applyNumberFormat="1" applyFont="1" applyFill="1" applyAlignment="1">
      <alignment horizontal="centerContinuous"/>
    </xf>
    <xf numFmtId="3" fontId="4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/>
    <xf numFmtId="3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fill"/>
    </xf>
    <xf numFmtId="3" fontId="4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/>
    <xf numFmtId="164" fontId="3" fillId="0" borderId="0" xfId="0" applyNumberFormat="1" applyFont="1" applyFill="1" applyAlignment="1">
      <alignment horizontal="left"/>
    </xf>
    <xf numFmtId="37" fontId="3" fillId="0" borderId="0" xfId="0" applyNumberFormat="1" applyFont="1" applyFill="1" applyAlignment="1"/>
    <xf numFmtId="37" fontId="3" fillId="0" borderId="2" xfId="0" applyNumberFormat="1" applyFont="1" applyFill="1" applyBorder="1" applyAlignment="1"/>
    <xf numFmtId="37" fontId="3" fillId="0" borderId="0" xfId="0" applyNumberFormat="1" applyFont="1" applyFill="1" applyBorder="1" applyAlignment="1"/>
    <xf numFmtId="0" fontId="3" fillId="0" borderId="0" xfId="0" applyNumberFormat="1" applyFont="1" applyFill="1" applyAlignment="1">
      <alignment horizontal="left" vertical="top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5" fontId="3" fillId="0" borderId="0" xfId="0" applyNumberFormat="1" applyFont="1" applyFill="1" applyAlignment="1"/>
    <xf numFmtId="179" fontId="8" fillId="0" borderId="0" xfId="0" applyNumberFormat="1" applyFont="1" applyFill="1" applyAlignment="1" applyProtection="1">
      <alignment horizontal="left"/>
    </xf>
    <xf numFmtId="166" fontId="3" fillId="0" borderId="0" xfId="0" applyNumberFormat="1" applyFont="1" applyFill="1" applyBorder="1" applyAlignment="1">
      <alignment horizontal="center"/>
    </xf>
    <xf numFmtId="166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right"/>
    </xf>
    <xf numFmtId="172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/>
    <xf numFmtId="174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170" fontId="3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0" fontId="4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174" fontId="3" fillId="0" borderId="0" xfId="0" applyNumberFormat="1" applyFont="1" applyFill="1" applyBorder="1" applyAlignment="1">
      <alignment horizontal="center"/>
    </xf>
    <xf numFmtId="5" fontId="3" fillId="0" borderId="0" xfId="0" applyNumberFormat="1" applyFont="1" applyFill="1" applyBorder="1" applyAlignment="1"/>
    <xf numFmtId="37" fontId="3" fillId="0" borderId="0" xfId="0" applyNumberFormat="1" applyFont="1" applyFill="1" applyBorder="1" applyAlignment="1"/>
    <xf numFmtId="175" fontId="3" fillId="0" borderId="0" xfId="0" applyNumberFormat="1" applyFont="1" applyFill="1" applyBorder="1" applyAlignment="1"/>
    <xf numFmtId="176" fontId="3" fillId="0" borderId="0" xfId="0" applyNumberFormat="1" applyFont="1" applyFill="1" applyBorder="1" applyAlignment="1"/>
    <xf numFmtId="14" fontId="11" fillId="0" borderId="0" xfId="0" applyNumberFormat="1" applyFont="1" applyFill="1" applyAlignment="1"/>
    <xf numFmtId="0" fontId="13" fillId="0" borderId="0" xfId="0" applyNumberFormat="1" applyFont="1" applyFill="1" applyAlignment="1"/>
    <xf numFmtId="14" fontId="13" fillId="0" borderId="0" xfId="0" applyNumberFormat="1" applyFont="1" applyFill="1" applyAlignment="1"/>
    <xf numFmtId="41" fontId="13" fillId="0" borderId="0" xfId="0" applyNumberFormat="1" applyFont="1" applyFill="1" applyAlignment="1">
      <alignment vertical="top"/>
    </xf>
    <xf numFmtId="18" fontId="4" fillId="0" borderId="0" xfId="0" applyNumberFormat="1" applyFont="1" applyFill="1" applyAlignment="1"/>
    <xf numFmtId="42" fontId="3" fillId="0" borderId="0" xfId="0" applyNumberFormat="1" applyFont="1" applyFill="1" applyBorder="1" applyAlignment="1"/>
    <xf numFmtId="9" fontId="3" fillId="0" borderId="0" xfId="0" applyNumberFormat="1" applyFont="1" applyFill="1" applyAlignment="1"/>
    <xf numFmtId="37" fontId="13" fillId="0" borderId="0" xfId="0" applyNumberFormat="1" applyFont="1" applyFill="1" applyAlignment="1">
      <alignment vertical="top"/>
    </xf>
    <xf numFmtId="178" fontId="3" fillId="0" borderId="0" xfId="0" applyNumberFormat="1" applyFont="1" applyFill="1" applyBorder="1" applyAlignment="1"/>
    <xf numFmtId="172" fontId="13" fillId="0" borderId="0" xfId="0" applyNumberFormat="1" applyFont="1" applyFill="1" applyBorder="1" applyAlignment="1"/>
    <xf numFmtId="41" fontId="13" fillId="0" borderId="0" xfId="0" applyNumberFormat="1" applyFont="1" applyFill="1" applyBorder="1" applyAlignment="1"/>
    <xf numFmtId="37" fontId="14" fillId="0" borderId="0" xfId="0" applyNumberFormat="1" applyFont="1" applyFill="1" applyAlignment="1">
      <alignment vertical="top"/>
    </xf>
    <xf numFmtId="42" fontId="3" fillId="0" borderId="0" xfId="0" applyNumberFormat="1" applyFont="1" applyFill="1" applyBorder="1" applyAlignment="1"/>
    <xf numFmtId="41" fontId="8" fillId="0" borderId="2" xfId="0" applyNumberFormat="1" applyFont="1" applyFill="1" applyBorder="1" applyAlignment="1" applyProtection="1">
      <protection locked="0"/>
    </xf>
    <xf numFmtId="0" fontId="3" fillId="0" borderId="0" xfId="0" applyNumberFormat="1" applyFont="1" applyAlignment="1"/>
    <xf numFmtId="0" fontId="10" fillId="0" borderId="0" xfId="0" applyNumberFormat="1" applyFont="1" applyFill="1" applyAlignment="1">
      <alignment horizontal="right"/>
    </xf>
    <xf numFmtId="9" fontId="3" fillId="0" borderId="0" xfId="0" applyNumberFormat="1" applyFont="1" applyFill="1" applyAlignment="1">
      <alignment horizontal="right"/>
    </xf>
    <xf numFmtId="42" fontId="3" fillId="0" borderId="0" xfId="0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 applyBorder="1" applyAlignment="1"/>
    <xf numFmtId="3" fontId="3" fillId="0" borderId="0" xfId="0" applyNumberFormat="1" applyFont="1" applyFill="1" applyAlignment="1"/>
    <xf numFmtId="42" fontId="3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/>
    <xf numFmtId="42" fontId="0" fillId="0" borderId="0" xfId="0" applyNumberFormat="1" applyFill="1" applyAlignment="1"/>
    <xf numFmtId="37" fontId="0" fillId="0" borderId="0" xfId="0" applyNumberFormat="1" applyFont="1" applyFill="1" applyAlignment="1"/>
    <xf numFmtId="3" fontId="0" fillId="0" borderId="0" xfId="0" applyNumberFormat="1" applyFont="1" applyFill="1" applyAlignment="1"/>
    <xf numFmtId="3" fontId="11" fillId="0" borderId="0" xfId="0" applyNumberFormat="1" applyFont="1" applyFill="1" applyAlignment="1"/>
    <xf numFmtId="170" fontId="3" fillId="0" borderId="0" xfId="0" applyFont="1" applyFill="1">
      <alignment horizontal="left" wrapText="1"/>
    </xf>
    <xf numFmtId="170" fontId="4" fillId="0" borderId="0" xfId="0" applyFont="1" applyFill="1" applyAlignment="1">
      <alignment horizontal="center"/>
    </xf>
    <xf numFmtId="170" fontId="4" fillId="0" borderId="2" xfId="0" applyFont="1" applyFill="1" applyBorder="1" applyAlignment="1">
      <alignment horizontal="center"/>
    </xf>
    <xf numFmtId="170" fontId="4" fillId="0" borderId="0" xfId="0" applyFont="1" applyFill="1" applyAlignment="1" applyProtection="1">
      <alignment horizontal="center"/>
      <protection locked="0"/>
    </xf>
    <xf numFmtId="170" fontId="4" fillId="0" borderId="2" xfId="0" applyFont="1" applyFill="1" applyBorder="1" applyAlignment="1" applyProtection="1">
      <alignment horizontal="center"/>
      <protection locked="0"/>
    </xf>
    <xf numFmtId="170" fontId="3" fillId="0" borderId="0" xfId="0" applyFont="1" applyFill="1" applyAlignment="1"/>
    <xf numFmtId="170" fontId="11" fillId="0" borderId="0" xfId="0" applyFont="1" applyFill="1" applyAlignment="1"/>
    <xf numFmtId="170" fontId="3" fillId="0" borderId="0" xfId="0" applyFont="1" applyFill="1" applyBorder="1" applyAlignment="1"/>
    <xf numFmtId="170" fontId="3" fillId="0" borderId="0" xfId="0" applyFont="1" applyFill="1" applyAlignment="1">
      <alignment horizontal="center"/>
    </xf>
    <xf numFmtId="170" fontId="3" fillId="0" borderId="0" xfId="0" applyFont="1" applyFill="1" applyAlignment="1">
      <alignment horizontal="left"/>
    </xf>
    <xf numFmtId="170" fontId="3" fillId="0" borderId="0" xfId="0" quotePrefix="1" applyFont="1" applyFill="1" applyAlignment="1">
      <alignment horizontal="left"/>
    </xf>
    <xf numFmtId="37" fontId="3" fillId="0" borderId="0" xfId="0" applyNumberFormat="1" applyFont="1" applyFill="1">
      <alignment horizontal="left" wrapText="1"/>
    </xf>
    <xf numFmtId="172" fontId="3" fillId="0" borderId="0" xfId="0" applyNumberFormat="1" applyFont="1" applyFill="1" applyBorder="1" applyProtection="1">
      <alignment horizontal="left" wrapText="1"/>
      <protection locked="0"/>
    </xf>
    <xf numFmtId="172" fontId="3" fillId="0" borderId="0" xfId="0" applyNumberFormat="1" applyFont="1" applyFill="1" applyBorder="1">
      <alignment horizontal="left" wrapText="1"/>
    </xf>
    <xf numFmtId="1" fontId="3" fillId="0" borderId="0" xfId="0" applyNumberFormat="1" applyFont="1" applyFill="1" applyBorder="1" applyAlignment="1">
      <alignment horizontal="center"/>
    </xf>
    <xf numFmtId="170" fontId="4" fillId="0" borderId="0" xfId="0" applyFont="1" applyFill="1" applyBorder="1" applyAlignment="1">
      <alignment horizontal="center"/>
    </xf>
    <xf numFmtId="0" fontId="17" fillId="0" borderId="0" xfId="0" applyNumberFormat="1" applyFont="1" applyAlignment="1"/>
    <xf numFmtId="0" fontId="7" fillId="0" borderId="0" xfId="0" applyNumberFormat="1" applyFont="1" applyAlignment="1"/>
    <xf numFmtId="0" fontId="17" fillId="0" borderId="2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178" fontId="7" fillId="0" borderId="0" xfId="0" applyNumberFormat="1" applyFont="1" applyFill="1" applyAlignment="1"/>
    <xf numFmtId="178" fontId="7" fillId="0" borderId="0" xfId="0" applyNumberFormat="1" applyFont="1" applyAlignment="1"/>
    <xf numFmtId="10" fontId="17" fillId="0" borderId="0" xfId="0" applyNumberFormat="1" applyFont="1" applyFill="1" applyAlignment="1"/>
    <xf numFmtId="10" fontId="7" fillId="0" borderId="0" xfId="0" applyNumberFormat="1" applyFont="1" applyAlignment="1"/>
    <xf numFmtId="9" fontId="7" fillId="0" borderId="0" xfId="0" applyNumberFormat="1" applyFont="1" applyAlignment="1"/>
    <xf numFmtId="170" fontId="4" fillId="0" borderId="0" xfId="0" applyFont="1" applyFill="1">
      <alignment horizontal="left" wrapText="1"/>
    </xf>
    <xf numFmtId="15" fontId="4" fillId="0" borderId="0" xfId="0" applyNumberFormat="1" applyFont="1" applyFill="1">
      <alignment horizontal="left" wrapText="1"/>
    </xf>
    <xf numFmtId="170" fontId="4" fillId="0" borderId="0" xfId="0" applyFont="1" applyFill="1" applyAlignment="1" applyProtection="1">
      <alignment horizontal="left"/>
      <protection locked="0"/>
    </xf>
    <xf numFmtId="170" fontId="4" fillId="0" borderId="0" xfId="0" applyFont="1" applyFill="1" applyAlignment="1" applyProtection="1">
      <alignment horizontal="centerContinuous" vertical="center"/>
      <protection locked="0"/>
    </xf>
    <xf numFmtId="170" fontId="4" fillId="0" borderId="0" xfId="0" applyFont="1" applyFill="1" applyAlignment="1">
      <alignment horizontal="centerContinuous" vertical="center"/>
    </xf>
    <xf numFmtId="170" fontId="3" fillId="0" borderId="0" xfId="0" applyFont="1" applyFill="1" applyBorder="1">
      <alignment horizontal="left" wrapText="1"/>
    </xf>
    <xf numFmtId="37" fontId="3" fillId="0" borderId="0" xfId="0" applyNumberFormat="1" applyFont="1" applyFill="1" applyBorder="1" applyAlignment="1"/>
    <xf numFmtId="41" fontId="3" fillId="0" borderId="0" xfId="0" applyNumberFormat="1" applyFont="1" applyFill="1" applyBorder="1" applyAlignment="1"/>
    <xf numFmtId="170" fontId="4" fillId="0" borderId="2" xfId="0" applyFont="1" applyFill="1" applyBorder="1" applyAlignment="1"/>
    <xf numFmtId="170" fontId="18" fillId="0" borderId="2" xfId="0" applyFont="1" applyFill="1" applyBorder="1" applyAlignment="1">
      <alignment horizontal="centerContinuous"/>
    </xf>
    <xf numFmtId="170" fontId="4" fillId="0" borderId="0" xfId="0" applyFont="1" applyFill="1" applyBorder="1" applyAlignment="1"/>
    <xf numFmtId="170" fontId="18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181" fontId="3" fillId="0" borderId="0" xfId="0" applyNumberFormat="1" applyFont="1" applyFill="1" applyAlignment="1"/>
    <xf numFmtId="170" fontId="7" fillId="0" borderId="0" xfId="0" applyFont="1" applyFill="1">
      <alignment horizontal="left" wrapText="1"/>
    </xf>
    <xf numFmtId="170" fontId="7" fillId="0" borderId="0" xfId="0" applyFont="1" applyFill="1" applyAlignment="1">
      <alignment horizontal="centerContinuous" vertical="center"/>
    </xf>
    <xf numFmtId="168" fontId="3" fillId="0" borderId="0" xfId="0" applyNumberFormat="1" applyFont="1" applyFill="1" applyAlignment="1">
      <alignment horizontal="right"/>
    </xf>
    <xf numFmtId="0" fontId="4" fillId="0" borderId="5" xfId="0" quotePrefix="1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Alignment="1"/>
    <xf numFmtId="0" fontId="17" fillId="0" borderId="0" xfId="0" applyNumberFormat="1" applyFont="1" applyAlignment="1">
      <alignment horizontal="centerContinuous"/>
    </xf>
    <xf numFmtId="0" fontId="19" fillId="0" borderId="0" xfId="0" applyNumberFormat="1" applyFont="1" applyAlignment="1">
      <alignment horizontal="centerContinuous"/>
    </xf>
    <xf numFmtId="0" fontId="7" fillId="0" borderId="0" xfId="0" applyNumberFormat="1" applyFont="1" applyAlignment="1"/>
    <xf numFmtId="170" fontId="4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/>
    <xf numFmtId="170" fontId="4" fillId="0" borderId="0" xfId="0" applyFont="1" applyFill="1" applyAlignment="1"/>
    <xf numFmtId="172" fontId="4" fillId="0" borderId="0" xfId="0" applyNumberFormat="1" applyFont="1" applyFill="1" applyBorder="1" applyAlignment="1"/>
    <xf numFmtId="0" fontId="4" fillId="0" borderId="0" xfId="0" applyNumberFormat="1" applyFont="1" applyFill="1" applyAlignment="1">
      <alignment horizontal="left"/>
    </xf>
    <xf numFmtId="41" fontId="4" fillId="0" borderId="0" xfId="0" applyNumberFormat="1" applyFont="1" applyFill="1" applyAlignment="1">
      <alignment horizontal="centerContinuous"/>
    </xf>
    <xf numFmtId="170" fontId="4" fillId="0" borderId="0" xfId="0" applyFont="1" applyFill="1" applyAlignment="1">
      <alignment horizontal="centerContinuous"/>
    </xf>
    <xf numFmtId="172" fontId="4" fillId="0" borderId="0" xfId="0" applyNumberFormat="1" applyFont="1" applyFill="1" applyBorder="1" applyAlignment="1">
      <alignment horizontal="centerContinuous"/>
    </xf>
    <xf numFmtId="15" fontId="6" fillId="0" borderId="0" xfId="0" applyNumberFormat="1" applyFont="1" applyFill="1" applyAlignment="1">
      <alignment horizontal="centerContinuous"/>
    </xf>
    <xf numFmtId="2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 applyProtection="1">
      <alignment horizontal="left"/>
      <protection locked="0"/>
    </xf>
    <xf numFmtId="41" fontId="4" fillId="0" borderId="0" xfId="0" applyNumberFormat="1" applyFont="1" applyFill="1" applyAlignment="1"/>
    <xf numFmtId="170" fontId="4" fillId="0" borderId="0" xfId="0" applyFont="1" applyFill="1" applyAlignment="1" applyProtection="1">
      <protection locked="0"/>
    </xf>
    <xf numFmtId="170" fontId="4" fillId="0" borderId="2" xfId="0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left"/>
    </xf>
    <xf numFmtId="41" fontId="4" fillId="0" borderId="2" xfId="0" applyNumberFormat="1" applyFont="1" applyFill="1" applyBorder="1" applyAlignment="1">
      <alignment horizontal="center"/>
    </xf>
    <xf numFmtId="170" fontId="4" fillId="0" borderId="2" xfId="0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center"/>
    </xf>
    <xf numFmtId="172" fontId="4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Continuous"/>
    </xf>
    <xf numFmtId="0" fontId="4" fillId="0" borderId="2" xfId="0" quotePrefix="1" applyNumberFormat="1" applyFont="1" applyFill="1" applyBorder="1" applyAlignment="1" applyProtection="1">
      <alignment horizontal="center"/>
      <protection locked="0"/>
    </xf>
    <xf numFmtId="170" fontId="4" fillId="0" borderId="0" xfId="0" applyFont="1" applyFill="1" applyAlignment="1">
      <alignment horizontal="center" wrapText="1"/>
    </xf>
    <xf numFmtId="170" fontId="5" fillId="0" borderId="0" xfId="0" applyFont="1" applyFill="1" applyBorder="1">
      <alignment horizontal="left" wrapText="1"/>
    </xf>
    <xf numFmtId="9" fontId="3" fillId="0" borderId="0" xfId="0" applyNumberFormat="1" applyFont="1" applyFill="1" applyBorder="1" applyAlignment="1" applyProtection="1">
      <alignment horizontal="left"/>
      <protection locked="0"/>
    </xf>
    <xf numFmtId="37" fontId="3" fillId="0" borderId="0" xfId="0" applyNumberFormat="1" applyFont="1" applyFill="1" applyBorder="1" applyAlignment="1" applyProtection="1">
      <protection locked="0"/>
    </xf>
    <xf numFmtId="41" fontId="3" fillId="0" borderId="0" xfId="0" applyNumberFormat="1" applyFont="1" applyFill="1" applyBorder="1" applyAlignment="1" applyProtection="1">
      <protection locked="0"/>
    </xf>
    <xf numFmtId="170" fontId="5" fillId="0" borderId="0" xfId="0" applyFont="1" applyFill="1" applyAlignment="1">
      <alignment horizontal="left"/>
    </xf>
    <xf numFmtId="0" fontId="4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 applyProtection="1">
      <protection locked="0"/>
    </xf>
    <xf numFmtId="42" fontId="3" fillId="0" borderId="0" xfId="0" applyNumberFormat="1" applyFont="1" applyFill="1" applyAlignment="1"/>
    <xf numFmtId="9" fontId="3" fillId="0" borderId="0" xfId="0" applyNumberFormat="1" applyFont="1" applyFill="1" applyBorder="1" applyAlignment="1"/>
    <xf numFmtId="0" fontId="3" fillId="0" borderId="0" xfId="0" applyNumberFormat="1" applyFont="1" applyFill="1" applyAlignment="1" applyProtection="1">
      <alignment horizontal="fill"/>
      <protection locked="0"/>
    </xf>
    <xf numFmtId="170" fontId="3" fillId="0" borderId="0" xfId="0" quotePrefix="1" applyFont="1" applyFill="1" applyAlignment="1">
      <alignment horizontal="center"/>
    </xf>
    <xf numFmtId="170" fontId="3" fillId="0" borderId="0" xfId="0" applyFont="1" applyFill="1" applyBorder="1" applyAlignment="1">
      <alignment horizontal="center"/>
    </xf>
    <xf numFmtId="37" fontId="3" fillId="0" borderId="0" xfId="0" applyNumberFormat="1" applyFont="1" applyFill="1" applyBorder="1" applyAlignment="1">
      <alignment horizontal="center"/>
    </xf>
    <xf numFmtId="170" fontId="3" fillId="0" borderId="0" xfId="0" applyFont="1" applyFill="1" applyAlignment="1" applyProtection="1">
      <alignment horizontal="left"/>
      <protection locked="0"/>
    </xf>
    <xf numFmtId="170" fontId="3" fillId="0" borderId="0" xfId="0" applyNumberFormat="1" applyFont="1" applyFill="1" applyAlignment="1"/>
    <xf numFmtId="169" fontId="3" fillId="0" borderId="0" xfId="0" applyNumberFormat="1" applyFont="1" applyFill="1" applyAlignment="1"/>
    <xf numFmtId="170" fontId="5" fillId="0" borderId="0" xfId="0" applyFont="1" applyFill="1" applyAlignment="1">
      <alignment horizontal="center"/>
    </xf>
    <xf numFmtId="170" fontId="5" fillId="0" borderId="0" xfId="0" applyFont="1" applyFill="1" applyBorder="1" applyAlignment="1">
      <alignment horizontal="center"/>
    </xf>
    <xf numFmtId="37" fontId="5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protection locked="0"/>
    </xf>
    <xf numFmtId="165" fontId="3" fillId="0" borderId="0" xfId="0" applyNumberFormat="1" applyFont="1" applyFill="1" applyAlignment="1"/>
    <xf numFmtId="167" fontId="3" fillId="0" borderId="0" xfId="0" applyNumberFormat="1" applyFont="1" applyFill="1" applyBorder="1" applyAlignment="1"/>
    <xf numFmtId="173" fontId="3" fillId="0" borderId="0" xfId="0" quotePrefix="1" applyNumberFormat="1" applyFont="1" applyFill="1" applyAlignment="1">
      <alignment horizontal="left"/>
    </xf>
    <xf numFmtId="0" fontId="4" fillId="0" borderId="0" xfId="0" quotePrefix="1" applyNumberFormat="1" applyFont="1" applyFill="1" applyAlignment="1" applyProtection="1">
      <protection locked="0"/>
    </xf>
    <xf numFmtId="0" fontId="3" fillId="0" borderId="0" xfId="0" quotePrefix="1" applyNumberFormat="1" applyFont="1" applyFill="1" applyAlignment="1" applyProtection="1">
      <protection locked="0"/>
    </xf>
    <xf numFmtId="170" fontId="3" fillId="0" borderId="0" xfId="0" applyFont="1" applyFill="1" applyAlignment="1" applyProtection="1">
      <alignment horizontal="center"/>
      <protection locked="0"/>
    </xf>
    <xf numFmtId="168" fontId="3" fillId="0" borderId="0" xfId="0" applyNumberFormat="1" applyFont="1" applyFill="1" applyAlignment="1"/>
    <xf numFmtId="173" fontId="3" fillId="0" borderId="0" xfId="0" applyNumberFormat="1" applyFont="1" applyFill="1" applyAlignment="1">
      <alignment horizontal="left"/>
    </xf>
    <xf numFmtId="0" fontId="3" fillId="0" borderId="0" xfId="0" quotePrefix="1" applyNumberFormat="1" applyFont="1" applyFill="1" applyBorder="1" applyAlignment="1" applyProtection="1">
      <protection locked="0"/>
    </xf>
    <xf numFmtId="168" fontId="3" fillId="0" borderId="0" xfId="0" applyNumberFormat="1" applyFont="1" applyFill="1" applyAlignment="1"/>
    <xf numFmtId="167" fontId="3" fillId="0" borderId="0" xfId="0" applyNumberFormat="1" applyFont="1" applyFill="1" applyAlignment="1"/>
    <xf numFmtId="165" fontId="3" fillId="0" borderId="0" xfId="0" applyNumberFormat="1" applyFont="1" applyFill="1" applyAlignment="1"/>
    <xf numFmtId="1" fontId="3" fillId="0" borderId="0" xfId="0" quotePrefix="1" applyNumberFormat="1" applyFont="1" applyFill="1" applyAlignment="1">
      <alignment horizontal="left"/>
    </xf>
    <xf numFmtId="9" fontId="3" fillId="0" borderId="0" xfId="0" applyNumberFormat="1" applyFont="1" applyFill="1" applyAlignment="1">
      <alignment horizontal="center"/>
    </xf>
    <xf numFmtId="170" fontId="7" fillId="0" borderId="0" xfId="0" applyFont="1" applyFill="1" applyBorder="1">
      <alignment horizontal="left" wrapText="1"/>
    </xf>
    <xf numFmtId="1" fontId="3" fillId="0" borderId="0" xfId="0" applyNumberFormat="1" applyFont="1" applyFill="1" applyAlignment="1"/>
    <xf numFmtId="41" fontId="3" fillId="0" borderId="0" xfId="0" applyNumberFormat="1" applyFont="1" applyFill="1" applyBorder="1">
      <alignment horizontal="left" wrapText="1"/>
    </xf>
    <xf numFmtId="165" fontId="3" fillId="0" borderId="0" xfId="0" applyNumberFormat="1" applyFont="1" applyFill="1" applyAlignment="1">
      <alignment vertical="top"/>
    </xf>
    <xf numFmtId="170" fontId="3" fillId="0" borderId="0" xfId="0" applyFont="1" applyFill="1" applyBorder="1" applyAlignment="1">
      <alignment horizontal="left" indent="1"/>
    </xf>
    <xf numFmtId="165" fontId="3" fillId="0" borderId="0" xfId="0" applyNumberFormat="1" applyFont="1" applyFill="1" applyBorder="1" applyAlignment="1"/>
    <xf numFmtId="170" fontId="3" fillId="0" borderId="0" xfId="0" applyFont="1" applyFill="1" applyBorder="1" applyAlignment="1">
      <alignment horizontal="left"/>
    </xf>
    <xf numFmtId="167" fontId="3" fillId="0" borderId="0" xfId="0" applyNumberFormat="1" applyFont="1" applyFill="1" applyBorder="1" applyAlignment="1">
      <alignment vertical="top"/>
    </xf>
    <xf numFmtId="178" fontId="3" fillId="0" borderId="0" xfId="0" applyNumberFormat="1" applyFont="1" applyFill="1" applyBorder="1" applyAlignment="1" applyProtection="1">
      <protection locked="0"/>
    </xf>
    <xf numFmtId="1" fontId="7" fillId="0" borderId="0" xfId="0" applyNumberFormat="1" applyFont="1" applyFill="1">
      <alignment horizontal="left" wrapText="1"/>
    </xf>
    <xf numFmtId="178" fontId="3" fillId="0" borderId="0" xfId="0" applyNumberFormat="1" applyFont="1" applyFill="1" applyBorder="1" applyAlignment="1">
      <alignment horizontal="right" wrapText="1"/>
    </xf>
    <xf numFmtId="0" fontId="4" fillId="0" borderId="2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 vertical="center" indent="2"/>
    </xf>
    <xf numFmtId="0" fontId="3" fillId="0" borderId="0" xfId="0" applyNumberFormat="1" applyFont="1" applyFill="1" applyAlignment="1">
      <alignment horizontal="left" indent="2"/>
    </xf>
    <xf numFmtId="42" fontId="4" fillId="0" borderId="0" xfId="0" applyNumberFormat="1" applyFont="1" applyFill="1" applyBorder="1" applyAlignment="1"/>
    <xf numFmtId="178" fontId="8" fillId="0" borderId="0" xfId="0" applyNumberFormat="1" applyFont="1" applyFill="1" applyBorder="1" applyAlignment="1"/>
    <xf numFmtId="6" fontId="7" fillId="0" borderId="0" xfId="0" applyNumberFormat="1" applyFont="1" applyAlignment="1"/>
    <xf numFmtId="4" fontId="7" fillId="0" borderId="0" xfId="0" applyNumberFormat="1" applyFont="1" applyFill="1" applyAlignment="1">
      <alignment horizontal="left" wrapText="1"/>
    </xf>
    <xf numFmtId="170" fontId="3" fillId="0" borderId="0" xfId="0" applyNumberFormat="1" applyFont="1" applyFill="1" applyAlignment="1">
      <alignment horizontal="left" wrapText="1" indent="1"/>
    </xf>
    <xf numFmtId="0" fontId="25" fillId="0" borderId="0" xfId="0" applyNumberFormat="1" applyFont="1" applyAlignment="1"/>
    <xf numFmtId="0" fontId="17" fillId="0" borderId="0" xfId="0" applyNumberFormat="1" applyFont="1" applyFill="1" applyAlignment="1"/>
    <xf numFmtId="170" fontId="24" fillId="0" borderId="0" xfId="0" applyFont="1" applyFill="1" applyAlignment="1" applyProtection="1">
      <alignment horizontal="centerContinuous" vertical="center"/>
      <protection locked="0"/>
    </xf>
    <xf numFmtId="170" fontId="24" fillId="0" borderId="0" xfId="0" applyFont="1" applyFill="1" applyAlignment="1">
      <alignment horizontal="centerContinuous" vertical="center"/>
    </xf>
    <xf numFmtId="170" fontId="26" fillId="0" borderId="0" xfId="0" applyFont="1" applyFill="1" applyAlignment="1">
      <alignment horizontal="centerContinuous" vertical="center"/>
    </xf>
    <xf numFmtId="170" fontId="24" fillId="0" borderId="0" xfId="0" applyFont="1" applyFill="1" applyAlignment="1">
      <alignment horizontal="centerContinuous"/>
    </xf>
    <xf numFmtId="0" fontId="24" fillId="0" borderId="0" xfId="0" applyNumberFormat="1" applyFont="1" applyFill="1" applyAlignment="1">
      <alignment horizontal="centerContinuous"/>
    </xf>
    <xf numFmtId="3" fontId="24" fillId="0" borderId="0" xfId="0" applyNumberFormat="1" applyFont="1" applyFill="1" applyAlignment="1">
      <alignment horizontal="centerContinuous"/>
    </xf>
    <xf numFmtId="15" fontId="24" fillId="0" borderId="0" xfId="0" applyNumberFormat="1" applyFont="1" applyFill="1" applyAlignment="1">
      <alignment horizontal="centerContinuous"/>
    </xf>
    <xf numFmtId="41" fontId="24" fillId="0" borderId="0" xfId="0" applyNumberFormat="1" applyFont="1" applyFill="1" applyAlignment="1">
      <alignment horizontal="centerContinuous"/>
    </xf>
    <xf numFmtId="0" fontId="24" fillId="0" borderId="0" xfId="0" applyNumberFormat="1" applyFont="1" applyFill="1" applyAlignment="1" applyProtection="1">
      <alignment horizontal="centerContinuous"/>
      <protection locked="0"/>
    </xf>
    <xf numFmtId="170" fontId="24" fillId="0" borderId="0" xfId="0" applyFont="1" applyFill="1" applyAlignment="1" applyProtection="1">
      <alignment horizontal="centerContinuous"/>
      <protection locked="0"/>
    </xf>
    <xf numFmtId="172" fontId="24" fillId="0" borderId="0" xfId="0" applyNumberFormat="1" applyFont="1" applyFill="1" applyBorder="1" applyAlignment="1">
      <alignment horizontal="centerContinuous"/>
    </xf>
    <xf numFmtId="0" fontId="27" fillId="0" borderId="0" xfId="0" applyNumberFormat="1" applyFont="1" applyFill="1" applyAlignment="1"/>
    <xf numFmtId="172" fontId="3" fillId="0" borderId="0" xfId="0" applyNumberFormat="1" applyFont="1" applyFill="1" applyAlignment="1">
      <alignment horizontal="left"/>
    </xf>
    <xf numFmtId="172" fontId="3" fillId="0" borderId="0" xfId="0" applyNumberFormat="1" applyFont="1" applyFill="1" applyBorder="1" applyAlignment="1">
      <alignment vertical="top"/>
    </xf>
    <xf numFmtId="41" fontId="3" fillId="0" borderId="0" xfId="0" applyNumberFormat="1" applyFont="1" applyFill="1" applyAlignment="1">
      <alignment vertical="center"/>
    </xf>
    <xf numFmtId="42" fontId="3" fillId="0" borderId="0" xfId="0" applyNumberFormat="1" applyFont="1" applyFill="1" applyBorder="1" applyAlignment="1" applyProtection="1">
      <protection locked="0"/>
    </xf>
    <xf numFmtId="10" fontId="3" fillId="0" borderId="0" xfId="0" applyNumberFormat="1" applyFont="1" applyFill="1" applyAlignment="1" applyProtection="1">
      <protection locked="0"/>
    </xf>
    <xf numFmtId="37" fontId="3" fillId="0" borderId="2" xfId="0" applyNumberFormat="1" applyFont="1" applyFill="1" applyBorder="1" applyAlignment="1">
      <alignment horizontal="right"/>
    </xf>
    <xf numFmtId="41" fontId="3" fillId="0" borderId="0" xfId="0" applyNumberFormat="1" applyFont="1" applyFill="1" applyAlignment="1"/>
    <xf numFmtId="42" fontId="3" fillId="0" borderId="0" xfId="0" applyNumberFormat="1" applyFont="1" applyFill="1" applyAlignment="1"/>
    <xf numFmtId="42" fontId="3" fillId="0" borderId="0" xfId="0" applyNumberFormat="1" applyFont="1" applyFill="1" applyBorder="1" applyAlignment="1">
      <alignment horizontal="right"/>
    </xf>
    <xf numFmtId="170" fontId="3" fillId="0" borderId="0" xfId="0" applyFont="1" applyFill="1">
      <alignment horizontal="left" wrapText="1"/>
    </xf>
    <xf numFmtId="37" fontId="3" fillId="0" borderId="0" xfId="0" applyNumberFormat="1" applyFont="1" applyFill="1" applyAlignment="1"/>
    <xf numFmtId="41" fontId="3" fillId="0" borderId="0" xfId="0" applyNumberFormat="1" applyFont="1" applyFill="1" applyAlignment="1"/>
    <xf numFmtId="182" fontId="3" fillId="0" borderId="0" xfId="0" applyNumberFormat="1" applyFont="1" applyFill="1" applyAlignment="1"/>
    <xf numFmtId="42" fontId="3" fillId="0" borderId="2" xfId="0" applyNumberFormat="1" applyFont="1" applyFill="1" applyBorder="1" applyAlignment="1"/>
    <xf numFmtId="41" fontId="3" fillId="0" borderId="2" xfId="0" applyNumberFormat="1" applyFont="1" applyFill="1" applyBorder="1" applyAlignment="1"/>
    <xf numFmtId="178" fontId="3" fillId="0" borderId="0" xfId="0" applyNumberFormat="1" applyFont="1" applyFill="1" applyBorder="1" applyAlignment="1"/>
    <xf numFmtId="37" fontId="3" fillId="0" borderId="0" xfId="0" applyNumberFormat="1" applyFont="1" applyFill="1" applyBorder="1" applyAlignment="1">
      <alignment vertical="center"/>
    </xf>
    <xf numFmtId="178" fontId="3" fillId="0" borderId="3" xfId="0" applyNumberFormat="1" applyFont="1" applyFill="1" applyBorder="1" applyAlignment="1" applyProtection="1">
      <protection locked="0"/>
    </xf>
    <xf numFmtId="178" fontId="3" fillId="0" borderId="0" xfId="0" applyNumberFormat="1" applyFont="1" applyFill="1" applyBorder="1" applyAlignment="1" applyProtection="1">
      <protection locked="0"/>
    </xf>
    <xf numFmtId="37" fontId="3" fillId="0" borderId="0" xfId="0" applyNumberFormat="1" applyFont="1" applyFill="1" applyBorder="1" applyAlignment="1">
      <alignment vertical="top"/>
    </xf>
    <xf numFmtId="0" fontId="0" fillId="0" borderId="3" xfId="0" applyNumberFormat="1" applyFill="1" applyBorder="1" applyAlignment="1"/>
    <xf numFmtId="37" fontId="3" fillId="0" borderId="2" xfId="0" applyNumberFormat="1" applyFont="1" applyFill="1" applyBorder="1" applyAlignment="1"/>
    <xf numFmtId="178" fontId="3" fillId="0" borderId="1" xfId="0" applyNumberFormat="1" applyFont="1" applyFill="1" applyBorder="1" applyAlignment="1" applyProtection="1">
      <protection locked="0"/>
    </xf>
    <xf numFmtId="42" fontId="3" fillId="0" borderId="0" xfId="0" applyNumberFormat="1" applyFont="1" applyFill="1" applyBorder="1" applyAlignment="1" applyProtection="1">
      <protection locked="0"/>
    </xf>
    <xf numFmtId="42" fontId="3" fillId="0" borderId="0" xfId="0" applyNumberFormat="1" applyFont="1" applyFill="1" applyBorder="1" applyAlignment="1"/>
    <xf numFmtId="42" fontId="4" fillId="0" borderId="1" xfId="0" applyNumberFormat="1" applyFont="1" applyFill="1" applyBorder="1" applyAlignment="1"/>
    <xf numFmtId="42" fontId="4" fillId="0" borderId="4" xfId="0" applyNumberFormat="1" applyFont="1" applyFill="1" applyBorder="1" applyAlignment="1"/>
    <xf numFmtId="42" fontId="3" fillId="0" borderId="0" xfId="0" applyNumberFormat="1" applyFont="1" applyFill="1" applyAlignment="1" applyProtection="1">
      <alignment horizontal="right"/>
      <protection locked="0"/>
    </xf>
    <xf numFmtId="172" fontId="3" fillId="0" borderId="2" xfId="0" applyNumberFormat="1" applyFont="1" applyFill="1" applyBorder="1" applyAlignment="1" applyProtection="1">
      <alignment horizontal="right"/>
      <protection locked="0"/>
    </xf>
    <xf numFmtId="42" fontId="3" fillId="0" borderId="0" xfId="0" applyNumberFormat="1" applyFont="1" applyFill="1" applyAlignment="1">
      <alignment horizontal="right"/>
    </xf>
    <xf numFmtId="42" fontId="3" fillId="0" borderId="3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2" fontId="4" fillId="0" borderId="1" xfId="0" applyNumberFormat="1" applyFont="1" applyFill="1" applyBorder="1" applyAlignment="1"/>
    <xf numFmtId="41" fontId="3" fillId="0" borderId="0" xfId="0" applyNumberFormat="1" applyFont="1" applyFill="1" applyBorder="1" applyAlignment="1" applyProtection="1">
      <protection locked="0"/>
    </xf>
    <xf numFmtId="42" fontId="4" fillId="0" borderId="4" xfId="0" applyNumberFormat="1" applyFont="1" applyFill="1" applyBorder="1" applyAlignment="1"/>
    <xf numFmtId="42" fontId="3" fillId="0" borderId="3" xfId="0" applyNumberFormat="1" applyFont="1" applyFill="1" applyBorder="1" applyAlignment="1"/>
    <xf numFmtId="3" fontId="3" fillId="0" borderId="0" xfId="0" applyNumberFormat="1" applyFont="1" applyFill="1" applyAlignment="1">
      <alignment horizontal="right"/>
    </xf>
    <xf numFmtId="42" fontId="15" fillId="0" borderId="4" xfId="0" applyNumberFormat="1" applyFont="1" applyFill="1" applyBorder="1" applyAlignment="1"/>
    <xf numFmtId="42" fontId="3" fillId="0" borderId="0" xfId="0" applyNumberFormat="1" applyFont="1" applyFill="1" applyBorder="1" applyAlignment="1">
      <alignment horizontal="center"/>
    </xf>
    <xf numFmtId="42" fontId="8" fillId="0" borderId="0" xfId="0" applyNumberFormat="1" applyFont="1" applyFill="1" applyBorder="1" applyAlignment="1"/>
    <xf numFmtId="41" fontId="8" fillId="0" borderId="2" xfId="0" applyNumberFormat="1" applyFont="1" applyFill="1" applyBorder="1" applyAlignment="1"/>
    <xf numFmtId="41" fontId="8" fillId="0" borderId="0" xfId="0" applyNumberFormat="1" applyFont="1" applyFill="1" applyBorder="1" applyAlignment="1">
      <alignment horizontal="center"/>
    </xf>
    <xf numFmtId="41" fontId="3" fillId="0" borderId="0" xfId="0" applyNumberFormat="1" applyFont="1" applyFill="1" applyBorder="1" applyAlignment="1">
      <alignment horizontal="center"/>
    </xf>
    <xf numFmtId="41" fontId="8" fillId="0" borderId="0" xfId="0" applyNumberFormat="1" applyFont="1" applyFill="1" applyBorder="1" applyAlignment="1"/>
    <xf numFmtId="41" fontId="8" fillId="0" borderId="2" xfId="0" applyNumberFormat="1" applyFont="1" applyFill="1" applyBorder="1" applyAlignment="1"/>
    <xf numFmtId="41" fontId="8" fillId="0" borderId="0" xfId="0" applyNumberFormat="1" applyFont="1" applyFill="1" applyAlignment="1"/>
    <xf numFmtId="41" fontId="3" fillId="0" borderId="0" xfId="0" applyNumberFormat="1" applyFont="1" applyFill="1" applyBorder="1" applyAlignment="1" applyProtection="1">
      <protection locked="0"/>
    </xf>
    <xf numFmtId="42" fontId="8" fillId="0" borderId="4" xfId="0" applyNumberFormat="1" applyFont="1" applyFill="1" applyBorder="1" applyAlignment="1"/>
    <xf numFmtId="42" fontId="3" fillId="0" borderId="0" xfId="0" applyNumberFormat="1" applyFont="1" applyFill="1" applyAlignment="1"/>
    <xf numFmtId="177" fontId="3" fillId="0" borderId="0" xfId="0" applyNumberFormat="1" applyFont="1" applyFill="1" applyAlignment="1"/>
    <xf numFmtId="177" fontId="3" fillId="0" borderId="3" xfId="0" applyNumberFormat="1" applyFont="1" applyFill="1" applyBorder="1" applyAlignment="1"/>
    <xf numFmtId="42" fontId="3" fillId="0" borderId="0" xfId="0" applyNumberFormat="1" applyFont="1" applyFill="1">
      <alignment horizontal="left" wrapText="1"/>
    </xf>
    <xf numFmtId="37" fontId="3" fillId="0" borderId="0" xfId="0" applyNumberFormat="1" applyFont="1" applyFill="1" applyBorder="1" applyAlignment="1"/>
    <xf numFmtId="9" fontId="3" fillId="0" borderId="0" xfId="0" applyNumberFormat="1" applyFont="1" applyFill="1" applyBorder="1" applyAlignment="1"/>
    <xf numFmtId="37" fontId="3" fillId="0" borderId="0" xfId="0" applyNumberFormat="1" applyFont="1" applyFill="1" applyAlignment="1">
      <alignment horizontal="right" wrapText="1"/>
    </xf>
    <xf numFmtId="42" fontId="4" fillId="0" borderId="1" xfId="0" applyNumberFormat="1" applyFont="1" applyFill="1" applyBorder="1">
      <alignment horizontal="left" wrapText="1"/>
    </xf>
    <xf numFmtId="41" fontId="7" fillId="0" borderId="0" xfId="0" applyNumberFormat="1" applyFont="1" applyFill="1" applyBorder="1" applyAlignment="1">
      <alignment horizontal="center"/>
    </xf>
    <xf numFmtId="42" fontId="3" fillId="0" borderId="1" xfId="0" applyNumberFormat="1" applyFont="1" applyFill="1" applyBorder="1" applyAlignment="1"/>
    <xf numFmtId="165" fontId="3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177" fontId="3" fillId="0" borderId="3" xfId="0" applyNumberFormat="1" applyFont="1" applyFill="1" applyBorder="1" applyAlignment="1"/>
    <xf numFmtId="177" fontId="3" fillId="0" borderId="0" xfId="0" applyNumberFormat="1" applyFont="1" applyFill="1" applyAlignment="1"/>
    <xf numFmtId="41" fontId="3" fillId="0" borderId="0" xfId="0" applyNumberFormat="1" applyFont="1" applyFill="1" applyBorder="1" applyAlignment="1">
      <alignment horizontal="right"/>
    </xf>
    <xf numFmtId="41" fontId="3" fillId="0" borderId="3" xfId="0" applyNumberFormat="1" applyFont="1" applyFill="1" applyBorder="1" applyAlignment="1"/>
    <xf numFmtId="42" fontId="3" fillId="0" borderId="1" xfId="0" applyNumberFormat="1" applyFont="1" applyFill="1" applyBorder="1" applyAlignment="1"/>
    <xf numFmtId="170" fontId="3" fillId="0" borderId="0" xfId="0" applyFont="1" applyFill="1" applyBorder="1" applyAlignment="1">
      <alignment horizontal="right"/>
    </xf>
    <xf numFmtId="168" fontId="12" fillId="0" borderId="0" xfId="0" applyNumberFormat="1" applyFont="1" applyFill="1" applyBorder="1" applyAlignment="1"/>
    <xf numFmtId="9" fontId="12" fillId="0" borderId="0" xfId="0" applyNumberFormat="1" applyFont="1" applyFill="1" applyAlignment="1"/>
    <xf numFmtId="170" fontId="3" fillId="0" borderId="0" xfId="0" applyFont="1" applyFill="1" applyAlignment="1">
      <alignment horizontal="left"/>
    </xf>
    <xf numFmtId="170" fontId="24" fillId="0" borderId="0" xfId="0" applyFont="1" applyFill="1" applyAlignment="1"/>
    <xf numFmtId="170" fontId="3" fillId="0" borderId="0" xfId="0" applyNumberFormat="1" applyFont="1" applyFill="1" applyBorder="1" applyAlignment="1"/>
    <xf numFmtId="170" fontId="3" fillId="0" borderId="0" xfId="0" applyFont="1" applyFill="1" applyBorder="1" applyAlignment="1"/>
    <xf numFmtId="172" fontId="3" fillId="0" borderId="0" xfId="0" applyNumberFormat="1" applyFont="1" applyFill="1" applyBorder="1" applyAlignment="1" applyProtection="1">
      <protection locked="0"/>
    </xf>
    <xf numFmtId="170" fontId="3" fillId="0" borderId="0" xfId="0" quotePrefix="1" applyFont="1" applyFill="1" applyAlignment="1">
      <alignment horizontal="left"/>
    </xf>
    <xf numFmtId="170" fontId="0" fillId="0" borderId="0" xfId="0" applyFill="1" applyAlignment="1"/>
    <xf numFmtId="170" fontId="3" fillId="0" borderId="0" xfId="0" applyNumberFormat="1" applyFont="1" applyFill="1" applyAlignment="1">
      <alignment horizontal="left"/>
    </xf>
    <xf numFmtId="170" fontId="0" fillId="0" borderId="0" xfId="0" applyAlignment="1"/>
    <xf numFmtId="41" fontId="3" fillId="0" borderId="0" xfId="0" applyNumberFormat="1" applyFont="1" applyFill="1" applyBorder="1" applyAlignment="1"/>
    <xf numFmtId="0" fontId="19" fillId="0" borderId="0" xfId="0" applyNumberFormat="1" applyFont="1" applyFill="1" applyAlignment="1">
      <alignment horizontal="centerContinuous"/>
    </xf>
    <xf numFmtId="0" fontId="19" fillId="0" borderId="0" xfId="0" applyNumberFormat="1" applyFont="1" applyFill="1" applyAlignment="1"/>
    <xf numFmtId="183" fontId="4" fillId="0" borderId="6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 applyProtection="1">
      <alignment horizontal="centerContinuous"/>
      <protection locked="0"/>
    </xf>
    <xf numFmtId="170" fontId="3" fillId="0" borderId="0" xfId="0" applyFont="1" applyFill="1" applyAlignment="1">
      <alignment horizontal="right" wrapText="1"/>
    </xf>
    <xf numFmtId="170" fontId="7" fillId="0" borderId="0" xfId="0" applyFont="1" applyFill="1" applyAlignment="1">
      <alignment horizontal="right" wrapText="1"/>
    </xf>
    <xf numFmtId="22" fontId="3" fillId="0" borderId="0" xfId="0" applyNumberFormat="1" applyFont="1" applyFill="1" applyAlignment="1">
      <alignment horizontal="right"/>
    </xf>
    <xf numFmtId="15" fontId="3" fillId="0" borderId="0" xfId="0" applyNumberFormat="1" applyFont="1" applyFill="1" applyAlignment="1">
      <alignment horizontal="right"/>
    </xf>
    <xf numFmtId="170" fontId="3" fillId="0" borderId="0" xfId="0" applyFont="1" applyFill="1" applyAlignment="1">
      <alignment horizontal="right"/>
    </xf>
    <xf numFmtId="172" fontId="3" fillId="0" borderId="0" xfId="0" applyNumberFormat="1" applyFont="1" applyFill="1" applyBorder="1" applyAlignment="1">
      <alignment horizontal="right"/>
    </xf>
    <xf numFmtId="0" fontId="4" fillId="0" borderId="6" xfId="0" quotePrefix="1" applyNumberFormat="1" applyFont="1" applyFill="1" applyBorder="1" applyAlignment="1">
      <alignment horizontal="right"/>
    </xf>
    <xf numFmtId="0" fontId="4" fillId="0" borderId="5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left" indent="1"/>
    </xf>
    <xf numFmtId="17" fontId="4" fillId="0" borderId="0" xfId="0" applyNumberFormat="1" applyFont="1" applyFill="1" applyBorder="1" applyAlignment="1">
      <alignment horizontal="center"/>
    </xf>
    <xf numFmtId="10" fontId="7" fillId="0" borderId="0" xfId="0" applyNumberFormat="1" applyFont="1" applyAlignment="1"/>
    <xf numFmtId="184" fontId="17" fillId="0" borderId="0" xfId="0" applyNumberFormat="1" applyFont="1" applyAlignment="1">
      <alignment horizontal="center"/>
    </xf>
    <xf numFmtId="0" fontId="3" fillId="0" borderId="0" xfId="0" applyNumberFormat="1" applyFont="1" applyFill="1" applyAlignment="1">
      <alignment horizontal="left" indent="1"/>
    </xf>
    <xf numFmtId="172" fontId="24" fillId="0" borderId="0" xfId="0" applyNumberFormat="1" applyFont="1" applyFill="1" applyAlignment="1"/>
    <xf numFmtId="0" fontId="24" fillId="0" borderId="0" xfId="0" applyNumberFormat="1" applyFont="1" applyFill="1" applyAlignment="1" applyProtection="1">
      <alignment horizontal="center"/>
      <protection locked="0"/>
    </xf>
    <xf numFmtId="42" fontId="3" fillId="0" borderId="1" xfId="0" applyNumberFormat="1" applyFont="1" applyFill="1" applyBorder="1" applyAlignment="1" applyProtection="1"/>
    <xf numFmtId="0" fontId="7" fillId="0" borderId="0" xfId="0" applyNumberFormat="1" applyFont="1" applyAlignment="1"/>
    <xf numFmtId="0" fontId="28" fillId="0" borderId="0" xfId="0" applyNumberFormat="1" applyFont="1" applyAlignment="1">
      <alignment horizontal="center"/>
    </xf>
    <xf numFmtId="42" fontId="28" fillId="0" borderId="0" xfId="0" applyNumberFormat="1" applyFont="1" applyAlignment="1">
      <alignment horizontal="center"/>
    </xf>
    <xf numFmtId="0" fontId="17" fillId="0" borderId="0" xfId="0" applyNumberFormat="1" applyFont="1" applyAlignment="1">
      <alignment horizontal="centerContinuous"/>
    </xf>
    <xf numFmtId="9" fontId="7" fillId="0" borderId="0" xfId="0" applyNumberFormat="1" applyFont="1" applyFill="1" applyAlignment="1"/>
    <xf numFmtId="168" fontId="25" fillId="0" borderId="0" xfId="0" applyNumberFormat="1" applyFont="1" applyFill="1" applyAlignment="1"/>
    <xf numFmtId="0" fontId="7" fillId="0" borderId="0" xfId="0" applyNumberFormat="1" applyFont="1" applyFill="1" applyAlignment="1"/>
    <xf numFmtId="178" fontId="7" fillId="0" borderId="0" xfId="0" applyNumberFormat="1" applyFont="1" applyFill="1" applyAlignment="1"/>
    <xf numFmtId="10" fontId="7" fillId="0" borderId="0" xfId="0" applyNumberFormat="1" applyFont="1" applyFill="1" applyAlignment="1"/>
    <xf numFmtId="0" fontId="7" fillId="0" borderId="0" xfId="0" quotePrefix="1" applyNumberFormat="1" applyFont="1" applyFill="1" applyAlignment="1"/>
    <xf numFmtId="10" fontId="7" fillId="0" borderId="0" xfId="0" applyNumberFormat="1" applyFont="1" applyFill="1" applyAlignment="1"/>
    <xf numFmtId="6" fontId="7" fillId="0" borderId="0" xfId="0" applyNumberFormat="1" applyFont="1" applyFill="1" applyAlignment="1"/>
    <xf numFmtId="0" fontId="17" fillId="0" borderId="6" xfId="0" applyNumberFormat="1" applyFont="1" applyBorder="1" applyAlignment="1">
      <alignment horizontal="right"/>
    </xf>
    <xf numFmtId="0" fontId="7" fillId="0" borderId="0" xfId="0" applyNumberFormat="1" applyFont="1" applyBorder="1" applyAlignment="1"/>
    <xf numFmtId="170" fontId="3" fillId="0" borderId="2" xfId="0" applyNumberFormat="1" applyFont="1" applyFill="1" applyBorder="1" applyAlignment="1"/>
    <xf numFmtId="0" fontId="17" fillId="0" borderId="0" xfId="0" applyNumberFormat="1" applyFont="1" applyAlignment="1">
      <alignment horizontal="left"/>
    </xf>
    <xf numFmtId="0" fontId="26" fillId="0" borderId="0" xfId="0" applyNumberFormat="1" applyFont="1" applyAlignment="1"/>
    <xf numFmtId="0" fontId="23" fillId="0" borderId="0" xfId="0" applyNumberFormat="1" applyFont="1" applyFill="1" applyBorder="1" applyAlignment="1">
      <alignment horizontal="center"/>
    </xf>
    <xf numFmtId="17" fontId="3" fillId="0" borderId="0" xfId="0" applyNumberFormat="1" applyFont="1" applyFill="1" applyAlignment="1"/>
    <xf numFmtId="170" fontId="7" fillId="0" borderId="0" xfId="0" applyFont="1" applyFill="1" applyAlignment="1"/>
    <xf numFmtId="1" fontId="7" fillId="0" borderId="0" xfId="0" applyNumberFormat="1" applyFont="1" applyFill="1" applyAlignment="1"/>
    <xf numFmtId="170" fontId="7" fillId="0" borderId="0" xfId="0" applyFont="1" applyFill="1" applyAlignment="1">
      <alignment horizontal="right"/>
    </xf>
    <xf numFmtId="170" fontId="7" fillId="0" borderId="0" xfId="0" applyFont="1" applyFill="1" applyBorder="1" applyAlignment="1"/>
    <xf numFmtId="170" fontId="29" fillId="0" borderId="0" xfId="0" applyFont="1" applyFill="1" applyBorder="1" applyAlignment="1">
      <alignment horizontal="right"/>
    </xf>
    <xf numFmtId="170" fontId="3" fillId="0" borderId="0" xfId="0" applyNumberFormat="1" applyFont="1" applyFill="1" applyAlignment="1"/>
    <xf numFmtId="0" fontId="3" fillId="0" borderId="0" xfId="0" applyNumberFormat="1" applyFont="1" applyFill="1" applyAlignment="1"/>
    <xf numFmtId="41" fontId="3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 applyProtection="1">
      <alignment vertical="top"/>
      <protection locked="0"/>
    </xf>
    <xf numFmtId="41" fontId="4" fillId="0" borderId="1" xfId="0" applyNumberFormat="1" applyFont="1" applyFill="1" applyBorder="1" applyAlignment="1"/>
    <xf numFmtId="41" fontId="3" fillId="0" borderId="7" xfId="0" applyNumberFormat="1" applyFont="1" applyFill="1" applyBorder="1" applyAlignment="1" applyProtection="1">
      <protection locked="0"/>
    </xf>
    <xf numFmtId="41" fontId="3" fillId="0" borderId="7" xfId="0" applyNumberFormat="1" applyFont="1" applyFill="1" applyBorder="1" applyAlignment="1"/>
    <xf numFmtId="9" fontId="3" fillId="0" borderId="0" xfId="0" applyNumberFormat="1" applyFont="1" applyFill="1" applyBorder="1" applyAlignment="1"/>
    <xf numFmtId="167" fontId="3" fillId="0" borderId="2" xfId="0" applyNumberFormat="1" applyFont="1" applyFill="1" applyBorder="1" applyAlignment="1"/>
    <xf numFmtId="0" fontId="0" fillId="0" borderId="0" xfId="0" applyNumberFormat="1" applyFont="1" applyAlignment="1"/>
    <xf numFmtId="172" fontId="4" fillId="0" borderId="0" xfId="0" applyNumberFormat="1" applyFont="1" applyFill="1" applyAlignment="1" applyProtection="1">
      <protection locked="0"/>
    </xf>
    <xf numFmtId="178" fontId="3" fillId="0" borderId="0" xfId="0" applyNumberFormat="1" applyFont="1" applyFill="1" applyAlignment="1" applyProtection="1">
      <protection locked="0"/>
    </xf>
    <xf numFmtId="0" fontId="17" fillId="0" borderId="0" xfId="0" applyNumberFormat="1" applyFont="1" applyFill="1" applyAlignment="1">
      <alignment horizontal="centerContinuous"/>
    </xf>
    <xf numFmtId="0" fontId="17" fillId="0" borderId="0" xfId="0" applyNumberFormat="1" applyFont="1" applyFill="1" applyAlignment="1">
      <alignment horizontal="center"/>
    </xf>
    <xf numFmtId="0" fontId="20" fillId="0" borderId="0" xfId="0" applyNumberFormat="1" applyFont="1" applyFill="1" applyAlignment="1">
      <alignment horizontal="center"/>
    </xf>
    <xf numFmtId="6" fontId="7" fillId="0" borderId="0" xfId="0" applyNumberFormat="1" applyFont="1" applyFill="1" applyAlignment="1">
      <alignment horizontal="right" wrapText="1"/>
    </xf>
    <xf numFmtId="10" fontId="7" fillId="0" borderId="0" xfId="0" applyNumberFormat="1" applyFont="1" applyFill="1" applyAlignment="1">
      <alignment horizontal="right"/>
    </xf>
    <xf numFmtId="10" fontId="7" fillId="0" borderId="0" xfId="0" applyNumberFormat="1" applyFont="1" applyFill="1" applyAlignment="1" applyProtection="1"/>
    <xf numFmtId="10" fontId="17" fillId="0" borderId="0" xfId="0" applyNumberFormat="1" applyFont="1" applyFill="1" applyAlignment="1" applyProtection="1"/>
    <xf numFmtId="10" fontId="21" fillId="0" borderId="0" xfId="0" applyNumberFormat="1" applyFont="1" applyFill="1" applyAlignment="1">
      <alignment horizontal="right"/>
    </xf>
    <xf numFmtId="10" fontId="20" fillId="0" borderId="0" xfId="0" applyNumberFormat="1" applyFont="1" applyFill="1" applyAlignment="1" applyProtection="1"/>
    <xf numFmtId="165" fontId="7" fillId="0" borderId="0" xfId="0" applyNumberFormat="1" applyFont="1" applyFill="1" applyBorder="1" applyAlignment="1" applyProtection="1"/>
    <xf numFmtId="6" fontId="20" fillId="0" borderId="0" xfId="0" applyNumberFormat="1" applyFont="1" applyFill="1" applyAlignment="1">
      <alignment horizontal="right"/>
    </xf>
    <xf numFmtId="10" fontId="20" fillId="0" borderId="0" xfId="0" applyNumberFormat="1" applyFont="1" applyFill="1" applyAlignment="1">
      <alignment horizontal="right"/>
    </xf>
    <xf numFmtId="0" fontId="20" fillId="0" borderId="0" xfId="0" applyNumberFormat="1" applyFont="1" applyFill="1" applyAlignment="1"/>
    <xf numFmtId="10" fontId="22" fillId="0" borderId="0" xfId="0" applyNumberFormat="1" applyFont="1" applyFill="1" applyBorder="1" applyAlignment="1" applyProtection="1"/>
    <xf numFmtId="10" fontId="7" fillId="0" borderId="0" xfId="0" applyNumberFormat="1" applyFont="1" applyFill="1" applyBorder="1" applyAlignment="1"/>
    <xf numFmtId="165" fontId="4" fillId="0" borderId="2" xfId="0" applyNumberFormat="1" applyFont="1" applyFill="1" applyBorder="1" applyAlignment="1"/>
    <xf numFmtId="42" fontId="7" fillId="0" borderId="0" xfId="0" applyNumberFormat="1" applyFont="1" applyAlignment="1"/>
    <xf numFmtId="170" fontId="3" fillId="0" borderId="0" xfId="0" applyFont="1" applyFill="1" applyAlignment="1">
      <alignment horizontal="left" indent="2"/>
    </xf>
    <xf numFmtId="170" fontId="3" fillId="0" borderId="2" xfId="0" applyFont="1" applyFill="1" applyBorder="1" applyAlignment="1">
      <alignment horizontal="left" indent="2"/>
    </xf>
    <xf numFmtId="0" fontId="3" fillId="0" borderId="0" xfId="3" applyNumberFormat="1" applyFont="1" applyFill="1" applyAlignment="1"/>
    <xf numFmtId="0" fontId="3" fillId="0" borderId="0" xfId="3" applyNumberFormat="1" applyFont="1" applyFill="1" applyAlignment="1">
      <alignment horizontal="left"/>
    </xf>
    <xf numFmtId="170" fontId="3" fillId="0" borderId="0" xfId="3" applyNumberFormat="1" applyFont="1" applyFill="1" applyAlignment="1"/>
    <xf numFmtId="170" fontId="3" fillId="0" borderId="8" xfId="3" applyNumberFormat="1" applyFont="1" applyFill="1" applyBorder="1" applyAlignment="1" applyProtection="1">
      <protection locked="0"/>
    </xf>
    <xf numFmtId="9" fontId="3" fillId="0" borderId="0" xfId="2" applyFont="1" applyFill="1" applyAlignment="1" applyProtection="1">
      <protection locked="0"/>
    </xf>
    <xf numFmtId="10" fontId="3" fillId="0" borderId="2" xfId="0" applyNumberFormat="1" applyFont="1" applyFill="1" applyBorder="1" applyAlignment="1">
      <alignment horizontal="right"/>
    </xf>
    <xf numFmtId="187" fontId="3" fillId="0" borderId="0" xfId="0" applyNumberFormat="1" applyFont="1" applyFill="1" applyBorder="1" applyAlignment="1"/>
    <xf numFmtId="177" fontId="3" fillId="0" borderId="2" xfId="0" applyNumberFormat="1" applyFont="1" applyFill="1" applyBorder="1" applyAlignment="1"/>
    <xf numFmtId="0" fontId="24" fillId="0" borderId="0" xfId="0" applyNumberFormat="1" applyFont="1" applyFill="1" applyAlignment="1">
      <alignment horizontal="center"/>
    </xf>
    <xf numFmtId="170" fontId="3" fillId="0" borderId="7" xfId="0" applyFont="1" applyFill="1" applyBorder="1" applyAlignment="1"/>
    <xf numFmtId="0" fontId="3" fillId="0" borderId="7" xfId="0" applyNumberFormat="1" applyFont="1" applyFill="1" applyBorder="1" applyAlignment="1"/>
    <xf numFmtId="178" fontId="3" fillId="0" borderId="7" xfId="0" applyNumberFormat="1" applyFont="1" applyFill="1" applyBorder="1" applyAlignment="1"/>
    <xf numFmtId="37" fontId="3" fillId="0" borderId="7" xfId="0" applyNumberFormat="1" applyFont="1" applyFill="1" applyBorder="1" applyAlignment="1"/>
    <xf numFmtId="170" fontId="5" fillId="0" borderId="0" xfId="0" applyNumberFormat="1" applyFont="1" applyFill="1" applyBorder="1" applyAlignment="1" applyProtection="1">
      <alignment horizontal="left"/>
      <protection locked="0"/>
    </xf>
    <xf numFmtId="170" fontId="3" fillId="0" borderId="0" xfId="0" applyNumberFormat="1" applyFont="1" applyFill="1" applyAlignment="1">
      <alignment horizontal="left" wrapText="1"/>
    </xf>
    <xf numFmtId="170" fontId="0" fillId="0" borderId="2" xfId="0" applyFill="1" applyBorder="1" applyAlignment="1"/>
    <xf numFmtId="178" fontId="4" fillId="0" borderId="9" xfId="0" applyNumberFormat="1" applyFont="1" applyFill="1" applyBorder="1" applyAlignment="1"/>
    <xf numFmtId="170" fontId="5" fillId="0" borderId="0" xfId="0" applyNumberFormat="1" applyFont="1" applyFill="1" applyBorder="1" applyAlignment="1">
      <alignment horizontal="left"/>
    </xf>
    <xf numFmtId="170" fontId="3" fillId="0" borderId="0" xfId="0" applyNumberFormat="1" applyFont="1" applyFill="1" applyBorder="1" applyAlignment="1">
      <alignment horizontal="left" wrapText="1"/>
    </xf>
    <xf numFmtId="170" fontId="3" fillId="0" borderId="0" xfId="0" quotePrefix="1" applyNumberFormat="1" applyFont="1" applyFill="1" applyAlignment="1">
      <alignment horizontal="left"/>
    </xf>
    <xf numFmtId="170" fontId="3" fillId="0" borderId="0" xfId="0" quotePrefix="1" applyNumberFormat="1" applyFont="1" applyFill="1" applyBorder="1" applyAlignment="1">
      <alignment horizontal="left"/>
    </xf>
    <xf numFmtId="182" fontId="3" fillId="0" borderId="0" xfId="0" applyNumberFormat="1" applyFont="1" applyFill="1" applyBorder="1" applyAlignment="1">
      <alignment horizontal="right" wrapText="1"/>
    </xf>
    <xf numFmtId="178" fontId="3" fillId="0" borderId="7" xfId="0" applyNumberFormat="1" applyFont="1" applyFill="1" applyBorder="1" applyAlignment="1">
      <alignment horizontal="right" wrapText="1"/>
    </xf>
    <xf numFmtId="170" fontId="0" fillId="0" borderId="0" xfId="0" applyFill="1" applyBorder="1" applyAlignment="1"/>
    <xf numFmtId="178" fontId="3" fillId="0" borderId="9" xfId="0" applyNumberFormat="1" applyFont="1" applyFill="1" applyBorder="1" applyAlignment="1">
      <alignment horizontal="right" wrapText="1"/>
    </xf>
    <xf numFmtId="4" fontId="0" fillId="0" borderId="0" xfId="0" applyNumberFormat="1" applyFill="1" applyAlignment="1"/>
    <xf numFmtId="178" fontId="3" fillId="0" borderId="1" xfId="0" applyNumberFormat="1" applyFont="1" applyFill="1" applyBorder="1" applyAlignment="1"/>
    <xf numFmtId="41" fontId="31" fillId="0" borderId="0" xfId="0" applyNumberFormat="1" applyFont="1" applyFill="1" applyAlignment="1"/>
    <xf numFmtId="168" fontId="3" fillId="0" borderId="0" xfId="0" applyNumberFormat="1" applyFont="1" applyFill="1" applyBorder="1" applyAlignment="1">
      <alignment horizontal="center"/>
    </xf>
    <xf numFmtId="177" fontId="3" fillId="0" borderId="0" xfId="1" applyNumberFormat="1" applyFont="1" applyFill="1" applyAlignment="1"/>
    <xf numFmtId="170" fontId="7" fillId="0" borderId="2" xfId="0" applyFont="1" applyFill="1" applyBorder="1">
      <alignment horizontal="left" wrapText="1"/>
    </xf>
    <xf numFmtId="170" fontId="9" fillId="0" borderId="0" xfId="0" applyFont="1" applyAlignment="1"/>
    <xf numFmtId="0" fontId="9" fillId="0" borderId="0" xfId="0" applyNumberFormat="1" applyFont="1" applyAlignment="1"/>
    <xf numFmtId="178" fontId="3" fillId="0" borderId="0" xfId="6" applyNumberFormat="1" applyFont="1" applyFill="1" applyBorder="1" applyProtection="1">
      <protection locked="0"/>
    </xf>
    <xf numFmtId="0" fontId="0" fillId="0" borderId="0" xfId="0" applyNumberFormat="1" applyBorder="1" applyAlignment="1"/>
    <xf numFmtId="10" fontId="3" fillId="0" borderId="0" xfId="2" applyNumberFormat="1" applyFont="1" applyFill="1" applyAlignment="1"/>
    <xf numFmtId="41" fontId="0" fillId="0" borderId="0" xfId="0" applyNumberFormat="1" applyFill="1" applyAlignment="1"/>
    <xf numFmtId="10" fontId="0" fillId="0" borderId="0" xfId="2" applyNumberFormat="1" applyFont="1" applyFill="1" applyAlignment="1"/>
    <xf numFmtId="44" fontId="0" fillId="0" borderId="0" xfId="0" applyNumberFormat="1" applyFill="1" applyAlignment="1"/>
    <xf numFmtId="177" fontId="3" fillId="0" borderId="0" xfId="1" applyNumberFormat="1" applyFont="1" applyFill="1" applyAlignment="1">
      <alignment horizontal="right"/>
    </xf>
    <xf numFmtId="177" fontId="3" fillId="0" borderId="0" xfId="1" quotePrefix="1" applyNumberFormat="1" applyFont="1" applyFill="1" applyBorder="1" applyAlignment="1">
      <alignment horizontal="left"/>
    </xf>
    <xf numFmtId="0" fontId="11" fillId="0" borderId="0" xfId="0" applyNumberFormat="1" applyFont="1" applyAlignment="1"/>
    <xf numFmtId="42" fontId="3" fillId="0" borderId="0" xfId="0" applyNumberFormat="1" applyFont="1" applyFill="1" applyAlignment="1">
      <alignment horizontal="left"/>
    </xf>
    <xf numFmtId="170" fontId="6" fillId="0" borderId="0" xfId="0" applyFont="1" applyFill="1" applyAlignment="1"/>
    <xf numFmtId="0" fontId="6" fillId="0" borderId="0" xfId="0" applyNumberFormat="1" applyFont="1" applyFill="1" applyAlignment="1">
      <alignment horizontal="left"/>
    </xf>
    <xf numFmtId="0" fontId="3" fillId="0" borderId="0" xfId="0" applyNumberFormat="1" applyFont="1" applyFill="1" applyBorder="1" applyAlignment="1">
      <alignment horizontal="left" indent="2"/>
    </xf>
    <xf numFmtId="178" fontId="3" fillId="0" borderId="2" xfId="0" applyNumberFormat="1" applyFont="1" applyFill="1" applyBorder="1" applyAlignment="1"/>
    <xf numFmtId="170" fontId="6" fillId="0" borderId="0" xfId="0" applyNumberFormat="1" applyFont="1" applyFill="1" applyAlignment="1">
      <alignment horizontal="left"/>
    </xf>
    <xf numFmtId="172" fontId="6" fillId="0" borderId="0" xfId="0" applyNumberFormat="1" applyFont="1" applyFill="1" applyBorder="1" applyAlignment="1" applyProtection="1">
      <protection locked="0"/>
    </xf>
    <xf numFmtId="170" fontId="3" fillId="0" borderId="0" xfId="7" applyFont="1" applyFill="1" applyBorder="1" applyAlignment="1">
      <alignment horizontal="left"/>
    </xf>
    <xf numFmtId="41" fontId="3" fillId="4" borderId="0" xfId="0" applyNumberFormat="1" applyFont="1" applyFill="1" applyAlignment="1"/>
    <xf numFmtId="170" fontId="3" fillId="0" borderId="0" xfId="7" applyFont="1" applyFill="1" applyBorder="1">
      <alignment horizontal="left" wrapText="1"/>
    </xf>
    <xf numFmtId="170" fontId="3" fillId="0" borderId="0" xfId="7" applyFont="1" applyFill="1" applyBorder="1" applyAlignment="1"/>
    <xf numFmtId="9" fontId="3" fillId="0" borderId="0" xfId="2" applyFont="1" applyFill="1" applyBorder="1" applyAlignment="1"/>
    <xf numFmtId="178" fontId="4" fillId="0" borderId="1" xfId="6" applyNumberFormat="1" applyFont="1" applyFill="1" applyBorder="1"/>
    <xf numFmtId="178" fontId="3" fillId="0" borderId="0" xfId="0" applyNumberFormat="1" applyFont="1" applyFill="1" applyAlignment="1">
      <alignment horizontal="right" wrapText="1"/>
    </xf>
    <xf numFmtId="0" fontId="33" fillId="0" borderId="0" xfId="0" applyNumberFormat="1" applyFont="1" applyFill="1" applyBorder="1" applyAlignment="1">
      <alignment horizontal="left"/>
    </xf>
    <xf numFmtId="41" fontId="8" fillId="0" borderId="0" xfId="0" applyNumberFormat="1" applyFont="1" applyFill="1" applyBorder="1" applyAlignment="1" applyProtection="1">
      <protection locked="0"/>
    </xf>
    <xf numFmtId="42" fontId="8" fillId="0" borderId="0" xfId="0" applyNumberFormat="1" applyFont="1" applyFill="1" applyBorder="1" applyAlignment="1" applyProtection="1">
      <protection locked="0"/>
    </xf>
    <xf numFmtId="42" fontId="8" fillId="0" borderId="0" xfId="0" applyNumberFormat="1" applyFont="1" applyFill="1" applyBorder="1" applyAlignment="1" applyProtection="1"/>
    <xf numFmtId="41" fontId="8" fillId="0" borderId="0" xfId="0" applyNumberFormat="1" applyFont="1" applyFill="1" applyBorder="1" applyAlignment="1" applyProtection="1">
      <alignment horizontal="left"/>
      <protection locked="0"/>
    </xf>
    <xf numFmtId="41" fontId="3" fillId="0" borderId="0" xfId="0" applyNumberFormat="1" applyFont="1" applyFill="1" applyBorder="1" applyAlignment="1" applyProtection="1">
      <alignment horizontal="left"/>
      <protection locked="0"/>
    </xf>
    <xf numFmtId="177" fontId="0" fillId="0" borderId="1" xfId="0" applyNumberFormat="1" applyBorder="1" applyAlignment="1"/>
    <xf numFmtId="170" fontId="30" fillId="0" borderId="0" xfId="0" applyFont="1" applyAlignment="1"/>
    <xf numFmtId="0" fontId="33" fillId="0" borderId="0" xfId="0" applyNumberFormat="1" applyFont="1" applyFill="1" applyAlignment="1">
      <alignment horizontal="left"/>
    </xf>
    <xf numFmtId="177" fontId="3" fillId="0" borderId="0" xfId="1" applyNumberFormat="1" applyFont="1" applyFill="1" applyAlignment="1" applyProtection="1">
      <protection locked="0"/>
    </xf>
    <xf numFmtId="42" fontId="3" fillId="0" borderId="2" xfId="0" applyNumberFormat="1" applyFont="1" applyFill="1" applyBorder="1" applyAlignment="1" applyProtection="1">
      <alignment horizontal="right"/>
      <protection locked="0"/>
    </xf>
    <xf numFmtId="170" fontId="11" fillId="0" borderId="0" xfId="0" applyFont="1" applyAlignment="1"/>
    <xf numFmtId="177" fontId="11" fillId="0" borderId="0" xfId="0" applyNumberFormat="1" applyFont="1" applyAlignment="1"/>
    <xf numFmtId="178" fontId="11" fillId="0" borderId="7" xfId="0" applyNumberFormat="1" applyFont="1" applyBorder="1" applyAlignment="1"/>
    <xf numFmtId="178" fontId="11" fillId="0" borderId="0" xfId="0" applyNumberFormat="1" applyFont="1" applyAlignment="1"/>
    <xf numFmtId="178" fontId="47" fillId="0" borderId="0" xfId="0" applyNumberFormat="1" applyFont="1" applyAlignment="1"/>
    <xf numFmtId="170" fontId="3" fillId="0" borderId="0" xfId="0" applyFont="1" applyAlignment="1"/>
    <xf numFmtId="177" fontId="3" fillId="0" borderId="1" xfId="0" applyNumberFormat="1" applyFont="1" applyBorder="1" applyAlignment="1"/>
    <xf numFmtId="178" fontId="3" fillId="0" borderId="0" xfId="0" applyNumberFormat="1" applyFont="1" applyAlignment="1"/>
    <xf numFmtId="41" fontId="3" fillId="0" borderId="0" xfId="47" applyFont="1" applyFill="1"/>
    <xf numFmtId="41" fontId="3" fillId="0" borderId="2" xfId="47" applyFont="1" applyFill="1" applyBorder="1"/>
    <xf numFmtId="0" fontId="50" fillId="0" borderId="0" xfId="0" applyNumberFormat="1" applyFont="1" applyAlignment="1">
      <alignment horizontal="left"/>
    </xf>
    <xf numFmtId="0" fontId="51" fillId="0" borderId="0" xfId="0" applyNumberFormat="1" applyFont="1" applyAlignment="1">
      <alignment horizontal="centerContinuous"/>
    </xf>
    <xf numFmtId="0" fontId="50" fillId="0" borderId="0" xfId="0" applyNumberFormat="1" applyFont="1" applyAlignment="1">
      <alignment horizontal="centerContinuous"/>
    </xf>
    <xf numFmtId="0" fontId="51" fillId="0" borderId="0" xfId="0" applyNumberFormat="1" applyFont="1" applyAlignment="1"/>
    <xf numFmtId="0" fontId="51" fillId="0" borderId="0" xfId="0" applyNumberFormat="1" applyFont="1" applyAlignment="1">
      <alignment horizontal="centerContinuous" vertical="center"/>
    </xf>
    <xf numFmtId="0" fontId="52" fillId="0" borderId="0" xfId="0" applyNumberFormat="1" applyFont="1" applyAlignment="1"/>
    <xf numFmtId="0" fontId="50" fillId="0" borderId="13" xfId="0" applyNumberFormat="1" applyFont="1" applyBorder="1" applyAlignment="1">
      <alignment horizontal="center" vertical="center" wrapText="1"/>
    </xf>
    <xf numFmtId="0" fontId="50" fillId="0" borderId="13" xfId="0" applyNumberFormat="1" applyFont="1" applyBorder="1" applyAlignment="1">
      <alignment horizontal="center" vertical="center"/>
    </xf>
    <xf numFmtId="0" fontId="50" fillId="0" borderId="13" xfId="0" applyNumberFormat="1" applyFont="1" applyBorder="1" applyAlignment="1">
      <alignment horizontal="centerContinuous" vertical="center"/>
    </xf>
    <xf numFmtId="0" fontId="50" fillId="0" borderId="11" xfId="0" applyNumberFormat="1" applyFont="1" applyBorder="1" applyAlignment="1">
      <alignment horizontal="center" vertical="center" wrapText="1"/>
    </xf>
    <xf numFmtId="0" fontId="51" fillId="0" borderId="13" xfId="0" applyNumberFormat="1" applyFont="1" applyBorder="1" applyAlignment="1">
      <alignment horizontal="center"/>
    </xf>
    <xf numFmtId="0" fontId="51" fillId="0" borderId="13" xfId="0" applyNumberFormat="1" applyFont="1" applyBorder="1" applyAlignment="1">
      <alignment horizontal="left"/>
    </xf>
    <xf numFmtId="0" fontId="53" fillId="0" borderId="13" xfId="0" applyNumberFormat="1" applyFont="1" applyBorder="1" applyAlignment="1"/>
    <xf numFmtId="0" fontId="51" fillId="0" borderId="10" xfId="0" applyNumberFormat="1" applyFont="1" applyBorder="1" applyAlignment="1"/>
    <xf numFmtId="0" fontId="51" fillId="0" borderId="10" xfId="0" applyNumberFormat="1" applyFont="1" applyBorder="1" applyAlignment="1">
      <alignment horizontal="center"/>
    </xf>
    <xf numFmtId="0" fontId="51" fillId="0" borderId="10" xfId="0" applyNumberFormat="1" applyFont="1" applyBorder="1" applyAlignment="1">
      <alignment horizontal="left"/>
    </xf>
    <xf numFmtId="0" fontId="53" fillId="0" borderId="10" xfId="0" applyNumberFormat="1" applyFont="1" applyBorder="1" applyAlignment="1"/>
    <xf numFmtId="42" fontId="51" fillId="0" borderId="10" xfId="0" applyNumberFormat="1" applyFont="1" applyBorder="1" applyAlignment="1"/>
    <xf numFmtId="10" fontId="53" fillId="3" borderId="10" xfId="0" applyNumberFormat="1" applyFont="1" applyFill="1" applyBorder="1" applyAlignment="1"/>
    <xf numFmtId="42" fontId="51" fillId="0" borderId="13" xfId="0" applyNumberFormat="1" applyFont="1" applyBorder="1" applyAlignment="1"/>
    <xf numFmtId="170" fontId="53" fillId="3" borderId="10" xfId="0" applyNumberFormat="1" applyFont="1" applyFill="1" applyBorder="1" applyAlignment="1"/>
    <xf numFmtId="0" fontId="51" fillId="2" borderId="8" xfId="0" applyNumberFormat="1" applyFont="1" applyFill="1" applyBorder="1" applyAlignment="1">
      <alignment horizontal="center"/>
    </xf>
    <xf numFmtId="0" fontId="51" fillId="2" borderId="8" xfId="0" applyNumberFormat="1" applyFont="1" applyFill="1" applyBorder="1" applyAlignment="1">
      <alignment horizontal="left"/>
    </xf>
    <xf numFmtId="0" fontId="53" fillId="2" borderId="8" xfId="0" applyNumberFormat="1" applyFont="1" applyFill="1" applyBorder="1" applyAlignment="1"/>
    <xf numFmtId="42" fontId="51" fillId="2" borderId="8" xfId="0" applyNumberFormat="1" applyFont="1" applyFill="1" applyBorder="1" applyAlignment="1"/>
    <xf numFmtId="0" fontId="51" fillId="0" borderId="15" xfId="0" applyNumberFormat="1" applyFont="1" applyBorder="1" applyAlignment="1"/>
    <xf numFmtId="0" fontId="51" fillId="0" borderId="0" xfId="0" applyNumberFormat="1" applyFont="1" applyBorder="1" applyAlignment="1"/>
    <xf numFmtId="0" fontId="51" fillId="0" borderId="18" xfId="0" applyNumberFormat="1" applyFont="1" applyBorder="1" applyAlignment="1"/>
    <xf numFmtId="0" fontId="51" fillId="0" borderId="16" xfId="0" applyNumberFormat="1" applyFont="1" applyBorder="1" applyAlignment="1"/>
    <xf numFmtId="0" fontId="54" fillId="0" borderId="2" xfId="0" applyNumberFormat="1" applyFont="1" applyBorder="1" applyAlignment="1"/>
    <xf numFmtId="10" fontId="54" fillId="0" borderId="19" xfId="0" applyNumberFormat="1" applyFont="1" applyBorder="1" applyAlignment="1"/>
    <xf numFmtId="170" fontId="33" fillId="0" borderId="7" xfId="0" applyFont="1" applyFill="1" applyBorder="1" applyAlignment="1"/>
    <xf numFmtId="10" fontId="33" fillId="0" borderId="0" xfId="0" applyNumberFormat="1" applyFont="1" applyFill="1" applyBorder="1" applyAlignment="1"/>
    <xf numFmtId="10" fontId="33" fillId="0" borderId="18" xfId="0" applyNumberFormat="1" applyFont="1" applyFill="1" applyBorder="1" applyAlignment="1"/>
    <xf numFmtId="9" fontId="33" fillId="0" borderId="7" xfId="0" applyNumberFormat="1" applyFont="1" applyFill="1" applyBorder="1" applyAlignment="1"/>
    <xf numFmtId="165" fontId="55" fillId="0" borderId="17" xfId="0" applyNumberFormat="1" applyFont="1" applyFill="1" applyBorder="1" applyAlignment="1"/>
    <xf numFmtId="170" fontId="33" fillId="0" borderId="0" xfId="0" applyFont="1" applyFill="1" applyBorder="1" applyAlignment="1"/>
    <xf numFmtId="170" fontId="33" fillId="0" borderId="18" xfId="0" applyFont="1" applyFill="1" applyBorder="1" applyAlignment="1"/>
    <xf numFmtId="9" fontId="33" fillId="0" borderId="9" xfId="0" applyNumberFormat="1" applyFont="1" applyFill="1" applyBorder="1" applyAlignment="1"/>
    <xf numFmtId="170" fontId="33" fillId="0" borderId="9" xfId="0" applyFont="1" applyFill="1" applyBorder="1" applyAlignment="1"/>
    <xf numFmtId="10" fontId="33" fillId="0" borderId="12" xfId="0" applyNumberFormat="1" applyFont="1" applyFill="1" applyBorder="1" applyAlignment="1"/>
    <xf numFmtId="1" fontId="55" fillId="0" borderId="14" xfId="0" applyNumberFormat="1" applyFont="1" applyFill="1" applyBorder="1" applyAlignment="1">
      <alignment horizontal="left"/>
    </xf>
    <xf numFmtId="170" fontId="33" fillId="0" borderId="17" xfId="0" applyFont="1" applyFill="1" applyBorder="1" applyAlignment="1"/>
    <xf numFmtId="0" fontId="33" fillId="0" borderId="15" xfId="0" applyNumberFormat="1" applyFont="1" applyFill="1" applyBorder="1" applyAlignment="1"/>
    <xf numFmtId="0" fontId="33" fillId="0" borderId="16" xfId="0" applyNumberFormat="1" applyFont="1" applyFill="1" applyBorder="1" applyAlignment="1"/>
    <xf numFmtId="0" fontId="33" fillId="0" borderId="20" xfId="0" applyNumberFormat="1" applyFont="1" applyFill="1" applyBorder="1" applyAlignment="1">
      <alignment horizontal="left"/>
    </xf>
    <xf numFmtId="0" fontId="33" fillId="0" borderId="21" xfId="0" applyNumberFormat="1" applyFont="1" applyFill="1" applyBorder="1" applyAlignment="1"/>
    <xf numFmtId="170" fontId="33" fillId="0" borderId="30" xfId="0" applyNumberFormat="1" applyFont="1" applyFill="1" applyBorder="1" applyAlignment="1"/>
    <xf numFmtId="0" fontId="33" fillId="0" borderId="22" xfId="0" applyNumberFormat="1" applyFont="1" applyFill="1" applyBorder="1" applyAlignment="1">
      <alignment horizontal="left"/>
    </xf>
    <xf numFmtId="0" fontId="33" fillId="0" borderId="0" xfId="0" applyNumberFormat="1" applyFont="1" applyFill="1" applyBorder="1" applyAlignment="1"/>
    <xf numFmtId="170" fontId="33" fillId="0" borderId="31" xfId="0" applyNumberFormat="1" applyFont="1" applyFill="1" applyBorder="1" applyAlignment="1"/>
    <xf numFmtId="165" fontId="33" fillId="0" borderId="0" xfId="0" applyNumberFormat="1" applyFont="1" applyFill="1" applyBorder="1" applyAlignment="1"/>
    <xf numFmtId="170" fontId="33" fillId="0" borderId="32" xfId="0" applyNumberFormat="1" applyFont="1" applyFill="1" applyBorder="1" applyAlignment="1"/>
    <xf numFmtId="0" fontId="33" fillId="0" borderId="22" xfId="0" applyNumberFormat="1" applyFont="1" applyFill="1" applyBorder="1" applyAlignment="1"/>
    <xf numFmtId="9" fontId="33" fillId="0" borderId="0" xfId="0" applyNumberFormat="1" applyFont="1" applyFill="1" applyBorder="1" applyAlignment="1"/>
    <xf numFmtId="0" fontId="33" fillId="0" borderId="33" xfId="0" applyNumberFormat="1" applyFont="1" applyFill="1" applyBorder="1" applyAlignment="1">
      <alignment horizontal="left"/>
    </xf>
    <xf numFmtId="0" fontId="33" fillId="0" borderId="23" xfId="0" applyNumberFormat="1" applyFont="1" applyFill="1" applyBorder="1" applyAlignment="1"/>
    <xf numFmtId="170" fontId="33" fillId="0" borderId="34" xfId="0" applyNumberFormat="1" applyFont="1" applyFill="1" applyBorder="1" applyAlignment="1" applyProtection="1">
      <protection locked="0"/>
    </xf>
    <xf numFmtId="10" fontId="51" fillId="0" borderId="0" xfId="2" applyNumberFormat="1" applyFont="1" applyAlignment="1"/>
    <xf numFmtId="10" fontId="51" fillId="0" borderId="0" xfId="0" applyNumberFormat="1" applyFont="1" applyAlignment="1"/>
    <xf numFmtId="173" fontId="3" fillId="0" borderId="0" xfId="0" quotePrefix="1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/>
    <xf numFmtId="172" fontId="11" fillId="0" borderId="0" xfId="0" applyNumberFormat="1" applyFont="1" applyFill="1" applyBorder="1" applyAlignment="1"/>
    <xf numFmtId="10" fontId="11" fillId="0" borderId="0" xfId="0" applyNumberFormat="1" applyFont="1" applyFill="1" applyBorder="1" applyAlignment="1"/>
    <xf numFmtId="177" fontId="11" fillId="0" borderId="0" xfId="1" applyNumberFormat="1" applyFont="1" applyFill="1" applyBorder="1" applyAlignment="1"/>
    <xf numFmtId="9" fontId="11" fillId="0" borderId="0" xfId="0" applyNumberFormat="1" applyFont="1" applyFill="1" applyBorder="1" applyAlignment="1"/>
    <xf numFmtId="42" fontId="32" fillId="0" borderId="0" xfId="0" applyNumberFormat="1" applyFont="1" applyFill="1" applyBorder="1" applyAlignment="1"/>
  </cellXfs>
  <cellStyles count="48">
    <cellStyle name="Comma" xfId="1" builtinId="3"/>
    <cellStyle name="Comma [0]" xfId="47" builtinId="6"/>
    <cellStyle name="Currency" xfId="6" builtinId="4"/>
    <cellStyle name="Normal" xfId="0" builtinId="0"/>
    <cellStyle name="Normal 3" xfId="5"/>
    <cellStyle name="Normal 4 2 2" xfId="4"/>
    <cellStyle name="Normal 8" xfId="3"/>
    <cellStyle name="Percent" xfId="2" builtinId="5"/>
    <cellStyle name="SAPBorder" xfId="27"/>
    <cellStyle name="SAPDataCell" xfId="9"/>
    <cellStyle name="SAPDataRemoved" xfId="28"/>
    <cellStyle name="SAPDataTotalCell" xfId="10"/>
    <cellStyle name="SAPDimensionCell" xfId="8"/>
    <cellStyle name="SAPEditableDataCell" xfId="12"/>
    <cellStyle name="SAPEditableDataTotalCell" xfId="15"/>
    <cellStyle name="SAPEmphasized" xfId="38"/>
    <cellStyle name="SAPEmphasizedEditableDataCell" xfId="40"/>
    <cellStyle name="SAPEmphasizedEditableDataTotalCell" xfId="41"/>
    <cellStyle name="SAPEmphasizedLockedDataCell" xfId="44"/>
    <cellStyle name="SAPEmphasizedLockedDataTotalCell" xfId="45"/>
    <cellStyle name="SAPEmphasizedReadonlyDataCell" xfId="42"/>
    <cellStyle name="SAPEmphasizedReadonlyDataTotalCell" xfId="43"/>
    <cellStyle name="SAPEmphasizedTotal" xfId="39"/>
    <cellStyle name="SAPError" xfId="29"/>
    <cellStyle name="SAPExceptionLevel1" xfId="18"/>
    <cellStyle name="SAPExceptionLevel2" xfId="19"/>
    <cellStyle name="SAPExceptionLevel3" xfId="20"/>
    <cellStyle name="SAPExceptionLevel4" xfId="21"/>
    <cellStyle name="SAPExceptionLevel5" xfId="22"/>
    <cellStyle name="SAPExceptionLevel6" xfId="23"/>
    <cellStyle name="SAPExceptionLevel7" xfId="24"/>
    <cellStyle name="SAPExceptionLevel8" xfId="25"/>
    <cellStyle name="SAPExceptionLevel9" xfId="26"/>
    <cellStyle name="SAPFormula" xfId="46"/>
    <cellStyle name="SAPGroupingFillCell" xfId="11"/>
    <cellStyle name="SAPHierarchyCell0" xfId="33"/>
    <cellStyle name="SAPHierarchyCell1" xfId="34"/>
    <cellStyle name="SAPHierarchyCell2" xfId="35"/>
    <cellStyle name="SAPHierarchyCell3" xfId="36"/>
    <cellStyle name="SAPHierarchyCell4" xfId="37"/>
    <cellStyle name="SAPLockedDataCell" xfId="14"/>
    <cellStyle name="SAPLockedDataTotalCell" xfId="17"/>
    <cellStyle name="SAPMemberCell" xfId="31"/>
    <cellStyle name="SAPMemberTotalCell" xfId="32"/>
    <cellStyle name="SAPMessageText" xfId="30"/>
    <cellStyle name="SAPReadonlyDataCell" xfId="13"/>
    <cellStyle name="SAPReadonlyDataTotalCell" xfId="16"/>
    <cellStyle name="Style 1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FF"/>
      <color rgb="FFCCFF33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theme" Target="theme/theme1.xml"/><Relationship Id="rId43" Type="http://schemas.openxmlformats.org/officeDocument/2006/relationships/customXml" Target="../customXml/item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3.10E%20&amp;%203.10G%20D&amp;O%20Insurance%20Dec%202024%20CB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3.11E%20&amp;%203.11G%20Interest%20on%20Customer%20Deposits%20Dec%202024%20CB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3.12E%20&amp;%203.12G%20Pension%20Plan%20Dec%202024%20CB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3.13E%20&amp;%203.13G%20Inj%20&amp;%20Damages%20Dec%202024%20CB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4.01E%20&amp;%204.01G%20Conversion%20Factor%20Dec%202024%20CB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3.08E%20&amp;%203.08G%20Incentive%20Pay%20Dec%202024%20CBR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3.09E%20&amp;%203.09G%20Excise%20Tax%20&amp;%20Filing%20Fee%20Dec%202024%20CB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3.02G%20Revenues%20and%20Expenses%20Dec%202024%20CB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3.05G%20Pass-Through%20Rev%20and%20Exp%20Dec%202024%20CB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3.06E%20&amp;%203.06G%20Rate%20Case%20Expenses%20Dec%202024%20CB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3.19E%20&amp;%203.19G%20Remove%20AMI%20Ratebase%20Dec%202024%20CBR%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4%20CB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3.01G%20Temp%20Norm%20Dec%202024%20CB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2.03%20WC-RB%20Dec%202024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.02%20E%20&amp;G%20Cost%20of%20Capital%20Dec%202024%20CB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3.03G%20Federal%20Income%20Tax%20Dec%202024%20CB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3.07G%20Bad%20Debts%20-%20Dec%202024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 Elec"/>
      <sheetName val=" Gas"/>
      <sheetName val="Main wp"/>
      <sheetName val="CE Allocation"/>
      <sheetName val="Director's Fees"/>
      <sheetName val="Support==&gt;"/>
      <sheetName val="2024Manager_and_Above"/>
      <sheetName val="Labor 12.2024"/>
      <sheetName val="9250635"/>
      <sheetName val="18600104"/>
    </sheetNames>
    <sheetDataSet>
      <sheetData sheetId="0"/>
      <sheetData sheetId="1">
        <row r="12">
          <cell r="C12">
            <v>131876.05259264354</v>
          </cell>
        </row>
      </sheetData>
      <sheetData sheetId="2">
        <row r="12">
          <cell r="C12">
            <v>93630.193290809853</v>
          </cell>
          <cell r="D12">
            <v>91135.59119924494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1E"/>
      <sheetName val="3.11G"/>
      <sheetName val="SAP Int. Cust"/>
      <sheetName val="PO Summary"/>
      <sheetName val="Support=&gt;"/>
      <sheetName val="Prior Obligation AR 1"/>
      <sheetName val="Prior Obligation AR 2"/>
      <sheetName val="Prior Obligation AR 3"/>
      <sheetName val="Prior Obligation AR 4"/>
      <sheetName val="Prior Obligation AR 5"/>
      <sheetName val="Prior Obligation AR 6"/>
      <sheetName val="Prior Obligation AR 7"/>
      <sheetName val="Prior Obligation AR 8"/>
      <sheetName val="Prior Obligation AR 9"/>
      <sheetName val="Prior Obligation AR 10"/>
      <sheetName val="Prior Obligation AR 11"/>
      <sheetName val="Prior Obligation AR 12"/>
    </sheetNames>
    <sheetDataSet>
      <sheetData sheetId="0">
        <row r="11">
          <cell r="D11">
            <v>63777.137317539011</v>
          </cell>
        </row>
      </sheetData>
      <sheetData sheetId="1">
        <row r="11">
          <cell r="D11">
            <v>12970.922682460985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SUPPORT&gt;&gt;&gt;&gt;"/>
      <sheetName val="Qualified 12.2024"/>
    </sheetNames>
    <sheetDataSet>
      <sheetData sheetId="0">
        <row r="14">
          <cell r="C14">
            <v>-1647258.6180354606</v>
          </cell>
        </row>
      </sheetData>
      <sheetData sheetId="1">
        <row r="14">
          <cell r="C14">
            <v>-561455.00228561822</v>
          </cell>
          <cell r="D14">
            <v>2069028.2997542508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24"/>
      <sheetName val="ZO12 Inj &amp; Dam 12ME 12-2023"/>
      <sheetName val="ZO12 Inj &amp; Dam 12ME 12-2022"/>
    </sheetNames>
    <sheetDataSet>
      <sheetData sheetId="0"/>
      <sheetData sheetId="1">
        <row r="13">
          <cell r="C13">
            <v>235000</v>
          </cell>
        </row>
      </sheetData>
      <sheetData sheetId="2">
        <row r="13">
          <cell r="C13">
            <v>783000</v>
          </cell>
          <cell r="D13">
            <v>247666.66666666666</v>
          </cell>
        </row>
        <row r="14">
          <cell r="C14">
            <v>161939.04878108398</v>
          </cell>
          <cell r="D14">
            <v>294262.97459116118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>
        <row r="14">
          <cell r="E14">
            <v>6.0270000000000002E-3</v>
          </cell>
        </row>
      </sheetData>
      <sheetData sheetId="1">
        <row r="13">
          <cell r="E13">
            <v>2.9520000000000002E-3</v>
          </cell>
        </row>
        <row r="14">
          <cell r="E14">
            <v>5.0000000000000001E-3</v>
          </cell>
        </row>
        <row r="15">
          <cell r="D15">
            <v>3.8519999999999999E-2</v>
          </cell>
        </row>
      </sheetData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 Gas"/>
      <sheetName val="4 Year Average Calc"/>
      <sheetName val="Incent &amp; Related PR Tax - TY"/>
      <sheetName val="Report 2024"/>
      <sheetName val="WP"/>
      <sheetName val="Manual Clearing"/>
      <sheetName val="2023 FERC Topsides"/>
      <sheetName val="PR Taxes"/>
    </sheetNames>
    <sheetDataSet>
      <sheetData sheetId="0">
        <row r="12">
          <cell r="C12">
            <v>12849505.436616018</v>
          </cell>
        </row>
      </sheetData>
      <sheetData sheetId="1">
        <row r="12">
          <cell r="C12">
            <v>4369592.8750117887</v>
          </cell>
          <cell r="D12">
            <v>3587546.2098816186</v>
          </cell>
        </row>
        <row r="14">
          <cell r="C14">
            <v>384087.21371353627</v>
          </cell>
          <cell r="D14">
            <v>315345.31184859428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Lead E"/>
      <sheetName val="Lead G"/>
      <sheetName val="Excise Tax "/>
      <sheetName val="KOB1 Jan 2024 2025"/>
      <sheetName val="Filing Fees TY"/>
      <sheetName val="E Filing Fee Restated"/>
      <sheetName val="G Filing Fee Restated"/>
    </sheetNames>
    <sheetDataSet>
      <sheetData sheetId="0"/>
      <sheetData sheetId="1">
        <row r="12">
          <cell r="C12">
            <v>117866477.056072</v>
          </cell>
        </row>
      </sheetData>
      <sheetData sheetId="2">
        <row r="12">
          <cell r="C12">
            <v>46109182.613928005</v>
          </cell>
          <cell r="D12">
            <v>47217622.333939999</v>
          </cell>
        </row>
        <row r="13">
          <cell r="C13">
            <v>7760734.9299999997</v>
          </cell>
          <cell r="D13">
            <v>5012313.2306000004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3.02G"/>
      <sheetName val="SOG 2024"/>
      <sheetName val="Earnings Sharing"/>
    </sheetNames>
    <sheetDataSet>
      <sheetData sheetId="0"/>
      <sheetData sheetId="1">
        <row r="14">
          <cell r="D14">
            <v>0</v>
          </cell>
        </row>
        <row r="20">
          <cell r="D20">
            <v>0</v>
          </cell>
        </row>
      </sheetData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Review"/>
      <sheetName val="Lead 3.05 "/>
      <sheetName val="2022GRC Gas CF"/>
      <sheetName val="SOG 2024"/>
      <sheetName val="22GRC CF"/>
      <sheetName val="Sch 141PFG"/>
      <sheetName val="Schedule 129"/>
      <sheetName val="Schedule 120"/>
      <sheetName val="Schedule 140"/>
      <sheetName val="Schedule 106"/>
      <sheetName val="SC 142 Decoup"/>
      <sheetName val="137 SOEG Green Pwr 12ME 12-2024"/>
      <sheetName val="Sch 129D Bill Discount"/>
      <sheetName val="Sch 137 Carbon Offset "/>
      <sheetName val="SOEG Rider Revenue - Consump..."/>
      <sheetName val="Sch 138 RNG"/>
      <sheetName val="SOEG Muni Tax 12ME 12-2024"/>
      <sheetName val="SOEG Mu Tx Wtr Htr 12ME 12-2024"/>
      <sheetName val="support=&gt;"/>
      <sheetName val="Sch 141X "/>
      <sheetName val="Sch 142 Decoup"/>
    </sheetNames>
    <sheetDataSet>
      <sheetData sheetId="0"/>
      <sheetData sheetId="1"/>
      <sheetData sheetId="2">
        <row r="14">
          <cell r="D14">
            <v>18165111.300000001</v>
          </cell>
        </row>
        <row r="15">
          <cell r="D15">
            <v>13822668.77</v>
          </cell>
        </row>
        <row r="16">
          <cell r="D16">
            <v>-3826083.08</v>
          </cell>
        </row>
        <row r="17">
          <cell r="D17">
            <v>30074794.129999999</v>
          </cell>
        </row>
        <row r="18">
          <cell r="D18">
            <v>17694869.239999998</v>
          </cell>
        </row>
        <row r="19">
          <cell r="C19">
            <v>0.95344399999999996</v>
          </cell>
        </row>
        <row r="20">
          <cell r="D20">
            <v>1951011.1</v>
          </cell>
        </row>
        <row r="21">
          <cell r="D21">
            <v>1232264.8</v>
          </cell>
        </row>
        <row r="22">
          <cell r="C22">
            <v>0.95344399999999996</v>
          </cell>
        </row>
        <row r="23">
          <cell r="D23">
            <v>57955367.93</v>
          </cell>
        </row>
        <row r="24">
          <cell r="B24" t="str">
            <v>REMOVE PART FUND GRANTS - SCHEDULE 141PFG</v>
          </cell>
          <cell r="D24">
            <v>45256.22</v>
          </cell>
        </row>
        <row r="28">
          <cell r="D28">
            <v>-337409.52</v>
          </cell>
        </row>
        <row r="29">
          <cell r="D29">
            <v>-39120.94</v>
          </cell>
        </row>
        <row r="30">
          <cell r="D30">
            <v>-9727335.8500000015</v>
          </cell>
        </row>
        <row r="31">
          <cell r="D31">
            <v>0</v>
          </cell>
        </row>
        <row r="32">
          <cell r="D32">
            <v>-10476697</v>
          </cell>
        </row>
        <row r="44">
          <cell r="D44">
            <v>-17306271.609999999</v>
          </cell>
        </row>
        <row r="45">
          <cell r="D45">
            <v>-28674631.989999998</v>
          </cell>
        </row>
        <row r="46">
          <cell r="D46">
            <v>-16871066.75</v>
          </cell>
        </row>
        <row r="47">
          <cell r="D47">
            <v>145843026.92000002</v>
          </cell>
        </row>
        <row r="48">
          <cell r="D48">
            <v>-145786.22</v>
          </cell>
        </row>
        <row r="49">
          <cell r="D49">
            <v>-19894</v>
          </cell>
        </row>
        <row r="50">
          <cell r="D50">
            <v>-7991.62</v>
          </cell>
        </row>
        <row r="51">
          <cell r="D51">
            <v>-1328061</v>
          </cell>
        </row>
        <row r="52">
          <cell r="D52">
            <v>-30542.940000000002</v>
          </cell>
        </row>
        <row r="53">
          <cell r="D53">
            <v>-5649.83</v>
          </cell>
        </row>
        <row r="54">
          <cell r="D54">
            <v>-2269.6</v>
          </cell>
        </row>
        <row r="55">
          <cell r="D55">
            <v>-1468395.11</v>
          </cell>
        </row>
        <row r="56">
          <cell r="D56">
            <v>-55528944.259999998</v>
          </cell>
        </row>
        <row r="57">
          <cell r="B57" t="str">
            <v>REMOVE PART FUND GRANTS - SCHEDULE 141PFG</v>
          </cell>
          <cell r="D57">
            <v>-40800.49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g cost of case"/>
      <sheetName val="TY"/>
      <sheetName val="Summary GRCs"/>
      <sheetName val="Summary PCORCs"/>
    </sheetNames>
    <sheetDataSet>
      <sheetData sheetId="0">
        <row r="16">
          <cell r="D16">
            <v>2795000</v>
          </cell>
        </row>
      </sheetData>
      <sheetData sheetId="1">
        <row r="15">
          <cell r="D15">
            <v>2795000</v>
          </cell>
        </row>
        <row r="16">
          <cell r="D16">
            <v>2</v>
          </cell>
        </row>
        <row r="18">
          <cell r="D18">
            <v>1366382.8445359999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2024 AMI in  Ratebase"/>
      <sheetName val="AMI"/>
      <sheetName val="Plant Assets"/>
      <sheetName val="AMI DFIT"/>
      <sheetName val="45600155"/>
      <sheetName val="49500071"/>
      <sheetName val="AMI Debt Return proof"/>
    </sheetNames>
    <sheetDataSet>
      <sheetData sheetId="0">
        <row r="14">
          <cell r="D14">
            <v>286823960.15006435</v>
          </cell>
        </row>
      </sheetData>
      <sheetData sheetId="1">
        <row r="14">
          <cell r="D14">
            <v>117341796.15826897</v>
          </cell>
          <cell r="E14">
            <v>41790723.492120922</v>
          </cell>
        </row>
        <row r="15">
          <cell r="D15">
            <v>-18377754.026182897</v>
          </cell>
          <cell r="E15">
            <v>-6545149.8277606685</v>
          </cell>
        </row>
        <row r="16">
          <cell r="D16">
            <v>-17183906.420724567</v>
          </cell>
          <cell r="E16">
            <v>-6119966.6721854247</v>
          </cell>
        </row>
        <row r="20">
          <cell r="D20">
            <v>-4219414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Summary (CBR)"/>
      <sheetName val="Unallocated Detail (CBR)"/>
      <sheetName val="Common by Account (CBR)"/>
      <sheetName val="==&gt;"/>
      <sheetName val="Allocators (CBR)"/>
      <sheetName val="FM"/>
      <sheetName val="FERC 9496000"/>
      <sheetName val="Topsides Q4 24"/>
    </sheetNames>
    <sheetDataSet>
      <sheetData sheetId="0" refreshError="1"/>
      <sheetData sheetId="1">
        <row r="9">
          <cell r="B9">
            <v>3002846860.5500002</v>
          </cell>
          <cell r="C9">
            <v>1253115807.6500001</v>
          </cell>
        </row>
        <row r="12">
          <cell r="C12">
            <v>113061445.64999999</v>
          </cell>
        </row>
        <row r="19">
          <cell r="C19">
            <v>469849115.31999993</v>
          </cell>
        </row>
        <row r="24">
          <cell r="C24">
            <v>12970479.820000002</v>
          </cell>
        </row>
        <row r="25">
          <cell r="C25">
            <v>3947.83</v>
          </cell>
        </row>
        <row r="26">
          <cell r="C26">
            <v>67441024.603501126</v>
          </cell>
        </row>
        <row r="27">
          <cell r="C27">
            <v>26497541.77</v>
          </cell>
        </row>
        <row r="28">
          <cell r="C28">
            <v>20080942.899999999</v>
          </cell>
        </row>
        <row r="29">
          <cell r="C29">
            <v>28674631.989999998</v>
          </cell>
        </row>
        <row r="30">
          <cell r="C30">
            <v>70703835.100000009</v>
          </cell>
        </row>
        <row r="31">
          <cell r="C31">
            <v>183608947.09999999</v>
          </cell>
        </row>
        <row r="32">
          <cell r="C32">
            <v>30242712.760000002</v>
          </cell>
        </row>
        <row r="33">
          <cell r="C33">
            <v>0</v>
          </cell>
        </row>
        <row r="34">
          <cell r="C34">
            <v>91163444.079999939</v>
          </cell>
        </row>
        <row r="35">
          <cell r="C35">
            <v>123312864.25</v>
          </cell>
        </row>
        <row r="36">
          <cell r="C36">
            <v>41403785.339138284</v>
          </cell>
        </row>
        <row r="37">
          <cell r="C37">
            <v>-10256451.170000002</v>
          </cell>
        </row>
      </sheetData>
      <sheetData sheetId="2" refreshError="1"/>
      <sheetData sheetId="3">
        <row r="223">
          <cell r="B223">
            <v>16566486.58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Lead Sheet"/>
      <sheetName val="Weather Adj. For CBR"/>
      <sheetName val="Weather Adj. Volumes"/>
    </sheetNames>
    <sheetDataSet>
      <sheetData sheetId="0">
        <row r="16">
          <cell r="B16">
            <v>45292</v>
          </cell>
          <cell r="C16">
            <v>30178146.067135286</v>
          </cell>
          <cell r="D16">
            <v>17325664.528240032</v>
          </cell>
        </row>
        <row r="17">
          <cell r="B17">
            <v>45323</v>
          </cell>
          <cell r="C17">
            <v>19065076.752300374</v>
          </cell>
          <cell r="D17">
            <v>16092086.902839879</v>
          </cell>
        </row>
        <row r="18">
          <cell r="B18">
            <v>45352</v>
          </cell>
          <cell r="C18">
            <v>18656229.163999997</v>
          </cell>
          <cell r="D18">
            <v>18979874.184289251</v>
          </cell>
        </row>
        <row r="19">
          <cell r="B19">
            <v>45383</v>
          </cell>
          <cell r="C19">
            <v>16670512.869231615</v>
          </cell>
          <cell r="D19">
            <v>15697123.061468286</v>
          </cell>
        </row>
        <row r="20">
          <cell r="B20">
            <v>45413</v>
          </cell>
          <cell r="C20">
            <v>17239287.147545204</v>
          </cell>
          <cell r="D20">
            <v>18219726.1540507</v>
          </cell>
        </row>
        <row r="21">
          <cell r="B21">
            <v>45444</v>
          </cell>
          <cell r="C21">
            <v>13034487.417000001</v>
          </cell>
          <cell r="D21">
            <v>12199089.256845834</v>
          </cell>
        </row>
        <row r="22">
          <cell r="B22">
            <v>45474</v>
          </cell>
          <cell r="C22">
            <v>16002281.886419054</v>
          </cell>
          <cell r="D22">
            <v>16696583.186419055</v>
          </cell>
        </row>
        <row r="23">
          <cell r="B23">
            <v>45505</v>
          </cell>
          <cell r="C23">
            <v>12044917.556580909</v>
          </cell>
          <cell r="D23">
            <v>14375040.26148325</v>
          </cell>
        </row>
        <row r="24">
          <cell r="B24">
            <v>45536</v>
          </cell>
          <cell r="C24">
            <v>12653988.064329915</v>
          </cell>
          <cell r="D24">
            <v>13218338.472415855</v>
          </cell>
        </row>
        <row r="25">
          <cell r="B25">
            <v>45566</v>
          </cell>
          <cell r="C25">
            <v>14387785.831166118</v>
          </cell>
          <cell r="D25">
            <v>14569598.828171404</v>
          </cell>
        </row>
        <row r="26">
          <cell r="B26">
            <v>45597</v>
          </cell>
          <cell r="C26">
            <v>28345168.729063693</v>
          </cell>
          <cell r="D26">
            <v>28081914.346377522</v>
          </cell>
        </row>
        <row r="27">
          <cell r="B27">
            <v>45627</v>
          </cell>
          <cell r="C27">
            <v>5196990.2742128121</v>
          </cell>
          <cell r="D27">
            <v>7272093.736840453</v>
          </cell>
        </row>
        <row r="30">
          <cell r="E30">
            <v>-23096.206606382348</v>
          </cell>
        </row>
        <row r="31">
          <cell r="E31">
            <v>-5839.5462526595802</v>
          </cell>
        </row>
        <row r="32">
          <cell r="E32">
            <v>-7714.0828072817931</v>
          </cell>
        </row>
        <row r="33">
          <cell r="E33">
            <v>-12790.311281336561</v>
          </cell>
        </row>
        <row r="34">
          <cell r="E34">
            <v>-4106.9730339078014</v>
          </cell>
        </row>
      </sheetData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 Detail"/>
      <sheetName val="ERB AMA"/>
      <sheetName val="GRB AMA"/>
      <sheetName val="WC "/>
      <sheetName val="PPXLSaveData0"/>
      <sheetName val="PPXLFunctions"/>
      <sheetName val="PPXLOpen"/>
    </sheetNames>
    <sheetDataSet>
      <sheetData sheetId="0"/>
      <sheetData sheetId="1"/>
      <sheetData sheetId="2">
        <row r="35">
          <cell r="C35">
            <v>5813713797.9265213</v>
          </cell>
        </row>
        <row r="36">
          <cell r="C36">
            <v>-2262669610.9303446</v>
          </cell>
        </row>
        <row r="37">
          <cell r="C37">
            <v>40036785.180833332</v>
          </cell>
        </row>
        <row r="38">
          <cell r="C38">
            <v>-595993254.15068614</v>
          </cell>
        </row>
        <row r="39">
          <cell r="C39">
            <v>129633627.38497032</v>
          </cell>
        </row>
        <row r="40">
          <cell r="C40">
            <v>-949676.32601141697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Pg 1 Summary"/>
      <sheetName val="Pg 2 CapStructure"/>
      <sheetName val="Pg 3 STD Cost Rate"/>
      <sheetName val="Pg 4 STD OS &amp; Comm Fees"/>
      <sheetName val="Pg 5 STD Amort"/>
      <sheetName val="Pg 6 LTD Cost "/>
      <sheetName val="Pg 7 Reacquired Debt"/>
      <sheetName val="Interest Only LTD Cost"/>
      <sheetName val="BS-Unamortized"/>
      <sheetName val="FERC Rpt"/>
      <sheetName val="Appendix --&gt;"/>
      <sheetName val="Sheet1"/>
      <sheetName val="A1  CofCap-PreMerger Costs"/>
      <sheetName val="A2  STD Cost Rate-Prior Fac"/>
      <sheetName val="A3  STD Int &amp; Fees-Prior Fac"/>
      <sheetName val="A4  STD Amort-Prior Fac"/>
      <sheetName val="FERC Presentation"/>
    </sheetNames>
    <sheetDataSet>
      <sheetData sheetId="0" refreshError="1"/>
      <sheetData sheetId="1">
        <row r="26">
          <cell r="C26">
            <v>5710978907</v>
          </cell>
          <cell r="D26">
            <v>0.51259999999999994</v>
          </cell>
          <cell r="F26">
            <v>2.6899999999999997E-2</v>
          </cell>
        </row>
        <row r="28">
          <cell r="C28">
            <v>5430602708</v>
          </cell>
          <cell r="D28">
            <v>0.4874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Lead G"/>
      <sheetName val="2024_CBR_Gas"/>
    </sheetNames>
    <sheetDataSet>
      <sheetData sheetId="0" refreshError="1"/>
      <sheetData sheetId="1">
        <row r="13">
          <cell r="C13">
            <v>257810678.88834029</v>
          </cell>
        </row>
        <row r="16">
          <cell r="C16">
            <v>54758846.986551464</v>
          </cell>
        </row>
        <row r="17">
          <cell r="C17">
            <v>-10704777.262189999</v>
          </cell>
        </row>
        <row r="18">
          <cell r="C18">
            <v>0</v>
          </cell>
        </row>
        <row r="19">
          <cell r="C19">
            <v>0</v>
          </cell>
        </row>
        <row r="23">
          <cell r="C23">
            <v>41403785.339138284</v>
          </cell>
        </row>
        <row r="24">
          <cell r="C24">
            <v>52251717.18</v>
          </cell>
        </row>
        <row r="25">
          <cell r="C25">
            <v>-62508168.350000001</v>
          </cell>
        </row>
        <row r="26">
          <cell r="C26">
            <v>0</v>
          </cell>
        </row>
      </sheetData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"/>
      <sheetName val="3-YR AVERAGE-GAS"/>
      <sheetName val="NetWriteoffs-Gas"/>
      <sheetName val="2024 Bad Debt -FM"/>
      <sheetName val="2023 Bad Debt - FM"/>
      <sheetName val="BS Acct-Gas"/>
      <sheetName val="SOG 12ME August"/>
      <sheetName val="2023 AllocM"/>
      <sheetName val="2022 AllocM"/>
      <sheetName val="2021 AllocFct"/>
      <sheetName val="2020 AllocFactrs"/>
      <sheetName val="2019 Allocation Factors"/>
    </sheetNames>
    <sheetDataSet>
      <sheetData sheetId="0">
        <row r="14">
          <cell r="C14">
            <v>5463073.0371479997</v>
          </cell>
          <cell r="D14">
            <v>1353307480.9000001</v>
          </cell>
          <cell r="E14">
            <v>24275922.09</v>
          </cell>
          <cell r="F14">
            <v>1329031558.8100002</v>
          </cell>
          <cell r="G14">
            <v>4.1110000000000001E-3</v>
          </cell>
        </row>
        <row r="15">
          <cell r="C15">
            <v>2284939.7383418316</v>
          </cell>
          <cell r="D15">
            <v>969590918.08999991</v>
          </cell>
          <cell r="E15">
            <v>17618700.510000002</v>
          </cell>
          <cell r="F15">
            <v>951972217.57999992</v>
          </cell>
          <cell r="G15">
            <v>2.3999999999999998E-3</v>
          </cell>
        </row>
        <row r="16">
          <cell r="C16">
            <v>2641960.2282890007</v>
          </cell>
          <cell r="D16">
            <v>1141789837.8799999</v>
          </cell>
          <cell r="E16">
            <v>15232684.039999999</v>
          </cell>
          <cell r="F16">
            <v>1126557153.8399999</v>
          </cell>
          <cell r="G16">
            <v>2.3449999999999999E-3</v>
          </cell>
        </row>
        <row r="20">
          <cell r="D20">
            <v>1366177253.3000002</v>
          </cell>
          <cell r="E20">
            <v>113061445.64999999</v>
          </cell>
        </row>
        <row r="27">
          <cell r="F27">
            <v>4160346.6457130001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.bin"/><Relationship Id="rId13" Type="http://schemas.openxmlformats.org/officeDocument/2006/relationships/printerSettings" Target="../printerSettings/printerSettings15.bin"/><Relationship Id="rId1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5.bin"/><Relationship Id="rId21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9.bin"/><Relationship Id="rId12" Type="http://schemas.openxmlformats.org/officeDocument/2006/relationships/printerSettings" Target="../printerSettings/printerSettings14.bin"/><Relationship Id="rId17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4.bin"/><Relationship Id="rId16" Type="http://schemas.openxmlformats.org/officeDocument/2006/relationships/printerSettings" Target="../printerSettings/printerSettings18.bin"/><Relationship Id="rId20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3.bin"/><Relationship Id="rId6" Type="http://schemas.openxmlformats.org/officeDocument/2006/relationships/printerSettings" Target="../printerSettings/printerSettings8.bin"/><Relationship Id="rId11" Type="http://schemas.openxmlformats.org/officeDocument/2006/relationships/printerSettings" Target="../printerSettings/printerSettings13.bin"/><Relationship Id="rId24" Type="http://schemas.openxmlformats.org/officeDocument/2006/relationships/customProperty" Target="../customProperty6.bin"/><Relationship Id="rId5" Type="http://schemas.openxmlformats.org/officeDocument/2006/relationships/printerSettings" Target="../printerSettings/printerSettings7.bin"/><Relationship Id="rId15" Type="http://schemas.openxmlformats.org/officeDocument/2006/relationships/printerSettings" Target="../printerSettings/printerSettings17.bin"/><Relationship Id="rId23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12.bin"/><Relationship Id="rId19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6.bin"/><Relationship Id="rId9" Type="http://schemas.openxmlformats.org/officeDocument/2006/relationships/printerSettings" Target="../printerSettings/printerSettings11.bin"/><Relationship Id="rId14" Type="http://schemas.openxmlformats.org/officeDocument/2006/relationships/printerSettings" Target="../printerSettings/printerSettings16.bin"/><Relationship Id="rId22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2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50"/>
  <sheetViews>
    <sheetView tabSelected="1" workbookViewId="0">
      <selection activeCell="K37" sqref="K37"/>
    </sheetView>
  </sheetViews>
  <sheetFormatPr defaultColWidth="10.6640625" defaultRowHeight="12.75" x14ac:dyDescent="0.2"/>
  <cols>
    <col min="1" max="1" width="3.6640625" style="195" bestFit="1" customWidth="1"/>
    <col min="2" max="2" width="31.5" style="195" bestFit="1" customWidth="1"/>
    <col min="3" max="3" width="19.5" style="195" customWidth="1"/>
    <col min="4" max="4" width="12.6640625" style="195" customWidth="1"/>
    <col min="5" max="5" width="12" style="195" customWidth="1"/>
    <col min="6" max="6" width="16.6640625" style="195" bestFit="1" customWidth="1"/>
    <col min="7" max="7" width="4" style="195" bestFit="1" customWidth="1"/>
    <col min="8" max="8" width="14.33203125" style="195" bestFit="1" customWidth="1"/>
    <col min="9" max="9" width="12.33203125" style="195" bestFit="1" customWidth="1"/>
    <col min="10" max="10" width="18.6640625" style="195" bestFit="1" customWidth="1"/>
    <col min="11" max="13" width="10.6640625" style="195" bestFit="1" customWidth="1"/>
    <col min="14" max="16384" width="10.6640625" style="195"/>
  </cols>
  <sheetData>
    <row r="1" spans="1:8" ht="13.5" thickBot="1" x14ac:dyDescent="0.25">
      <c r="F1" s="400">
        <v>1.02</v>
      </c>
    </row>
    <row r="2" spans="1:8" x14ac:dyDescent="0.2">
      <c r="B2" s="275"/>
    </row>
    <row r="3" spans="1:8" ht="12.75" customHeight="1" x14ac:dyDescent="0.2">
      <c r="A3" s="196" t="s">
        <v>180</v>
      </c>
      <c r="B3" s="196"/>
      <c r="C3" s="196"/>
      <c r="D3" s="196"/>
      <c r="E3" s="196"/>
      <c r="F3" s="197"/>
      <c r="G3" s="197"/>
    </row>
    <row r="4" spans="1:8" ht="12.75" customHeight="1" x14ac:dyDescent="0.2">
      <c r="A4" s="196"/>
      <c r="B4" s="196"/>
      <c r="C4" s="196"/>
      <c r="D4" s="196"/>
      <c r="E4" s="196"/>
      <c r="F4" s="197"/>
      <c r="G4" s="197"/>
    </row>
    <row r="5" spans="1:8" ht="12.75" customHeight="1" x14ac:dyDescent="0.2">
      <c r="A5" s="427" t="s">
        <v>181</v>
      </c>
      <c r="B5" s="427"/>
      <c r="C5" s="427"/>
      <c r="D5" s="427"/>
      <c r="E5" s="427"/>
      <c r="F5" s="368"/>
      <c r="G5" s="368"/>
    </row>
    <row r="6" spans="1:8" ht="12.75" customHeight="1" x14ac:dyDescent="0.2">
      <c r="A6" s="427" t="s">
        <v>182</v>
      </c>
      <c r="B6" s="427"/>
      <c r="C6" s="427"/>
      <c r="D6" s="427"/>
      <c r="E6" s="427"/>
      <c r="F6" s="368"/>
      <c r="G6" s="368"/>
      <c r="H6" s="404"/>
    </row>
    <row r="7" spans="1:8" s="369" customFormat="1" ht="12.75" customHeight="1" x14ac:dyDescent="0.2">
      <c r="A7" s="427" t="str">
        <f>+Inputs!B2</f>
        <v>FOR THE TWELVE MONTHS ENDED DECEMBER 31, 2024</v>
      </c>
      <c r="B7" s="427"/>
      <c r="C7" s="427"/>
      <c r="D7" s="427"/>
      <c r="E7" s="427"/>
      <c r="F7" s="368"/>
      <c r="G7" s="368"/>
    </row>
    <row r="8" spans="1:8" x14ac:dyDescent="0.2">
      <c r="A8" s="276"/>
      <c r="B8" s="276"/>
      <c r="C8" s="276"/>
      <c r="D8" s="276"/>
      <c r="E8" s="276"/>
      <c r="F8"/>
      <c r="G8" s="369"/>
    </row>
    <row r="9" spans="1:8" x14ac:dyDescent="0.2">
      <c r="A9" s="276"/>
      <c r="B9" s="276"/>
      <c r="C9" s="276"/>
      <c r="D9" s="276"/>
      <c r="E9"/>
      <c r="F9"/>
      <c r="G9"/>
    </row>
    <row r="10" spans="1:8" x14ac:dyDescent="0.2">
      <c r="A10" s="276"/>
      <c r="B10" s="276"/>
      <c r="C10" s="276"/>
      <c r="D10" s="276"/>
      <c r="E10"/>
      <c r="F10"/>
      <c r="G10"/>
    </row>
    <row r="11" spans="1:8" x14ac:dyDescent="0.2">
      <c r="A11" s="394">
        <v>1</v>
      </c>
      <c r="B11" s="428" t="s">
        <v>183</v>
      </c>
      <c r="C11" s="428" t="s">
        <v>184</v>
      </c>
      <c r="D11" s="428" t="s">
        <v>185</v>
      </c>
      <c r="E11" s="428" t="s">
        <v>186</v>
      </c>
      <c r="F11" s="428" t="s">
        <v>187</v>
      </c>
      <c r="G11" s="369"/>
    </row>
    <row r="12" spans="1:8" x14ac:dyDescent="0.2">
      <c r="A12" s="394">
        <v>2</v>
      </c>
      <c r="B12" s="394"/>
      <c r="C12" s="394"/>
      <c r="D12" s="394"/>
      <c r="E12" s="394"/>
      <c r="F12" s="394"/>
      <c r="G12" s="394"/>
      <c r="H12" s="198"/>
    </row>
    <row r="13" spans="1:8" x14ac:dyDescent="0.2">
      <c r="A13" s="394">
        <v>3</v>
      </c>
      <c r="B13" s="394" t="s">
        <v>20</v>
      </c>
      <c r="C13" s="394"/>
      <c r="D13" s="394"/>
      <c r="E13" s="394"/>
      <c r="F13" s="428" t="s">
        <v>188</v>
      </c>
      <c r="G13" s="394"/>
      <c r="H13" s="198"/>
    </row>
    <row r="14" spans="1:8" x14ac:dyDescent="0.2">
      <c r="A14" s="394">
        <v>4</v>
      </c>
      <c r="B14" s="394"/>
      <c r="C14" s="394"/>
      <c r="D14" s="394"/>
      <c r="E14" s="394"/>
      <c r="F14" s="428" t="s">
        <v>189</v>
      </c>
      <c r="G14" s="394"/>
      <c r="H14" s="198"/>
    </row>
    <row r="15" spans="1:8" x14ac:dyDescent="0.2">
      <c r="A15" s="394">
        <v>5</v>
      </c>
      <c r="B15" s="429" t="s">
        <v>190</v>
      </c>
      <c r="C15" s="429" t="s">
        <v>191</v>
      </c>
      <c r="D15" s="429" t="s">
        <v>192</v>
      </c>
      <c r="E15" s="429" t="s">
        <v>193</v>
      </c>
      <c r="F15" s="429" t="s">
        <v>194</v>
      </c>
      <c r="G15" s="394"/>
      <c r="H15" s="198"/>
    </row>
    <row r="16" spans="1:8" x14ac:dyDescent="0.2">
      <c r="A16" s="394">
        <v>6</v>
      </c>
      <c r="B16" s="394"/>
      <c r="C16" s="394"/>
      <c r="D16" s="394"/>
      <c r="E16" s="394"/>
      <c r="F16" s="394"/>
      <c r="G16" s="394"/>
      <c r="H16" s="198"/>
    </row>
    <row r="17" spans="1:14" x14ac:dyDescent="0.2">
      <c r="A17" s="394">
        <v>7</v>
      </c>
      <c r="B17" s="173" t="s">
        <v>255</v>
      </c>
      <c r="C17" s="430">
        <f>'[7]Pg 1 Summary'!$C$26</f>
        <v>5710978907</v>
      </c>
      <c r="D17" s="431">
        <f>'[7]Pg 1 Summary'!$D$26</f>
        <v>0.51259999999999994</v>
      </c>
      <c r="E17" s="432">
        <f>F17/D17</f>
        <v>5.2477565353101836E-2</v>
      </c>
      <c r="F17" s="433">
        <f>'[7]Pg 1 Summary'!$F$26</f>
        <v>2.6899999999999997E-2</v>
      </c>
      <c r="G17" s="397"/>
      <c r="H17" s="198"/>
      <c r="J17"/>
      <c r="K17"/>
      <c r="L17"/>
      <c r="M17"/>
      <c r="N17"/>
    </row>
    <row r="18" spans="1:14" x14ac:dyDescent="0.2">
      <c r="A18" s="394">
        <v>8</v>
      </c>
      <c r="B18" s="394"/>
      <c r="C18" s="394"/>
      <c r="D18" s="394"/>
      <c r="E18" s="394"/>
      <c r="F18" s="173"/>
      <c r="G18" s="394"/>
      <c r="H18" s="198"/>
      <c r="J18"/>
      <c r="K18"/>
      <c r="L18"/>
      <c r="M18"/>
      <c r="N18"/>
    </row>
    <row r="19" spans="1:14" x14ac:dyDescent="0.2">
      <c r="A19" s="394">
        <v>9</v>
      </c>
      <c r="B19" s="276" t="s">
        <v>195</v>
      </c>
      <c r="C19" s="430">
        <f>'[7]Pg 1 Summary'!$C$28</f>
        <v>5430602708</v>
      </c>
      <c r="D19" s="434">
        <f>'[7]Pg 1 Summary'!$D$28</f>
        <v>0.4874</v>
      </c>
      <c r="E19" s="432">
        <v>9.4E-2</v>
      </c>
      <c r="F19" s="435">
        <f>ROUND(D19*E19,4)</f>
        <v>4.58E-2</v>
      </c>
      <c r="G19" s="394"/>
      <c r="H19" s="198"/>
      <c r="J19"/>
      <c r="K19"/>
      <c r="L19"/>
      <c r="M19"/>
      <c r="N19"/>
    </row>
    <row r="20" spans="1:14" x14ac:dyDescent="0.2">
      <c r="A20" s="394">
        <v>10</v>
      </c>
      <c r="B20" s="394"/>
      <c r="C20" s="394"/>
      <c r="D20" s="394"/>
      <c r="E20" s="394"/>
      <c r="F20" s="436"/>
      <c r="G20" s="394"/>
      <c r="H20" s="198"/>
      <c r="J20"/>
      <c r="K20"/>
      <c r="L20"/>
      <c r="M20"/>
      <c r="N20"/>
    </row>
    <row r="21" spans="1:14" x14ac:dyDescent="0.2">
      <c r="A21" s="394">
        <v>11</v>
      </c>
      <c r="B21" s="276" t="s">
        <v>196</v>
      </c>
      <c r="C21" s="437">
        <f>SUM(C17:C20)</f>
        <v>11141581615</v>
      </c>
      <c r="D21" s="438">
        <f>SUM(D17:D20)</f>
        <v>1</v>
      </c>
      <c r="E21" s="439"/>
      <c r="F21" s="440">
        <f>F17+F19</f>
        <v>7.2700000000000001E-2</v>
      </c>
      <c r="G21" s="394"/>
      <c r="H21" s="198"/>
      <c r="J21"/>
      <c r="K21"/>
      <c r="L21"/>
      <c r="M21"/>
      <c r="N21"/>
    </row>
    <row r="22" spans="1:14" x14ac:dyDescent="0.2">
      <c r="A22" s="394">
        <v>12</v>
      </c>
      <c r="B22" s="394"/>
      <c r="C22" s="394"/>
      <c r="D22" s="434"/>
      <c r="E22" s="394"/>
      <c r="F22" s="441"/>
      <c r="G22" s="394"/>
      <c r="H22" s="198"/>
      <c r="J22"/>
      <c r="K22"/>
      <c r="L22"/>
      <c r="M22"/>
      <c r="N22"/>
    </row>
    <row r="23" spans="1:14" x14ac:dyDescent="0.2">
      <c r="A23" s="394">
        <v>13</v>
      </c>
      <c r="B23" s="394"/>
      <c r="C23" s="394"/>
      <c r="D23" s="394"/>
      <c r="E23" s="394"/>
      <c r="F23" s="398"/>
      <c r="G23" s="394"/>
      <c r="H23" s="198"/>
      <c r="J23"/>
      <c r="K23"/>
      <c r="L23"/>
      <c r="M23"/>
      <c r="N23"/>
    </row>
    <row r="24" spans="1:14" x14ac:dyDescent="0.2">
      <c r="A24" s="394">
        <v>14</v>
      </c>
      <c r="B24" s="276" t="s">
        <v>197</v>
      </c>
      <c r="C24" s="276"/>
      <c r="D24" s="394"/>
      <c r="E24" s="394"/>
      <c r="F24" s="398"/>
      <c r="G24" s="394"/>
      <c r="H24" s="198"/>
      <c r="J24"/>
      <c r="K24"/>
      <c r="L24"/>
      <c r="M24"/>
      <c r="N24"/>
    </row>
    <row r="25" spans="1:14" x14ac:dyDescent="0.2">
      <c r="A25" s="369"/>
      <c r="B25" s="394"/>
      <c r="C25" s="394"/>
      <c r="D25" s="394"/>
      <c r="E25" s="394"/>
      <c r="F25" s="398"/>
      <c r="G25" s="394"/>
      <c r="H25" s="198"/>
      <c r="J25"/>
      <c r="K25"/>
      <c r="L25"/>
      <c r="M25"/>
      <c r="N25"/>
    </row>
    <row r="26" spans="1:14" x14ac:dyDescent="0.2">
      <c r="A26" s="369"/>
      <c r="B26" s="394"/>
      <c r="C26" s="394"/>
      <c r="D26" s="394"/>
      <c r="E26" s="394"/>
      <c r="F26" s="398"/>
      <c r="G26" s="394"/>
      <c r="H26" s="198"/>
      <c r="J26"/>
      <c r="K26"/>
      <c r="L26"/>
      <c r="M26"/>
      <c r="N26"/>
    </row>
    <row r="27" spans="1:14" x14ac:dyDescent="0.2">
      <c r="A27" s="369"/>
      <c r="B27" s="394"/>
      <c r="C27" s="399"/>
      <c r="D27" s="394"/>
      <c r="E27" s="394"/>
      <c r="F27" s="394"/>
      <c r="G27" s="394"/>
      <c r="H27" s="198"/>
      <c r="J27"/>
      <c r="K27"/>
      <c r="L27"/>
      <c r="M27"/>
      <c r="N27"/>
    </row>
    <row r="28" spans="1:14" x14ac:dyDescent="0.2">
      <c r="A28" s="369"/>
      <c r="B28" s="394"/>
      <c r="C28" s="399"/>
      <c r="D28" s="394"/>
      <c r="E28" s="394"/>
      <c r="F28" s="394"/>
      <c r="G28" s="394"/>
      <c r="H28" s="198"/>
    </row>
    <row r="29" spans="1:14" x14ac:dyDescent="0.2">
      <c r="A29" s="369"/>
      <c r="B29" s="394"/>
      <c r="C29" s="399"/>
      <c r="D29" s="394"/>
      <c r="E29" s="394"/>
      <c r="F29" s="394"/>
      <c r="G29" s="394"/>
      <c r="H29" s="198"/>
    </row>
    <row r="30" spans="1:14" x14ac:dyDescent="0.2">
      <c r="A30" s="369"/>
      <c r="B30" s="394"/>
      <c r="C30" s="399"/>
      <c r="D30" s="394"/>
      <c r="E30" s="394"/>
      <c r="F30" s="394"/>
      <c r="G30" s="394"/>
    </row>
    <row r="31" spans="1:14" x14ac:dyDescent="0.2">
      <c r="A31" s="369"/>
      <c r="B31" s="394"/>
      <c r="C31" s="399"/>
      <c r="D31" s="394"/>
      <c r="E31" s="394"/>
      <c r="F31" s="394"/>
      <c r="G31" s="394"/>
    </row>
    <row r="32" spans="1:14" x14ac:dyDescent="0.2">
      <c r="A32" s="369"/>
      <c r="B32" s="394"/>
      <c r="C32" s="399"/>
      <c r="D32" s="394"/>
      <c r="E32" s="394"/>
      <c r="F32" s="394"/>
      <c r="G32" s="394"/>
    </row>
    <row r="33" spans="1:7" x14ac:dyDescent="0.2">
      <c r="A33" s="369"/>
      <c r="B33" s="394"/>
      <c r="C33" s="399"/>
      <c r="D33" s="394"/>
      <c r="E33" s="394"/>
      <c r="F33" s="394"/>
      <c r="G33" s="394"/>
    </row>
    <row r="34" spans="1:7" x14ac:dyDescent="0.2">
      <c r="A34" s="369"/>
      <c r="B34" s="394"/>
      <c r="C34" s="399"/>
      <c r="D34" s="394"/>
      <c r="E34" s="394"/>
      <c r="F34" s="394"/>
      <c r="G34" s="394"/>
    </row>
    <row r="35" spans="1:7" x14ac:dyDescent="0.2">
      <c r="B35" s="198"/>
      <c r="C35" s="272"/>
      <c r="D35" s="198"/>
      <c r="E35" s="198"/>
      <c r="F35" s="198"/>
      <c r="G35" s="198"/>
    </row>
    <row r="36" spans="1:7" x14ac:dyDescent="0.2">
      <c r="B36" s="198"/>
      <c r="C36" s="272"/>
      <c r="D36" s="198"/>
      <c r="E36" s="198"/>
      <c r="F36" s="198"/>
      <c r="G36" s="198"/>
    </row>
    <row r="37" spans="1:7" x14ac:dyDescent="0.2">
      <c r="B37" s="198"/>
      <c r="C37" s="272"/>
      <c r="D37" s="198"/>
      <c r="E37" s="198"/>
      <c r="F37" s="198"/>
      <c r="G37" s="198"/>
    </row>
    <row r="38" spans="1:7" x14ac:dyDescent="0.2">
      <c r="B38" s="198"/>
      <c r="C38" s="272"/>
      <c r="D38" s="198"/>
      <c r="E38" s="198"/>
      <c r="F38" s="198"/>
      <c r="G38" s="198"/>
    </row>
    <row r="39" spans="1:7" x14ac:dyDescent="0.2">
      <c r="B39" s="198"/>
      <c r="C39" s="272"/>
      <c r="D39" s="198"/>
      <c r="E39" s="198"/>
      <c r="F39" s="198"/>
      <c r="G39" s="198"/>
    </row>
    <row r="40" spans="1:7" x14ac:dyDescent="0.2">
      <c r="B40" s="198"/>
      <c r="C40" s="272"/>
      <c r="D40" s="198"/>
      <c r="E40" s="198"/>
      <c r="F40" s="198"/>
      <c r="G40" s="198"/>
    </row>
    <row r="41" spans="1:7" x14ac:dyDescent="0.2">
      <c r="B41" s="198"/>
      <c r="C41" s="272"/>
      <c r="D41" s="198"/>
      <c r="E41" s="198"/>
      <c r="F41" s="198"/>
      <c r="G41" s="198"/>
    </row>
    <row r="42" spans="1:7" x14ac:dyDescent="0.2">
      <c r="B42" s="198"/>
      <c r="C42" s="272"/>
      <c r="D42" s="198"/>
      <c r="E42" s="198"/>
      <c r="F42" s="198"/>
      <c r="G42" s="198"/>
    </row>
    <row r="43" spans="1:7" x14ac:dyDescent="0.2">
      <c r="B43" s="198"/>
      <c r="C43" s="272"/>
      <c r="D43" s="198"/>
      <c r="E43" s="198"/>
      <c r="F43" s="198"/>
      <c r="G43" s="198"/>
    </row>
    <row r="44" spans="1:7" x14ac:dyDescent="0.2">
      <c r="B44" s="198"/>
      <c r="C44" s="272"/>
      <c r="D44" s="198"/>
      <c r="E44" s="198"/>
      <c r="F44" s="198"/>
      <c r="G44" s="198"/>
    </row>
    <row r="45" spans="1:7" x14ac:dyDescent="0.2">
      <c r="B45" s="198"/>
      <c r="C45" s="272"/>
      <c r="D45" s="198"/>
      <c r="E45" s="198"/>
      <c r="F45" s="198"/>
      <c r="G45" s="198"/>
    </row>
    <row r="46" spans="1:7" x14ac:dyDescent="0.2">
      <c r="B46" s="198"/>
      <c r="C46" s="272"/>
      <c r="D46" s="198"/>
      <c r="E46" s="198"/>
      <c r="F46" s="198"/>
      <c r="G46" s="198"/>
    </row>
    <row r="47" spans="1:7" x14ac:dyDescent="0.2">
      <c r="B47" s="198"/>
      <c r="C47" s="272"/>
      <c r="D47" s="198"/>
      <c r="E47" s="198"/>
      <c r="F47" s="198"/>
      <c r="G47" s="198"/>
    </row>
    <row r="48" spans="1:7" x14ac:dyDescent="0.2">
      <c r="B48" s="198"/>
      <c r="C48" s="272"/>
      <c r="D48" s="198"/>
      <c r="E48" s="198"/>
      <c r="F48" s="198"/>
      <c r="G48" s="198"/>
    </row>
    <row r="49" spans="2:7" x14ac:dyDescent="0.2">
      <c r="B49" s="198"/>
      <c r="C49" s="272"/>
      <c r="D49" s="198"/>
      <c r="E49" s="198"/>
      <c r="F49" s="198"/>
      <c r="G49" s="198"/>
    </row>
    <row r="50" spans="2:7" x14ac:dyDescent="0.2">
      <c r="B50" s="198"/>
      <c r="C50" s="272"/>
      <c r="D50" s="198"/>
      <c r="E50" s="198"/>
      <c r="F50" s="198"/>
      <c r="G50" s="198"/>
    </row>
  </sheetData>
  <phoneticPr fontId="0" type="noConversion"/>
  <pageMargins left="0.75" right="0.75" top="1" bottom="1" header="0.5" footer="0.5"/>
  <pageSetup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4"/>
  <sheetViews>
    <sheetView workbookViewId="0">
      <selection activeCell="F40" sqref="F40"/>
    </sheetView>
  </sheetViews>
  <sheetFormatPr defaultColWidth="10.6640625" defaultRowHeight="12.75" x14ac:dyDescent="0.2"/>
  <cols>
    <col min="1" max="1" width="42.6640625" style="168" bestFit="1" customWidth="1"/>
    <col min="2" max="2" width="6.6640625" style="168" customWidth="1"/>
    <col min="3" max="3" width="19.6640625" style="168" customWidth="1"/>
    <col min="4" max="4" width="17" style="168" bestFit="1" customWidth="1"/>
    <col min="5" max="5" width="19.6640625" style="168" customWidth="1"/>
    <col min="6" max="6" width="6.6640625" style="168" bestFit="1" customWidth="1"/>
    <col min="7" max="7" width="10.6640625" style="168"/>
    <col min="8" max="8" width="19.5" style="168" bestFit="1" customWidth="1"/>
    <col min="9" max="9" width="10.6640625" style="168"/>
    <col min="10" max="10" width="16.1640625" style="168" bestFit="1" customWidth="1"/>
    <col min="11" max="16384" width="10.6640625" style="168"/>
  </cols>
  <sheetData>
    <row r="1" spans="1:8" ht="13.5" thickBot="1" x14ac:dyDescent="0.25">
      <c r="A1" s="167" t="s">
        <v>237</v>
      </c>
      <c r="D1" s="401"/>
      <c r="E1" s="400">
        <v>1.01</v>
      </c>
    </row>
    <row r="2" spans="1:8" x14ac:dyDescent="0.2">
      <c r="A2" s="403" t="str">
        <f>+Inputs!B2</f>
        <v>FOR THE TWELVE MONTHS ENDED DECEMBER 31, 2024</v>
      </c>
    </row>
    <row r="3" spans="1:8" x14ac:dyDescent="0.2">
      <c r="A3" s="275"/>
    </row>
    <row r="4" spans="1:8" x14ac:dyDescent="0.2">
      <c r="C4" s="383" t="s">
        <v>238</v>
      </c>
      <c r="D4" s="383" t="s">
        <v>239</v>
      </c>
      <c r="E4" s="383" t="s">
        <v>236</v>
      </c>
    </row>
    <row r="5" spans="1:8" x14ac:dyDescent="0.2">
      <c r="B5" s="170"/>
      <c r="C5" s="169" t="s">
        <v>240</v>
      </c>
      <c r="D5" s="169" t="s">
        <v>241</v>
      </c>
      <c r="E5" s="169" t="s">
        <v>241</v>
      </c>
      <c r="F5" s="170"/>
    </row>
    <row r="7" spans="1:8" x14ac:dyDescent="0.2">
      <c r="A7" s="168" t="s">
        <v>123</v>
      </c>
      <c r="B7" s="168" t="s">
        <v>112</v>
      </c>
      <c r="C7" s="171">
        <f>+model!DE44</f>
        <v>213091533.28177023</v>
      </c>
      <c r="D7" s="171">
        <f>'Earnings Sharing-CBR to Adj CBR'!E17</f>
        <v>0</v>
      </c>
      <c r="E7" s="171">
        <f>SUM(C7:D7)</f>
        <v>213091533.28177023</v>
      </c>
    </row>
    <row r="8" spans="1:8" x14ac:dyDescent="0.2">
      <c r="A8" s="168" t="s">
        <v>124</v>
      </c>
      <c r="B8" s="168" t="s">
        <v>113</v>
      </c>
      <c r="C8" s="171">
        <f>+model!DE46</f>
        <v>3071117140.366096</v>
      </c>
      <c r="D8" s="171">
        <v>0</v>
      </c>
      <c r="E8" s="171">
        <f>C8+D8</f>
        <v>3071117140.366096</v>
      </c>
    </row>
    <row r="9" spans="1:8" x14ac:dyDescent="0.2">
      <c r="B9" s="172"/>
      <c r="C9" s="171"/>
      <c r="D9" s="171"/>
      <c r="E9" s="171"/>
    </row>
    <row r="10" spans="1:8" x14ac:dyDescent="0.2">
      <c r="A10" s="167" t="s">
        <v>127</v>
      </c>
      <c r="B10" s="174" t="s">
        <v>114</v>
      </c>
      <c r="C10" s="173">
        <f>+C7/C8</f>
        <v>6.9385674183814555E-2</v>
      </c>
      <c r="D10" s="173">
        <f>E10-C10</f>
        <v>1.4325816185448148E-5</v>
      </c>
      <c r="E10" s="173">
        <f>ROUND(+E7/E8,4)</f>
        <v>6.9400000000000003E-2</v>
      </c>
      <c r="H10" s="173"/>
    </row>
    <row r="11" spans="1:8" x14ac:dyDescent="0.2">
      <c r="B11" s="175"/>
      <c r="C11" s="392"/>
      <c r="D11" s="393"/>
      <c r="E11" s="393"/>
      <c r="H11" s="382"/>
    </row>
    <row r="12" spans="1:8" x14ac:dyDescent="0.2">
      <c r="C12" s="394"/>
      <c r="D12" s="394"/>
      <c r="E12" s="394"/>
      <c r="H12" s="171"/>
    </row>
    <row r="13" spans="1:8" x14ac:dyDescent="0.2">
      <c r="C13" s="394"/>
      <c r="D13" s="394"/>
      <c r="E13" s="394"/>
      <c r="H13" s="171"/>
    </row>
    <row r="14" spans="1:8" x14ac:dyDescent="0.2">
      <c r="C14" s="394"/>
      <c r="D14" s="394"/>
      <c r="E14" s="394"/>
      <c r="H14" s="171"/>
    </row>
    <row r="15" spans="1:8" x14ac:dyDescent="0.2">
      <c r="A15" s="168" t="s">
        <v>123</v>
      </c>
      <c r="B15" s="168" t="s">
        <v>115</v>
      </c>
      <c r="C15" s="395">
        <f>+C7</f>
        <v>213091533.28177023</v>
      </c>
      <c r="D15" s="395">
        <f>+D7</f>
        <v>0</v>
      </c>
      <c r="E15" s="395">
        <f>+E7</f>
        <v>213091533.28177023</v>
      </c>
    </row>
    <row r="16" spans="1:8" x14ac:dyDescent="0.2">
      <c r="A16" s="168" t="s">
        <v>172</v>
      </c>
      <c r="B16" s="168" t="s">
        <v>116</v>
      </c>
      <c r="C16" s="171">
        <f>+model!R17</f>
        <v>82613051.075847968</v>
      </c>
      <c r="D16" s="171"/>
      <c r="E16" s="171">
        <f>C16+D16</f>
        <v>82613051.075847968</v>
      </c>
    </row>
    <row r="17" spans="1:10" x14ac:dyDescent="0.2">
      <c r="A17" s="168" t="s">
        <v>173</v>
      </c>
      <c r="B17" s="168" t="s">
        <v>117</v>
      </c>
      <c r="C17" s="395">
        <f>+C15-C16</f>
        <v>130478482.20592226</v>
      </c>
      <c r="D17" s="395">
        <f>+D15-D16</f>
        <v>0</v>
      </c>
      <c r="E17" s="395">
        <f>+E15-E16</f>
        <v>130478482.20592226</v>
      </c>
      <c r="H17"/>
      <c r="I17"/>
      <c r="J17"/>
    </row>
    <row r="18" spans="1:10" x14ac:dyDescent="0.2">
      <c r="C18" s="394"/>
      <c r="D18" s="394"/>
      <c r="E18" s="394"/>
      <c r="H18"/>
      <c r="I18"/>
      <c r="J18"/>
    </row>
    <row r="19" spans="1:10" x14ac:dyDescent="0.2">
      <c r="A19" s="168" t="s">
        <v>124</v>
      </c>
      <c r="B19" s="168" t="s">
        <v>118</v>
      </c>
      <c r="C19" s="395">
        <f>+C8</f>
        <v>3071117140.366096</v>
      </c>
      <c r="D19" s="395">
        <f>+D8</f>
        <v>0</v>
      </c>
      <c r="E19" s="395">
        <f>+E8</f>
        <v>3071117140.366096</v>
      </c>
      <c r="H19"/>
      <c r="I19"/>
      <c r="J19"/>
    </row>
    <row r="20" spans="1:10" x14ac:dyDescent="0.2">
      <c r="A20" s="168" t="s">
        <v>125</v>
      </c>
      <c r="B20" s="168" t="s">
        <v>119</v>
      </c>
      <c r="C20" s="396">
        <f>'1.02 COC'!D19</f>
        <v>0.4874</v>
      </c>
      <c r="D20" s="396"/>
      <c r="E20" s="396">
        <f>C20+D20</f>
        <v>0.4874</v>
      </c>
      <c r="H20"/>
      <c r="I20"/>
      <c r="J20"/>
    </row>
    <row r="21" spans="1:10" x14ac:dyDescent="0.2">
      <c r="A21" s="168" t="s">
        <v>120</v>
      </c>
      <c r="B21" s="168" t="s">
        <v>121</v>
      </c>
      <c r="C21" s="171">
        <f>+C19*C20</f>
        <v>1496862494.2144351</v>
      </c>
      <c r="D21" s="171">
        <f>+D19*D20</f>
        <v>0</v>
      </c>
      <c r="E21" s="171">
        <f>+E19*E20</f>
        <v>1496862494.2144351</v>
      </c>
      <c r="H21"/>
      <c r="I21"/>
      <c r="J21"/>
    </row>
    <row r="22" spans="1:10" x14ac:dyDescent="0.2">
      <c r="C22" s="171"/>
      <c r="D22" s="171"/>
      <c r="E22" s="171"/>
      <c r="H22"/>
      <c r="I22"/>
      <c r="J22"/>
    </row>
    <row r="23" spans="1:10" x14ac:dyDescent="0.2">
      <c r="A23" s="167" t="s">
        <v>126</v>
      </c>
      <c r="B23" s="168" t="s">
        <v>122</v>
      </c>
      <c r="C23" s="173">
        <f>+C17/C21</f>
        <v>8.7167981501466082E-2</v>
      </c>
      <c r="D23" s="173">
        <f>E23-C23</f>
        <v>3.201849853391725E-5</v>
      </c>
      <c r="E23" s="173">
        <f>+ROUND(E17/E21,4)</f>
        <v>8.72E-2</v>
      </c>
      <c r="H23"/>
      <c r="I23"/>
      <c r="J23"/>
    </row>
    <row r="24" spans="1:10" x14ac:dyDescent="0.2">
      <c r="C24" s="394"/>
      <c r="D24" s="394"/>
      <c r="E24" s="394"/>
      <c r="H24"/>
      <c r="I24"/>
      <c r="J24"/>
    </row>
  </sheetData>
  <phoneticPr fontId="9" type="noConversion"/>
  <printOptions horizontalCentered="1"/>
  <pageMargins left="0.75" right="0.75" top="1" bottom="1" header="0.5" footer="0.5"/>
  <pageSetup orientation="portrait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DR352"/>
  <sheetViews>
    <sheetView zoomScale="80" zoomScaleNormal="80" workbookViewId="0">
      <pane xSplit="1" ySplit="10" topLeftCell="B35" activePane="bottomRight" state="frozen"/>
      <selection activeCell="N25" sqref="A1:XFD1048576"/>
      <selection pane="topRight" activeCell="N25" sqref="A1:XFD1048576"/>
      <selection pane="bottomLeft" activeCell="N25" sqref="A1:XFD1048576"/>
      <selection pane="bottomRight" activeCell="D66" sqref="D66"/>
    </sheetView>
  </sheetViews>
  <sheetFormatPr defaultColWidth="21.1640625" defaultRowHeight="12.75" customHeight="1" x14ac:dyDescent="0.2"/>
  <cols>
    <col min="1" max="1" width="7.1640625" style="190" customWidth="1"/>
    <col min="2" max="2" width="47.6640625" style="190" customWidth="1"/>
    <col min="3" max="3" width="16.5" style="190" customWidth="1"/>
    <col min="4" max="4" width="19.83203125" style="190" customWidth="1"/>
    <col min="5" max="6" width="18" style="190" customWidth="1"/>
    <col min="7" max="7" width="6.6640625" style="2" customWidth="1"/>
    <col min="8" max="8" width="60.1640625" style="2" customWidth="1"/>
    <col min="9" max="9" width="23.6640625" style="2" customWidth="1"/>
    <col min="10" max="10" width="21" style="2" bestFit="1" customWidth="1"/>
    <col min="11" max="11" width="19" style="2" bestFit="1" customWidth="1"/>
    <col min="12" max="12" width="6.6640625" style="2" customWidth="1"/>
    <col min="13" max="13" width="83.6640625" style="2" customWidth="1"/>
    <col min="14" max="14" width="20" style="2" customWidth="1"/>
    <col min="15" max="15" width="6.6640625" style="2" customWidth="1"/>
    <col min="16" max="16" width="55" style="2" customWidth="1"/>
    <col min="17" max="17" width="21.5" style="2" customWidth="1"/>
    <col min="18" max="18" width="22.1640625" style="2" customWidth="1"/>
    <col min="19" max="19" width="7.1640625" style="2" customWidth="1"/>
    <col min="20" max="20" width="80" style="2" customWidth="1"/>
    <col min="21" max="21" width="37" style="2" bestFit="1" customWidth="1"/>
    <col min="22" max="22" width="18.1640625" style="2" customWidth="1"/>
    <col min="23" max="23" width="7.1640625" style="2" customWidth="1"/>
    <col min="24" max="24" width="73.1640625" style="2" customWidth="1"/>
    <col min="25" max="25" width="5.5" style="2" customWidth="1"/>
    <col min="26" max="27" width="18.1640625" style="2" customWidth="1"/>
    <col min="28" max="28" width="6.6640625" style="2" customWidth="1"/>
    <col min="29" max="29" width="63.1640625" style="2" customWidth="1"/>
    <col min="30" max="30" width="17" style="2" customWidth="1"/>
    <col min="31" max="31" width="19.1640625" style="2" bestFit="1" customWidth="1"/>
    <col min="32" max="33" width="17" style="2" customWidth="1"/>
    <col min="34" max="34" width="16.6640625" style="2" customWidth="1"/>
    <col min="35" max="35" width="5.6640625" style="144" customWidth="1"/>
    <col min="36" max="36" width="55.1640625" style="144" customWidth="1"/>
    <col min="37" max="39" width="17" style="144" customWidth="1"/>
    <col min="40" max="40" width="6.6640625" style="2" customWidth="1"/>
    <col min="41" max="41" width="40.6640625" style="2" customWidth="1"/>
    <col min="42" max="42" width="14" style="2" customWidth="1"/>
    <col min="43" max="43" width="16" style="413" customWidth="1"/>
    <col min="44" max="44" width="15.6640625" style="413" customWidth="1"/>
    <col min="45" max="45" width="22.6640625" style="42" customWidth="1"/>
    <col min="46" max="46" width="5.6640625" style="144" customWidth="1"/>
    <col min="47" max="47" width="55.1640625" style="144" customWidth="1"/>
    <col min="48" max="50" width="17" style="144" customWidth="1"/>
    <col min="51" max="51" width="5.6640625" style="156" customWidth="1"/>
    <col min="52" max="52" width="36.1640625" style="156" customWidth="1"/>
    <col min="53" max="53" width="16.1640625" style="156" customWidth="1"/>
    <col min="54" max="54" width="18.6640625" style="156" customWidth="1"/>
    <col min="55" max="55" width="6.6640625" style="2" customWidth="1"/>
    <col min="56" max="56" width="52" style="2" customWidth="1"/>
    <col min="57" max="57" width="18.1640625" style="2" customWidth="1"/>
    <col min="58" max="58" width="17.1640625" style="2" customWidth="1"/>
    <col min="59" max="59" width="18.5" style="2" customWidth="1"/>
    <col min="60" max="60" width="6.5" style="144" customWidth="1"/>
    <col min="61" max="61" width="72.33203125" style="144" customWidth="1"/>
    <col min="62" max="64" width="17" style="144" customWidth="1"/>
    <col min="65" max="65" width="6.5" style="144" customWidth="1"/>
    <col min="66" max="66" width="72.33203125" style="144" customWidth="1"/>
    <col min="67" max="67" width="18.6640625" style="144" customWidth="1"/>
    <col min="68" max="70" width="17" style="144" customWidth="1"/>
    <col min="71" max="71" width="6.5" style="144" customWidth="1"/>
    <col min="72" max="72" width="68" style="144" customWidth="1"/>
    <col min="73" max="73" width="5.33203125" style="144" customWidth="1"/>
    <col min="74" max="76" width="17" style="144" customWidth="1"/>
    <col min="77" max="77" width="6.6640625" style="2" customWidth="1"/>
    <col min="78" max="78" width="42.6640625" style="2" customWidth="1"/>
    <col min="79" max="79" width="17.6640625" style="2" customWidth="1"/>
    <col min="80" max="80" width="16.6640625" style="2" customWidth="1"/>
    <col min="81" max="81" width="19.1640625" style="2" customWidth="1"/>
    <col min="82" max="82" width="4.1640625" style="2" customWidth="1"/>
    <col min="83" max="83" width="6.6640625" style="2" customWidth="1"/>
    <col min="84" max="84" width="60.1640625" style="2" customWidth="1"/>
    <col min="85" max="85" width="29.5" style="2" bestFit="1" customWidth="1"/>
    <col min="86" max="89" width="23.6640625" style="2" customWidth="1"/>
    <col min="90" max="90" width="23.6640625" style="2" customWidth="1" collapsed="1"/>
    <col min="91" max="92" width="23.6640625" style="2" customWidth="1"/>
    <col min="93" max="93" width="5.6640625" style="2" bestFit="1" customWidth="1"/>
    <col min="94" max="94" width="60.1640625" style="2" bestFit="1" customWidth="1"/>
    <col min="95" max="97" width="17.5" style="2" customWidth="1"/>
    <col min="98" max="98" width="23.6640625" style="2" customWidth="1"/>
    <col min="99" max="100" width="18.5" style="2" bestFit="1" customWidth="1"/>
    <col min="101" max="101" width="18.5" style="413" customWidth="1"/>
    <col min="102" max="102" width="29" style="413" bestFit="1" customWidth="1"/>
    <col min="103" max="103" width="18.5" style="413" bestFit="1" customWidth="1"/>
    <col min="104" max="104" width="20.5" style="2" bestFit="1" customWidth="1"/>
    <col min="105" max="105" width="6.6640625" style="2" customWidth="1"/>
    <col min="106" max="106" width="60.1640625" style="2" bestFit="1" customWidth="1"/>
    <col min="107" max="107" width="19.6640625" style="2" bestFit="1" customWidth="1"/>
    <col min="108" max="108" width="22" style="2" bestFit="1" customWidth="1"/>
    <col min="109" max="109" width="20.5" style="2" bestFit="1" customWidth="1"/>
    <col min="110" max="110" width="1.5" style="2" customWidth="1"/>
    <col min="111" max="112" width="20.5" bestFit="1" customWidth="1"/>
    <col min="120" max="120" width="62.33203125" bestFit="1" customWidth="1"/>
    <col min="123" max="16384" width="21.1640625" style="2"/>
  </cols>
  <sheetData>
    <row r="1" spans="1:122" customFormat="1" ht="15" customHeight="1" thickBot="1" x14ac:dyDescent="0.25">
      <c r="BL1" s="496">
        <f>ROUND(-$CV$44+BL19,0)</f>
        <v>0</v>
      </c>
    </row>
    <row r="2" spans="1:122" s="102" customFormat="1" ht="15" customHeight="1" thickTop="1" thickBot="1" x14ac:dyDescent="0.25">
      <c r="A2" s="372"/>
      <c r="B2" s="373"/>
      <c r="C2" s="372"/>
      <c r="D2" s="373"/>
      <c r="E2" s="373"/>
      <c r="F2" s="370" t="str">
        <f>CH11</f>
        <v>Adj 3.01</v>
      </c>
      <c r="G2" s="372"/>
      <c r="H2" s="372"/>
      <c r="I2" s="372"/>
      <c r="J2" s="373"/>
      <c r="K2" s="370" t="str">
        <f>CI11</f>
        <v>Adj 3.02</v>
      </c>
      <c r="N2" s="370" t="str">
        <f>CJ11</f>
        <v>Adj 3.03</v>
      </c>
      <c r="P2" s="374" t="s">
        <v>20</v>
      </c>
      <c r="R2" s="370" t="str">
        <f>CK11</f>
        <v xml:space="preserve"> Adj 3.04</v>
      </c>
      <c r="V2" s="370" t="str">
        <f>CL11</f>
        <v>Adj 3.05</v>
      </c>
      <c r="W2" s="46"/>
      <c r="X2" s="46"/>
      <c r="Y2" s="46"/>
      <c r="Z2" s="46"/>
      <c r="AA2" s="370" t="str">
        <f>CM11</f>
        <v>Adj 3.06</v>
      </c>
      <c r="AC2" s="375"/>
      <c r="AD2" s="375"/>
      <c r="AE2" s="375"/>
      <c r="AF2" s="375"/>
      <c r="AG2" s="375"/>
      <c r="AH2" s="370" t="str">
        <f>CN11</f>
        <v>Adj 3.07</v>
      </c>
      <c r="AI2" s="325"/>
      <c r="AJ2" s="325"/>
      <c r="AK2" s="325"/>
      <c r="AL2" s="325"/>
      <c r="AM2" s="370" t="str">
        <f>CQ11</f>
        <v>Adj 3.08</v>
      </c>
      <c r="AS2" s="370" t="str">
        <f>CR11</f>
        <v>Adj 3.09</v>
      </c>
      <c r="AT2" s="325"/>
      <c r="AU2" s="325"/>
      <c r="AV2" s="325"/>
      <c r="AW2" s="325"/>
      <c r="AX2" s="370" t="str">
        <f>CS11</f>
        <v>Adj 3.10</v>
      </c>
      <c r="AY2" s="376"/>
      <c r="AZ2" s="376"/>
      <c r="BA2" s="376"/>
      <c r="BB2" s="370" t="str">
        <f>CT11</f>
        <v>Adj 3.11</v>
      </c>
      <c r="BE2" s="377"/>
      <c r="BG2" s="370" t="str">
        <f>CU11</f>
        <v>Adj 3.12</v>
      </c>
      <c r="BH2" s="46"/>
      <c r="BI2" s="46"/>
      <c r="BJ2" s="46"/>
      <c r="BK2" s="46"/>
      <c r="BL2" s="370" t="str">
        <f>CV11</f>
        <v>Adj 3.13</v>
      </c>
      <c r="BM2" s="46"/>
      <c r="BN2" s="46"/>
      <c r="BO2" s="46"/>
      <c r="BP2" s="46"/>
      <c r="BQ2" s="46"/>
      <c r="BR2" s="370" t="str">
        <f>CW11</f>
        <v>Adj 3.19</v>
      </c>
      <c r="BS2" s="46"/>
      <c r="BT2" s="46"/>
      <c r="BU2" s="46"/>
      <c r="BV2" s="46"/>
      <c r="BW2" s="46"/>
      <c r="BX2" s="370" t="str">
        <f>CX11</f>
        <v>Adj 3.21</v>
      </c>
      <c r="CC2" s="193" t="s">
        <v>232</v>
      </c>
      <c r="CG2" s="325"/>
      <c r="CN2" s="378" t="s">
        <v>256</v>
      </c>
      <c r="CZ2" s="378" t="s">
        <v>257</v>
      </c>
      <c r="DE2" s="379" t="s">
        <v>258</v>
      </c>
      <c r="DG2"/>
      <c r="DH2"/>
      <c r="DI2"/>
      <c r="DJ2"/>
      <c r="DK2"/>
      <c r="DL2"/>
      <c r="DM2"/>
      <c r="DN2"/>
      <c r="DO2"/>
      <c r="DP2"/>
      <c r="DQ2"/>
      <c r="DR2"/>
    </row>
    <row r="3" spans="1:122" s="30" customFormat="1" ht="15" customHeight="1" x14ac:dyDescent="0.2">
      <c r="A3" s="176"/>
      <c r="B3" s="177"/>
      <c r="C3" s="178"/>
      <c r="D3" s="176"/>
      <c r="E3" s="190"/>
      <c r="F3" s="199"/>
      <c r="G3" s="176"/>
      <c r="H3" s="177"/>
      <c r="I3" s="178"/>
      <c r="J3" s="176"/>
      <c r="K3" s="190"/>
      <c r="AB3" s="83"/>
      <c r="AI3" s="203"/>
      <c r="AJ3" s="203"/>
      <c r="AK3" s="203"/>
      <c r="AL3" s="203"/>
      <c r="AN3" s="200"/>
      <c r="AO3" s="46"/>
      <c r="AP3" s="46"/>
      <c r="AQ3" s="46"/>
      <c r="AR3" s="46"/>
      <c r="AT3" s="203"/>
      <c r="AU3" s="203"/>
      <c r="AV3" s="203"/>
      <c r="AW3" s="203"/>
      <c r="AY3" s="201"/>
      <c r="AZ3" s="201"/>
      <c r="BA3" s="201"/>
      <c r="BE3" s="202"/>
      <c r="BR3"/>
      <c r="BS3"/>
      <c r="BT3"/>
      <c r="BU3"/>
      <c r="BV3"/>
      <c r="BW3"/>
      <c r="BX3"/>
      <c r="BZ3" s="4"/>
      <c r="CA3" s="4"/>
      <c r="CB3" s="4"/>
      <c r="CD3" s="46"/>
      <c r="CE3" s="205" t="str">
        <f>+Inputs!$B$1</f>
        <v>PUGET SOUND ENERGY - GAS</v>
      </c>
      <c r="CF3" s="4"/>
      <c r="CG3" s="105"/>
      <c r="CH3" s="4"/>
      <c r="CI3" s="4"/>
      <c r="CJ3" s="4"/>
      <c r="CK3" s="4"/>
      <c r="CL3" s="4"/>
      <c r="CM3" s="4"/>
      <c r="CN3" s="4"/>
      <c r="CO3" s="205" t="str">
        <f>+Inputs!$B$1</f>
        <v>PUGET SOUND ENERGY - GAS</v>
      </c>
      <c r="CP3" s="4"/>
      <c r="CQ3" s="4"/>
      <c r="CR3" s="4"/>
      <c r="CS3" s="4"/>
      <c r="CT3" s="4"/>
      <c r="CU3" s="4"/>
      <c r="CV3" s="4"/>
      <c r="CW3" s="105"/>
      <c r="CX3" s="105"/>
      <c r="CY3" s="105"/>
      <c r="CZ3" s="4"/>
      <c r="DA3" s="205" t="str">
        <f>+Inputs!$B$1</f>
        <v>PUGET SOUND ENERGY - GAS</v>
      </c>
      <c r="DB3" s="4"/>
      <c r="DC3" s="4"/>
      <c r="DD3" s="4"/>
      <c r="DE3" s="84"/>
      <c r="DG3"/>
      <c r="DH3"/>
      <c r="DI3"/>
      <c r="DJ3"/>
      <c r="DK3"/>
      <c r="DL3"/>
      <c r="DM3"/>
      <c r="DN3"/>
      <c r="DO3"/>
      <c r="DP3"/>
      <c r="DQ3"/>
      <c r="DR3"/>
    </row>
    <row r="4" spans="1:122" s="36" customFormat="1" ht="15" customHeight="1" x14ac:dyDescent="0.2">
      <c r="A4" s="205" t="str">
        <f>+Inputs!$B$1</f>
        <v>PUGET SOUND ENERGY - GAS</v>
      </c>
      <c r="B4" s="280"/>
      <c r="C4" s="280"/>
      <c r="D4" s="280"/>
      <c r="E4" s="280"/>
      <c r="F4" s="280"/>
      <c r="G4" s="205" t="str">
        <f>+Inputs!$B$1</f>
        <v>PUGET SOUND ENERGY - GAS</v>
      </c>
      <c r="H4" s="180"/>
      <c r="I4" s="180"/>
      <c r="J4" s="180"/>
      <c r="K4" s="191"/>
      <c r="L4" s="205" t="str">
        <f>+Inputs!$B$1</f>
        <v>PUGET SOUND ENERGY - GAS</v>
      </c>
      <c r="M4" s="4"/>
      <c r="N4" s="205"/>
      <c r="O4" s="205" t="str">
        <f>+Inputs!$B$1</f>
        <v>PUGET SOUND ENERGY - GAS</v>
      </c>
      <c r="P4" s="4"/>
      <c r="Q4" s="4"/>
      <c r="R4" s="4"/>
      <c r="S4" s="205" t="str">
        <f>+Inputs!$B$1</f>
        <v>PUGET SOUND ENERGY - GAS</v>
      </c>
      <c r="T4" s="4"/>
      <c r="U4" s="4"/>
      <c r="V4" s="204"/>
      <c r="W4" s="205" t="str">
        <f>+Inputs!$B$1</f>
        <v>PUGET SOUND ENERGY - GAS</v>
      </c>
      <c r="X4" s="204"/>
      <c r="Y4" s="204"/>
      <c r="Z4" s="204"/>
      <c r="AA4" s="204"/>
      <c r="AB4" s="205" t="str">
        <f>+Inputs!$B$1</f>
        <v>PUGET SOUND ENERGY - GAS</v>
      </c>
      <c r="AC4" s="4"/>
      <c r="AD4" s="4"/>
      <c r="AE4" s="4"/>
      <c r="AF4" s="4"/>
      <c r="AG4" s="4"/>
      <c r="AH4" s="4"/>
      <c r="AI4" s="205" t="str">
        <f>+Inputs!$B$1</f>
        <v>PUGET SOUND ENERGY - GAS</v>
      </c>
      <c r="AJ4" s="4"/>
      <c r="AK4" s="4"/>
      <c r="AL4" s="4"/>
      <c r="AM4" s="117"/>
      <c r="AN4" s="205" t="str">
        <f>+Inputs!$B$1</f>
        <v>PUGET SOUND ENERGY - GAS</v>
      </c>
      <c r="AO4" s="4"/>
      <c r="AP4" s="4"/>
      <c r="AQ4" s="105"/>
      <c r="AR4" s="105"/>
      <c r="AS4" s="4"/>
      <c r="AT4" s="205" t="str">
        <f>+Inputs!$B$1</f>
        <v>PUGET SOUND ENERGY - GAS</v>
      </c>
      <c r="AU4" s="4"/>
      <c r="AV4" s="4"/>
      <c r="AW4" s="4"/>
      <c r="AX4" s="117"/>
      <c r="AY4" s="205" t="str">
        <f>+Inputs!$B$1</f>
        <v>PUGET SOUND ENERGY - GAS</v>
      </c>
      <c r="AZ4" s="205"/>
      <c r="BA4" s="205"/>
      <c r="BB4" s="205"/>
      <c r="BC4" s="205" t="str">
        <f>+Inputs!$B$1</f>
        <v>PUGET SOUND ENERGY - GAS</v>
      </c>
      <c r="BD4" s="4"/>
      <c r="BE4" s="206"/>
      <c r="BF4" s="4"/>
      <c r="BG4" s="4"/>
      <c r="BH4" s="205" t="str">
        <f>+Inputs!$B$1</f>
        <v>PUGET SOUND ENERGY - GAS</v>
      </c>
      <c r="BI4" s="117"/>
      <c r="BJ4" s="117"/>
      <c r="BK4" s="117"/>
      <c r="BL4" s="117"/>
      <c r="BM4" s="205" t="str">
        <f>+Inputs!$B$1</f>
        <v>PUGET SOUND ENERGY - GAS</v>
      </c>
      <c r="BN4" s="117"/>
      <c r="BO4" s="117"/>
      <c r="BP4" s="117"/>
      <c r="BQ4" s="117"/>
      <c r="BR4" s="117"/>
      <c r="BS4" s="205" t="str">
        <f>+Inputs!$B$1</f>
        <v>PUGET SOUND ENERGY - GAS</v>
      </c>
      <c r="BT4" s="117"/>
      <c r="BU4" s="117"/>
      <c r="BV4" s="117"/>
      <c r="BW4" s="117"/>
      <c r="BX4" s="117"/>
      <c r="BY4" s="205" t="str">
        <f>+Inputs!$B$1</f>
        <v>PUGET SOUND ENERGY - GAS</v>
      </c>
      <c r="BZ4" s="4"/>
      <c r="CA4" s="4"/>
      <c r="CB4" s="4"/>
      <c r="CC4" s="4"/>
      <c r="CD4" s="46"/>
      <c r="CE4" s="29" t="s">
        <v>64</v>
      </c>
      <c r="CF4" s="4"/>
      <c r="CG4" s="105"/>
      <c r="CH4" s="4"/>
      <c r="CI4" s="86"/>
      <c r="CJ4" s="4"/>
      <c r="CK4" s="29"/>
      <c r="CL4" s="29"/>
      <c r="CM4" s="29"/>
      <c r="CN4" s="29"/>
      <c r="CO4" s="29" t="s">
        <v>64</v>
      </c>
      <c r="CP4" s="29"/>
      <c r="CQ4" s="29"/>
      <c r="CR4" s="29"/>
      <c r="CS4" s="29"/>
      <c r="CT4" s="4"/>
      <c r="CU4" s="4"/>
      <c r="CV4" s="4"/>
      <c r="CW4" s="105"/>
      <c r="CX4" s="105"/>
      <c r="CY4" s="105"/>
      <c r="CZ4" s="4"/>
      <c r="DA4" s="29" t="s">
        <v>22</v>
      </c>
      <c r="DB4" s="29"/>
      <c r="DC4" s="29"/>
      <c r="DD4" s="29"/>
      <c r="DE4" s="29"/>
      <c r="DG4"/>
      <c r="DH4"/>
      <c r="DI4"/>
      <c r="DJ4"/>
      <c r="DK4"/>
      <c r="DL4"/>
      <c r="DM4"/>
      <c r="DN4"/>
      <c r="DO4"/>
      <c r="DP4"/>
      <c r="DQ4"/>
      <c r="DR4"/>
    </row>
    <row r="5" spans="1:122" s="288" customFormat="1" ht="15" customHeight="1" x14ac:dyDescent="0.2">
      <c r="A5" s="277" t="s">
        <v>163</v>
      </c>
      <c r="B5" s="278"/>
      <c r="C5" s="277"/>
      <c r="D5" s="278"/>
      <c r="E5" s="279"/>
      <c r="F5" s="280"/>
      <c r="G5" s="277" t="s">
        <v>166</v>
      </c>
      <c r="H5" s="278"/>
      <c r="I5" s="277"/>
      <c r="J5" s="278"/>
      <c r="K5" s="279"/>
      <c r="L5" s="281" t="s">
        <v>57</v>
      </c>
      <c r="M5" s="281"/>
      <c r="N5" s="282"/>
      <c r="O5" s="281" t="s">
        <v>86</v>
      </c>
      <c r="P5" s="281"/>
      <c r="Q5" s="281"/>
      <c r="R5" s="283"/>
      <c r="S5" s="281"/>
      <c r="T5" s="281" t="s">
        <v>164</v>
      </c>
      <c r="U5" s="283"/>
      <c r="V5" s="284"/>
      <c r="W5" s="281" t="s">
        <v>201</v>
      </c>
      <c r="X5" s="284"/>
      <c r="Y5" s="284"/>
      <c r="Z5" s="284"/>
      <c r="AA5" s="284"/>
      <c r="AB5" s="285" t="s">
        <v>77</v>
      </c>
      <c r="AC5" s="281"/>
      <c r="AD5" s="281"/>
      <c r="AE5" s="281"/>
      <c r="AF5" s="281"/>
      <c r="AG5" s="281"/>
      <c r="AH5" s="281"/>
      <c r="AI5" s="281" t="s">
        <v>176</v>
      </c>
      <c r="AJ5" s="281"/>
      <c r="AK5" s="281"/>
      <c r="AL5" s="281"/>
      <c r="AM5" s="283"/>
      <c r="AN5" s="285" t="s">
        <v>78</v>
      </c>
      <c r="AO5" s="283"/>
      <c r="AP5" s="283"/>
      <c r="AQ5" s="283"/>
      <c r="AR5" s="283"/>
      <c r="AS5" s="283"/>
      <c r="AT5" s="281" t="s">
        <v>91</v>
      </c>
      <c r="AU5" s="281"/>
      <c r="AV5" s="281"/>
      <c r="AW5" s="281"/>
      <c r="AX5" s="283"/>
      <c r="AY5" s="286" t="s">
        <v>103</v>
      </c>
      <c r="AZ5" s="280"/>
      <c r="BA5" s="280"/>
      <c r="BB5" s="280"/>
      <c r="BC5" s="281" t="s">
        <v>107</v>
      </c>
      <c r="BD5" s="281"/>
      <c r="BE5" s="287"/>
      <c r="BF5" s="281"/>
      <c r="BG5" s="283"/>
      <c r="BH5" s="281" t="s">
        <v>205</v>
      </c>
      <c r="BI5" s="283"/>
      <c r="BJ5" s="283"/>
      <c r="BK5" s="283"/>
      <c r="BL5" s="283"/>
      <c r="BM5" s="281" t="s">
        <v>319</v>
      </c>
      <c r="BN5" s="283"/>
      <c r="BO5" s="283"/>
      <c r="BP5" s="283"/>
      <c r="BQ5" s="283"/>
      <c r="BR5" s="283"/>
      <c r="BS5" s="281" t="s">
        <v>329</v>
      </c>
      <c r="BT5" s="283"/>
      <c r="BU5" s="283"/>
      <c r="BV5" s="283"/>
      <c r="BW5" s="283"/>
      <c r="BX5" s="283"/>
      <c r="BY5" s="281" t="s">
        <v>21</v>
      </c>
      <c r="BZ5" s="281"/>
      <c r="CA5" s="281"/>
      <c r="CB5" s="281"/>
      <c r="CC5" s="281"/>
      <c r="CD5" s="46"/>
      <c r="CE5" s="278" t="str">
        <f>+Inputs!$B$2</f>
        <v>FOR THE TWELVE MONTHS ENDED DECEMBER 31, 2024</v>
      </c>
      <c r="CF5" s="281"/>
      <c r="CG5" s="105"/>
      <c r="CH5" s="281"/>
      <c r="CI5" s="281"/>
      <c r="CJ5" s="281"/>
      <c r="CK5" s="285"/>
      <c r="CL5" s="285"/>
      <c r="CM5" s="285"/>
      <c r="CN5" s="285"/>
      <c r="CO5" s="278" t="str">
        <f>+Inputs!$B$2</f>
        <v>FOR THE TWELVE MONTHS ENDED DECEMBER 31, 2024</v>
      </c>
      <c r="CP5" s="285"/>
      <c r="CQ5" s="281"/>
      <c r="CR5" s="281"/>
      <c r="CS5" s="281"/>
      <c r="CT5" s="281"/>
      <c r="CU5" s="281"/>
      <c r="CV5" s="281"/>
      <c r="CW5" s="281"/>
      <c r="CX5" s="281"/>
      <c r="CY5" s="281"/>
      <c r="CZ5" s="281"/>
      <c r="DA5" s="278" t="str">
        <f>+Inputs!$B$2</f>
        <v>FOR THE TWELVE MONTHS ENDED DECEMBER 31, 2024</v>
      </c>
      <c r="DB5" s="285"/>
      <c r="DC5" s="285"/>
      <c r="DD5" s="285"/>
      <c r="DE5" s="285"/>
      <c r="DG5"/>
      <c r="DH5"/>
      <c r="DI5"/>
      <c r="DJ5"/>
      <c r="DK5"/>
      <c r="DL5"/>
      <c r="DM5"/>
      <c r="DN5"/>
      <c r="DO5"/>
      <c r="DP5"/>
      <c r="DQ5"/>
      <c r="DR5"/>
    </row>
    <row r="6" spans="1:122" s="36" customFormat="1" ht="15" customHeight="1" x14ac:dyDescent="0.2">
      <c r="A6" s="180" t="str">
        <f>+Inputs!$B$2</f>
        <v>FOR THE TWELVE MONTHS ENDED DECEMBER 31, 2024</v>
      </c>
      <c r="B6" s="180"/>
      <c r="C6" s="179"/>
      <c r="D6" s="180"/>
      <c r="E6" s="191"/>
      <c r="F6" s="207"/>
      <c r="G6" s="180" t="str">
        <f>+Inputs!$B$2</f>
        <v>FOR THE TWELVE MONTHS ENDED DECEMBER 31, 2024</v>
      </c>
      <c r="H6" s="180"/>
      <c r="I6" s="179"/>
      <c r="J6" s="180"/>
      <c r="K6" s="191"/>
      <c r="L6" s="180" t="str">
        <f>+Inputs!$B$2</f>
        <v>FOR THE TWELVE MONTHS ENDED DECEMBER 31, 2024</v>
      </c>
      <c r="M6" s="4"/>
      <c r="N6" s="85"/>
      <c r="O6" s="180" t="str">
        <f>+Inputs!$B$2</f>
        <v>FOR THE TWELVE MONTHS ENDED DECEMBER 31, 2024</v>
      </c>
      <c r="P6" s="4"/>
      <c r="Q6" s="4"/>
      <c r="R6" s="31"/>
      <c r="S6" s="180" t="str">
        <f>+Inputs!$B$2</f>
        <v>FOR THE TWELVE MONTHS ENDED DECEMBER 31, 2024</v>
      </c>
      <c r="T6" s="4"/>
      <c r="U6" s="31"/>
      <c r="V6" s="204"/>
      <c r="W6" s="180" t="str">
        <f>+Inputs!$B$2</f>
        <v>FOR THE TWELVE MONTHS ENDED DECEMBER 31, 2024</v>
      </c>
      <c r="X6" s="204"/>
      <c r="Y6" s="204"/>
      <c r="Z6" s="204"/>
      <c r="AA6" s="204"/>
      <c r="AB6" s="180" t="str">
        <f>+Inputs!$B$2</f>
        <v>FOR THE TWELVE MONTHS ENDED DECEMBER 31, 2024</v>
      </c>
      <c r="AC6" s="4"/>
      <c r="AD6" s="4"/>
      <c r="AE6" s="4"/>
      <c r="AF6" s="4"/>
      <c r="AG6" s="4"/>
      <c r="AH6" s="4"/>
      <c r="AI6" s="180" t="str">
        <f>+Inputs!$B$2</f>
        <v>FOR THE TWELVE MONTHS ENDED DECEMBER 31, 2024</v>
      </c>
      <c r="AJ6" s="4"/>
      <c r="AK6" s="4"/>
      <c r="AL6" s="4"/>
      <c r="AM6" s="31"/>
      <c r="AN6" s="180" t="str">
        <f>+Inputs!$B$2</f>
        <v>FOR THE TWELVE MONTHS ENDED DECEMBER 31, 2024</v>
      </c>
      <c r="AO6" s="31"/>
      <c r="AP6" s="31"/>
      <c r="AQ6" s="31"/>
      <c r="AR6" s="31"/>
      <c r="AS6" s="31"/>
      <c r="AT6" s="180" t="str">
        <f>+Inputs!$B$2</f>
        <v>FOR THE TWELVE MONTHS ENDED DECEMBER 31, 2024</v>
      </c>
      <c r="AU6" s="4"/>
      <c r="AV6" s="4"/>
      <c r="AW6" s="4"/>
      <c r="AX6" s="31"/>
      <c r="AY6" s="180" t="str">
        <f>+Inputs!$B$2</f>
        <v>FOR THE TWELVE MONTHS ENDED DECEMBER 31, 2024</v>
      </c>
      <c r="AZ6" s="205"/>
      <c r="BA6" s="205"/>
      <c r="BB6" s="205"/>
      <c r="BC6" s="180" t="str">
        <f>+Inputs!$B$2</f>
        <v>FOR THE TWELVE MONTHS ENDED DECEMBER 31, 2024</v>
      </c>
      <c r="BD6" s="4"/>
      <c r="BE6" s="206"/>
      <c r="BF6" s="4"/>
      <c r="BG6" s="31"/>
      <c r="BH6" s="180" t="str">
        <f>+Inputs!$B$2</f>
        <v>FOR THE TWELVE MONTHS ENDED DECEMBER 31, 2024</v>
      </c>
      <c r="BI6" s="31"/>
      <c r="BJ6" s="31"/>
      <c r="BK6" s="31"/>
      <c r="BL6" s="31"/>
      <c r="BM6" s="180" t="str">
        <f>+Inputs!$B$2</f>
        <v>FOR THE TWELVE MONTHS ENDED DECEMBER 31, 2024</v>
      </c>
      <c r="BN6" s="31"/>
      <c r="BO6" s="31"/>
      <c r="BP6" s="31"/>
      <c r="BQ6" s="31"/>
      <c r="BR6" s="31"/>
      <c r="BS6" s="180" t="str">
        <f>+Inputs!$B$2</f>
        <v>FOR THE TWELVE MONTHS ENDED DECEMBER 31, 2024</v>
      </c>
      <c r="BT6" s="31"/>
      <c r="BU6" s="31"/>
      <c r="BV6" s="31"/>
      <c r="BW6" s="31"/>
      <c r="BX6" s="31"/>
      <c r="BY6" s="180" t="str">
        <f>+Inputs!$B$2</f>
        <v>FOR THE TWELVE MONTHS ENDED DECEMBER 31, 2024</v>
      </c>
      <c r="BZ6" s="4"/>
      <c r="CA6" s="4"/>
      <c r="CB6" s="4"/>
      <c r="CC6" s="4"/>
      <c r="CD6" s="46"/>
      <c r="CE6" s="179" t="s">
        <v>84</v>
      </c>
      <c r="CF6" s="4"/>
      <c r="CG6" s="105"/>
      <c r="CH6" s="4"/>
      <c r="CI6" s="4"/>
      <c r="CJ6" s="4"/>
      <c r="CK6" s="4"/>
      <c r="CL6" s="105"/>
      <c r="CM6" s="4"/>
      <c r="CN6" s="4"/>
      <c r="CO6" s="179" t="s">
        <v>84</v>
      </c>
      <c r="CP6" s="4"/>
      <c r="CQ6" s="29"/>
      <c r="CR6" s="29"/>
      <c r="CS6" s="29"/>
      <c r="CT6" s="4"/>
      <c r="CU6" s="4"/>
      <c r="CV6" s="4"/>
      <c r="CW6" s="105"/>
      <c r="CX6" s="105"/>
      <c r="CY6" s="105"/>
      <c r="CZ6" s="4"/>
      <c r="DA6" s="179" t="s">
        <v>84</v>
      </c>
      <c r="DB6" s="4"/>
      <c r="DC6" s="4"/>
      <c r="DD6" s="4"/>
      <c r="DE6" s="4"/>
      <c r="DG6"/>
      <c r="DH6"/>
      <c r="DI6"/>
      <c r="DJ6"/>
      <c r="DK6"/>
      <c r="DL6"/>
      <c r="DM6"/>
      <c r="DN6"/>
      <c r="DO6"/>
      <c r="DP6"/>
      <c r="DQ6"/>
      <c r="DR6"/>
    </row>
    <row r="7" spans="1:122" s="30" customFormat="1" ht="15" customHeight="1" x14ac:dyDescent="0.2">
      <c r="A7" s="179" t="s">
        <v>84</v>
      </c>
      <c r="B7" s="180"/>
      <c r="C7" s="179"/>
      <c r="D7" s="179"/>
      <c r="E7" s="191"/>
      <c r="F7" s="31"/>
      <c r="G7" s="179" t="s">
        <v>84</v>
      </c>
      <c r="H7" s="180"/>
      <c r="I7" s="179"/>
      <c r="J7" s="179"/>
      <c r="K7" s="191"/>
      <c r="L7" s="179" t="s">
        <v>84</v>
      </c>
      <c r="M7" s="29"/>
      <c r="N7" s="85"/>
      <c r="O7" s="179" t="s">
        <v>84</v>
      </c>
      <c r="P7" s="4"/>
      <c r="Q7" s="4"/>
      <c r="R7" s="31"/>
      <c r="S7" s="179" t="s">
        <v>84</v>
      </c>
      <c r="T7" s="29"/>
      <c r="U7" s="4"/>
      <c r="V7" s="204"/>
      <c r="W7" s="179" t="s">
        <v>84</v>
      </c>
      <c r="X7" s="204"/>
      <c r="Y7" s="204"/>
      <c r="Z7" s="204"/>
      <c r="AA7" s="204"/>
      <c r="AB7" s="179" t="s">
        <v>84</v>
      </c>
      <c r="AC7" s="4"/>
      <c r="AD7" s="4"/>
      <c r="AE7" s="4"/>
      <c r="AF7" s="4"/>
      <c r="AG7" s="4"/>
      <c r="AH7" s="4"/>
      <c r="AI7" s="179" t="s">
        <v>84</v>
      </c>
      <c r="AJ7" s="4"/>
      <c r="AK7" s="4"/>
      <c r="AL7" s="29"/>
      <c r="AM7" s="31"/>
      <c r="AN7" s="179" t="s">
        <v>84</v>
      </c>
      <c r="AO7" s="4"/>
      <c r="AP7" s="4"/>
      <c r="AQ7" s="105"/>
      <c r="AR7" s="105"/>
      <c r="AS7" s="4"/>
      <c r="AT7" s="179" t="s">
        <v>84</v>
      </c>
      <c r="AU7" s="4"/>
      <c r="AV7" s="4"/>
      <c r="AW7" s="29"/>
      <c r="AX7" s="31"/>
      <c r="AY7" s="179" t="s">
        <v>84</v>
      </c>
      <c r="AZ7" s="205"/>
      <c r="BA7" s="205"/>
      <c r="BB7" s="205"/>
      <c r="BC7" s="179" t="s">
        <v>84</v>
      </c>
      <c r="BD7" s="4"/>
      <c r="BE7" s="206"/>
      <c r="BF7" s="4"/>
      <c r="BG7" s="4"/>
      <c r="BH7" s="179" t="s">
        <v>84</v>
      </c>
      <c r="BI7" s="31"/>
      <c r="BJ7" s="31"/>
      <c r="BK7" s="31"/>
      <c r="BL7" s="31"/>
      <c r="BM7" s="179" t="s">
        <v>84</v>
      </c>
      <c r="BN7" s="31"/>
      <c r="BO7" s="31"/>
      <c r="BP7" s="31"/>
      <c r="BQ7" s="31"/>
      <c r="BR7" s="31"/>
      <c r="BS7" s="179" t="s">
        <v>84</v>
      </c>
      <c r="BT7" s="31"/>
      <c r="BU7" s="31"/>
      <c r="BV7" s="31"/>
      <c r="BW7" s="31"/>
      <c r="BX7" s="31"/>
      <c r="BY7" s="179" t="s">
        <v>84</v>
      </c>
      <c r="BZ7" s="4"/>
      <c r="CA7" s="4"/>
      <c r="CB7" s="4"/>
      <c r="CC7" s="4"/>
      <c r="CD7" s="46"/>
      <c r="CE7" s="87"/>
      <c r="CF7" s="4"/>
      <c r="CG7" s="105" t="s">
        <v>20</v>
      </c>
      <c r="CH7" s="4"/>
      <c r="CI7" s="4"/>
      <c r="CJ7" s="4"/>
      <c r="CK7" s="29"/>
      <c r="CL7" s="29"/>
      <c r="CM7" s="29"/>
      <c r="CN7" s="29"/>
      <c r="CO7" s="29"/>
      <c r="CP7" s="29"/>
      <c r="CQ7" s="4"/>
      <c r="CR7" s="4"/>
      <c r="CS7" s="4"/>
      <c r="CT7" s="4"/>
      <c r="CU7" s="4"/>
      <c r="CV7" s="4"/>
      <c r="CW7" s="105"/>
      <c r="CX7" s="105"/>
      <c r="CY7" s="105"/>
      <c r="CZ7" s="4"/>
      <c r="DB7" s="4"/>
      <c r="DC7" s="4"/>
      <c r="DD7" s="4"/>
      <c r="DE7" s="4"/>
      <c r="DG7"/>
      <c r="DH7"/>
      <c r="DI7"/>
      <c r="DJ7"/>
      <c r="DK7"/>
      <c r="DL7"/>
      <c r="DM7"/>
      <c r="DN7"/>
      <c r="DO7"/>
      <c r="DP7"/>
      <c r="DQ7"/>
      <c r="DR7"/>
    </row>
    <row r="8" spans="1:122" s="30" customFormat="1" ht="15" customHeight="1" x14ac:dyDescent="0.2">
      <c r="A8" s="176"/>
      <c r="B8" s="176"/>
      <c r="C8" s="176"/>
      <c r="D8" s="176"/>
      <c r="E8" s="154"/>
      <c r="F8" s="154"/>
      <c r="G8" s="154"/>
      <c r="H8" s="152"/>
      <c r="I8" s="152"/>
      <c r="J8" s="152"/>
      <c r="K8" s="152"/>
      <c r="M8" s="32"/>
      <c r="N8" s="88"/>
      <c r="P8" s="32"/>
      <c r="Q8" s="28"/>
      <c r="R8" s="28"/>
      <c r="S8" s="129"/>
      <c r="AD8" s="152"/>
      <c r="AE8" s="152"/>
      <c r="AF8" s="152" t="s">
        <v>170</v>
      </c>
      <c r="AG8" s="152"/>
      <c r="AH8" s="152" t="s">
        <v>95</v>
      </c>
      <c r="AI8" s="203"/>
      <c r="AJ8" s="209"/>
      <c r="AK8" s="209"/>
      <c r="AL8" s="203"/>
      <c r="AM8" s="203"/>
      <c r="AT8" s="203"/>
      <c r="AU8" s="209"/>
      <c r="AV8" s="209"/>
      <c r="AW8" s="203"/>
      <c r="AX8" s="203"/>
      <c r="AY8" s="201"/>
      <c r="AZ8" s="201"/>
      <c r="BA8" s="201"/>
      <c r="BB8" s="201"/>
      <c r="BC8" s="208"/>
      <c r="BE8" s="202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CG8" s="63" t="s">
        <v>23</v>
      </c>
      <c r="CH8" s="63"/>
      <c r="CI8" s="63"/>
      <c r="CJ8" s="63"/>
      <c r="CK8" s="63"/>
      <c r="CL8" s="63"/>
      <c r="CM8" s="63"/>
      <c r="CN8" s="63"/>
      <c r="CO8" s="63" t="s">
        <v>23</v>
      </c>
      <c r="CP8" s="89"/>
      <c r="CQ8" s="63"/>
      <c r="CR8" s="63"/>
      <c r="CS8" s="63"/>
      <c r="CT8" s="63"/>
      <c r="CU8" s="63"/>
      <c r="CV8" s="63"/>
      <c r="CW8" s="63"/>
      <c r="CX8" s="63"/>
      <c r="CY8" s="63"/>
      <c r="CZ8" s="63"/>
      <c r="DG8"/>
      <c r="DH8"/>
      <c r="DI8"/>
      <c r="DJ8"/>
      <c r="DK8"/>
      <c r="DL8"/>
      <c r="DM8"/>
      <c r="DN8"/>
      <c r="DO8"/>
      <c r="DP8"/>
      <c r="DQ8"/>
      <c r="DR8"/>
    </row>
    <row r="9" spans="1:122" s="30" customFormat="1" ht="15" customHeight="1" x14ac:dyDescent="0.2">
      <c r="A9" s="154" t="s">
        <v>24</v>
      </c>
      <c r="B9" s="178"/>
      <c r="C9" s="176"/>
      <c r="D9" s="176"/>
      <c r="E9" s="154"/>
      <c r="F9" s="154"/>
      <c r="G9" s="154" t="s">
        <v>24</v>
      </c>
      <c r="H9" s="152"/>
      <c r="I9" s="152"/>
      <c r="J9" s="152"/>
      <c r="K9" s="152"/>
      <c r="L9" s="39" t="s">
        <v>24</v>
      </c>
      <c r="N9" s="88"/>
      <c r="O9" s="39" t="s">
        <v>24</v>
      </c>
      <c r="R9" s="15" t="s">
        <v>20</v>
      </c>
      <c r="S9" s="15" t="s">
        <v>24</v>
      </c>
      <c r="U9" s="129"/>
      <c r="V9" s="210"/>
      <c r="W9" s="15" t="s">
        <v>24</v>
      </c>
      <c r="AA9" s="36"/>
      <c r="AB9" s="39" t="s">
        <v>24</v>
      </c>
      <c r="AC9" s="32"/>
      <c r="AD9" s="152" t="s">
        <v>96</v>
      </c>
      <c r="AE9" s="152" t="s">
        <v>97</v>
      </c>
      <c r="AF9" s="152" t="s">
        <v>171</v>
      </c>
      <c r="AG9" s="152" t="s">
        <v>96</v>
      </c>
      <c r="AH9" s="152" t="s">
        <v>98</v>
      </c>
      <c r="AI9" s="39" t="s">
        <v>24</v>
      </c>
      <c r="AK9" s="385"/>
      <c r="AL9" s="386"/>
      <c r="AM9" s="386"/>
      <c r="AN9" s="39" t="s">
        <v>24</v>
      </c>
      <c r="AT9" s="15" t="s">
        <v>24</v>
      </c>
      <c r="AU9" s="203"/>
      <c r="AV9" s="203"/>
      <c r="AW9" s="203"/>
      <c r="AX9" s="203"/>
      <c r="AY9" s="154" t="s">
        <v>24</v>
      </c>
      <c r="AZ9" s="211"/>
      <c r="BA9" s="211"/>
      <c r="BB9" s="201"/>
      <c r="BC9" s="208" t="s">
        <v>25</v>
      </c>
      <c r="BE9" s="202"/>
      <c r="BF9" s="39"/>
      <c r="BG9" s="39"/>
      <c r="BH9" s="39" t="s">
        <v>24</v>
      </c>
      <c r="BJ9" s="39"/>
      <c r="BK9" s="39"/>
      <c r="BL9" s="39"/>
      <c r="BM9" s="39" t="s">
        <v>24</v>
      </c>
      <c r="BP9" s="39"/>
      <c r="BQ9" s="39"/>
      <c r="BR9" s="39"/>
      <c r="BS9" s="39" t="s">
        <v>24</v>
      </c>
      <c r="BV9" s="39"/>
      <c r="BW9" s="39"/>
      <c r="BX9" s="39"/>
      <c r="BY9" s="15" t="s">
        <v>24</v>
      </c>
      <c r="CG9" s="15" t="s">
        <v>26</v>
      </c>
      <c r="CH9" s="28" t="s">
        <v>138</v>
      </c>
      <c r="CI9" s="28" t="s">
        <v>168</v>
      </c>
      <c r="CJ9" s="28" t="s">
        <v>27</v>
      </c>
      <c r="CK9" s="28" t="s">
        <v>28</v>
      </c>
      <c r="CL9" s="15" t="s">
        <v>159</v>
      </c>
      <c r="CM9" s="15" t="s">
        <v>199</v>
      </c>
      <c r="CN9" s="28" t="s">
        <v>29</v>
      </c>
      <c r="CO9" s="28"/>
      <c r="CP9" s="28"/>
      <c r="CQ9" s="15" t="s">
        <v>174</v>
      </c>
      <c r="CR9" s="15" t="s">
        <v>79</v>
      </c>
      <c r="CS9" s="15" t="s">
        <v>93</v>
      </c>
      <c r="CT9" s="152" t="s">
        <v>105</v>
      </c>
      <c r="CU9" s="15" t="s">
        <v>110</v>
      </c>
      <c r="CV9" s="15" t="s">
        <v>203</v>
      </c>
      <c r="CW9" s="15" t="s">
        <v>320</v>
      </c>
      <c r="CX9" s="15" t="s">
        <v>328</v>
      </c>
      <c r="CY9" s="15" t="s">
        <v>31</v>
      </c>
      <c r="CZ9" s="15" t="s">
        <v>70</v>
      </c>
      <c r="DC9" s="15" t="s">
        <v>30</v>
      </c>
      <c r="DD9" s="15"/>
      <c r="DE9" s="15" t="s">
        <v>34</v>
      </c>
      <c r="DG9"/>
      <c r="DH9"/>
      <c r="DI9"/>
      <c r="DJ9"/>
      <c r="DK9"/>
      <c r="DL9"/>
      <c r="DM9"/>
      <c r="DN9"/>
      <c r="DO9"/>
      <c r="DP9"/>
      <c r="DQ9"/>
      <c r="DR9"/>
    </row>
    <row r="10" spans="1:122" s="30" customFormat="1" ht="15" customHeight="1" x14ac:dyDescent="0.2">
      <c r="A10" s="155" t="s">
        <v>32</v>
      </c>
      <c r="B10" s="212" t="s">
        <v>33</v>
      </c>
      <c r="C10" s="52" t="s">
        <v>30</v>
      </c>
      <c r="D10" s="52" t="s">
        <v>34</v>
      </c>
      <c r="E10" s="371" t="s">
        <v>36</v>
      </c>
      <c r="F10" s="371"/>
      <c r="G10" s="155" t="s">
        <v>32</v>
      </c>
      <c r="H10" s="184" t="s">
        <v>33</v>
      </c>
      <c r="I10" s="184"/>
      <c r="J10" s="185" t="s">
        <v>36</v>
      </c>
      <c r="K10" s="185"/>
      <c r="L10" s="52" t="s">
        <v>32</v>
      </c>
      <c r="M10" s="34" t="s">
        <v>33</v>
      </c>
      <c r="N10" s="90" t="s">
        <v>35</v>
      </c>
      <c r="O10" s="52" t="s">
        <v>32</v>
      </c>
      <c r="P10" s="34" t="s">
        <v>33</v>
      </c>
      <c r="Q10" s="21"/>
      <c r="R10" s="21" t="s">
        <v>35</v>
      </c>
      <c r="S10" s="21" t="s">
        <v>32</v>
      </c>
      <c r="T10" s="213" t="s">
        <v>33</v>
      </c>
      <c r="U10" s="21"/>
      <c r="V10" s="214" t="s">
        <v>36</v>
      </c>
      <c r="W10" s="21" t="s">
        <v>32</v>
      </c>
      <c r="X10" s="213" t="s">
        <v>33</v>
      </c>
      <c r="Y10" s="34"/>
      <c r="Z10" s="266"/>
      <c r="AA10" s="21" t="s">
        <v>35</v>
      </c>
      <c r="AB10" s="52" t="s">
        <v>32</v>
      </c>
      <c r="AC10" s="153" t="s">
        <v>101</v>
      </c>
      <c r="AD10" s="153" t="s">
        <v>98</v>
      </c>
      <c r="AE10" s="153" t="s">
        <v>99</v>
      </c>
      <c r="AF10" s="153" t="s">
        <v>168</v>
      </c>
      <c r="AG10" s="153" t="s">
        <v>99</v>
      </c>
      <c r="AH10" s="153" t="s">
        <v>100</v>
      </c>
      <c r="AI10" s="21" t="s">
        <v>32</v>
      </c>
      <c r="AJ10" s="33" t="s">
        <v>33</v>
      </c>
      <c r="AK10" s="217" t="s">
        <v>30</v>
      </c>
      <c r="AL10" s="219" t="s">
        <v>34</v>
      </c>
      <c r="AM10" s="52" t="s">
        <v>36</v>
      </c>
      <c r="AN10" s="21" t="s">
        <v>32</v>
      </c>
      <c r="AO10" s="213" t="s">
        <v>33</v>
      </c>
      <c r="AP10" s="213"/>
      <c r="AQ10" s="21" t="s">
        <v>85</v>
      </c>
      <c r="AR10" s="21" t="s">
        <v>34</v>
      </c>
      <c r="AS10" s="218" t="s">
        <v>36</v>
      </c>
      <c r="AT10" s="21" t="s">
        <v>32</v>
      </c>
      <c r="AU10" s="213" t="s">
        <v>33</v>
      </c>
      <c r="AV10" s="21" t="s">
        <v>85</v>
      </c>
      <c r="AW10" s="21" t="s">
        <v>34</v>
      </c>
      <c r="AX10" s="218" t="s">
        <v>36</v>
      </c>
      <c r="AY10" s="155" t="s">
        <v>32</v>
      </c>
      <c r="AZ10" s="212" t="s">
        <v>33</v>
      </c>
      <c r="BA10" s="153"/>
      <c r="BB10" s="215" t="s">
        <v>35</v>
      </c>
      <c r="BC10" s="216" t="s">
        <v>32</v>
      </c>
      <c r="BD10" s="34" t="s">
        <v>33</v>
      </c>
      <c r="BE10" s="217" t="s">
        <v>30</v>
      </c>
      <c r="BF10" s="52" t="s">
        <v>198</v>
      </c>
      <c r="BG10" s="52" t="s">
        <v>36</v>
      </c>
      <c r="BH10" s="21" t="s">
        <v>32</v>
      </c>
      <c r="BI10" s="33" t="s">
        <v>33</v>
      </c>
      <c r="BJ10" s="52" t="s">
        <v>30</v>
      </c>
      <c r="BK10" s="52" t="s">
        <v>34</v>
      </c>
      <c r="BL10" s="52" t="s">
        <v>36</v>
      </c>
      <c r="BM10" s="21" t="s">
        <v>32</v>
      </c>
      <c r="BN10" s="33" t="s">
        <v>33</v>
      </c>
      <c r="BO10" s="33"/>
      <c r="BP10" s="52" t="s">
        <v>30</v>
      </c>
      <c r="BQ10" s="52" t="s">
        <v>34</v>
      </c>
      <c r="BR10" s="52" t="s">
        <v>36</v>
      </c>
      <c r="BS10" s="21" t="s">
        <v>32</v>
      </c>
      <c r="BT10" s="33" t="s">
        <v>33</v>
      </c>
      <c r="BU10" s="33"/>
      <c r="BV10" s="52" t="s">
        <v>30</v>
      </c>
      <c r="BW10" s="52" t="s">
        <v>34</v>
      </c>
      <c r="BX10" s="52" t="s">
        <v>36</v>
      </c>
      <c r="BY10" s="21" t="s">
        <v>32</v>
      </c>
      <c r="BZ10" s="34" t="s">
        <v>33</v>
      </c>
      <c r="CA10" s="21" t="s">
        <v>44</v>
      </c>
      <c r="CB10" s="21" t="s">
        <v>45</v>
      </c>
      <c r="CC10" s="21" t="s">
        <v>35</v>
      </c>
      <c r="CD10" s="28"/>
      <c r="CE10" s="15" t="s">
        <v>24</v>
      </c>
      <c r="CF10" s="140"/>
      <c r="CG10" s="15" t="s">
        <v>37</v>
      </c>
      <c r="CH10" s="28" t="s">
        <v>139</v>
      </c>
      <c r="CI10" s="28" t="s">
        <v>167</v>
      </c>
      <c r="CJ10" s="28" t="s">
        <v>39</v>
      </c>
      <c r="CK10" s="28" t="s">
        <v>40</v>
      </c>
      <c r="CL10" s="15" t="s">
        <v>165</v>
      </c>
      <c r="CM10" s="15" t="s">
        <v>200</v>
      </c>
      <c r="CN10" s="28" t="s">
        <v>41</v>
      </c>
      <c r="CO10" s="15" t="s">
        <v>24</v>
      </c>
      <c r="CQ10" s="15" t="s">
        <v>175</v>
      </c>
      <c r="CR10" s="15" t="s">
        <v>80</v>
      </c>
      <c r="CS10" s="15" t="s">
        <v>94</v>
      </c>
      <c r="CT10" s="220" t="s">
        <v>106</v>
      </c>
      <c r="CU10" s="15" t="s">
        <v>111</v>
      </c>
      <c r="CV10" s="15" t="s">
        <v>204</v>
      </c>
      <c r="CW10" s="15" t="s">
        <v>321</v>
      </c>
      <c r="CX10" s="15" t="s">
        <v>327</v>
      </c>
      <c r="CY10" s="15" t="s">
        <v>42</v>
      </c>
      <c r="CZ10" s="15" t="s">
        <v>43</v>
      </c>
      <c r="DA10" s="15" t="s">
        <v>24</v>
      </c>
      <c r="DC10" s="15" t="s">
        <v>43</v>
      </c>
      <c r="DD10" s="15" t="s">
        <v>31</v>
      </c>
      <c r="DE10" s="15" t="s">
        <v>43</v>
      </c>
      <c r="DG10"/>
      <c r="DH10"/>
      <c r="DI10"/>
      <c r="DJ10"/>
      <c r="DK10"/>
      <c r="DL10"/>
      <c r="DM10"/>
      <c r="DN10"/>
      <c r="DO10"/>
      <c r="DP10"/>
      <c r="DQ10"/>
      <c r="DR10"/>
    </row>
    <row r="11" spans="1:122" ht="15" customHeight="1" x14ac:dyDescent="0.2">
      <c r="A11" s="159"/>
      <c r="B11" s="221"/>
      <c r="C11" s="221"/>
      <c r="D11" s="181"/>
      <c r="E11" s="151"/>
      <c r="F11" s="151"/>
      <c r="G11" s="151"/>
      <c r="H11" s="186"/>
      <c r="I11" s="186"/>
      <c r="J11" s="187"/>
      <c r="K11" s="187"/>
      <c r="N11" s="55"/>
      <c r="O11" s="16"/>
      <c r="P11" s="78"/>
      <c r="Q11" s="79" t="s">
        <v>20</v>
      </c>
      <c r="R11" s="56"/>
      <c r="S11" s="16"/>
      <c r="T11" s="222"/>
      <c r="U11" s="223"/>
      <c r="V11" s="224"/>
      <c r="W11" s="224"/>
      <c r="X11" s="224"/>
      <c r="Y11" s="224"/>
      <c r="Z11" s="224"/>
      <c r="AA11" s="224"/>
      <c r="AD11" s="405" t="s">
        <v>245</v>
      </c>
      <c r="AE11" s="405" t="s">
        <v>246</v>
      </c>
      <c r="AF11" s="405" t="s">
        <v>246</v>
      </c>
      <c r="AG11" s="405" t="s">
        <v>246</v>
      </c>
      <c r="AI11" s="2"/>
      <c r="AJ11" s="2"/>
      <c r="AK11" s="2"/>
      <c r="AL11" s="2"/>
      <c r="AM11" s="2"/>
      <c r="AS11" s="2"/>
      <c r="AT11" s="17"/>
      <c r="AU11" s="17"/>
      <c r="AV11" s="17"/>
      <c r="AW11" s="17"/>
      <c r="AX11" s="17"/>
      <c r="BC11" s="53"/>
      <c r="BD11" s="54"/>
      <c r="BE11" s="19"/>
      <c r="BH11" s="2"/>
      <c r="BI11" s="182"/>
      <c r="BJ11" s="182"/>
      <c r="BK11" s="182"/>
      <c r="BL11" s="182"/>
      <c r="BM11" s="413"/>
      <c r="BN11" s="341"/>
      <c r="BO11" s="341"/>
      <c r="BP11" s="341"/>
      <c r="BQ11" s="341"/>
      <c r="BR11" s="341"/>
      <c r="BS11" s="413"/>
      <c r="BT11" s="341"/>
      <c r="BU11" s="341"/>
      <c r="BV11" s="341"/>
      <c r="BW11" s="341"/>
      <c r="BX11" s="341"/>
      <c r="CE11" s="15" t="s">
        <v>32</v>
      </c>
      <c r="CF11" s="102"/>
      <c r="CG11" s="454" t="s">
        <v>360</v>
      </c>
      <c r="CH11" s="194" t="s">
        <v>219</v>
      </c>
      <c r="CI11" s="194" t="s">
        <v>220</v>
      </c>
      <c r="CJ11" s="194" t="s">
        <v>221</v>
      </c>
      <c r="CK11" s="194" t="s">
        <v>222</v>
      </c>
      <c r="CL11" s="194" t="s">
        <v>223</v>
      </c>
      <c r="CM11" s="194" t="s">
        <v>224</v>
      </c>
      <c r="CN11" s="194" t="s">
        <v>225</v>
      </c>
      <c r="CO11" s="15" t="s">
        <v>32</v>
      </c>
      <c r="CP11" s="30"/>
      <c r="CQ11" s="194" t="s">
        <v>226</v>
      </c>
      <c r="CR11" s="194" t="s">
        <v>227</v>
      </c>
      <c r="CS11" s="194" t="s">
        <v>228</v>
      </c>
      <c r="CT11" s="194" t="s">
        <v>229</v>
      </c>
      <c r="CU11" s="194" t="s">
        <v>230</v>
      </c>
      <c r="CV11" s="194" t="s">
        <v>231</v>
      </c>
      <c r="CW11" s="194" t="s">
        <v>282</v>
      </c>
      <c r="CX11" s="194" t="s">
        <v>283</v>
      </c>
      <c r="CY11" s="194"/>
      <c r="CZ11" s="28" t="s">
        <v>37</v>
      </c>
      <c r="DA11" s="21" t="s">
        <v>32</v>
      </c>
      <c r="DB11" s="91"/>
      <c r="DC11" s="21" t="s">
        <v>37</v>
      </c>
      <c r="DD11" s="21" t="s">
        <v>42</v>
      </c>
      <c r="DE11" s="21" t="s">
        <v>37</v>
      </c>
    </row>
    <row r="12" spans="1:122" ht="15" customHeight="1" x14ac:dyDescent="0.2">
      <c r="A12" s="16">
        <v>1</v>
      </c>
      <c r="B12" s="158" t="s">
        <v>128</v>
      </c>
      <c r="C12" s="160"/>
      <c r="D12" s="160"/>
      <c r="E12" s="156"/>
      <c r="F12" s="151"/>
      <c r="G12" s="53">
        <f>ROW()</f>
        <v>12</v>
      </c>
      <c r="H12" s="489" t="s">
        <v>140</v>
      </c>
      <c r="I12" s="156"/>
      <c r="J12" s="156"/>
      <c r="K12" s="156"/>
      <c r="L12" s="106">
        <v>1</v>
      </c>
      <c r="M12" s="92" t="s">
        <v>47</v>
      </c>
      <c r="N12" s="414">
        <f>'[8]Lead G'!$C$13</f>
        <v>257810678.88834029</v>
      </c>
      <c r="O12" s="16">
        <v>1</v>
      </c>
      <c r="P12" s="78" t="s">
        <v>62</v>
      </c>
      <c r="Q12" s="362">
        <f>DE46</f>
        <v>3071117140.366096</v>
      </c>
      <c r="R12" s="18"/>
      <c r="S12" s="53">
        <v>1</v>
      </c>
      <c r="T12" s="493" t="s">
        <v>145</v>
      </c>
      <c r="U12" s="222"/>
      <c r="V12" s="222"/>
      <c r="W12" s="16">
        <v>1</v>
      </c>
      <c r="X12" s="203" t="s">
        <v>202</v>
      </c>
      <c r="Y12" s="267"/>
      <c r="Z12" s="95"/>
      <c r="AA12"/>
      <c r="AB12" s="35" t="s">
        <v>46</v>
      </c>
      <c r="AC12" s="583" t="s">
        <v>369</v>
      </c>
      <c r="AD12" s="511">
        <f>'[9]Lead Sheet'!C14</f>
        <v>5463073.0371479997</v>
      </c>
      <c r="AE12" s="511">
        <f>'[9]Lead Sheet'!D14</f>
        <v>1353307480.9000001</v>
      </c>
      <c r="AF12" s="511">
        <f>'[9]Lead Sheet'!E14</f>
        <v>24275922.09</v>
      </c>
      <c r="AG12" s="511">
        <f>'[9]Lead Sheet'!F14</f>
        <v>1329031558.8100002</v>
      </c>
      <c r="AH12" s="347">
        <f>'[9]Lead Sheet'!G14</f>
        <v>4.1110000000000001E-3</v>
      </c>
      <c r="AI12" s="16">
        <v>1</v>
      </c>
      <c r="AJ12" s="226" t="s">
        <v>295</v>
      </c>
      <c r="AK12" s="228"/>
      <c r="AL12" s="228"/>
      <c r="AM12" s="25"/>
      <c r="AN12" s="16">
        <v>1</v>
      </c>
      <c r="AO12" s="226" t="s">
        <v>71</v>
      </c>
      <c r="AP12" s="227"/>
      <c r="AQ12" s="227"/>
      <c r="AR12" s="227"/>
      <c r="AS12" s="12"/>
      <c r="AT12" s="16">
        <v>1</v>
      </c>
      <c r="AU12" s="17" t="s">
        <v>92</v>
      </c>
      <c r="AV12" s="316">
        <f>'[10] Gas'!$C$12</f>
        <v>93630.193290809853</v>
      </c>
      <c r="AW12" s="316">
        <f>'[10] Gas'!$D$12</f>
        <v>91135.59119924494</v>
      </c>
      <c r="AX12" s="316">
        <f>+AW12-AV12</f>
        <v>-2494.6020915649133</v>
      </c>
      <c r="AY12" s="16">
        <v>1</v>
      </c>
      <c r="AZ12" s="158" t="s">
        <v>104</v>
      </c>
      <c r="BA12" s="158"/>
      <c r="BB12" s="137">
        <f>'[11]3.11G'!$D$11</f>
        <v>12970.922682460985</v>
      </c>
      <c r="BC12" s="53">
        <v>1</v>
      </c>
      <c r="BD12" s="160" t="s">
        <v>63</v>
      </c>
      <c r="BE12" s="337">
        <f>'[12]Lead G'!$C$14</f>
        <v>-561455.00228561822</v>
      </c>
      <c r="BF12" s="337">
        <f>'[12]Lead G'!$D$14</f>
        <v>2069028.2997542508</v>
      </c>
      <c r="BG12" s="130">
        <f>BF12-BE12</f>
        <v>2630483.3020398691</v>
      </c>
      <c r="BH12" s="16">
        <v>1</v>
      </c>
      <c r="BI12" s="130" t="s">
        <v>206</v>
      </c>
      <c r="BJ12" s="327">
        <f>'[13]Lead G'!$C$13</f>
        <v>783000</v>
      </c>
      <c r="BK12" s="327">
        <f>'[13]Lead G'!$D$13</f>
        <v>247666.66666666666</v>
      </c>
      <c r="BL12" s="328">
        <f>BK12-BJ12</f>
        <v>-535333.33333333337</v>
      </c>
      <c r="BM12" s="106">
        <v>1</v>
      </c>
      <c r="BN12" s="225"/>
      <c r="BO12" s="225"/>
      <c r="BP12" s="313"/>
      <c r="BQ12" s="313"/>
      <c r="BR12" s="313"/>
      <c r="BS12" s="106">
        <v>1</v>
      </c>
      <c r="BT12" s="225" t="s">
        <v>330</v>
      </c>
      <c r="BU12" s="225"/>
      <c r="BV12" s="413"/>
      <c r="BW12" s="341"/>
      <c r="BX12" s="341"/>
      <c r="BY12" s="16">
        <v>1</v>
      </c>
      <c r="BZ12" s="160" t="s">
        <v>77</v>
      </c>
      <c r="CC12" s="355">
        <f>'[14]4.01 G'!$E$13</f>
        <v>2.9520000000000002E-3</v>
      </c>
      <c r="CD12" s="229"/>
      <c r="CE12" s="3" t="s">
        <v>48</v>
      </c>
      <c r="CF12" s="3"/>
      <c r="CG12" s="230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</row>
    <row r="13" spans="1:122" ht="15" customHeight="1" x14ac:dyDescent="0.2">
      <c r="A13" s="16">
        <f t="shared" ref="A13:A63" si="0">+A12+1</f>
        <v>2</v>
      </c>
      <c r="B13" s="156"/>
      <c r="C13" s="231" t="s">
        <v>30</v>
      </c>
      <c r="D13" s="232" t="s">
        <v>129</v>
      </c>
      <c r="E13" s="233" t="s">
        <v>130</v>
      </c>
      <c r="F13" s="151"/>
      <c r="G13" s="53">
        <f>ROW()</f>
        <v>13</v>
      </c>
      <c r="H13" s="269"/>
      <c r="I13" s="188"/>
      <c r="J13" s="367"/>
      <c r="K13" s="366"/>
      <c r="L13" s="106">
        <f>L12+1</f>
        <v>2</v>
      </c>
      <c r="M13" s="17"/>
      <c r="N13" s="415"/>
      <c r="O13" s="16">
        <f t="shared" ref="O13:O24" si="1">+O12+1</f>
        <v>2</v>
      </c>
      <c r="P13" s="381"/>
      <c r="Q13" s="322"/>
      <c r="R13" s="18" t="s">
        <v>20</v>
      </c>
      <c r="S13" s="53">
        <f>S12+1</f>
        <v>2</v>
      </c>
      <c r="T13" s="489" t="s">
        <v>140</v>
      </c>
      <c r="U13" s="364"/>
      <c r="V13" s="364"/>
      <c r="W13" s="16">
        <f t="shared" ref="W13:W24" si="2">+W12+1</f>
        <v>2</v>
      </c>
      <c r="X13" s="17"/>
      <c r="Y13" s="267"/>
      <c r="Z13" s="95"/>
      <c r="AA13"/>
      <c r="AB13" s="35">
        <f t="shared" ref="AB13:AB29" si="3">1+AB12</f>
        <v>2</v>
      </c>
      <c r="AC13" s="583" t="s">
        <v>370</v>
      </c>
      <c r="AD13" s="511">
        <f>'[9]Lead Sheet'!C15</f>
        <v>2284939.7383418316</v>
      </c>
      <c r="AE13" s="511">
        <f>'[9]Lead Sheet'!D15</f>
        <v>969590918.08999991</v>
      </c>
      <c r="AF13" s="511">
        <f>'[9]Lead Sheet'!E15</f>
        <v>17618700.510000002</v>
      </c>
      <c r="AG13" s="511">
        <f>'[9]Lead Sheet'!F15</f>
        <v>951972217.57999992</v>
      </c>
      <c r="AH13" s="347">
        <f>'[9]Lead Sheet'!G15</f>
        <v>2.3999999999999998E-3</v>
      </c>
      <c r="AI13" s="16">
        <f t="shared" ref="AI13:AI21" si="4">AI12+1</f>
        <v>2</v>
      </c>
      <c r="AJ13" s="261" t="s">
        <v>244</v>
      </c>
      <c r="AK13" s="228">
        <f>'[15] Gas'!$C$12</f>
        <v>4369592.8750117887</v>
      </c>
      <c r="AL13" s="337">
        <f>'[15] Gas'!$D$12</f>
        <v>3587546.2098816186</v>
      </c>
      <c r="AM13" s="332">
        <f>AL13-AK13</f>
        <v>-782046.66513017006</v>
      </c>
      <c r="AN13" s="16">
        <v>2</v>
      </c>
      <c r="AO13" s="47" t="s">
        <v>72</v>
      </c>
      <c r="AP13" s="47"/>
      <c r="AQ13" s="512">
        <f>'[16]Lead G'!$C$12</f>
        <v>46109182.613928005</v>
      </c>
      <c r="AR13" s="512">
        <f>'[16]Lead G'!$D$12</f>
        <v>47217622.333939999</v>
      </c>
      <c r="AS13" s="512">
        <f>+AR13-AQ13</f>
        <v>1108439.7200119942</v>
      </c>
      <c r="AT13" s="16">
        <f t="shared" ref="AT13:AT20" si="5">AT12+1</f>
        <v>2</v>
      </c>
      <c r="AU13" s="17"/>
      <c r="AV13" s="317"/>
      <c r="AW13" s="317"/>
      <c r="AX13" s="79"/>
      <c r="AY13" s="16">
        <f>AY12+1</f>
        <v>2</v>
      </c>
      <c r="AZ13" s="234"/>
      <c r="BA13" s="234"/>
      <c r="BB13" s="25"/>
      <c r="BC13" s="53">
        <f t="shared" ref="BC13:BC20" si="6">BC12+1</f>
        <v>2</v>
      </c>
      <c r="BD13" s="160"/>
      <c r="BE13" s="338"/>
      <c r="BF13" s="338"/>
      <c r="BG13" s="143"/>
      <c r="BH13" s="16">
        <f t="shared" ref="BH13:BH19" si="7">BH12+1</f>
        <v>2</v>
      </c>
      <c r="BI13" s="130" t="s">
        <v>207</v>
      </c>
      <c r="BJ13" s="329">
        <f>'[13]Lead G'!$C$14</f>
        <v>161939.04878108398</v>
      </c>
      <c r="BK13" s="329">
        <f>'[13]Lead G'!$D$14</f>
        <v>294262.97459116118</v>
      </c>
      <c r="BL13" s="329">
        <f>BK13-BJ13</f>
        <v>132323.9258100772</v>
      </c>
      <c r="BM13" s="106">
        <f t="shared" ref="BM13:BM29" si="8">BM12+1</f>
        <v>2</v>
      </c>
      <c r="BN13" s="225" t="s">
        <v>284</v>
      </c>
      <c r="BO13" s="225"/>
      <c r="BP13" s="413"/>
      <c r="BQ13" s="341"/>
      <c r="BR13" s="341"/>
      <c r="BS13" s="106">
        <f t="shared" ref="BS13:BS17" si="9">BS12+1</f>
        <v>2</v>
      </c>
      <c r="BT13" s="444" t="s">
        <v>331</v>
      </c>
      <c r="BU13" s="444"/>
      <c r="BV13" s="313"/>
      <c r="BW13" s="313">
        <v>0</v>
      </c>
      <c r="BX13" s="313">
        <f>BW13-BV13</f>
        <v>0</v>
      </c>
      <c r="BY13" s="16">
        <f t="shared" ref="BS13:BY20" si="10">+BY12+1</f>
        <v>2</v>
      </c>
      <c r="BZ13" s="160" t="s">
        <v>151</v>
      </c>
      <c r="CC13" s="235">
        <f>'[14]4.01 G'!$E$14</f>
        <v>5.0000000000000001E-3</v>
      </c>
      <c r="CD13" s="236"/>
      <c r="CE13" s="16">
        <v>1</v>
      </c>
      <c r="CF13" s="17" t="s">
        <v>49</v>
      </c>
      <c r="CG13" s="425" t="s">
        <v>20</v>
      </c>
      <c r="CH13" s="22"/>
      <c r="CI13" s="22"/>
      <c r="CJ13" s="22"/>
      <c r="CK13" s="22"/>
      <c r="CL13" s="22"/>
      <c r="CM13" s="22"/>
      <c r="CO13" s="16">
        <v>1</v>
      </c>
      <c r="CP13" s="17" t="s">
        <v>49</v>
      </c>
      <c r="CQ13" s="16"/>
      <c r="CR13" s="22"/>
      <c r="CS13" s="16"/>
      <c r="CU13" s="16"/>
      <c r="CV13" s="16"/>
      <c r="CW13" s="106"/>
      <c r="CX13" s="106"/>
      <c r="CY13" s="106"/>
      <c r="CZ13" s="166"/>
      <c r="DA13" s="16">
        <v>1</v>
      </c>
      <c r="DB13" s="54" t="s">
        <v>0</v>
      </c>
      <c r="DC13" s="22"/>
    </row>
    <row r="14" spans="1:122" ht="15" customHeight="1" x14ac:dyDescent="0.2">
      <c r="A14" s="16">
        <f t="shared" si="0"/>
        <v>3</v>
      </c>
      <c r="B14" s="156"/>
      <c r="C14" s="237" t="s">
        <v>130</v>
      </c>
      <c r="D14" s="238" t="s">
        <v>130</v>
      </c>
      <c r="E14" s="239" t="s">
        <v>131</v>
      </c>
      <c r="F14" s="151"/>
      <c r="G14" s="53">
        <f>ROW()</f>
        <v>14</v>
      </c>
      <c r="H14" s="491" t="s">
        <v>296</v>
      </c>
      <c r="I14" s="119"/>
      <c r="J14" s="66">
        <f>'[17]3.02G'!$D$14</f>
        <v>0</v>
      </c>
      <c r="K14" s="91"/>
      <c r="L14" s="106">
        <f t="shared" ref="L14:L32" si="11">L13+1</f>
        <v>3</v>
      </c>
      <c r="M14" s="17" t="s">
        <v>266</v>
      </c>
      <c r="N14" s="416"/>
      <c r="O14" s="16">
        <f t="shared" si="1"/>
        <v>3</v>
      </c>
      <c r="P14" s="2" t="s">
        <v>169</v>
      </c>
      <c r="Q14" s="324">
        <f>SUM(Q12:Q13)</f>
        <v>3071117140.366096</v>
      </c>
      <c r="S14" s="53">
        <f t="shared" ref="S14:S61" si="12">S13+1</f>
        <v>3</v>
      </c>
      <c r="T14" s="365" t="s">
        <v>146</v>
      </c>
      <c r="U14" s="364"/>
      <c r="V14" s="341">
        <f>'[18]Lead 3.05 '!D14</f>
        <v>18165111.300000001</v>
      </c>
      <c r="W14" s="16">
        <f t="shared" si="2"/>
        <v>3</v>
      </c>
      <c r="X14" s="510" t="s">
        <v>337</v>
      </c>
      <c r="Y14" s="267"/>
      <c r="Z14" s="95">
        <f>'[19]Lead G'!$D$15</f>
        <v>2795000</v>
      </c>
      <c r="AA14" s="36"/>
      <c r="AB14" s="35">
        <f t="shared" si="3"/>
        <v>3</v>
      </c>
      <c r="AC14" s="583" t="s">
        <v>371</v>
      </c>
      <c r="AD14" s="511">
        <f>'[9]Lead Sheet'!C16</f>
        <v>2641960.2282890007</v>
      </c>
      <c r="AE14" s="511">
        <f>'[9]Lead Sheet'!D16</f>
        <v>1141789837.8799999</v>
      </c>
      <c r="AF14" s="511">
        <f>'[9]Lead Sheet'!E16</f>
        <v>15232684.039999999</v>
      </c>
      <c r="AG14" s="511">
        <f>'[9]Lead Sheet'!F16</f>
        <v>1126557153.8399999</v>
      </c>
      <c r="AH14" s="347">
        <f>'[9]Lead Sheet'!G16</f>
        <v>2.3449999999999999E-3</v>
      </c>
      <c r="AI14" s="16">
        <f t="shared" si="4"/>
        <v>3</v>
      </c>
      <c r="AJ14" s="42"/>
      <c r="AK14" s="2"/>
      <c r="AL14" s="2"/>
      <c r="AM14" s="337"/>
      <c r="AN14" s="16">
        <v>3</v>
      </c>
      <c r="AO14" s="240" t="s">
        <v>73</v>
      </c>
      <c r="AP14" s="240"/>
      <c r="AQ14" s="312"/>
      <c r="AR14" s="312"/>
      <c r="AS14" s="312">
        <f>SUM(AS13)</f>
        <v>1108439.7200119942</v>
      </c>
      <c r="AT14" s="16">
        <f t="shared" si="5"/>
        <v>3</v>
      </c>
      <c r="AU14" s="17" t="s">
        <v>53</v>
      </c>
      <c r="AV14" s="318">
        <f>SUM(AV12:AV13)</f>
        <v>93630.193290809853</v>
      </c>
      <c r="AW14" s="318">
        <f>SUM(AW12:AW13)</f>
        <v>91135.59119924494</v>
      </c>
      <c r="AX14" s="319">
        <f>SUM(AX12:AX13)</f>
        <v>-2494.6020915649133</v>
      </c>
      <c r="AY14" s="16">
        <f>AY13+1</f>
        <v>3</v>
      </c>
      <c r="BB14" s="44"/>
      <c r="BC14" s="53">
        <f t="shared" si="6"/>
        <v>3</v>
      </c>
      <c r="BD14" s="160"/>
      <c r="BE14" s="339"/>
      <c r="BF14" s="339"/>
      <c r="BG14" s="339"/>
      <c r="BH14" s="16">
        <f t="shared" si="7"/>
        <v>3</v>
      </c>
      <c r="BI14" s="130" t="s">
        <v>208</v>
      </c>
      <c r="BJ14" s="330">
        <f>SUM(BJ12:BJ13)</f>
        <v>944939.04878108401</v>
      </c>
      <c r="BK14" s="330">
        <f>SUM(BK12:BK13)</f>
        <v>541929.64125782787</v>
      </c>
      <c r="BL14" s="330">
        <f>SUM(BL12:BL13)</f>
        <v>-403009.40752325614</v>
      </c>
      <c r="BM14" s="106">
        <f t="shared" si="8"/>
        <v>3</v>
      </c>
      <c r="BN14" s="444" t="s">
        <v>285</v>
      </c>
      <c r="BO14" s="444"/>
      <c r="BP14" s="313">
        <f>+[20]Gas!D14</f>
        <v>117341796.15826897</v>
      </c>
      <c r="BQ14" s="313">
        <f>+[20]Gas!E14</f>
        <v>41790723.492120922</v>
      </c>
      <c r="BR14" s="313">
        <f>BQ14-BP14</f>
        <v>-75551072.666148052</v>
      </c>
      <c r="BS14" s="106">
        <f t="shared" si="9"/>
        <v>3</v>
      </c>
      <c r="BT14" s="444" t="s">
        <v>332</v>
      </c>
      <c r="BU14" s="444"/>
      <c r="BV14" s="143"/>
      <c r="BW14" s="143">
        <v>0</v>
      </c>
      <c r="BX14" s="143">
        <f>BW14-BV14</f>
        <v>0</v>
      </c>
      <c r="BY14" s="16">
        <f t="shared" si="10"/>
        <v>3</v>
      </c>
      <c r="BZ14" s="160" t="s">
        <v>161</v>
      </c>
      <c r="CB14" s="423">
        <f>'[14]4.01 G'!$D$15</f>
        <v>3.8519999999999999E-2</v>
      </c>
      <c r="CC14" s="402">
        <f>ROUND(CB14-(CB14*CC12),6)</f>
        <v>3.8406000000000003E-2</v>
      </c>
      <c r="CD14" s="236"/>
      <c r="CE14" s="16">
        <f t="shared" ref="CE14:CE17" si="13">+CE13+1</f>
        <v>2</v>
      </c>
      <c r="CF14" s="17" t="s">
        <v>1</v>
      </c>
      <c r="CG14" s="337">
        <f>'[21]Allocated (CBR)'!$C$9</f>
        <v>1253115807.6500001</v>
      </c>
      <c r="CH14" s="24">
        <f>+F35</f>
        <v>-53547.119981568081</v>
      </c>
      <c r="CI14" s="24">
        <f>K15</f>
        <v>0</v>
      </c>
      <c r="CJ14" s="24">
        <v>0</v>
      </c>
      <c r="CK14" s="24">
        <v>0</v>
      </c>
      <c r="CL14" s="337">
        <f>-V25</f>
        <v>5646864.130088388</v>
      </c>
      <c r="CM14" s="24"/>
      <c r="CN14" s="24">
        <v>0</v>
      </c>
      <c r="CO14" s="16">
        <f t="shared" ref="CO14:CO57" si="14">+CO13+1</f>
        <v>2</v>
      </c>
      <c r="CP14" s="17" t="s">
        <v>1</v>
      </c>
      <c r="CQ14" s="24"/>
      <c r="CR14" s="24"/>
      <c r="CS14" s="24">
        <v>0</v>
      </c>
      <c r="CT14" s="24">
        <v>0</v>
      </c>
      <c r="CU14" s="24">
        <v>0</v>
      </c>
      <c r="CV14" s="24"/>
      <c r="CW14" s="337">
        <v>0</v>
      </c>
      <c r="CX14" s="337"/>
      <c r="CY14" s="337">
        <f t="shared" ref="CY14:CY17" si="15">SUM(CH14:CX14)-CO14</f>
        <v>5593317.0101068197</v>
      </c>
      <c r="CZ14" s="25">
        <f>CG14+CY14</f>
        <v>1258709124.6601069</v>
      </c>
      <c r="DA14" s="16">
        <f t="shared" ref="DA14:DA57" si="16">+DA13+1</f>
        <v>2</v>
      </c>
      <c r="DB14" s="17" t="s">
        <v>1</v>
      </c>
      <c r="DC14" s="24">
        <f>CG14</f>
        <v>1253115807.6500001</v>
      </c>
      <c r="DD14" s="24">
        <f>CY14</f>
        <v>5593317.0101068197</v>
      </c>
      <c r="DE14" s="64">
        <f>DC14+DD14</f>
        <v>1258709124.6601069</v>
      </c>
      <c r="DF14" s="25"/>
    </row>
    <row r="15" spans="1:122" ht="15" customHeight="1" thickBot="1" x14ac:dyDescent="0.25">
      <c r="A15" s="16">
        <f t="shared" si="0"/>
        <v>4</v>
      </c>
      <c r="B15" s="406">
        <f>'[22]G Lead Sheet'!B16</f>
        <v>45292</v>
      </c>
      <c r="C15" s="349">
        <f>'[22]G Lead Sheet'!C16</f>
        <v>30178146.067135286</v>
      </c>
      <c r="D15" s="349">
        <f>'[22]G Lead Sheet'!D16</f>
        <v>17325664.528240032</v>
      </c>
      <c r="E15" s="349">
        <f>D15-C15</f>
        <v>-12852481.538895253</v>
      </c>
      <c r="F15" s="422"/>
      <c r="G15" s="53">
        <f>ROW()</f>
        <v>15</v>
      </c>
      <c r="H15" s="361" t="s">
        <v>141</v>
      </c>
      <c r="I15" s="361"/>
      <c r="J15" s="456"/>
      <c r="K15" s="457">
        <f>SUM(J13:J14)</f>
        <v>0</v>
      </c>
      <c r="L15" s="106">
        <f t="shared" si="11"/>
        <v>4</v>
      </c>
      <c r="M15" s="17" t="s">
        <v>267</v>
      </c>
      <c r="N15" s="416">
        <f>'[8]Lead G'!$C$16</f>
        <v>54758846.986551464</v>
      </c>
      <c r="O15" s="16">
        <f t="shared" si="1"/>
        <v>4</v>
      </c>
      <c r="S15" s="53">
        <f t="shared" si="12"/>
        <v>4</v>
      </c>
      <c r="T15" s="365" t="s">
        <v>340</v>
      </c>
      <c r="U15" s="459"/>
      <c r="V15" s="341">
        <f>'[18]Lead 3.05 '!D15</f>
        <v>13822668.77</v>
      </c>
      <c r="W15" s="16">
        <f t="shared" si="2"/>
        <v>4</v>
      </c>
      <c r="X15" s="17" t="s">
        <v>338</v>
      </c>
      <c r="Y15" s="267"/>
      <c r="Z15" s="299">
        <f>'[19]Lead G'!$D$16</f>
        <v>2</v>
      </c>
      <c r="AA15" s="36"/>
      <c r="AB15" s="35">
        <f t="shared" si="3"/>
        <v>4</v>
      </c>
      <c r="AD15" s="475"/>
      <c r="AE15" s="485"/>
      <c r="AF15" s="485"/>
      <c r="AG15" s="485"/>
      <c r="AH15" s="36"/>
      <c r="AI15" s="16">
        <f t="shared" si="4"/>
        <v>4</v>
      </c>
      <c r="AJ15" s="80" t="s">
        <v>177</v>
      </c>
      <c r="AK15" s="337">
        <f>'[15] Gas'!$C$14</f>
        <v>384087.21371353627</v>
      </c>
      <c r="AL15" s="337">
        <f>'[15] Gas'!$D$14</f>
        <v>315345.31184859428</v>
      </c>
      <c r="AM15" s="82">
        <f>AL15-AK15</f>
        <v>-68741.901864941989</v>
      </c>
      <c r="AN15" s="16">
        <v>4</v>
      </c>
      <c r="AS15" s="25"/>
      <c r="AT15" s="16">
        <f t="shared" si="5"/>
        <v>4</v>
      </c>
      <c r="AU15" s="17"/>
      <c r="AV15" s="102"/>
      <c r="AW15" s="102"/>
      <c r="AX15" s="102"/>
      <c r="AY15" s="16">
        <f>AY14+1</f>
        <v>4</v>
      </c>
      <c r="AZ15" s="156" t="s">
        <v>55</v>
      </c>
      <c r="BB15" s="315">
        <f>-BB12</f>
        <v>-12970.922682460985</v>
      </c>
      <c r="BC15" s="53">
        <f t="shared" si="6"/>
        <v>4</v>
      </c>
      <c r="BD15" s="160" t="s">
        <v>108</v>
      </c>
      <c r="BE15" s="340">
        <f>SUM(BE12:BE13)</f>
        <v>-561455.00228561822</v>
      </c>
      <c r="BF15" s="340">
        <f>SUM(BF12:BF13)</f>
        <v>2069028.2997542508</v>
      </c>
      <c r="BG15" s="340">
        <f>SUM(BG12:BG13)</f>
        <v>2630483.3020398691</v>
      </c>
      <c r="BH15" s="16">
        <f t="shared" si="7"/>
        <v>4</v>
      </c>
      <c r="BI15" s="271"/>
      <c r="BJ15" s="331"/>
      <c r="BK15" s="331"/>
      <c r="BL15" s="332"/>
      <c r="BM15" s="106">
        <f t="shared" si="8"/>
        <v>4</v>
      </c>
      <c r="BN15" s="444" t="s">
        <v>286</v>
      </c>
      <c r="BO15" s="444"/>
      <c r="BP15" s="143">
        <f>+[20]Gas!D15</f>
        <v>-18377754.026182897</v>
      </c>
      <c r="BQ15" s="143">
        <f>+[20]Gas!E15</f>
        <v>-6545149.8277606685</v>
      </c>
      <c r="BR15" s="143">
        <f>BQ15-BP15</f>
        <v>11832604.198422229</v>
      </c>
      <c r="BS15" s="106">
        <f t="shared" si="9"/>
        <v>4</v>
      </c>
      <c r="BT15" s="445" t="s">
        <v>333</v>
      </c>
      <c r="BU15" s="445"/>
      <c r="BV15" s="453"/>
      <c r="BW15" s="453">
        <v>0</v>
      </c>
      <c r="BX15" s="453">
        <f>BW15-BV15</f>
        <v>0</v>
      </c>
      <c r="BY15" s="16">
        <f t="shared" si="10"/>
        <v>4</v>
      </c>
      <c r="BZ15" s="160"/>
      <c r="CB15" s="241"/>
      <c r="CC15" s="356"/>
      <c r="CD15" s="242"/>
      <c r="CE15" s="16">
        <f t="shared" si="13"/>
        <v>3</v>
      </c>
      <c r="CF15" s="17" t="s">
        <v>52</v>
      </c>
      <c r="CG15" s="417"/>
      <c r="CH15" s="42"/>
      <c r="CI15" s="42"/>
      <c r="CJ15" s="42"/>
      <c r="CK15" s="42"/>
      <c r="CL15" s="417"/>
      <c r="CM15" s="42"/>
      <c r="CN15" s="42"/>
      <c r="CO15" s="16">
        <f t="shared" si="14"/>
        <v>3</v>
      </c>
      <c r="CP15" s="17" t="s">
        <v>52</v>
      </c>
      <c r="CQ15" s="42"/>
      <c r="CR15" s="42"/>
      <c r="CS15" s="42"/>
      <c r="CT15" s="42"/>
      <c r="CU15" s="42"/>
      <c r="CV15" s="42"/>
      <c r="CW15" s="417"/>
      <c r="CX15" s="417"/>
      <c r="CY15" s="417">
        <f t="shared" si="15"/>
        <v>0</v>
      </c>
      <c r="CZ15" s="42">
        <f>CG15+CY15</f>
        <v>0</v>
      </c>
      <c r="DA15" s="16">
        <f t="shared" si="16"/>
        <v>3</v>
      </c>
      <c r="DB15" s="17" t="str">
        <f>CF15</f>
        <v>MUNICIPAL ADDITIONS</v>
      </c>
      <c r="DC15" s="13">
        <f>CG15</f>
        <v>0</v>
      </c>
      <c r="DD15" s="93">
        <f>CY15</f>
        <v>0</v>
      </c>
      <c r="DE15" s="65">
        <f>+DC15+DD15</f>
        <v>0</v>
      </c>
    </row>
    <row r="16" spans="1:122" ht="15" customHeight="1" thickTop="1" x14ac:dyDescent="0.2">
      <c r="A16" s="16">
        <f t="shared" si="0"/>
        <v>5</v>
      </c>
      <c r="B16" s="406">
        <f>'[22]G Lead Sheet'!B17</f>
        <v>45323</v>
      </c>
      <c r="C16" s="349">
        <f>'[22]G Lead Sheet'!C17</f>
        <v>19065076.752300374</v>
      </c>
      <c r="D16" s="349">
        <f>'[22]G Lead Sheet'!D17</f>
        <v>16092086.902839879</v>
      </c>
      <c r="E16" s="349">
        <f t="shared" ref="E16:E26" si="17">D16-C16</f>
        <v>-2972989.8494604956</v>
      </c>
      <c r="F16" s="422"/>
      <c r="G16" s="53">
        <f>ROW()</f>
        <v>16</v>
      </c>
      <c r="H16" s="156"/>
      <c r="I16" s="156"/>
      <c r="J16" s="413"/>
      <c r="K16" s="304"/>
      <c r="L16" s="106">
        <f t="shared" si="11"/>
        <v>5</v>
      </c>
      <c r="M16" s="17" t="s">
        <v>268</v>
      </c>
      <c r="N16" s="416">
        <f>'[8]Lead G'!$C$17</f>
        <v>-10704777.262189999</v>
      </c>
      <c r="O16" s="16">
        <f t="shared" si="1"/>
        <v>5</v>
      </c>
      <c r="P16" s="78" t="s">
        <v>66</v>
      </c>
      <c r="Q16" s="451">
        <f>'1.02 COC'!F17</f>
        <v>2.6899999999999997E-2</v>
      </c>
      <c r="R16" s="18" t="s">
        <v>20</v>
      </c>
      <c r="S16" s="53">
        <f t="shared" si="12"/>
        <v>5</v>
      </c>
      <c r="T16" s="365" t="s">
        <v>342</v>
      </c>
      <c r="U16" s="459"/>
      <c r="V16" s="341">
        <f>'[18]Lead 3.05 '!D16</f>
        <v>-3826083.08</v>
      </c>
      <c r="W16" s="16">
        <f t="shared" si="2"/>
        <v>5</v>
      </c>
      <c r="X16" s="268" t="s">
        <v>311</v>
      </c>
      <c r="Y16" s="23"/>
      <c r="Z16" s="305">
        <f>+Z14/Z15</f>
        <v>1397500</v>
      </c>
      <c r="AA16" s="36"/>
      <c r="AB16" s="35">
        <f t="shared" si="3"/>
        <v>5</v>
      </c>
      <c r="AC16" s="243" t="s">
        <v>234</v>
      </c>
      <c r="AD16" s="25"/>
      <c r="AE16" s="318"/>
      <c r="AF16" s="318"/>
      <c r="AG16" s="318"/>
      <c r="AH16" s="348">
        <f>ROUND(SUM(AH12:AH14)/3,6)</f>
        <v>2.9520000000000002E-3</v>
      </c>
      <c r="AI16" s="16">
        <f t="shared" si="4"/>
        <v>5</v>
      </c>
      <c r="AJ16" s="2" t="s">
        <v>51</v>
      </c>
      <c r="AK16" s="353">
        <f>SUM(AK13:AK15)</f>
        <v>4753680.0887253247</v>
      </c>
      <c r="AL16" s="353">
        <f>SUM(AL13:AL15)</f>
        <v>3902891.521730213</v>
      </c>
      <c r="AM16" s="353">
        <f>SUM(AM13:AM15)</f>
        <v>-850788.56699511199</v>
      </c>
      <c r="AN16" s="16">
        <v>5</v>
      </c>
      <c r="AO16" s="244" t="s">
        <v>75</v>
      </c>
      <c r="AP16" s="245"/>
      <c r="AQ16" s="245"/>
      <c r="AR16" s="245"/>
      <c r="AS16" s="25"/>
      <c r="AT16" s="16">
        <f t="shared" si="5"/>
        <v>5</v>
      </c>
      <c r="AU16" s="17" t="s">
        <v>89</v>
      </c>
      <c r="AV16" s="102"/>
      <c r="AW16" s="102"/>
      <c r="AX16" s="65">
        <f>-AX14</f>
        <v>2494.6020915649133</v>
      </c>
      <c r="AY16" s="246"/>
      <c r="BC16" s="53">
        <f t="shared" si="6"/>
        <v>5</v>
      </c>
      <c r="BD16" s="156"/>
      <c r="BE16" s="338"/>
      <c r="BF16" s="338"/>
      <c r="BG16" s="338"/>
      <c r="BH16" s="16">
        <f t="shared" si="7"/>
        <v>5</v>
      </c>
      <c r="BI16" s="130" t="s">
        <v>209</v>
      </c>
      <c r="BJ16" s="331"/>
      <c r="BK16" s="331"/>
      <c r="BL16" s="328">
        <f>BL14</f>
        <v>-403009.40752325614</v>
      </c>
      <c r="BM16" s="106">
        <f t="shared" si="8"/>
        <v>5</v>
      </c>
      <c r="BN16" s="445" t="s">
        <v>287</v>
      </c>
      <c r="BO16" s="445"/>
      <c r="BP16" s="453">
        <f>+[20]Gas!D16</f>
        <v>-17183906.420724567</v>
      </c>
      <c r="BQ16" s="453">
        <f>+[20]Gas!E16</f>
        <v>-6119966.6721854247</v>
      </c>
      <c r="BR16" s="453">
        <f>BQ16-BP16</f>
        <v>11063939.748539142</v>
      </c>
      <c r="BS16" s="106">
        <f t="shared" si="9"/>
        <v>5</v>
      </c>
      <c r="BT16" s="358" t="s">
        <v>334</v>
      </c>
      <c r="BU16" s="358"/>
      <c r="BV16" s="313">
        <f>SUM(BV13:BV15)</f>
        <v>0</v>
      </c>
      <c r="BW16" s="313">
        <f>SUM(BW13:BW15)</f>
        <v>0</v>
      </c>
      <c r="BX16" s="313">
        <f>SUM(BX13:BX15)</f>
        <v>0</v>
      </c>
      <c r="BY16" s="16">
        <f>+BY15+1</f>
        <v>5</v>
      </c>
      <c r="BZ16" s="160" t="s">
        <v>160</v>
      </c>
      <c r="CB16" s="241"/>
      <c r="CC16" s="235">
        <f>SUM(CC12:CC14)</f>
        <v>4.6358000000000003E-2</v>
      </c>
      <c r="CD16" s="236"/>
      <c r="CE16" s="16">
        <f>+CE15+1</f>
        <v>4</v>
      </c>
      <c r="CF16" s="17" t="s">
        <v>2</v>
      </c>
      <c r="CG16" s="417">
        <f>'[21]Allocated (CBR)'!$C$12</f>
        <v>113061445.64999999</v>
      </c>
      <c r="CH16" s="42"/>
      <c r="CI16" s="42">
        <f>K24</f>
        <v>0</v>
      </c>
      <c r="CJ16" s="42"/>
      <c r="CK16" s="36"/>
      <c r="CL16" s="417">
        <f>-V33</f>
        <v>20580563.310000002</v>
      </c>
      <c r="CM16" s="42"/>
      <c r="CN16" s="43"/>
      <c r="CO16" s="16">
        <f>+CO15+1</f>
        <v>4</v>
      </c>
      <c r="CP16" s="17" t="s">
        <v>2</v>
      </c>
      <c r="CQ16" s="43"/>
      <c r="CR16" s="43"/>
      <c r="CS16" s="43"/>
      <c r="CT16" s="43"/>
      <c r="CU16" s="43"/>
      <c r="CV16" s="43"/>
      <c r="CW16" s="303">
        <f>-BR20</f>
        <v>-4219414</v>
      </c>
      <c r="CX16" s="303"/>
      <c r="CY16" s="303">
        <f t="shared" si="15"/>
        <v>16361149.310000002</v>
      </c>
      <c r="CZ16" s="43">
        <f>CG16+CY16</f>
        <v>129422594.95999999</v>
      </c>
      <c r="DA16" s="16">
        <f>+DA15+1</f>
        <v>4</v>
      </c>
      <c r="DB16" s="17" t="s">
        <v>2</v>
      </c>
      <c r="DC16" s="82">
        <f>CG16</f>
        <v>113061445.64999999</v>
      </c>
      <c r="DD16" s="94">
        <f>CY16</f>
        <v>16361149.310000002</v>
      </c>
      <c r="DE16" s="66">
        <f>+DC16+DD16</f>
        <v>129422594.95999999</v>
      </c>
      <c r="DF16" s="25"/>
    </row>
    <row r="17" spans="1:122" ht="15" customHeight="1" x14ac:dyDescent="0.2">
      <c r="A17" s="16">
        <f t="shared" si="0"/>
        <v>6</v>
      </c>
      <c r="B17" s="406">
        <f>'[22]G Lead Sheet'!B18</f>
        <v>45352</v>
      </c>
      <c r="C17" s="349">
        <f>'[22]G Lead Sheet'!C18</f>
        <v>18656229.163999997</v>
      </c>
      <c r="D17" s="349">
        <f>'[22]G Lead Sheet'!D18</f>
        <v>18979874.184289251</v>
      </c>
      <c r="E17" s="349">
        <f t="shared" si="17"/>
        <v>323645.02028925344</v>
      </c>
      <c r="F17" s="422"/>
      <c r="G17" s="53">
        <f>ROW()</f>
        <v>17</v>
      </c>
      <c r="H17" s="490" t="s">
        <v>215</v>
      </c>
      <c r="I17" s="156"/>
      <c r="J17" s="413"/>
      <c r="K17" s="304"/>
      <c r="L17" s="106">
        <f t="shared" si="11"/>
        <v>6</v>
      </c>
      <c r="M17" s="2" t="s">
        <v>269</v>
      </c>
      <c r="N17" s="416">
        <f>'[8]Lead G'!$C$18</f>
        <v>0</v>
      </c>
      <c r="O17" s="16">
        <f t="shared" si="1"/>
        <v>6</v>
      </c>
      <c r="P17" s="78" t="s">
        <v>40</v>
      </c>
      <c r="Q17" s="36"/>
      <c r="R17" s="142">
        <f>+Q14*Q16</f>
        <v>82613051.075847968</v>
      </c>
      <c r="S17" s="53">
        <f t="shared" si="12"/>
        <v>6</v>
      </c>
      <c r="T17" s="365" t="s">
        <v>147</v>
      </c>
      <c r="U17" s="460"/>
      <c r="V17" s="341">
        <f>'[18]Lead 3.05 '!D17</f>
        <v>30074794.129999999</v>
      </c>
      <c r="W17" s="16">
        <f t="shared" si="2"/>
        <v>6</v>
      </c>
      <c r="X17" s="488" t="s">
        <v>373</v>
      </c>
      <c r="Y17" s="1"/>
      <c r="Z17" s="48">
        <f>'[19]Lead G'!$D$18</f>
        <v>1366382.8445359999</v>
      </c>
      <c r="AA17" s="36"/>
      <c r="AB17" s="35">
        <f t="shared" si="3"/>
        <v>6</v>
      </c>
      <c r="AE17" s="30"/>
      <c r="AI17" s="16">
        <f t="shared" si="4"/>
        <v>6</v>
      </c>
      <c r="AJ17" s="2"/>
      <c r="AK17" s="42"/>
      <c r="AL17" s="42"/>
      <c r="AM17" s="295"/>
      <c r="AN17" s="16">
        <v>6</v>
      </c>
      <c r="AO17" s="47" t="s">
        <v>72</v>
      </c>
      <c r="AP17" s="47"/>
      <c r="AQ17" s="512">
        <f>'[16]Lead G'!$C$13</f>
        <v>7760734.9299999997</v>
      </c>
      <c r="AR17" s="512">
        <f>'[16]Lead G'!$D$13</f>
        <v>5012313.2306000004</v>
      </c>
      <c r="AS17" s="512">
        <f>+AR17-AQ17</f>
        <v>-2748421.6993999993</v>
      </c>
      <c r="AT17" s="16">
        <f t="shared" si="5"/>
        <v>6</v>
      </c>
      <c r="AU17" s="17"/>
      <c r="AV17" s="102"/>
      <c r="AW17" s="102"/>
      <c r="AX17" s="65"/>
      <c r="AY17" s="158"/>
      <c r="AZ17" s="158"/>
      <c r="BA17" s="158"/>
      <c r="BB17" s="158"/>
      <c r="BC17" s="53">
        <f t="shared" si="6"/>
        <v>6</v>
      </c>
      <c r="BD17" s="161" t="s">
        <v>109</v>
      </c>
      <c r="BE17" s="133"/>
      <c r="BF17" s="143"/>
      <c r="BG17" s="341">
        <f>-BG15</f>
        <v>-2630483.3020398691</v>
      </c>
      <c r="BH17" s="16">
        <f t="shared" si="7"/>
        <v>6</v>
      </c>
      <c r="BI17" s="139" t="s">
        <v>90</v>
      </c>
      <c r="BJ17" s="13"/>
      <c r="BK17" s="342">
        <f>+Inputs!B9</f>
        <v>0.21</v>
      </c>
      <c r="BL17" s="333">
        <f>ROUND(-BL16*BK17,0)</f>
        <v>84632</v>
      </c>
      <c r="BM17" s="106">
        <f t="shared" si="8"/>
        <v>6</v>
      </c>
      <c r="BN17" s="358" t="s">
        <v>288</v>
      </c>
      <c r="BO17" s="358"/>
      <c r="BP17" s="313">
        <f>SUM(BP14:BP16)</f>
        <v>81780135.711361498</v>
      </c>
      <c r="BQ17" s="313">
        <f>SUM(BQ14:BQ16)</f>
        <v>29125606.99217483</v>
      </c>
      <c r="BR17" s="313">
        <f>SUM(BR14:BR16)</f>
        <v>-52654528.719186679</v>
      </c>
      <c r="BS17" s="106">
        <f t="shared" si="9"/>
        <v>6</v>
      </c>
      <c r="BT17" s="366"/>
      <c r="BU17" s="366"/>
      <c r="BV17" s="366"/>
      <c r="BW17" s="366"/>
      <c r="BX17" s="518"/>
      <c r="BY17" s="16">
        <f t="shared" si="10"/>
        <v>6</v>
      </c>
      <c r="BZ17" s="156"/>
      <c r="CA17" s="247"/>
      <c r="CB17" s="241"/>
      <c r="CC17" s="236"/>
      <c r="CD17" s="236"/>
      <c r="CE17" s="16">
        <f t="shared" si="13"/>
        <v>5</v>
      </c>
      <c r="CF17" s="17" t="s">
        <v>3</v>
      </c>
      <c r="CG17" s="40">
        <f t="shared" ref="CG17" si="18">SUM(CG14:CG16)</f>
        <v>1366177253.3000002</v>
      </c>
      <c r="CH17" s="40">
        <f t="shared" ref="CH17:CL17" si="19">SUM(CH14:CH16)</f>
        <v>-53547.119981568081</v>
      </c>
      <c r="CI17" s="40">
        <f t="shared" si="19"/>
        <v>0</v>
      </c>
      <c r="CJ17" s="40">
        <f t="shared" si="19"/>
        <v>0</v>
      </c>
      <c r="CK17" s="40">
        <f t="shared" si="19"/>
        <v>0</v>
      </c>
      <c r="CL17" s="40">
        <f t="shared" si="19"/>
        <v>26227427.440088391</v>
      </c>
      <c r="CM17" s="40"/>
      <c r="CN17" s="40">
        <f>SUM(CN14:CN16)</f>
        <v>0</v>
      </c>
      <c r="CO17" s="16">
        <f t="shared" si="14"/>
        <v>5</v>
      </c>
      <c r="CP17" s="17" t="s">
        <v>3</v>
      </c>
      <c r="CQ17" s="40">
        <f t="shared" ref="CQ17:CX17" si="20">SUM(CQ14:CQ16)</f>
        <v>0</v>
      </c>
      <c r="CR17" s="40">
        <f t="shared" si="20"/>
        <v>0</v>
      </c>
      <c r="CS17" s="40">
        <f t="shared" si="20"/>
        <v>0</v>
      </c>
      <c r="CT17" s="40">
        <f t="shared" si="20"/>
        <v>0</v>
      </c>
      <c r="CU17" s="40">
        <f t="shared" si="20"/>
        <v>0</v>
      </c>
      <c r="CV17" s="40">
        <f t="shared" si="20"/>
        <v>0</v>
      </c>
      <c r="CW17" s="40">
        <f t="shared" si="20"/>
        <v>-4219414</v>
      </c>
      <c r="CX17" s="40">
        <f t="shared" si="20"/>
        <v>0</v>
      </c>
      <c r="CY17" s="40">
        <f t="shared" si="15"/>
        <v>21954466.320106823</v>
      </c>
      <c r="CZ17" s="25">
        <f>CG17+CY17</f>
        <v>1388131719.6201069</v>
      </c>
      <c r="DA17" s="16">
        <f t="shared" si="16"/>
        <v>5</v>
      </c>
      <c r="DB17" s="17" t="s">
        <v>3</v>
      </c>
      <c r="DC17" s="24">
        <f>SUM(DC14:DC16)</f>
        <v>1366177253.3000002</v>
      </c>
      <c r="DD17" s="24">
        <f>SUM(DD14:DD16)</f>
        <v>21954466.320106823</v>
      </c>
      <c r="DE17" s="40">
        <f>SUM(DE14:DE16)</f>
        <v>1388131719.6201069</v>
      </c>
      <c r="DF17" s="25"/>
    </row>
    <row r="18" spans="1:122" ht="15" customHeight="1" x14ac:dyDescent="0.2">
      <c r="A18" s="16">
        <f t="shared" si="0"/>
        <v>7</v>
      </c>
      <c r="B18" s="406">
        <f>'[22]G Lead Sheet'!B19</f>
        <v>45383</v>
      </c>
      <c r="C18" s="349">
        <f>'[22]G Lead Sheet'!C19</f>
        <v>16670512.869231615</v>
      </c>
      <c r="D18" s="349">
        <f>'[22]G Lead Sheet'!D19</f>
        <v>15697123.061468286</v>
      </c>
      <c r="E18" s="349">
        <f t="shared" si="17"/>
        <v>-973389.80776332878</v>
      </c>
      <c r="F18" s="422"/>
      <c r="G18" s="53">
        <f>ROW()</f>
        <v>18</v>
      </c>
      <c r="H18" s="274"/>
      <c r="I18" s="156"/>
      <c r="J18" s="337"/>
      <c r="K18" s="304"/>
      <c r="L18" s="106">
        <f t="shared" si="11"/>
        <v>7</v>
      </c>
      <c r="M18" s="2" t="s">
        <v>270</v>
      </c>
      <c r="N18" s="416">
        <f>'[8]Lead G'!$C$19</f>
        <v>0</v>
      </c>
      <c r="O18" s="16">
        <f t="shared" si="1"/>
        <v>7</v>
      </c>
      <c r="P18" s="78"/>
      <c r="Q18" s="325"/>
      <c r="R18" s="18" t="s">
        <v>20</v>
      </c>
      <c r="S18" s="53">
        <f t="shared" si="12"/>
        <v>7</v>
      </c>
      <c r="T18" s="365" t="s">
        <v>218</v>
      </c>
      <c r="U18" s="460"/>
      <c r="V18" s="341">
        <f>'[18]Lead 3.05 '!D18</f>
        <v>17694869.239999998</v>
      </c>
      <c r="W18" s="16">
        <f t="shared" si="2"/>
        <v>7</v>
      </c>
      <c r="X18" s="488" t="s">
        <v>50</v>
      </c>
      <c r="Y18" s="59"/>
      <c r="Z18" s="306">
        <f>+Z16-Z17</f>
        <v>31117.155464000069</v>
      </c>
      <c r="AA18" s="307">
        <f>+Z18</f>
        <v>31117.155464000069</v>
      </c>
      <c r="AB18" s="35">
        <f t="shared" si="3"/>
        <v>7</v>
      </c>
      <c r="AC18" s="248" t="s">
        <v>235</v>
      </c>
      <c r="AD18" s="25"/>
      <c r="AE18" s="337">
        <f>'[9]Lead Sheet'!$D$20</f>
        <v>1366177253.3000002</v>
      </c>
      <c r="AF18" s="486">
        <f>'[9]Lead Sheet'!$E$20</f>
        <v>113061445.64999999</v>
      </c>
      <c r="AG18" s="486">
        <f>AE18-AF18</f>
        <v>1253115807.6500001</v>
      </c>
      <c r="AI18" s="16">
        <f t="shared" si="4"/>
        <v>7</v>
      </c>
      <c r="AJ18" s="2" t="s">
        <v>178</v>
      </c>
      <c r="AK18" s="42"/>
      <c r="AL18" s="42"/>
      <c r="AM18" s="295">
        <f>AM16</f>
        <v>-850788.56699511199</v>
      </c>
      <c r="AN18" s="16">
        <v>7</v>
      </c>
      <c r="AO18" s="249" t="s">
        <v>74</v>
      </c>
      <c r="AP18" s="249"/>
      <c r="AQ18" s="312"/>
      <c r="AR18" s="312"/>
      <c r="AS18" s="312">
        <f>SUM(AS17)</f>
        <v>-2748421.6993999993</v>
      </c>
      <c r="AT18" s="16">
        <f t="shared" si="5"/>
        <v>7</v>
      </c>
      <c r="AU18" s="17" t="s">
        <v>90</v>
      </c>
      <c r="AV18" s="102"/>
      <c r="AW18" s="141">
        <f>+Inputs!B9</f>
        <v>0.21</v>
      </c>
      <c r="AX18" s="320">
        <f>AX16*AW18</f>
        <v>523.86643922863175</v>
      </c>
      <c r="BC18" s="53">
        <f t="shared" si="6"/>
        <v>7</v>
      </c>
      <c r="BD18" s="162" t="s">
        <v>90</v>
      </c>
      <c r="BE18" s="162"/>
      <c r="BF18" s="342">
        <f>+Inputs!B9</f>
        <v>0.21</v>
      </c>
      <c r="BG18" s="343">
        <f>BG17*BF18</f>
        <v>-552401.49342837255</v>
      </c>
      <c r="BH18" s="16">
        <f t="shared" si="7"/>
        <v>7</v>
      </c>
      <c r="BI18" s="2"/>
      <c r="BJ18" s="42"/>
      <c r="BK18" s="42"/>
      <c r="BL18" s="334"/>
      <c r="BM18" s="106">
        <f t="shared" si="8"/>
        <v>7</v>
      </c>
      <c r="BN18" s="487"/>
      <c r="BO18" s="487"/>
      <c r="BP18" s="487"/>
      <c r="BQ18" s="487"/>
      <c r="BR18" s="487"/>
      <c r="BS18" s="16">
        <f>+BY17+1</f>
        <v>7</v>
      </c>
      <c r="BT18" s="225" t="s">
        <v>335</v>
      </c>
      <c r="BU18" s="225"/>
      <c r="BV18" s="366"/>
      <c r="BW18" s="366"/>
      <c r="BX18" s="518"/>
      <c r="BY18" s="106">
        <f t="shared" ref="BY18" si="21">+BY17+1</f>
        <v>7</v>
      </c>
      <c r="BZ18" s="446" t="s">
        <v>259</v>
      </c>
      <c r="CC18" s="448">
        <f>ROUND(1-CC16,6)</f>
        <v>0.95364199999999999</v>
      </c>
      <c r="CE18" s="106">
        <f t="shared" ref="CE18" si="22">+CE17+1</f>
        <v>6</v>
      </c>
      <c r="CI18" s="18"/>
      <c r="CJ18" s="16"/>
      <c r="CL18" s="362"/>
      <c r="CN18" s="18"/>
      <c r="CO18" s="18"/>
      <c r="CP18" s="18"/>
      <c r="CQ18" s="18"/>
      <c r="CR18" s="362"/>
      <c r="CS18" s="362"/>
      <c r="CT18" s="362"/>
      <c r="CU18" s="22"/>
      <c r="CV18" s="16"/>
      <c r="CW18" s="2"/>
      <c r="CX18" s="2"/>
      <c r="CY18" s="2"/>
      <c r="DB18"/>
      <c r="DC18"/>
      <c r="DD18"/>
      <c r="DE18"/>
      <c r="DF18"/>
      <c r="DN18" s="2"/>
      <c r="DO18" s="2"/>
      <c r="DP18" s="2"/>
      <c r="DQ18" s="2"/>
      <c r="DR18" s="2"/>
    </row>
    <row r="19" spans="1:122" ht="15" customHeight="1" thickBot="1" x14ac:dyDescent="0.25">
      <c r="A19" s="16">
        <f t="shared" si="0"/>
        <v>8</v>
      </c>
      <c r="B19" s="406">
        <f>'[22]G Lead Sheet'!B20</f>
        <v>45413</v>
      </c>
      <c r="C19" s="349">
        <f>'[22]G Lead Sheet'!C20</f>
        <v>17239287.147545204</v>
      </c>
      <c r="D19" s="349">
        <f>'[22]G Lead Sheet'!D20</f>
        <v>18219726.1540507</v>
      </c>
      <c r="E19" s="349">
        <f t="shared" si="17"/>
        <v>980439.0065054968</v>
      </c>
      <c r="F19" s="422"/>
      <c r="G19" s="53">
        <f>ROW()</f>
        <v>19</v>
      </c>
      <c r="H19" s="274"/>
      <c r="I19" s="359"/>
      <c r="J19" s="452"/>
      <c r="K19" s="304"/>
      <c r="L19" s="106">
        <f t="shared" si="11"/>
        <v>8</v>
      </c>
      <c r="M19" s="2" t="s">
        <v>271</v>
      </c>
      <c r="N19" s="420">
        <f>SUM(N15:N18)</f>
        <v>44054069.724361464</v>
      </c>
      <c r="O19" s="16">
        <f t="shared" si="1"/>
        <v>8</v>
      </c>
      <c r="Q19" s="325"/>
      <c r="R19" s="18"/>
      <c r="S19" s="53">
        <f t="shared" si="12"/>
        <v>8</v>
      </c>
      <c r="T19" s="365" t="s">
        <v>148</v>
      </c>
      <c r="U19" s="156">
        <f>'[18]Lead 3.05 '!$C$19</f>
        <v>0.95344399999999996</v>
      </c>
      <c r="V19" s="417">
        <f>-V47/U19</f>
        <v>-152964439.35878775</v>
      </c>
      <c r="W19" s="16">
        <f t="shared" si="2"/>
        <v>8</v>
      </c>
      <c r="X19" s="17"/>
      <c r="Y19" s="59"/>
      <c r="Z19" s="308"/>
      <c r="AA19" s="309"/>
      <c r="AB19" s="35">
        <f t="shared" si="3"/>
        <v>8</v>
      </c>
      <c r="AE19" s="337"/>
      <c r="AF19" s="337"/>
      <c r="AG19" s="303"/>
      <c r="AI19" s="16">
        <f t="shared" si="4"/>
        <v>8</v>
      </c>
      <c r="AJ19" s="2"/>
      <c r="AK19" s="2"/>
      <c r="AL19" s="2"/>
      <c r="AM19" s="2"/>
      <c r="AN19" s="16">
        <v>8</v>
      </c>
      <c r="AS19" s="25"/>
      <c r="AT19" s="16">
        <f t="shared" si="5"/>
        <v>8</v>
      </c>
      <c r="AU19" s="17"/>
      <c r="AV19" s="102"/>
      <c r="AW19" s="141"/>
      <c r="AX19" s="320"/>
      <c r="BC19" s="53">
        <f t="shared" si="6"/>
        <v>8</v>
      </c>
      <c r="BD19" s="190"/>
      <c r="BE19" s="190"/>
      <c r="BF19" s="190"/>
      <c r="BG19" s="190"/>
      <c r="BH19" s="16">
        <f t="shared" si="7"/>
        <v>8</v>
      </c>
      <c r="BI19" s="23" t="s">
        <v>55</v>
      </c>
      <c r="BJ19" s="335"/>
      <c r="BK19" s="36"/>
      <c r="BL19" s="336">
        <f>-BL16-BL17</f>
        <v>318377.40752325614</v>
      </c>
      <c r="BM19" s="106">
        <f t="shared" si="8"/>
        <v>8</v>
      </c>
      <c r="BN19" s="225" t="s">
        <v>2</v>
      </c>
      <c r="BO19" s="225"/>
      <c r="BP19" s="513"/>
      <c r="BQ19" s="513"/>
      <c r="BR19" s="513"/>
      <c r="BS19" s="16">
        <f t="shared" si="10"/>
        <v>8</v>
      </c>
      <c r="BT19" s="444" t="s">
        <v>336</v>
      </c>
      <c r="BU19" s="444"/>
      <c r="BV19" s="313"/>
      <c r="BW19" s="313">
        <v>0</v>
      </c>
      <c r="BX19" s="143">
        <f>BW19-BV19</f>
        <v>0</v>
      </c>
      <c r="BY19" s="106">
        <f t="shared" ref="BY19" si="23">+BY18+1</f>
        <v>8</v>
      </c>
      <c r="BZ19" s="447" t="s">
        <v>260</v>
      </c>
      <c r="CB19" s="450">
        <f>+Inputs!B9</f>
        <v>0.21</v>
      </c>
      <c r="CC19" s="448">
        <f>ROUND((CC18)*CB19,6)</f>
        <v>0.200265</v>
      </c>
      <c r="CD19" s="289"/>
      <c r="CE19" s="106">
        <f t="shared" ref="CE19" si="24">+CE18+1</f>
        <v>7</v>
      </c>
      <c r="CF19" s="289" t="s">
        <v>20</v>
      </c>
      <c r="CG19" s="289"/>
      <c r="CH19" s="289"/>
      <c r="CI19" s="289" t="s">
        <v>20</v>
      </c>
      <c r="CJ19" s="16"/>
      <c r="CL19" s="289"/>
      <c r="CM19" s="289"/>
      <c r="CN19" s="289"/>
      <c r="CO19" s="289"/>
      <c r="CP19" s="289"/>
      <c r="CQ19" s="289"/>
      <c r="CR19" s="289"/>
      <c r="CS19" s="289"/>
      <c r="CT19" s="289"/>
      <c r="CU19" s="22"/>
      <c r="CV19" s="16"/>
      <c r="CW19" s="2"/>
      <c r="CX19" s="22"/>
      <c r="CY19" s="22"/>
      <c r="CZ19" s="22"/>
      <c r="DA19" s="345"/>
      <c r="DB19"/>
      <c r="DC19"/>
      <c r="DD19"/>
      <c r="DE19"/>
      <c r="DF19"/>
      <c r="DN19" s="2"/>
      <c r="DO19" s="2"/>
      <c r="DP19" s="2"/>
      <c r="DQ19" s="2"/>
      <c r="DR19" s="2"/>
    </row>
    <row r="20" spans="1:122" ht="15" customHeight="1" thickTop="1" thickBot="1" x14ac:dyDescent="0.25">
      <c r="A20" s="16">
        <f t="shared" si="0"/>
        <v>9</v>
      </c>
      <c r="B20" s="406">
        <f>'[22]G Lead Sheet'!B21</f>
        <v>45444</v>
      </c>
      <c r="C20" s="349">
        <f>'[22]G Lead Sheet'!C21</f>
        <v>13034487.417000001</v>
      </c>
      <c r="D20" s="349">
        <f>'[22]G Lead Sheet'!D21</f>
        <v>12199089.256845834</v>
      </c>
      <c r="E20" s="349">
        <f t="shared" si="17"/>
        <v>-835398.16015416756</v>
      </c>
      <c r="F20" s="422"/>
      <c r="G20" s="53">
        <f>ROW()</f>
        <v>20</v>
      </c>
      <c r="H20" s="274"/>
      <c r="I20" s="156"/>
      <c r="J20" s="367"/>
      <c r="K20" s="304"/>
      <c r="L20" s="106">
        <f t="shared" si="11"/>
        <v>9</v>
      </c>
      <c r="N20" s="417"/>
      <c r="O20" s="16">
        <f t="shared" si="1"/>
        <v>9</v>
      </c>
      <c r="P20" s="78"/>
      <c r="Q20" s="325"/>
      <c r="R20" s="18"/>
      <c r="S20" s="53">
        <f t="shared" si="12"/>
        <v>9</v>
      </c>
      <c r="T20" s="365" t="s">
        <v>212</v>
      </c>
      <c r="U20" s="460"/>
      <c r="V20" s="341">
        <f>'[18]Lead 3.05 '!$D$20</f>
        <v>1951011.1</v>
      </c>
      <c r="W20" s="16">
        <f t="shared" si="2"/>
        <v>9</v>
      </c>
      <c r="X20" s="17" t="s">
        <v>102</v>
      </c>
      <c r="Y20" s="1"/>
      <c r="Z20" s="36"/>
      <c r="AA20" s="312">
        <f>+AA18+AA25</f>
        <v>31117.155464000069</v>
      </c>
      <c r="AB20" s="35">
        <f t="shared" si="3"/>
        <v>9</v>
      </c>
      <c r="AG20" s="300">
        <f>SUM(AG18:AG19)</f>
        <v>1253115807.6500001</v>
      </c>
      <c r="AI20" s="16">
        <f t="shared" si="4"/>
        <v>9</v>
      </c>
      <c r="AJ20" s="17" t="s">
        <v>179</v>
      </c>
      <c r="AK20" s="42"/>
      <c r="AL20" s="342">
        <f>+Inputs!B9</f>
        <v>0.21</v>
      </c>
      <c r="AM20" s="295">
        <f>ROUND(-AM18*AL20,0)</f>
        <v>178666</v>
      </c>
      <c r="AN20" s="16">
        <v>9</v>
      </c>
      <c r="AO20" s="80" t="s">
        <v>51</v>
      </c>
      <c r="AS20" s="25">
        <f>AS14+AS18</f>
        <v>-1639981.9793880051</v>
      </c>
      <c r="AT20" s="16">
        <f t="shared" si="5"/>
        <v>9</v>
      </c>
      <c r="AU20" s="17" t="s">
        <v>55</v>
      </c>
      <c r="AV20" s="102"/>
      <c r="AW20" s="102"/>
      <c r="AX20" s="321">
        <f>AX16-AX18</f>
        <v>1970.7356523362814</v>
      </c>
      <c r="BC20" s="53">
        <f t="shared" si="6"/>
        <v>9</v>
      </c>
      <c r="BD20" s="160" t="s">
        <v>55</v>
      </c>
      <c r="BE20" s="151"/>
      <c r="BF20" s="151"/>
      <c r="BG20" s="344">
        <f>BG17-BG18</f>
        <v>-2078081.8086114966</v>
      </c>
      <c r="BH20" s="270"/>
      <c r="BI20" s="270"/>
      <c r="BJ20" s="270"/>
      <c r="BK20" s="270"/>
      <c r="BL20" s="270"/>
      <c r="BM20" s="106">
        <f t="shared" si="8"/>
        <v>9</v>
      </c>
      <c r="BN20" s="444" t="s">
        <v>315</v>
      </c>
      <c r="BO20" s="444"/>
      <c r="BP20" s="514">
        <f>+[20]Gas!D20</f>
        <v>-4219414</v>
      </c>
      <c r="BQ20" s="513"/>
      <c r="BR20" s="313">
        <f>BQ20-BP20</f>
        <v>4219414</v>
      </c>
      <c r="BS20" s="16">
        <f t="shared" si="10"/>
        <v>9</v>
      </c>
      <c r="BT20" s="366"/>
      <c r="BU20" s="366"/>
      <c r="BV20" s="366"/>
      <c r="BW20" s="366"/>
      <c r="BX20" s="518"/>
      <c r="BY20" s="106">
        <f t="shared" ref="BY20" si="25">+BY19+1</f>
        <v>9</v>
      </c>
      <c r="BZ20" s="447" t="s">
        <v>289</v>
      </c>
      <c r="CA20" s="17" t="s">
        <v>4</v>
      </c>
      <c r="CB20" s="56"/>
      <c r="CC20" s="449">
        <f>ROUND(1-CC19-CC16,6)</f>
        <v>0.75337699999999996</v>
      </c>
      <c r="CD20" s="22"/>
      <c r="CE20" s="106">
        <f t="shared" ref="CE20" si="26">+CE19+1</f>
        <v>8</v>
      </c>
      <c r="CF20" s="22"/>
      <c r="CG20" s="22"/>
      <c r="CH20" s="22"/>
      <c r="CI20" s="22"/>
      <c r="CJ20" s="16"/>
      <c r="CK20" s="17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16"/>
      <c r="CW20" s="80"/>
      <c r="CX20" s="22"/>
      <c r="CY20" s="22"/>
      <c r="CZ20" s="22"/>
      <c r="DB20"/>
      <c r="DC20"/>
      <c r="DD20"/>
      <c r="DE20"/>
      <c r="DF20"/>
      <c r="DN20" s="2"/>
      <c r="DO20" s="2"/>
      <c r="DP20" s="2"/>
      <c r="DQ20" s="2"/>
      <c r="DR20" s="2"/>
    </row>
    <row r="21" spans="1:122" ht="15" customHeight="1" thickTop="1" thickBot="1" x14ac:dyDescent="0.25">
      <c r="A21" s="16">
        <f t="shared" si="0"/>
        <v>10</v>
      </c>
      <c r="B21" s="406">
        <f>'[22]G Lead Sheet'!B22</f>
        <v>45474</v>
      </c>
      <c r="C21" s="349">
        <f>'[22]G Lead Sheet'!C22</f>
        <v>16002281.886419054</v>
      </c>
      <c r="D21" s="349">
        <f>'[22]G Lead Sheet'!D22</f>
        <v>16696583.186419055</v>
      </c>
      <c r="E21" s="349">
        <f t="shared" si="17"/>
        <v>694301.30000000075</v>
      </c>
      <c r="F21" s="422"/>
      <c r="G21" s="53">
        <f>ROW()</f>
        <v>21</v>
      </c>
      <c r="H21" s="384" t="s">
        <v>297</v>
      </c>
      <c r="I21" s="156"/>
      <c r="J21" s="367">
        <f>'[17]3.02G'!$D$20</f>
        <v>0</v>
      </c>
      <c r="K21" s="304"/>
      <c r="L21" s="106">
        <f t="shared" si="11"/>
        <v>10</v>
      </c>
      <c r="M21" s="2" t="s">
        <v>272</v>
      </c>
      <c r="N21" s="415"/>
      <c r="O21" s="16">
        <f t="shared" si="1"/>
        <v>10</v>
      </c>
      <c r="P21" s="2" t="s">
        <v>109</v>
      </c>
      <c r="Q21" s="36"/>
      <c r="R21" s="292">
        <f>-R17+R19</f>
        <v>-82613051.075847968</v>
      </c>
      <c r="S21" s="53">
        <f t="shared" si="12"/>
        <v>10</v>
      </c>
      <c r="T21" s="365" t="s">
        <v>312</v>
      </c>
      <c r="U21" s="460"/>
      <c r="V21" s="341">
        <f>'[18]Lead 3.05 '!$D$21</f>
        <v>1232264.8</v>
      </c>
      <c r="W21" s="16">
        <f t="shared" si="2"/>
        <v>10</v>
      </c>
      <c r="Y21" s="1"/>
      <c r="Z21" s="36"/>
      <c r="AA21" s="341"/>
      <c r="AB21" s="35">
        <f t="shared" si="3"/>
        <v>10</v>
      </c>
      <c r="AC21" s="2" t="s">
        <v>242</v>
      </c>
      <c r="AG21" s="442">
        <f>AH16</f>
        <v>2.9520000000000002E-3</v>
      </c>
      <c r="AI21" s="16">
        <f t="shared" si="4"/>
        <v>10</v>
      </c>
      <c r="AJ21" s="17" t="s">
        <v>54</v>
      </c>
      <c r="AK21" s="17"/>
      <c r="AL21" s="2"/>
      <c r="AM21" s="354">
        <f>-AM18-AM20</f>
        <v>672122.56699511199</v>
      </c>
      <c r="AN21" s="16">
        <v>10</v>
      </c>
      <c r="AS21" s="25"/>
      <c r="AT21" s="16"/>
      <c r="AU21" s="17"/>
      <c r="AV21" s="102"/>
      <c r="AW21" s="102"/>
      <c r="AX21" s="145"/>
      <c r="BC21" s="53"/>
      <c r="BD21" s="156"/>
      <c r="BE21" s="156"/>
      <c r="BF21" s="156"/>
      <c r="BG21" s="156"/>
      <c r="BH21" s="145"/>
      <c r="BI21" s="145"/>
      <c r="BJ21" s="145"/>
      <c r="BK21" s="145"/>
      <c r="BL21" s="145"/>
      <c r="BM21" s="106">
        <f t="shared" si="8"/>
        <v>10</v>
      </c>
      <c r="BN21" s="513"/>
      <c r="BO21" s="513"/>
      <c r="BP21" s="513"/>
      <c r="BQ21" s="513"/>
      <c r="BR21" s="513"/>
      <c r="BS21" s="106">
        <f t="shared" ref="BS21" si="27">+BS20+1</f>
        <v>10</v>
      </c>
      <c r="BT21" s="498" t="s">
        <v>339</v>
      </c>
      <c r="BU21" s="498"/>
      <c r="BV21" s="508">
        <f>SUM(BV19)</f>
        <v>0</v>
      </c>
      <c r="BW21" s="508">
        <f>SUM(BW19)</f>
        <v>0</v>
      </c>
      <c r="BX21" s="519">
        <f>SUM(BX19)</f>
        <v>0</v>
      </c>
      <c r="BY21" s="16"/>
      <c r="CA21" s="250"/>
      <c r="CB21" s="250"/>
      <c r="CE21" s="106">
        <f>+CE20+1</f>
        <v>9</v>
      </c>
      <c r="CL21" s="413"/>
      <c r="CO21" s="16">
        <f>+CJ20+1</f>
        <v>1</v>
      </c>
      <c r="CZ21" s="22"/>
      <c r="DA21" s="16">
        <f>+CV20+1</f>
        <v>1</v>
      </c>
      <c r="DC21" s="22"/>
      <c r="DD21" s="22"/>
      <c r="DE21" s="22"/>
    </row>
    <row r="22" spans="1:122" ht="15" customHeight="1" thickTop="1" x14ac:dyDescent="0.2">
      <c r="A22" s="16">
        <f t="shared" si="0"/>
        <v>11</v>
      </c>
      <c r="B22" s="406">
        <f>'[22]G Lead Sheet'!B23</f>
        <v>45505</v>
      </c>
      <c r="C22" s="349">
        <f>'[22]G Lead Sheet'!C23</f>
        <v>12044917.556580909</v>
      </c>
      <c r="D22" s="349">
        <f>'[22]G Lead Sheet'!D23</f>
        <v>14375040.26148325</v>
      </c>
      <c r="E22" s="349">
        <f t="shared" si="17"/>
        <v>2330122.7049023416</v>
      </c>
      <c r="F22" s="422"/>
      <c r="G22" s="53">
        <f>ROW()</f>
        <v>22</v>
      </c>
      <c r="H22" s="384"/>
      <c r="I22" s="156"/>
      <c r="J22" s="367"/>
      <c r="K22" s="304"/>
      <c r="L22" s="106">
        <f t="shared" si="11"/>
        <v>11</v>
      </c>
      <c r="M22" s="17" t="s">
        <v>273</v>
      </c>
      <c r="N22" s="521">
        <f>'[8]Lead G'!$C$23</f>
        <v>41403785.339138284</v>
      </c>
      <c r="O22" s="16">
        <f t="shared" si="1"/>
        <v>11</v>
      </c>
      <c r="P22" s="2" t="s">
        <v>20</v>
      </c>
      <c r="R22" s="56" t="s">
        <v>20</v>
      </c>
      <c r="S22" s="53">
        <f t="shared" si="12"/>
        <v>11</v>
      </c>
      <c r="T22" s="365" t="s">
        <v>341</v>
      </c>
      <c r="U22" s="156">
        <f>'[18]Lead 3.05 '!$C$22</f>
        <v>0.95344399999999996</v>
      </c>
      <c r="V22" s="417">
        <f>-V30/U22</f>
        <v>10202314.818699369</v>
      </c>
      <c r="W22" s="16">
        <f t="shared" si="2"/>
        <v>11</v>
      </c>
      <c r="X22" s="2" t="s">
        <v>179</v>
      </c>
      <c r="Y22" s="141">
        <f>+Inputs!B9</f>
        <v>0.21</v>
      </c>
      <c r="Z22" s="36"/>
      <c r="AA22" s="310">
        <f>-AA20*Y22</f>
        <v>-6534.6026474400142</v>
      </c>
      <c r="AB22" s="35">
        <f t="shared" si="3"/>
        <v>11</v>
      </c>
      <c r="AC22" s="2" t="s">
        <v>243</v>
      </c>
      <c r="AG22" s="318">
        <f>AG18*AG21</f>
        <v>3699197.8641828005</v>
      </c>
      <c r="AI22" s="19"/>
      <c r="AJ22" s="19"/>
      <c r="AK22" s="19"/>
      <c r="AL22" s="19"/>
      <c r="AM22" s="19"/>
      <c r="AN22" s="16">
        <v>11</v>
      </c>
      <c r="AO22" s="2" t="s">
        <v>87</v>
      </c>
      <c r="AS22" s="25">
        <f>-(AS14+AS18)</f>
        <v>1639981.9793880051</v>
      </c>
      <c r="AT22" s="17" t="s">
        <v>20</v>
      </c>
      <c r="AU22" s="17"/>
      <c r="AV22" s="102"/>
      <c r="AW22" s="102"/>
      <c r="AX22" s="102"/>
      <c r="BC22" s="53"/>
      <c r="BD22" s="156"/>
      <c r="BE22" s="163"/>
      <c r="BF22" s="164"/>
      <c r="BG22" s="164"/>
      <c r="BH22" s="102"/>
      <c r="BI22" s="102"/>
      <c r="BJ22" s="102"/>
      <c r="BK22" s="102"/>
      <c r="BL22" s="102"/>
      <c r="BM22" s="106">
        <f t="shared" si="8"/>
        <v>11</v>
      </c>
      <c r="BN22" s="495" t="s">
        <v>316</v>
      </c>
      <c r="BO22" s="474">
        <f>Inputs!$B$6</f>
        <v>2.9520000000000002E-3</v>
      </c>
      <c r="BP22" s="513"/>
      <c r="BQ22" s="513"/>
      <c r="BR22" s="516">
        <f>-BO22*BR20</f>
        <v>-12455.710128000001</v>
      </c>
      <c r="BS22" s="106">
        <f t="shared" ref="BS22" si="28">+BS21+1</f>
        <v>11</v>
      </c>
      <c r="BT22" s="498" t="s">
        <v>76</v>
      </c>
      <c r="BU22" s="499">
        <v>0.21</v>
      </c>
      <c r="BV22" s="366"/>
      <c r="BW22" s="366"/>
      <c r="BX22" s="520">
        <f>-BU22*BX21</f>
        <v>0</v>
      </c>
      <c r="BY22" s="16"/>
      <c r="CA22" s="250"/>
      <c r="CB22" s="250"/>
      <c r="CD22" s="251"/>
      <c r="CE22" s="106">
        <f t="shared" ref="CE22" si="29">+CE21+1</f>
        <v>10</v>
      </c>
      <c r="CF22" s="17" t="s">
        <v>81</v>
      </c>
      <c r="CG22" s="12"/>
      <c r="CH22" s="24"/>
      <c r="CI22" s="24"/>
      <c r="CJ22" s="24"/>
      <c r="CK22" s="24"/>
      <c r="CL22" s="337"/>
      <c r="CM22" s="24"/>
      <c r="CN22" s="22"/>
      <c r="CO22" s="16">
        <f t="shared" si="14"/>
        <v>2</v>
      </c>
      <c r="CP22" s="17" t="s">
        <v>81</v>
      </c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16">
        <f t="shared" si="16"/>
        <v>2</v>
      </c>
      <c r="DB22" s="17" t="s">
        <v>81</v>
      </c>
      <c r="DC22" s="22"/>
      <c r="DD22" s="22"/>
      <c r="DE22" s="22"/>
    </row>
    <row r="23" spans="1:122" ht="15" customHeight="1" thickBot="1" x14ac:dyDescent="0.25">
      <c r="A23" s="16">
        <f t="shared" si="0"/>
        <v>12</v>
      </c>
      <c r="B23" s="406">
        <f>'[22]G Lead Sheet'!B24</f>
        <v>45536</v>
      </c>
      <c r="C23" s="349">
        <f>'[22]G Lead Sheet'!C24</f>
        <v>12653988.064329915</v>
      </c>
      <c r="D23" s="349">
        <f>'[22]G Lead Sheet'!D24</f>
        <v>13218338.472415855</v>
      </c>
      <c r="E23" s="349">
        <f t="shared" si="17"/>
        <v>564350.40808594041</v>
      </c>
      <c r="F23" s="422"/>
      <c r="G23" s="53">
        <f>ROW()</f>
        <v>23</v>
      </c>
      <c r="H23" s="384"/>
      <c r="I23" s="156"/>
      <c r="J23" s="91"/>
      <c r="K23" s="492"/>
      <c r="L23" s="106">
        <f t="shared" si="11"/>
        <v>12</v>
      </c>
      <c r="M23" s="17" t="s">
        <v>268</v>
      </c>
      <c r="N23" s="521">
        <f>'[8]Lead G'!$C$24</f>
        <v>52251717.18</v>
      </c>
      <c r="O23" s="16">
        <f t="shared" si="1"/>
        <v>12</v>
      </c>
      <c r="P23" s="2" t="s">
        <v>67</v>
      </c>
      <c r="Q23" s="141">
        <f>+Inputs!B9</f>
        <v>0.21</v>
      </c>
      <c r="R23" s="42">
        <f>R21*Q23</f>
        <v>-17348740.725928072</v>
      </c>
      <c r="S23" s="53">
        <f t="shared" si="12"/>
        <v>12</v>
      </c>
      <c r="T23" s="365" t="s">
        <v>210</v>
      </c>
      <c r="U23" s="460"/>
      <c r="V23" s="341">
        <f>'[18]Lead 3.05 '!$D$23</f>
        <v>57955367.93</v>
      </c>
      <c r="W23" s="16">
        <f t="shared" si="2"/>
        <v>12</v>
      </c>
      <c r="X23" s="2" t="s">
        <v>54</v>
      </c>
      <c r="Y23" s="1"/>
      <c r="Z23" s="36"/>
      <c r="AA23" s="311">
        <f>-AA20-AA22</f>
        <v>-24582.552816560055</v>
      </c>
      <c r="AB23" s="35">
        <f t="shared" si="3"/>
        <v>12</v>
      </c>
      <c r="AG23" s="25"/>
      <c r="AN23" s="16">
        <v>12</v>
      </c>
      <c r="AS23" s="25"/>
      <c r="AT23" s="17"/>
      <c r="AU23" s="17"/>
      <c r="AV23" s="102"/>
      <c r="AW23" s="102"/>
      <c r="AX23" s="102"/>
      <c r="BC23" s="53"/>
      <c r="BD23" s="160"/>
      <c r="BE23" s="163"/>
      <c r="BF23" s="164"/>
      <c r="BG23" s="164"/>
      <c r="BH23" s="102"/>
      <c r="BI23" s="102"/>
      <c r="BJ23" s="102"/>
      <c r="BK23" s="102"/>
      <c r="BL23" s="102"/>
      <c r="BM23" s="106">
        <f t="shared" si="8"/>
        <v>12</v>
      </c>
      <c r="BN23" s="495" t="s">
        <v>317</v>
      </c>
      <c r="BO23" s="474">
        <f>Inputs!$B$7</f>
        <v>5.0000000000000001E-3</v>
      </c>
      <c r="BP23" s="513"/>
      <c r="BQ23" s="513"/>
      <c r="BR23" s="516">
        <f>-BO23*BR20</f>
        <v>-21097.07</v>
      </c>
      <c r="BS23" s="106">
        <f t="shared" ref="BS23" si="30">+BS22+1</f>
        <v>12</v>
      </c>
      <c r="BT23" s="498" t="s">
        <v>55</v>
      </c>
      <c r="BU23" s="498"/>
      <c r="BV23" s="366"/>
      <c r="BW23" s="366"/>
      <c r="BX23" s="500">
        <f>-BX19-BX22</f>
        <v>0</v>
      </c>
      <c r="BY23" s="16"/>
      <c r="CA23" s="250"/>
      <c r="CB23" s="357"/>
      <c r="CD23" s="251"/>
      <c r="CE23" s="106">
        <f t="shared" ref="CE23" si="31">+CE22+1</f>
        <v>11</v>
      </c>
      <c r="CF23" s="17"/>
      <c r="CG23" s="45"/>
      <c r="CH23" s="49"/>
      <c r="CI23" s="49"/>
      <c r="CJ23" s="49"/>
      <c r="CK23" s="49"/>
      <c r="CL23" s="417"/>
      <c r="CM23" s="49"/>
      <c r="CN23" s="49"/>
      <c r="CO23" s="16">
        <f t="shared" si="14"/>
        <v>3</v>
      </c>
      <c r="CP23" s="17"/>
      <c r="CQ23" s="49"/>
      <c r="CR23" s="49"/>
      <c r="CS23" s="49"/>
      <c r="CT23" s="49"/>
      <c r="CU23" s="49"/>
      <c r="CV23" s="49"/>
      <c r="CW23" s="417"/>
      <c r="CX23" s="417"/>
      <c r="CY23" s="417"/>
      <c r="CZ23" s="25"/>
      <c r="DA23" s="16">
        <f t="shared" si="16"/>
        <v>3</v>
      </c>
      <c r="DB23" s="17"/>
      <c r="DC23" s="49"/>
      <c r="DD23" s="49"/>
      <c r="DE23" s="67"/>
    </row>
    <row r="24" spans="1:122" ht="15" customHeight="1" thickTop="1" thickBot="1" x14ac:dyDescent="0.3">
      <c r="A24" s="16">
        <f t="shared" si="0"/>
        <v>13</v>
      </c>
      <c r="B24" s="406">
        <f>'[22]G Lead Sheet'!B25</f>
        <v>45566</v>
      </c>
      <c r="C24" s="349">
        <f>'[22]G Lead Sheet'!C25</f>
        <v>14387785.831166118</v>
      </c>
      <c r="D24" s="349">
        <f>'[22]G Lead Sheet'!D25</f>
        <v>14569598.828171404</v>
      </c>
      <c r="E24" s="349">
        <f t="shared" si="17"/>
        <v>181812.9970052857</v>
      </c>
      <c r="F24" s="422"/>
      <c r="G24" s="53">
        <f>ROW()</f>
        <v>24</v>
      </c>
      <c r="H24" s="412" t="s">
        <v>298</v>
      </c>
      <c r="I24" s="156"/>
      <c r="J24" s="413"/>
      <c r="K24" s="304">
        <f>SUM(J19:J23)</f>
        <v>0</v>
      </c>
      <c r="L24" s="106">
        <f t="shared" si="11"/>
        <v>13</v>
      </c>
      <c r="M24" s="2" t="s">
        <v>274</v>
      </c>
      <c r="N24" s="521">
        <f>'[8]Lead G'!$C$25</f>
        <v>-62508168.350000001</v>
      </c>
      <c r="O24" s="16">
        <f t="shared" si="1"/>
        <v>13</v>
      </c>
      <c r="P24" s="2" t="s">
        <v>55</v>
      </c>
      <c r="Q24" s="36"/>
      <c r="R24" s="326">
        <f>-R23</f>
        <v>17348740.725928072</v>
      </c>
      <c r="S24" s="53">
        <f t="shared" si="12"/>
        <v>13</v>
      </c>
      <c r="T24" s="365" t="str">
        <f>'[18]Lead 3.05 '!$B$24</f>
        <v>REMOVE PART FUND GRANTS - SCHEDULE 141PFG</v>
      </c>
      <c r="U24" s="461"/>
      <c r="V24" s="303">
        <f>'[18]Lead 3.05 '!$D$24</f>
        <v>45256.22</v>
      </c>
      <c r="W24" s="16">
        <f t="shared" si="2"/>
        <v>13</v>
      </c>
      <c r="X24" s="269"/>
      <c r="Z24" s="480"/>
      <c r="AB24" s="35">
        <f t="shared" si="3"/>
        <v>13</v>
      </c>
      <c r="AC24" s="17" t="s">
        <v>88</v>
      </c>
      <c r="AG24" s="302">
        <f>'[9]Lead Sheet'!$F$27</f>
        <v>4160346.6457130001</v>
      </c>
      <c r="AN24" s="16">
        <v>13</v>
      </c>
      <c r="AO24" s="2" t="s">
        <v>56</v>
      </c>
      <c r="AP24" s="254">
        <f>+Inputs!B9</f>
        <v>0.21</v>
      </c>
      <c r="AQ24" s="254"/>
      <c r="AR24" s="254"/>
      <c r="AS24" s="25">
        <f>AS22*AP24</f>
        <v>344396.21567148104</v>
      </c>
      <c r="AT24" s="17"/>
      <c r="AU24" s="17"/>
      <c r="AV24" s="102"/>
      <c r="AW24" s="102"/>
      <c r="AX24" s="102"/>
      <c r="BC24" s="165"/>
      <c r="BD24" s="221"/>
      <c r="BE24" s="255"/>
      <c r="BF24" s="255"/>
      <c r="BG24" s="255"/>
      <c r="BH24" s="102"/>
      <c r="BI24" s="102"/>
      <c r="BJ24" s="102"/>
      <c r="BK24" s="102"/>
      <c r="BL24" s="102"/>
      <c r="BM24" s="106">
        <f t="shared" si="8"/>
        <v>13</v>
      </c>
      <c r="BN24" s="495" t="s">
        <v>318</v>
      </c>
      <c r="BO24" s="474">
        <f>Inputs!$B$8</f>
        <v>3.8406000000000003E-2</v>
      </c>
      <c r="BP24" s="513"/>
      <c r="BQ24" s="513"/>
      <c r="BR24" s="516">
        <f>-BO24*BR20</f>
        <v>-162050.81408400001</v>
      </c>
      <c r="BS24" s="102"/>
      <c r="BT24" s="366"/>
      <c r="BU24" s="366"/>
      <c r="BV24" s="509"/>
      <c r="BW24" s="509"/>
      <c r="BX24" s="518"/>
      <c r="BY24" s="16"/>
      <c r="CA24" s="50"/>
      <c r="CB24" s="252"/>
      <c r="CC24" s="380"/>
      <c r="CD24" s="251"/>
      <c r="CE24" s="106">
        <f t="shared" ref="CE24" si="32">+CE23+1</f>
        <v>12</v>
      </c>
      <c r="CF24" s="17" t="s">
        <v>82</v>
      </c>
      <c r="CG24" s="337">
        <f>'[21]Allocated (CBR)'!$C$19</f>
        <v>469849115.31999993</v>
      </c>
      <c r="CH24" s="24">
        <f>+F39</f>
        <v>0</v>
      </c>
      <c r="CI24" s="24"/>
      <c r="CJ24" s="24">
        <v>0</v>
      </c>
      <c r="CK24" s="24">
        <v>0</v>
      </c>
      <c r="CL24" s="337">
        <f>V47+V51+V55</f>
        <v>143046570.81</v>
      </c>
      <c r="CM24" s="24"/>
      <c r="CN24" s="24">
        <v>0</v>
      </c>
      <c r="CO24" s="16">
        <f t="shared" si="14"/>
        <v>4</v>
      </c>
      <c r="CP24" s="17" t="s">
        <v>82</v>
      </c>
      <c r="CQ24" s="24"/>
      <c r="CR24" s="24"/>
      <c r="CS24" s="24">
        <v>0</v>
      </c>
      <c r="CT24" s="24">
        <v>0</v>
      </c>
      <c r="CU24" s="24">
        <v>0</v>
      </c>
      <c r="CV24" s="24"/>
      <c r="CW24" s="337">
        <v>0</v>
      </c>
      <c r="CX24" s="337"/>
      <c r="CY24" s="337">
        <f t="shared" ref="CY24:CY41" si="33">SUM(CH24:CX24)-CO24</f>
        <v>143046570.81</v>
      </c>
      <c r="CZ24" s="25">
        <f>CG24+CY24</f>
        <v>612895686.12999988</v>
      </c>
      <c r="DA24" s="16">
        <f t="shared" si="16"/>
        <v>4</v>
      </c>
      <c r="DB24" s="17" t="s">
        <v>82</v>
      </c>
      <c r="DC24" s="24">
        <f>CG24</f>
        <v>469849115.31999993</v>
      </c>
      <c r="DD24" s="24">
        <f>CY24</f>
        <v>143046570.81</v>
      </c>
      <c r="DE24" s="64">
        <f>+DC24+DD24</f>
        <v>612895686.12999988</v>
      </c>
      <c r="DF24" s="64"/>
    </row>
    <row r="25" spans="1:122" ht="15" customHeight="1" thickTop="1" x14ac:dyDescent="0.25">
      <c r="A25" s="16">
        <f t="shared" si="0"/>
        <v>14</v>
      </c>
      <c r="B25" s="406">
        <f>'[22]G Lead Sheet'!B26</f>
        <v>45597</v>
      </c>
      <c r="C25" s="349">
        <f>'[22]G Lead Sheet'!C26</f>
        <v>28345168.729063693</v>
      </c>
      <c r="D25" s="349">
        <f>'[22]G Lead Sheet'!D26</f>
        <v>28081914.346377522</v>
      </c>
      <c r="E25" s="349">
        <f t="shared" si="17"/>
        <v>-263254.38268617168</v>
      </c>
      <c r="F25" s="422"/>
      <c r="G25" s="53">
        <f>ROW()</f>
        <v>25</v>
      </c>
      <c r="H25" s="156"/>
      <c r="I25" s="156"/>
      <c r="J25" s="361"/>
      <c r="K25" s="361"/>
      <c r="L25" s="106">
        <f t="shared" si="11"/>
        <v>14</v>
      </c>
      <c r="M25" s="2" t="s">
        <v>270</v>
      </c>
      <c r="N25" s="522">
        <f>'[8]Lead G'!$C$26</f>
        <v>0</v>
      </c>
      <c r="O25" s="16"/>
      <c r="R25" s="2" t="s">
        <v>20</v>
      </c>
      <c r="S25" s="53">
        <f t="shared" si="12"/>
        <v>14</v>
      </c>
      <c r="T25" s="455" t="s">
        <v>141</v>
      </c>
      <c r="U25" s="364"/>
      <c r="V25" s="473">
        <f>SUM(V14:V24)</f>
        <v>-5646864.130088388</v>
      </c>
      <c r="W25" s="42"/>
      <c r="X25" s="17"/>
      <c r="Y25" s="42"/>
      <c r="Z25" s="479"/>
      <c r="AA25" s="479"/>
      <c r="AB25" s="35">
        <f t="shared" si="3"/>
        <v>14</v>
      </c>
      <c r="AC25" s="253" t="s">
        <v>50</v>
      </c>
      <c r="AH25" s="25">
        <f>ROUND(AG22-AG24,0)</f>
        <v>-461149</v>
      </c>
      <c r="AN25" s="16">
        <v>14</v>
      </c>
      <c r="AP25" s="254"/>
      <c r="AQ25" s="254"/>
      <c r="AR25" s="254"/>
      <c r="AS25" s="25"/>
      <c r="AT25" s="17"/>
      <c r="AU25" s="17"/>
      <c r="AV25" s="17"/>
      <c r="AW25" s="17"/>
      <c r="AX25" s="102"/>
      <c r="BC25" s="165"/>
      <c r="BD25" s="181"/>
      <c r="BE25" s="130"/>
      <c r="BF25" s="130"/>
      <c r="BG25" s="130"/>
      <c r="BH25" s="102"/>
      <c r="BI25" s="102"/>
      <c r="BJ25" s="102"/>
      <c r="BK25" s="102"/>
      <c r="BL25" s="102"/>
      <c r="BM25" s="106">
        <f t="shared" si="8"/>
        <v>14</v>
      </c>
      <c r="BN25" s="497" t="s">
        <v>153</v>
      </c>
      <c r="BO25" s="497"/>
      <c r="BP25" s="513"/>
      <c r="BQ25" s="513"/>
      <c r="BR25" s="515">
        <f>SUM(BR22:BR24)</f>
        <v>-195603.59421200003</v>
      </c>
      <c r="BS25" s="102"/>
      <c r="BT25" s="413"/>
      <c r="BU25" s="413"/>
      <c r="BV25" s="413"/>
      <c r="BW25" s="252"/>
      <c r="BX25" s="30"/>
      <c r="BY25" s="16"/>
      <c r="CB25" s="241"/>
      <c r="CC25" s="30"/>
      <c r="CD25" s="24"/>
      <c r="CE25" s="106">
        <f t="shared" ref="CE25" si="34">+CE24+1</f>
        <v>13</v>
      </c>
      <c r="CF25" s="17"/>
      <c r="CG25" s="45"/>
      <c r="CH25" s="42"/>
      <c r="CI25" s="42"/>
      <c r="CJ25" s="42"/>
      <c r="CK25" s="42"/>
      <c r="CL25" s="417"/>
      <c r="CM25" s="42"/>
      <c r="CN25" s="43"/>
      <c r="CO25" s="16">
        <f t="shared" si="14"/>
        <v>5</v>
      </c>
      <c r="CP25" s="17"/>
      <c r="CQ25" s="43"/>
      <c r="CR25" s="42"/>
      <c r="CS25" s="43"/>
      <c r="CT25" s="43"/>
      <c r="CU25" s="43"/>
      <c r="CV25" s="43"/>
      <c r="CW25" s="303"/>
      <c r="CX25" s="303"/>
      <c r="CY25" s="303">
        <f t="shared" si="33"/>
        <v>0</v>
      </c>
      <c r="CZ25" s="43"/>
      <c r="DA25" s="16">
        <f t="shared" si="16"/>
        <v>5</v>
      </c>
      <c r="DB25" s="17"/>
      <c r="DC25" s="43"/>
      <c r="DD25" s="42"/>
      <c r="DE25" s="65"/>
    </row>
    <row r="26" spans="1:122" ht="15" customHeight="1" thickBot="1" x14ac:dyDescent="0.25">
      <c r="A26" s="16">
        <f t="shared" si="0"/>
        <v>15</v>
      </c>
      <c r="B26" s="406">
        <f>'[22]G Lead Sheet'!B27</f>
        <v>45627</v>
      </c>
      <c r="C26" s="349">
        <f>'[22]G Lead Sheet'!C27</f>
        <v>5196990.2742128121</v>
      </c>
      <c r="D26" s="349">
        <f>'[22]G Lead Sheet'!D27</f>
        <v>7272093.736840453</v>
      </c>
      <c r="E26" s="349">
        <f t="shared" si="17"/>
        <v>2075103.4626276409</v>
      </c>
      <c r="F26" s="422"/>
      <c r="G26" s="53">
        <f>ROW()</f>
        <v>26</v>
      </c>
      <c r="H26" s="156" t="s">
        <v>142</v>
      </c>
      <c r="I26" s="361"/>
      <c r="J26" s="313"/>
      <c r="K26" s="303">
        <f>SUM(K15:K25)</f>
        <v>0</v>
      </c>
      <c r="L26" s="106">
        <f t="shared" si="11"/>
        <v>15</v>
      </c>
      <c r="N26" s="421"/>
      <c r="O26" s="61"/>
      <c r="P26"/>
      <c r="Q26"/>
      <c r="R26"/>
      <c r="S26" s="53">
        <f t="shared" si="12"/>
        <v>15</v>
      </c>
      <c r="T26" s="364"/>
      <c r="U26" s="364"/>
      <c r="V26" s="364"/>
      <c r="W26" s="130"/>
      <c r="X26" s="130"/>
      <c r="Y26" s="130"/>
      <c r="Z26" s="130"/>
      <c r="AA26" s="130"/>
      <c r="AB26" s="35">
        <f t="shared" si="3"/>
        <v>15</v>
      </c>
      <c r="AC26" s="256"/>
      <c r="AI26" s="2"/>
      <c r="AJ26" s="2"/>
      <c r="AK26" s="2"/>
      <c r="AL26" s="2"/>
      <c r="AM26" s="2"/>
      <c r="AN26" s="16">
        <v>15</v>
      </c>
      <c r="AO26" s="2" t="s">
        <v>54</v>
      </c>
      <c r="AS26" s="314">
        <f>AS22-AS24</f>
        <v>1295585.763716524</v>
      </c>
      <c r="AT26" s="17"/>
      <c r="AU26" s="17"/>
      <c r="AV26" s="17"/>
      <c r="AW26" s="17"/>
      <c r="AX26" s="102"/>
      <c r="BC26" s="165"/>
      <c r="BD26" s="181"/>
      <c r="BE26" s="257"/>
      <c r="BF26" s="257"/>
      <c r="BG26" s="143"/>
      <c r="BH26" s="102"/>
      <c r="BI26" s="102"/>
      <c r="BJ26" s="102"/>
      <c r="BK26" s="102"/>
      <c r="BL26" s="102"/>
      <c r="BM26" s="106">
        <f t="shared" si="8"/>
        <v>15</v>
      </c>
      <c r="BN26" s="358"/>
      <c r="BO26" s="358"/>
      <c r="BP26" s="513"/>
      <c r="BQ26" s="513"/>
      <c r="BR26" s="516"/>
      <c r="BS26" s="102"/>
      <c r="BT26" s="102"/>
      <c r="BU26" s="102"/>
      <c r="BV26" s="102"/>
      <c r="BW26" s="102"/>
      <c r="BX26" s="102"/>
      <c r="BY26" s="16"/>
      <c r="BZ26" s="59"/>
      <c r="CA26" s="59"/>
      <c r="CB26" s="258"/>
      <c r="CD26" s="42"/>
      <c r="CE26" s="106">
        <f t="shared" ref="CE26" si="35">+CE25+1</f>
        <v>14</v>
      </c>
      <c r="CF26" s="17" t="s">
        <v>5</v>
      </c>
      <c r="CG26" s="324">
        <f>SUM(CG24:CG25)</f>
        <v>469849115.31999993</v>
      </c>
      <c r="CH26" s="41">
        <f>SUM(CH23:CH25)</f>
        <v>0</v>
      </c>
      <c r="CI26" s="41">
        <f>SUM(CI23:CI25)</f>
        <v>0</v>
      </c>
      <c r="CJ26" s="41">
        <f>SUM(CJ23:CJ25)</f>
        <v>0</v>
      </c>
      <c r="CK26" s="41">
        <f>SUM(CK23:CK25)</f>
        <v>0</v>
      </c>
      <c r="CL26" s="324">
        <f>SUM(CL23:CL25)</f>
        <v>143046570.81</v>
      </c>
      <c r="CM26" s="41"/>
      <c r="CN26" s="41">
        <f>SUM(CN23:CN25)</f>
        <v>0</v>
      </c>
      <c r="CO26" s="16">
        <f t="shared" si="14"/>
        <v>6</v>
      </c>
      <c r="CP26" s="17" t="s">
        <v>5</v>
      </c>
      <c r="CQ26" s="41">
        <f>SUM(CQ23:CQ25)</f>
        <v>0</v>
      </c>
      <c r="CR26" s="41">
        <f>SUM(CR23:CR25)</f>
        <v>0</v>
      </c>
      <c r="CS26" s="41">
        <f>SUM(CS23:CS25)</f>
        <v>0</v>
      </c>
      <c r="CT26" s="41">
        <f>SUM(CT23:CT25)</f>
        <v>0</v>
      </c>
      <c r="CU26" s="41">
        <f>SUM(CU23:CU25)</f>
        <v>0</v>
      </c>
      <c r="CV26" s="41"/>
      <c r="CW26" s="324">
        <f>SUM(CW23:CW25)</f>
        <v>0</v>
      </c>
      <c r="CX26" s="324">
        <f>SUM(CX23:CX25)</f>
        <v>0</v>
      </c>
      <c r="CY26" s="324">
        <f t="shared" si="33"/>
        <v>143046570.81</v>
      </c>
      <c r="CZ26" s="25">
        <f>CG26+CY26</f>
        <v>612895686.12999988</v>
      </c>
      <c r="DA26" s="16">
        <f t="shared" si="16"/>
        <v>6</v>
      </c>
      <c r="DB26" s="17" t="s">
        <v>5</v>
      </c>
      <c r="DC26" s="41">
        <f>SUM(DC22:DC25)</f>
        <v>469849115.31999993</v>
      </c>
      <c r="DD26" s="41">
        <f>SUM(DD22:DD25)</f>
        <v>143046570.81</v>
      </c>
      <c r="DE26" s="41">
        <f>SUM(DE22:DE25)</f>
        <v>612895686.12999988</v>
      </c>
      <c r="DF26" s="25"/>
    </row>
    <row r="27" spans="1:122" s="59" customFormat="1" ht="15" customHeight="1" thickTop="1" x14ac:dyDescent="0.25">
      <c r="A27" s="16">
        <f t="shared" si="0"/>
        <v>16</v>
      </c>
      <c r="B27" s="156"/>
      <c r="C27" s="350">
        <f>ROUND(SUM(C15:C26),0)</f>
        <v>203474872</v>
      </c>
      <c r="D27" s="350">
        <f>ROUND(SUM(D15:D26),0)</f>
        <v>192727133</v>
      </c>
      <c r="E27" s="350">
        <f>ROUND(SUM(E15:E26),0)</f>
        <v>-10747739</v>
      </c>
      <c r="F27" s="151"/>
      <c r="G27" s="53">
        <f>ROW()</f>
        <v>27</v>
      </c>
      <c r="H27" s="156"/>
      <c r="I27" s="361"/>
      <c r="J27" s="313"/>
      <c r="K27" s="367"/>
      <c r="L27" s="106">
        <f t="shared" si="11"/>
        <v>16</v>
      </c>
      <c r="M27" s="59" t="s">
        <v>275</v>
      </c>
      <c r="N27" s="418">
        <f>SUM(N22:N25)</f>
        <v>31147334.169138275</v>
      </c>
      <c r="O27" s="16"/>
      <c r="P27" s="584"/>
      <c r="Q27" s="585"/>
      <c r="R27" s="584"/>
      <c r="S27" s="53">
        <f t="shared" si="12"/>
        <v>16</v>
      </c>
      <c r="T27" s="490" t="s">
        <v>215</v>
      </c>
      <c r="U27" s="364"/>
      <c r="V27" s="364"/>
      <c r="W27" s="42"/>
      <c r="AB27" s="35">
        <f t="shared" si="3"/>
        <v>16</v>
      </c>
      <c r="AC27" s="160" t="s">
        <v>162</v>
      </c>
      <c r="AD27" s="2"/>
      <c r="AE27" s="2"/>
      <c r="AF27" s="2"/>
      <c r="AG27" s="2"/>
      <c r="AH27" s="25">
        <f>-AH25</f>
        <v>461149</v>
      </c>
      <c r="AI27" s="146"/>
      <c r="AJ27" s="146"/>
      <c r="AK27" s="146"/>
      <c r="AL27" s="146"/>
      <c r="AM27" s="146"/>
      <c r="AN27" s="2"/>
      <c r="AO27" s="2"/>
      <c r="AP27" s="2"/>
      <c r="AQ27" s="413"/>
      <c r="AR27" s="413"/>
      <c r="AS27"/>
      <c r="AT27" s="17"/>
      <c r="AU27" s="17"/>
      <c r="AV27" s="17"/>
      <c r="AW27" s="17"/>
      <c r="AX27" s="102"/>
      <c r="AY27" s="156"/>
      <c r="AZ27" s="156"/>
      <c r="BA27" s="156"/>
      <c r="BB27" s="156"/>
      <c r="BC27" s="165"/>
      <c r="BD27" s="259"/>
      <c r="BE27" s="257"/>
      <c r="BF27" s="257"/>
      <c r="BG27" s="143"/>
      <c r="BH27" s="102"/>
      <c r="BI27" s="102"/>
      <c r="BJ27" s="102"/>
      <c r="BK27" s="102"/>
      <c r="BL27" s="102"/>
      <c r="BM27" s="106">
        <f t="shared" si="8"/>
        <v>16</v>
      </c>
      <c r="BN27" s="498" t="s">
        <v>158</v>
      </c>
      <c r="BO27" s="513"/>
      <c r="BP27" s="513"/>
      <c r="BQ27" s="513"/>
      <c r="BR27" s="517">
        <f>-BR20-BR25</f>
        <v>-4023810.4057879997</v>
      </c>
      <c r="BS27" s="102"/>
      <c r="BT27" s="102"/>
      <c r="BU27" s="102"/>
      <c r="BV27" s="102"/>
      <c r="BW27" s="102"/>
      <c r="BX27" s="102"/>
      <c r="BY27" s="16"/>
      <c r="BZ27" s="17"/>
      <c r="CA27" s="2"/>
      <c r="CB27" s="260"/>
      <c r="CC27" s="2"/>
      <c r="CD27" s="42"/>
      <c r="CE27" s="106">
        <f t="shared" ref="CE27" si="36">+CE26+1</f>
        <v>15</v>
      </c>
      <c r="CF27" s="96"/>
      <c r="CG27" s="37"/>
      <c r="CH27" s="37"/>
      <c r="CI27" s="37"/>
      <c r="CJ27" s="37"/>
      <c r="CK27" s="37"/>
      <c r="CL27" s="37"/>
      <c r="CM27" s="37"/>
      <c r="CN27" s="290"/>
      <c r="CO27" s="16">
        <f t="shared" si="14"/>
        <v>7</v>
      </c>
      <c r="CP27" s="96"/>
      <c r="CQ27" s="290"/>
      <c r="CR27" s="62"/>
      <c r="CS27" s="290"/>
      <c r="CT27" s="290"/>
      <c r="CU27" s="290"/>
      <c r="CV27" s="290"/>
      <c r="CW27" s="290"/>
      <c r="CX27" s="290"/>
      <c r="CY27" s="290"/>
      <c r="CZ27" s="37"/>
      <c r="DA27" s="16">
        <f t="shared" si="16"/>
        <v>7</v>
      </c>
      <c r="DB27"/>
      <c r="DC27"/>
      <c r="DD27"/>
      <c r="DE27"/>
      <c r="DF27" s="25"/>
      <c r="DG27"/>
      <c r="DH27"/>
      <c r="DI27"/>
      <c r="DJ27"/>
      <c r="DK27"/>
      <c r="DL27"/>
      <c r="DM27"/>
      <c r="DN27"/>
      <c r="DO27"/>
      <c r="DP27"/>
      <c r="DQ27"/>
      <c r="DR27"/>
    </row>
    <row r="28" spans="1:122" ht="15" customHeight="1" x14ac:dyDescent="0.2">
      <c r="A28" s="16">
        <f t="shared" si="0"/>
        <v>17</v>
      </c>
      <c r="B28" s="201" t="s">
        <v>132</v>
      </c>
      <c r="C28" s="144"/>
      <c r="D28" s="144"/>
      <c r="E28" s="156"/>
      <c r="F28" s="151"/>
      <c r="G28" s="53">
        <f>ROW()</f>
        <v>28</v>
      </c>
      <c r="H28" s="358" t="s">
        <v>134</v>
      </c>
      <c r="I28" s="192">
        <f>+Inputs!B6</f>
        <v>2.9520000000000002E-3</v>
      </c>
      <c r="J28" s="352">
        <f>+K26*I28</f>
        <v>0</v>
      </c>
      <c r="K28" s="417"/>
      <c r="L28" s="106">
        <f t="shared" si="11"/>
        <v>17</v>
      </c>
      <c r="N28" s="415"/>
      <c r="O28" s="16"/>
      <c r="P28" s="584"/>
      <c r="Q28" s="584"/>
      <c r="R28" s="584"/>
      <c r="S28" s="53">
        <f t="shared" si="12"/>
        <v>17</v>
      </c>
      <c r="T28" s="365" t="s">
        <v>213</v>
      </c>
      <c r="U28" s="460"/>
      <c r="V28" s="341">
        <f>'[18]Lead 3.05 '!$D$28</f>
        <v>-337409.52</v>
      </c>
      <c r="W28" s="42"/>
      <c r="AB28" s="35">
        <f t="shared" si="3"/>
        <v>17</v>
      </c>
      <c r="AC28" s="158" t="s">
        <v>76</v>
      </c>
      <c r="AG28" s="141">
        <f>+Inputs!B9</f>
        <v>0.21</v>
      </c>
      <c r="AH28" s="82">
        <f>ROUND(-AH25*AG28,0)</f>
        <v>96841</v>
      </c>
      <c r="AI28" s="147"/>
      <c r="AJ28" s="147"/>
      <c r="AK28" s="147"/>
      <c r="AL28" s="147"/>
      <c r="AM28" s="147"/>
      <c r="AS28"/>
      <c r="AT28" s="44"/>
      <c r="AU28" s="44"/>
      <c r="AV28" s="44"/>
      <c r="AW28" s="44"/>
      <c r="AX28" s="44"/>
      <c r="BC28" s="165"/>
      <c r="BD28" s="259"/>
      <c r="BE28" s="257"/>
      <c r="BF28" s="257"/>
      <c r="BG28" s="257"/>
      <c r="BH28" s="44"/>
      <c r="BI28" s="44"/>
      <c r="BJ28" s="44"/>
      <c r="BK28" s="44"/>
      <c r="BL28" s="44"/>
      <c r="BM28" s="106">
        <f t="shared" si="8"/>
        <v>17</v>
      </c>
      <c r="BN28" s="498" t="s">
        <v>76</v>
      </c>
      <c r="BO28" s="499">
        <v>0.21</v>
      </c>
      <c r="BP28" s="513"/>
      <c r="BQ28" s="513"/>
      <c r="BR28" s="516">
        <f>+BO28*BR27</f>
        <v>-845000.18521547993</v>
      </c>
      <c r="BS28" s="313"/>
      <c r="BT28" s="313"/>
      <c r="BU28" s="313"/>
      <c r="BV28" s="313"/>
      <c r="BW28" s="313"/>
      <c r="BX28" s="313"/>
      <c r="BY28" s="16"/>
      <c r="BZ28" s="17"/>
      <c r="CB28" s="260"/>
      <c r="CD28" s="262"/>
      <c r="CE28" s="106">
        <f t="shared" ref="CE28" si="37">+CE27+1</f>
        <v>16</v>
      </c>
      <c r="CF28" s="27" t="s">
        <v>65</v>
      </c>
      <c r="CG28" s="337">
        <f>'[21]Allocated (CBR)'!$C24</f>
        <v>12970479.820000002</v>
      </c>
      <c r="CH28" s="24">
        <v>0</v>
      </c>
      <c r="CI28" s="24"/>
      <c r="CJ28" s="24">
        <v>0</v>
      </c>
      <c r="CK28" s="24">
        <v>0</v>
      </c>
      <c r="CL28" s="337"/>
      <c r="CM28" s="24"/>
      <c r="CN28" s="24">
        <v>0</v>
      </c>
      <c r="CO28" s="16">
        <f t="shared" si="14"/>
        <v>8</v>
      </c>
      <c r="CP28" s="27" t="s">
        <v>65</v>
      </c>
      <c r="CQ28" s="44"/>
      <c r="CR28" s="24">
        <v>0</v>
      </c>
      <c r="CS28" s="44">
        <v>0</v>
      </c>
      <c r="CT28" s="44">
        <v>0</v>
      </c>
      <c r="CU28" s="44">
        <v>0</v>
      </c>
      <c r="CV28" s="44"/>
      <c r="CW28" s="313">
        <v>0</v>
      </c>
      <c r="CX28" s="313"/>
      <c r="CY28" s="313">
        <f t="shared" si="33"/>
        <v>0</v>
      </c>
      <c r="CZ28" s="25">
        <f t="shared" ref="CZ28:CZ41" si="38">CG28+CY28</f>
        <v>12970479.820000002</v>
      </c>
      <c r="DA28" s="16">
        <f t="shared" si="16"/>
        <v>8</v>
      </c>
      <c r="DB28" s="80" t="s">
        <v>58</v>
      </c>
      <c r="DC28" s="24">
        <f t="shared" ref="DC28:DC41" si="39">CG28</f>
        <v>12970479.820000002</v>
      </c>
      <c r="DD28" s="24">
        <f t="shared" ref="DD28:DD41" si="40">CY28</f>
        <v>0</v>
      </c>
      <c r="DE28" s="64">
        <f>DC28+DD28</f>
        <v>12970479.820000002</v>
      </c>
      <c r="DF28" s="25"/>
    </row>
    <row r="29" spans="1:122" ht="15" customHeight="1" thickBot="1" x14ac:dyDescent="0.25">
      <c r="A29" s="16">
        <f t="shared" si="0"/>
        <v>18</v>
      </c>
      <c r="C29" s="365"/>
      <c r="D29" s="300"/>
      <c r="E29" s="296"/>
      <c r="F29" s="156"/>
      <c r="G29" s="53">
        <f>ROW()</f>
        <v>29</v>
      </c>
      <c r="H29" s="358" t="s">
        <v>135</v>
      </c>
      <c r="I29" s="192">
        <f>+Inputs!B7</f>
        <v>5.0000000000000001E-3</v>
      </c>
      <c r="J29" s="352">
        <f>+K26*I29</f>
        <v>0</v>
      </c>
      <c r="K29" s="417"/>
      <c r="L29" s="106">
        <f t="shared" si="11"/>
        <v>18</v>
      </c>
      <c r="M29" s="17" t="s">
        <v>56</v>
      </c>
      <c r="N29" s="415">
        <f>N15-N22</f>
        <v>13355061.647413179</v>
      </c>
      <c r="O29" s="16"/>
      <c r="P29" s="584"/>
      <c r="Q29" s="584"/>
      <c r="R29" s="584"/>
      <c r="S29" s="53">
        <f t="shared" si="12"/>
        <v>18</v>
      </c>
      <c r="T29" s="365" t="s">
        <v>313</v>
      </c>
      <c r="U29" s="460"/>
      <c r="V29" s="341">
        <f>'[18]Lead 3.05 '!$D$29</f>
        <v>-39120.94</v>
      </c>
      <c r="W29" s="42"/>
      <c r="AB29" s="35">
        <f t="shared" si="3"/>
        <v>18</v>
      </c>
      <c r="AC29" s="261" t="s">
        <v>55</v>
      </c>
      <c r="AH29" s="323">
        <f>AH27-AH28</f>
        <v>364308</v>
      </c>
      <c r="AI29" s="36"/>
      <c r="AJ29" s="36"/>
      <c r="AK29" s="36"/>
      <c r="AL29" s="36"/>
      <c r="AM29" s="36"/>
      <c r="AS29"/>
      <c r="AT29" s="2"/>
      <c r="AU29" s="2"/>
      <c r="AV29" s="2"/>
      <c r="AW29" s="2"/>
      <c r="AX29" s="2"/>
      <c r="AY29" s="159"/>
      <c r="BC29" s="165"/>
      <c r="BD29" s="259"/>
      <c r="BE29" s="257"/>
      <c r="BF29" s="257"/>
      <c r="BG29" s="257"/>
      <c r="BH29" s="2"/>
      <c r="BI29" s="2"/>
      <c r="BJ29" s="2"/>
      <c r="BK29" s="2"/>
      <c r="BL29" s="2"/>
      <c r="BM29" s="106">
        <f t="shared" si="8"/>
        <v>18</v>
      </c>
      <c r="BN29" s="498" t="s">
        <v>55</v>
      </c>
      <c r="BO29" s="513"/>
      <c r="BP29" s="513"/>
      <c r="BQ29" s="513"/>
      <c r="BR29" s="500">
        <f>BR27-BR28</f>
        <v>-3178810.22057252</v>
      </c>
      <c r="BS29" s="413"/>
      <c r="BT29" s="413"/>
      <c r="BU29" s="413"/>
      <c r="BV29" s="413"/>
      <c r="BW29" s="413"/>
      <c r="BX29" s="413"/>
      <c r="BY29" s="16"/>
      <c r="CD29" s="24"/>
      <c r="CE29" s="106">
        <f t="shared" ref="CE29" si="41">+CE28+1</f>
        <v>17</v>
      </c>
      <c r="CF29" s="17" t="s">
        <v>6</v>
      </c>
      <c r="CG29" s="337">
        <f>'[21]Allocated (CBR)'!$C25</f>
        <v>3947.83</v>
      </c>
      <c r="CH29" s="42"/>
      <c r="CI29" s="42"/>
      <c r="CJ29" s="42"/>
      <c r="CK29" s="42"/>
      <c r="CL29" s="417"/>
      <c r="CM29" s="42"/>
      <c r="CN29" s="42"/>
      <c r="CO29" s="16">
        <f t="shared" si="14"/>
        <v>9</v>
      </c>
      <c r="CP29" s="17" t="s">
        <v>6</v>
      </c>
      <c r="CQ29" s="42"/>
      <c r="CR29" s="42"/>
      <c r="CS29" s="42"/>
      <c r="CT29" s="42"/>
      <c r="CU29" s="42"/>
      <c r="CV29" s="42"/>
      <c r="CW29" s="417"/>
      <c r="CX29" s="417"/>
      <c r="CY29" s="417">
        <f t="shared" si="33"/>
        <v>0</v>
      </c>
      <c r="CZ29" s="42">
        <f t="shared" si="38"/>
        <v>3947.83</v>
      </c>
      <c r="DA29" s="16">
        <f t="shared" si="16"/>
        <v>9</v>
      </c>
      <c r="DB29" s="17" t="s">
        <v>6</v>
      </c>
      <c r="DC29" s="42">
        <f t="shared" si="39"/>
        <v>3947.83</v>
      </c>
      <c r="DD29" s="13">
        <f t="shared" si="40"/>
        <v>0</v>
      </c>
      <c r="DE29" s="65">
        <f t="shared" ref="DE29:DE41" si="42">+DC29+DD29</f>
        <v>3947.83</v>
      </c>
      <c r="DF29" s="25"/>
    </row>
    <row r="30" spans="1:122" ht="15" customHeight="1" thickTop="1" x14ac:dyDescent="0.2">
      <c r="A30" s="16">
        <f t="shared" si="0"/>
        <v>19</v>
      </c>
      <c r="B30" s="407" t="s">
        <v>261</v>
      </c>
      <c r="C30" s="407"/>
      <c r="D30" s="408">
        <v>85</v>
      </c>
      <c r="E30" s="349">
        <f>'[22]G Lead Sheet'!E30</f>
        <v>-23096.206606382348</v>
      </c>
      <c r="G30" s="53">
        <f>ROW()</f>
        <v>30</v>
      </c>
      <c r="H30" s="363" t="s">
        <v>50</v>
      </c>
      <c r="I30" s="189"/>
      <c r="J30" s="458"/>
      <c r="K30" s="367">
        <f>SUM(J28:J29)</f>
        <v>0</v>
      </c>
      <c r="L30" s="106">
        <f t="shared" si="11"/>
        <v>19</v>
      </c>
      <c r="M30" s="17" t="s">
        <v>276</v>
      </c>
      <c r="N30" s="416">
        <f>(N16+N17)-(N23+N24)</f>
        <v>-448326.09218999743</v>
      </c>
      <c r="O30" s="16"/>
      <c r="P30" s="584"/>
      <c r="Q30" s="584"/>
      <c r="R30" s="584"/>
      <c r="S30" s="53">
        <f t="shared" si="12"/>
        <v>19</v>
      </c>
      <c r="T30" s="365" t="s">
        <v>233</v>
      </c>
      <c r="U30" s="460"/>
      <c r="V30" s="341">
        <f>'[18]Lead 3.05 '!$D$30</f>
        <v>-9727335.8500000015</v>
      </c>
      <c r="W30" s="265"/>
      <c r="AC30" s="1"/>
      <c r="AI30" s="36"/>
      <c r="AJ30" s="36"/>
      <c r="AK30" s="36"/>
      <c r="AL30" s="36"/>
      <c r="AM30" s="36"/>
      <c r="AN30" s="59"/>
      <c r="AO30" s="59"/>
      <c r="AP30" s="59"/>
      <c r="AQ30" s="59"/>
      <c r="AR30" s="59"/>
      <c r="AS30"/>
      <c r="AT30" s="2"/>
      <c r="AU30" s="2"/>
      <c r="AV30" s="2"/>
      <c r="AW30" s="2"/>
      <c r="AX30" s="2"/>
      <c r="AY30" s="159"/>
      <c r="BC30" s="165"/>
      <c r="BD30" s="259"/>
      <c r="BE30" s="257"/>
      <c r="BF30" s="257"/>
      <c r="BG30" s="257"/>
      <c r="BH30" s="2"/>
      <c r="BI30" s="2"/>
      <c r="BJ30" s="2"/>
      <c r="BK30" s="2"/>
      <c r="BL30" s="2"/>
      <c r="BM30" s="413"/>
      <c r="BS30" s="413"/>
      <c r="BT30" s="413"/>
      <c r="BU30" s="413"/>
      <c r="BV30" s="413"/>
      <c r="BW30" s="413"/>
      <c r="BX30" s="413"/>
      <c r="BY30" s="16"/>
      <c r="CD30" s="24"/>
      <c r="CE30" s="106">
        <f t="shared" ref="CE30" si="43">+CE29+1</f>
        <v>18</v>
      </c>
      <c r="CF30" s="17" t="s">
        <v>7</v>
      </c>
      <c r="CG30" s="337">
        <f>'[21]Allocated (CBR)'!$C26</f>
        <v>67441024.603501126</v>
      </c>
      <c r="CH30" s="42"/>
      <c r="CI30" s="42"/>
      <c r="CJ30" s="42"/>
      <c r="CK30" s="42"/>
      <c r="CL30" s="417"/>
      <c r="CM30" s="42"/>
      <c r="CN30" s="42"/>
      <c r="CO30" s="16">
        <f t="shared" si="14"/>
        <v>10</v>
      </c>
      <c r="CP30" s="17" t="s">
        <v>7</v>
      </c>
      <c r="CQ30" s="42"/>
      <c r="CR30" s="42"/>
      <c r="CS30" s="42"/>
      <c r="CT30" s="42"/>
      <c r="CU30" s="42"/>
      <c r="CV30" s="42"/>
      <c r="CW30" s="417"/>
      <c r="CX30" s="417"/>
      <c r="CY30" s="417">
        <f t="shared" si="33"/>
        <v>0</v>
      </c>
      <c r="CZ30" s="42">
        <f t="shared" si="38"/>
        <v>67441024.603501126</v>
      </c>
      <c r="DA30" s="16">
        <f t="shared" si="16"/>
        <v>10</v>
      </c>
      <c r="DB30" s="17" t="s">
        <v>7</v>
      </c>
      <c r="DC30" s="42">
        <f t="shared" si="39"/>
        <v>67441024.603501126</v>
      </c>
      <c r="DD30" s="13">
        <f t="shared" si="40"/>
        <v>0</v>
      </c>
      <c r="DE30" s="65">
        <f t="shared" si="42"/>
        <v>67441024.603501126</v>
      </c>
    </row>
    <row r="31" spans="1:122" ht="15" customHeight="1" x14ac:dyDescent="0.2">
      <c r="A31" s="16">
        <f t="shared" si="0"/>
        <v>20</v>
      </c>
      <c r="B31" s="407" t="s">
        <v>262</v>
      </c>
      <c r="C31" s="407"/>
      <c r="D31" s="409" t="s">
        <v>279</v>
      </c>
      <c r="E31" s="349">
        <f>'[22]G Lead Sheet'!E31</f>
        <v>-5839.5462526595802</v>
      </c>
      <c r="G31" s="53">
        <f>ROW()</f>
        <v>31</v>
      </c>
      <c r="H31" s="358"/>
      <c r="I31" s="189"/>
      <c r="J31" s="341"/>
      <c r="K31" s="417"/>
      <c r="L31" s="106">
        <f t="shared" si="11"/>
        <v>20</v>
      </c>
      <c r="M31" s="2" t="s">
        <v>277</v>
      </c>
      <c r="N31" s="417">
        <f>N18-N25</f>
        <v>0</v>
      </c>
      <c r="O31" s="16"/>
      <c r="P31" s="584"/>
      <c r="Q31" s="586"/>
      <c r="R31" s="584"/>
      <c r="S31" s="53">
        <f t="shared" si="12"/>
        <v>20</v>
      </c>
      <c r="T31" s="360" t="s">
        <v>211</v>
      </c>
      <c r="U31" s="460"/>
      <c r="V31" s="341">
        <f>'[18]Lead 3.05 '!$D$31</f>
        <v>0</v>
      </c>
      <c r="W31" s="42"/>
      <c r="X31" s="42"/>
      <c r="Y31" s="42"/>
      <c r="Z31" s="42"/>
      <c r="AA31" s="42"/>
      <c r="AI31" s="148"/>
      <c r="AJ31" s="148"/>
      <c r="AK31" s="148"/>
      <c r="AL31" s="148"/>
      <c r="AM31" s="148"/>
      <c r="AS31"/>
      <c r="AT31" s="19"/>
      <c r="AU31" s="19"/>
      <c r="AV31" s="19"/>
      <c r="AW31" s="19"/>
      <c r="AX31" s="19"/>
      <c r="BC31" s="165"/>
      <c r="BD31" s="259"/>
      <c r="BE31" s="257"/>
      <c r="BF31" s="257"/>
      <c r="BG31" s="257"/>
      <c r="BH31" s="19"/>
      <c r="BI31" s="19"/>
      <c r="BJ31" s="19"/>
      <c r="BK31" s="19"/>
      <c r="BL31" s="19"/>
      <c r="BM31" s="19"/>
      <c r="BS31" s="19"/>
      <c r="BT31" s="19"/>
      <c r="BU31" s="19"/>
      <c r="BV31" s="19"/>
      <c r="BW31" s="19"/>
      <c r="BX31" s="19"/>
      <c r="CB31" s="50" t="s">
        <v>20</v>
      </c>
      <c r="CD31" s="24"/>
      <c r="CE31" s="106">
        <f t="shared" ref="CE31" si="44">+CE30+1</f>
        <v>19</v>
      </c>
      <c r="CF31" s="58" t="s">
        <v>8</v>
      </c>
      <c r="CG31" s="337">
        <f>'[21]Allocated (CBR)'!$C27</f>
        <v>26497541.77</v>
      </c>
      <c r="CH31" s="291">
        <f>+E40</f>
        <v>-158</v>
      </c>
      <c r="CI31" s="291">
        <f>J28</f>
        <v>0</v>
      </c>
      <c r="CJ31" s="291"/>
      <c r="CK31" s="291"/>
      <c r="CL31" s="291">
        <f>V38</f>
        <v>46920.372618261456</v>
      </c>
      <c r="CM31" s="291"/>
      <c r="CN31" s="42">
        <f>AH25</f>
        <v>-461149</v>
      </c>
      <c r="CO31" s="16">
        <f t="shared" si="14"/>
        <v>11</v>
      </c>
      <c r="CP31" s="58" t="s">
        <v>8</v>
      </c>
      <c r="CQ31" s="42"/>
      <c r="CR31" s="291"/>
      <c r="CS31" s="42"/>
      <c r="CT31" s="42">
        <f>BB12</f>
        <v>12970.922682460985</v>
      </c>
      <c r="CU31" s="42"/>
      <c r="CV31" s="42"/>
      <c r="CW31" s="417">
        <f>+BR22</f>
        <v>-12455.710128000001</v>
      </c>
      <c r="CX31" s="417"/>
      <c r="CY31" s="417">
        <f t="shared" si="33"/>
        <v>-413871.41482727759</v>
      </c>
      <c r="CZ31" s="42">
        <f t="shared" si="38"/>
        <v>26083670.355172724</v>
      </c>
      <c r="DA31" s="16">
        <f t="shared" si="16"/>
        <v>11</v>
      </c>
      <c r="DB31" s="58" t="s">
        <v>59</v>
      </c>
      <c r="DC31" s="42">
        <f t="shared" si="39"/>
        <v>26497541.77</v>
      </c>
      <c r="DD31" s="93">
        <f t="shared" si="40"/>
        <v>-413871.41482727759</v>
      </c>
      <c r="DE31" s="65">
        <f t="shared" si="42"/>
        <v>26083670.355172724</v>
      </c>
    </row>
    <row r="32" spans="1:122" ht="15" customHeight="1" thickBot="1" x14ac:dyDescent="0.25">
      <c r="A32" s="16">
        <f t="shared" si="0"/>
        <v>21</v>
      </c>
      <c r="B32" s="407" t="s">
        <v>263</v>
      </c>
      <c r="C32" s="407"/>
      <c r="D32" s="408">
        <v>87</v>
      </c>
      <c r="E32" s="349">
        <f>'[22]G Lead Sheet'!E32</f>
        <v>-7714.0828072817931</v>
      </c>
      <c r="F32" s="156"/>
      <c r="G32" s="53">
        <f>ROW()</f>
        <v>32</v>
      </c>
      <c r="H32" s="358" t="s">
        <v>136</v>
      </c>
      <c r="I32" s="192">
        <f>+Inputs!B8</f>
        <v>3.8406000000000003E-2</v>
      </c>
      <c r="J32" s="313">
        <f>+K26*I32</f>
        <v>0</v>
      </c>
      <c r="K32" s="417"/>
      <c r="L32" s="106">
        <f t="shared" si="11"/>
        <v>21</v>
      </c>
      <c r="M32" s="17" t="s">
        <v>278</v>
      </c>
      <c r="N32" s="419">
        <f>-SUM(N29:N31)</f>
        <v>-12906735.555223182</v>
      </c>
      <c r="O32" s="16"/>
      <c r="P32" s="584"/>
      <c r="Q32" s="584"/>
      <c r="R32" s="587"/>
      <c r="S32" s="53">
        <f t="shared" si="12"/>
        <v>21</v>
      </c>
      <c r="T32" s="402" t="s">
        <v>343</v>
      </c>
      <c r="U32" s="461"/>
      <c r="V32" s="303">
        <f>'[18]Lead 3.05 '!$D$32</f>
        <v>-10476697</v>
      </c>
      <c r="W32" s="263"/>
      <c r="X32" s="263"/>
      <c r="Y32" s="263"/>
      <c r="Z32" s="263"/>
      <c r="AA32" s="263"/>
      <c r="AI32" s="149"/>
      <c r="AJ32" s="149"/>
      <c r="AK32" s="149"/>
      <c r="AL32" s="149"/>
      <c r="AM32" s="149"/>
      <c r="AS32"/>
      <c r="BC32" s="165"/>
      <c r="BD32" s="259"/>
      <c r="BE32" s="257"/>
      <c r="BF32" s="257"/>
      <c r="BG32" s="257"/>
      <c r="BN32" s="413"/>
      <c r="BO32" s="413"/>
      <c r="BP32" s="413"/>
      <c r="BQ32" s="413"/>
      <c r="BR32" s="413"/>
      <c r="CA32" s="1"/>
      <c r="CD32" s="24"/>
      <c r="CE32" s="106">
        <f t="shared" ref="CE32" si="45">+CE31+1</f>
        <v>20</v>
      </c>
      <c r="CF32" s="17" t="s">
        <v>9</v>
      </c>
      <c r="CG32" s="337">
        <f>'[21]Allocated (CBR)'!$C28</f>
        <v>20080942.899999999</v>
      </c>
      <c r="CH32" s="42"/>
      <c r="CI32" s="42"/>
      <c r="CJ32" s="42"/>
      <c r="CK32" s="42"/>
      <c r="CL32" s="417">
        <f>V44+V48+V52+V57</f>
        <v>-17523401.259999998</v>
      </c>
      <c r="CM32" s="42"/>
      <c r="CN32" s="42"/>
      <c r="CO32" s="16">
        <f t="shared" si="14"/>
        <v>12</v>
      </c>
      <c r="CP32" s="17" t="s">
        <v>9</v>
      </c>
      <c r="CQ32" s="42"/>
      <c r="CR32" s="42"/>
      <c r="CS32" s="42"/>
      <c r="CT32" s="42"/>
      <c r="CU32" s="42"/>
      <c r="CV32" s="42"/>
      <c r="CW32" s="417"/>
      <c r="CX32" s="417"/>
      <c r="CY32" s="417">
        <f t="shared" si="33"/>
        <v>-17523401.259999998</v>
      </c>
      <c r="CZ32" s="42">
        <f t="shared" si="38"/>
        <v>2557541.6400000006</v>
      </c>
      <c r="DA32" s="16">
        <f t="shared" si="16"/>
        <v>12</v>
      </c>
      <c r="DB32" s="17" t="s">
        <v>9</v>
      </c>
      <c r="DC32" s="42">
        <f t="shared" si="39"/>
        <v>20080942.899999999</v>
      </c>
      <c r="DD32" s="93">
        <f t="shared" si="40"/>
        <v>-17523401.259999998</v>
      </c>
      <c r="DE32" s="65">
        <f t="shared" si="42"/>
        <v>2557541.6400000006</v>
      </c>
    </row>
    <row r="33" spans="1:122" s="23" customFormat="1" ht="15" customHeight="1" thickTop="1" x14ac:dyDescent="0.25">
      <c r="A33" s="16">
        <f t="shared" si="0"/>
        <v>22</v>
      </c>
      <c r="B33" s="407" t="s">
        <v>264</v>
      </c>
      <c r="C33" s="407"/>
      <c r="D33" s="409" t="s">
        <v>280</v>
      </c>
      <c r="E33" s="349">
        <f>'[22]G Lead Sheet'!E33</f>
        <v>-12790.311281336561</v>
      </c>
      <c r="F33" s="156"/>
      <c r="G33" s="53">
        <f>ROW()</f>
        <v>33</v>
      </c>
      <c r="H33" s="363"/>
      <c r="I33" s="189"/>
      <c r="J33" s="421"/>
      <c r="K33" s="417"/>
      <c r="L33"/>
      <c r="M33"/>
      <c r="N33"/>
      <c r="O33" s="16"/>
      <c r="P33" s="584"/>
      <c r="Q33" s="584"/>
      <c r="R33" s="584"/>
      <c r="S33" s="53">
        <f t="shared" si="12"/>
        <v>22</v>
      </c>
      <c r="T33" s="412" t="s">
        <v>298</v>
      </c>
      <c r="U33" s="364"/>
      <c r="V33" s="473">
        <f>SUM(V28:V32)</f>
        <v>-20580563.310000002</v>
      </c>
      <c r="W33" s="13"/>
      <c r="X33" s="13"/>
      <c r="Y33" s="13"/>
      <c r="Z33" s="13"/>
      <c r="AA33" s="13"/>
      <c r="AB33" s="2"/>
      <c r="AC33" s="2"/>
      <c r="AD33" s="2"/>
      <c r="AE33" s="2"/>
      <c r="AF33" s="2"/>
      <c r="AG33" s="2"/>
      <c r="AH33" s="2"/>
      <c r="AI33" s="149"/>
      <c r="AJ33" s="149"/>
      <c r="AK33" s="149"/>
      <c r="AL33" s="149"/>
      <c r="AM33" s="149"/>
      <c r="AN33" s="2"/>
      <c r="AO33" s="2"/>
      <c r="AP33" s="2"/>
      <c r="AQ33" s="413"/>
      <c r="AR33" s="413"/>
      <c r="AS33"/>
      <c r="AT33" s="144"/>
      <c r="AU33" s="144"/>
      <c r="AV33" s="144"/>
      <c r="AW33" s="144"/>
      <c r="AX33" s="144"/>
      <c r="AY33" s="156"/>
      <c r="AZ33" s="156"/>
      <c r="BA33" s="156"/>
      <c r="BB33" s="156"/>
      <c r="BH33" s="144"/>
      <c r="BI33" s="144"/>
      <c r="BJ33" s="144"/>
      <c r="BK33" s="144"/>
      <c r="BL33" s="144"/>
      <c r="BM33" s="144"/>
      <c r="BN33" s="341"/>
      <c r="BO33" s="341"/>
      <c r="BP33" s="341"/>
      <c r="BQ33" s="341"/>
      <c r="BR33" s="341"/>
      <c r="BS33" s="144"/>
      <c r="BT33" s="144"/>
      <c r="BU33" s="144"/>
      <c r="BV33" s="144"/>
      <c r="BW33" s="144"/>
      <c r="BX33" s="144"/>
      <c r="BY33" s="2"/>
      <c r="BZ33" s="2"/>
      <c r="CA33" s="1"/>
      <c r="CB33" s="2"/>
      <c r="CC33" s="2"/>
      <c r="CD33" s="24"/>
      <c r="CE33" s="106">
        <f t="shared" ref="CE33" si="46">+CE32+1</f>
        <v>21</v>
      </c>
      <c r="CF33" s="17" t="s">
        <v>10</v>
      </c>
      <c r="CG33" s="337">
        <f>'[21]Allocated (CBR)'!$C29</f>
        <v>28674631.989999998</v>
      </c>
      <c r="CH33" s="42"/>
      <c r="CI33" s="42"/>
      <c r="CJ33" s="42"/>
      <c r="CK33" s="42"/>
      <c r="CL33" s="291">
        <f>V45</f>
        <v>-28674631.989999998</v>
      </c>
      <c r="CM33" s="291"/>
      <c r="CN33" s="291"/>
      <c r="CO33" s="16">
        <f t="shared" si="14"/>
        <v>13</v>
      </c>
      <c r="CP33" s="17" t="s">
        <v>10</v>
      </c>
      <c r="CQ33" s="291"/>
      <c r="CR33" s="42"/>
      <c r="CS33" s="291"/>
      <c r="CT33" s="291"/>
      <c r="CU33" s="291"/>
      <c r="CV33" s="291"/>
      <c r="CW33" s="291"/>
      <c r="CX33" s="291"/>
      <c r="CY33" s="291">
        <f t="shared" si="33"/>
        <v>-28674631.989999998</v>
      </c>
      <c r="CZ33" s="42">
        <f t="shared" si="38"/>
        <v>0</v>
      </c>
      <c r="DA33" s="16">
        <f t="shared" si="16"/>
        <v>13</v>
      </c>
      <c r="DB33" s="17" t="s">
        <v>10</v>
      </c>
      <c r="DC33" s="42">
        <f t="shared" si="39"/>
        <v>28674631.989999998</v>
      </c>
      <c r="DD33" s="93">
        <f t="shared" si="40"/>
        <v>-28674631.989999998</v>
      </c>
      <c r="DE33" s="65">
        <f t="shared" si="42"/>
        <v>0</v>
      </c>
      <c r="DG33"/>
      <c r="DH33"/>
      <c r="DI33"/>
      <c r="DJ33"/>
      <c r="DK33"/>
      <c r="DL33"/>
      <c r="DM33"/>
      <c r="DN33"/>
      <c r="DO33"/>
      <c r="DP33"/>
      <c r="DQ33"/>
      <c r="DR33"/>
    </row>
    <row r="34" spans="1:122" ht="15" customHeight="1" x14ac:dyDescent="0.2">
      <c r="A34" s="16">
        <f t="shared" si="0"/>
        <v>23</v>
      </c>
      <c r="B34" s="410" t="s">
        <v>265</v>
      </c>
      <c r="C34" s="410"/>
      <c r="D34" s="411" t="s">
        <v>281</v>
      </c>
      <c r="E34" s="349">
        <f>'[22]G Lead Sheet'!E34</f>
        <v>-4106.9730339078014</v>
      </c>
      <c r="F34" s="476"/>
      <c r="G34" s="53">
        <f>ROW()</f>
        <v>34</v>
      </c>
      <c r="H34" s="363" t="s">
        <v>137</v>
      </c>
      <c r="I34" s="156"/>
      <c r="J34" s="341"/>
      <c r="K34" s="367">
        <f>SUM(J32:J33)</f>
        <v>0</v>
      </c>
      <c r="L34"/>
      <c r="M34"/>
      <c r="N34"/>
      <c r="O34"/>
      <c r="P34" s="584"/>
      <c r="Q34" s="584"/>
      <c r="R34" s="584"/>
      <c r="S34" s="53">
        <f t="shared" si="12"/>
        <v>23</v>
      </c>
      <c r="T34" s="364"/>
      <c r="U34" s="364"/>
      <c r="V34" s="364"/>
      <c r="W34" s="133"/>
      <c r="X34" s="133"/>
      <c r="Y34" s="133"/>
      <c r="Z34" s="133"/>
      <c r="AA34" s="133"/>
      <c r="AB34" s="23"/>
      <c r="AC34" s="23"/>
      <c r="AD34" s="23"/>
      <c r="AE34" s="23"/>
      <c r="AF34" s="23"/>
      <c r="AG34" s="23"/>
      <c r="AH34" s="23"/>
      <c r="AI34" s="149"/>
      <c r="AJ34" s="149"/>
      <c r="AK34" s="149"/>
      <c r="AL34" s="149"/>
      <c r="AM34" s="149"/>
      <c r="AS34"/>
      <c r="BN34" s="147"/>
      <c r="BO34" s="147"/>
      <c r="BP34" s="147"/>
      <c r="BQ34" s="147"/>
      <c r="BR34" s="147"/>
      <c r="BY34" s="81"/>
      <c r="CA34" s="1"/>
      <c r="CC34" s="125"/>
      <c r="CD34" s="24"/>
      <c r="CE34" s="106">
        <f t="shared" ref="CE34" si="47">+CE33+1</f>
        <v>22</v>
      </c>
      <c r="CF34" s="17" t="s">
        <v>11</v>
      </c>
      <c r="CG34" s="337">
        <f>'[21]Allocated (CBR)'!$C30</f>
        <v>70703835.100000009</v>
      </c>
      <c r="CH34" s="42">
        <f>+E41</f>
        <v>-268</v>
      </c>
      <c r="CI34" s="42">
        <f>J29</f>
        <v>0</v>
      </c>
      <c r="CJ34" s="42"/>
      <c r="CK34" s="42"/>
      <c r="CL34" s="351">
        <f>V39+V49+V53</f>
        <v>53928.345843938776</v>
      </c>
      <c r="CM34" s="42">
        <f>AA20</f>
        <v>31117.155464000069</v>
      </c>
      <c r="CN34" s="42"/>
      <c r="CO34" s="16">
        <f t="shared" si="14"/>
        <v>14</v>
      </c>
      <c r="CP34" s="17" t="s">
        <v>11</v>
      </c>
      <c r="CQ34" s="42">
        <f>AM13</f>
        <v>-782046.66513017006</v>
      </c>
      <c r="CR34" s="42">
        <f>AS18</f>
        <v>-2748421.6993999993</v>
      </c>
      <c r="CS34" s="42">
        <f>AX14</f>
        <v>-2494.6020915649133</v>
      </c>
      <c r="CT34" s="42"/>
      <c r="CU34" s="42">
        <f>BG15</f>
        <v>2630483.3020398691</v>
      </c>
      <c r="CV34" s="42">
        <f>BL16</f>
        <v>-403009.40752325614</v>
      </c>
      <c r="CW34" s="417">
        <f>+BR23</f>
        <v>-21097.07</v>
      </c>
      <c r="CX34" s="417"/>
      <c r="CY34" s="417">
        <f t="shared" si="33"/>
        <v>-1241808.6407971827</v>
      </c>
      <c r="CZ34" s="42">
        <f t="shared" si="38"/>
        <v>69462026.459202826</v>
      </c>
      <c r="DA34" s="16">
        <f t="shared" si="16"/>
        <v>14</v>
      </c>
      <c r="DB34" s="17" t="s">
        <v>11</v>
      </c>
      <c r="DC34" s="42">
        <f t="shared" si="39"/>
        <v>70703835.100000009</v>
      </c>
      <c r="DD34" s="93">
        <f t="shared" si="40"/>
        <v>-1241808.6407971827</v>
      </c>
      <c r="DE34" s="65">
        <f t="shared" si="42"/>
        <v>69462026.459202826</v>
      </c>
    </row>
    <row r="35" spans="1:122" ht="15" customHeight="1" x14ac:dyDescent="0.2">
      <c r="A35" s="16">
        <f t="shared" si="0"/>
        <v>24</v>
      </c>
      <c r="B35" s="412" t="s">
        <v>133</v>
      </c>
      <c r="C35" s="412"/>
      <c r="D35" s="413"/>
      <c r="E35" s="25"/>
      <c r="F35" s="318">
        <f>SUM(E29:E34)</f>
        <v>-53547.119981568081</v>
      </c>
      <c r="G35" s="53">
        <f>ROW()</f>
        <v>35</v>
      </c>
      <c r="H35" s="358"/>
      <c r="I35" s="156"/>
      <c r="J35" s="156"/>
      <c r="K35" s="421"/>
      <c r="L35"/>
      <c r="M35"/>
      <c r="N35"/>
      <c r="O35"/>
      <c r="P35" s="584"/>
      <c r="Q35" s="584"/>
      <c r="R35" s="584"/>
      <c r="S35" s="53">
        <f t="shared" si="12"/>
        <v>24</v>
      </c>
      <c r="T35" s="362" t="s">
        <v>149</v>
      </c>
      <c r="U35" s="365"/>
      <c r="V35" s="462">
        <f>SUM(V25,V33)</f>
        <v>-26227427.440088391</v>
      </c>
      <c r="AI35" s="149"/>
      <c r="AJ35" s="149"/>
      <c r="AK35" s="149"/>
      <c r="AL35" s="149"/>
      <c r="AM35" s="149"/>
      <c r="AS35"/>
      <c r="AT35" s="2"/>
      <c r="AU35" s="2"/>
      <c r="AV35" s="2"/>
      <c r="AW35" s="2"/>
      <c r="AX35" s="2"/>
      <c r="BH35" s="2"/>
      <c r="BI35" s="2"/>
      <c r="BJ35" s="2"/>
      <c r="BK35" s="2"/>
      <c r="BL35" s="2"/>
      <c r="BM35" s="413"/>
      <c r="BN35" s="36"/>
      <c r="BO35" s="36"/>
      <c r="BP35" s="36"/>
      <c r="BQ35" s="36"/>
      <c r="BR35" s="36"/>
      <c r="BS35" s="413"/>
      <c r="BT35" s="413"/>
      <c r="BU35" s="413"/>
      <c r="BV35" s="413"/>
      <c r="BW35" s="413"/>
      <c r="BX35" s="413"/>
      <c r="BY35" s="81"/>
      <c r="CA35" s="1"/>
      <c r="CC35" s="125"/>
      <c r="CE35" s="106">
        <f t="shared" ref="CE35" si="48">+CE34+1</f>
        <v>23</v>
      </c>
      <c r="CF35" s="17" t="s">
        <v>83</v>
      </c>
      <c r="CG35" s="337">
        <f>'[21]Allocated (CBR)'!$C31</f>
        <v>183608947.09999999</v>
      </c>
      <c r="CH35" s="42"/>
      <c r="CI35" s="42"/>
      <c r="CJ35" s="42"/>
      <c r="CK35" s="42"/>
      <c r="CL35" s="413"/>
      <c r="CN35" s="42"/>
      <c r="CO35" s="16">
        <f t="shared" si="14"/>
        <v>15</v>
      </c>
      <c r="CP35" s="17" t="s">
        <v>83</v>
      </c>
      <c r="CQ35" s="42"/>
      <c r="CR35" s="42"/>
      <c r="CS35" s="42"/>
      <c r="CT35" s="42"/>
      <c r="CU35" s="42"/>
      <c r="CV35" s="42"/>
      <c r="CW35" s="417"/>
      <c r="CX35" s="417">
        <f>+BX19</f>
        <v>0</v>
      </c>
      <c r="CY35" s="417">
        <f t="shared" si="33"/>
        <v>0</v>
      </c>
      <c r="CZ35" s="42">
        <f t="shared" si="38"/>
        <v>183608947.09999999</v>
      </c>
      <c r="DA35" s="16">
        <f t="shared" si="16"/>
        <v>15</v>
      </c>
      <c r="DB35" s="17" t="s">
        <v>83</v>
      </c>
      <c r="DC35" s="42">
        <f t="shared" si="39"/>
        <v>183608947.09999999</v>
      </c>
      <c r="DD35" s="93">
        <f t="shared" si="40"/>
        <v>0</v>
      </c>
      <c r="DE35" s="65">
        <f t="shared" si="42"/>
        <v>183608947.09999999</v>
      </c>
    </row>
    <row r="36" spans="1:122" ht="15" customHeight="1" x14ac:dyDescent="0.2">
      <c r="A36" s="16">
        <f t="shared" si="0"/>
        <v>25</v>
      </c>
      <c r="B36" s="156"/>
      <c r="C36" s="156"/>
      <c r="D36" s="156"/>
      <c r="E36" s="25"/>
      <c r="F36" s="297"/>
      <c r="G36" s="53">
        <f>ROW()</f>
        <v>36</v>
      </c>
      <c r="H36" s="490" t="s">
        <v>292</v>
      </c>
      <c r="I36" s="156"/>
      <c r="J36" s="156"/>
      <c r="K36" s="367"/>
      <c r="L36"/>
      <c r="M36"/>
      <c r="N36"/>
      <c r="O36"/>
      <c r="P36" s="584"/>
      <c r="Q36" s="584"/>
      <c r="R36" s="587"/>
      <c r="S36" s="53">
        <f t="shared" si="12"/>
        <v>25</v>
      </c>
      <c r="T36" s="362"/>
      <c r="U36" s="365"/>
      <c r="V36" s="367"/>
      <c r="AI36" s="149"/>
      <c r="AJ36" s="149"/>
      <c r="AK36" s="149"/>
      <c r="AL36" s="149"/>
      <c r="AM36" s="149"/>
      <c r="AN36" s="23"/>
      <c r="AO36" s="23"/>
      <c r="AP36" s="23"/>
      <c r="AQ36" s="23"/>
      <c r="AR36" s="23"/>
      <c r="AS36"/>
      <c r="AT36" s="146"/>
      <c r="AU36" s="146"/>
      <c r="AV36" s="146"/>
      <c r="AW36" s="146"/>
      <c r="AX36" s="146"/>
      <c r="BC36" s="2" t="s">
        <v>20</v>
      </c>
      <c r="BH36" s="146"/>
      <c r="BI36" s="146"/>
      <c r="BJ36" s="146"/>
      <c r="BK36" s="146"/>
      <c r="BL36" s="146"/>
      <c r="BM36" s="341"/>
      <c r="BN36" s="36"/>
      <c r="BO36" s="36"/>
      <c r="BP36" s="36"/>
      <c r="BQ36" s="36"/>
      <c r="BR36" s="36"/>
      <c r="BS36" s="341"/>
      <c r="BT36" s="341"/>
      <c r="BU36" s="341"/>
      <c r="BV36" s="341"/>
      <c r="BW36" s="341"/>
      <c r="BX36" s="341"/>
      <c r="BY36" s="81"/>
      <c r="CA36" s="1"/>
      <c r="CC36" s="125"/>
      <c r="CE36" s="106">
        <f t="shared" ref="CE36" si="49">+CE35+1</f>
        <v>24</v>
      </c>
      <c r="CF36" s="17" t="s">
        <v>38</v>
      </c>
      <c r="CG36" s="337">
        <f>'[21]Allocated (CBR)'!$C32</f>
        <v>30242712.760000002</v>
      </c>
      <c r="CH36" s="42"/>
      <c r="CI36" s="42"/>
      <c r="CJ36" s="42"/>
      <c r="CK36" s="42"/>
      <c r="CL36" s="413"/>
      <c r="CN36" s="42"/>
      <c r="CO36" s="16">
        <f t="shared" si="14"/>
        <v>16</v>
      </c>
      <c r="CP36" s="17" t="s">
        <v>38</v>
      </c>
      <c r="CQ36" s="42"/>
      <c r="CS36" s="42"/>
      <c r="CT36" s="42"/>
      <c r="CU36" s="42"/>
      <c r="CV36" s="42"/>
      <c r="CW36" s="417"/>
      <c r="CX36" s="417"/>
      <c r="CY36" s="417">
        <f t="shared" si="33"/>
        <v>0</v>
      </c>
      <c r="CZ36" s="42">
        <f t="shared" si="38"/>
        <v>30242712.760000002</v>
      </c>
      <c r="DA36" s="16">
        <f t="shared" si="16"/>
        <v>16</v>
      </c>
      <c r="DB36" s="17" t="s">
        <v>38</v>
      </c>
      <c r="DC36" s="42">
        <f t="shared" si="39"/>
        <v>30242712.760000002</v>
      </c>
      <c r="DD36" s="13">
        <f>CY36</f>
        <v>0</v>
      </c>
      <c r="DE36" s="65">
        <f>+DC36+DD36</f>
        <v>30242712.760000002</v>
      </c>
    </row>
    <row r="37" spans="1:122" ht="15" customHeight="1" x14ac:dyDescent="0.2">
      <c r="A37" s="16">
        <f t="shared" si="0"/>
        <v>26</v>
      </c>
      <c r="B37" s="201" t="s">
        <v>143</v>
      </c>
      <c r="G37" s="53">
        <f>ROW()</f>
        <v>37</v>
      </c>
      <c r="H37" s="269"/>
      <c r="I37" s="156"/>
      <c r="J37" s="352"/>
      <c r="K37" s="367"/>
      <c r="L37"/>
      <c r="M37"/>
      <c r="N37"/>
      <c r="O37"/>
      <c r="P37" s="584"/>
      <c r="Q37" s="584"/>
      <c r="R37" s="584"/>
      <c r="S37" s="53">
        <f t="shared" si="12"/>
        <v>26</v>
      </c>
      <c r="T37" s="463" t="s">
        <v>150</v>
      </c>
      <c r="U37" s="460"/>
      <c r="V37" s="464"/>
      <c r="W37" s="55"/>
      <c r="X37" s="55"/>
      <c r="Y37" s="55"/>
      <c r="Z37" s="55"/>
      <c r="AA37" s="55"/>
      <c r="AB37" s="2" t="s">
        <v>60</v>
      </c>
      <c r="AI37" s="149"/>
      <c r="AJ37" s="149"/>
      <c r="AK37" s="149"/>
      <c r="AL37" s="149"/>
      <c r="AM37" s="149"/>
      <c r="AS37"/>
      <c r="AT37" s="147"/>
      <c r="AU37" s="147"/>
      <c r="AV37" s="147"/>
      <c r="AW37" s="147"/>
      <c r="AX37" s="147"/>
      <c r="BH37" s="147"/>
      <c r="BI37" s="147"/>
      <c r="BJ37" s="147"/>
      <c r="BK37" s="147"/>
      <c r="BL37" s="147"/>
      <c r="BM37" s="147"/>
      <c r="BN37" s="148"/>
      <c r="BO37" s="148"/>
      <c r="BP37" s="148"/>
      <c r="BQ37" s="148"/>
      <c r="BR37" s="148"/>
      <c r="BS37" s="147"/>
      <c r="BT37" s="147"/>
      <c r="BU37" s="147"/>
      <c r="BV37" s="147"/>
      <c r="BW37" s="147"/>
      <c r="BX37" s="147"/>
      <c r="BY37" s="81"/>
      <c r="CA37" s="1"/>
      <c r="CC37" s="125"/>
      <c r="CE37" s="106">
        <f t="shared" ref="CE37" si="50">+CE36+1</f>
        <v>25</v>
      </c>
      <c r="CF37" s="17" t="s">
        <v>61</v>
      </c>
      <c r="CG37" s="337">
        <f>'[21]Allocated (CBR)'!$C33</f>
        <v>0</v>
      </c>
      <c r="CH37" s="42"/>
      <c r="CI37" s="42"/>
      <c r="CJ37" s="42"/>
      <c r="CK37" s="42"/>
      <c r="CL37" s="417"/>
      <c r="CM37" s="42"/>
      <c r="CN37" s="42"/>
      <c r="CO37" s="16">
        <f t="shared" si="14"/>
        <v>17</v>
      </c>
      <c r="CP37" s="17" t="s">
        <v>61</v>
      </c>
      <c r="CQ37" s="42"/>
      <c r="CR37" s="42"/>
      <c r="CS37" s="42"/>
      <c r="CT37" s="42"/>
      <c r="CU37" s="42"/>
      <c r="CV37" s="42"/>
      <c r="CW37" s="417"/>
      <c r="CX37" s="417"/>
      <c r="CY37" s="417">
        <f t="shared" si="33"/>
        <v>0</v>
      </c>
      <c r="CZ37" s="42">
        <f t="shared" si="38"/>
        <v>0</v>
      </c>
      <c r="DA37" s="16">
        <f t="shared" si="16"/>
        <v>17</v>
      </c>
      <c r="DB37" s="17" t="s">
        <v>61</v>
      </c>
      <c r="DC37" s="42">
        <f t="shared" si="39"/>
        <v>0</v>
      </c>
      <c r="DD37" s="13">
        <f t="shared" si="40"/>
        <v>0</v>
      </c>
      <c r="DE37" s="65">
        <f t="shared" si="42"/>
        <v>0</v>
      </c>
    </row>
    <row r="38" spans="1:122" ht="15" customHeight="1" x14ac:dyDescent="0.2">
      <c r="A38" s="16">
        <f t="shared" si="0"/>
        <v>27</v>
      </c>
      <c r="B38" s="156" t="s">
        <v>144</v>
      </c>
      <c r="E38" s="294">
        <v>0</v>
      </c>
      <c r="F38" s="156"/>
      <c r="G38" s="53">
        <f>ROW()</f>
        <v>38</v>
      </c>
      <c r="H38" s="27" t="s">
        <v>293</v>
      </c>
      <c r="I38" s="156"/>
      <c r="J38" s="341"/>
      <c r="K38" s="303">
        <f>SUM(J34:J37)</f>
        <v>0</v>
      </c>
      <c r="L38"/>
      <c r="M38"/>
      <c r="N38"/>
      <c r="O38"/>
      <c r="P38" s="584"/>
      <c r="Q38" s="588"/>
      <c r="R38" s="587"/>
      <c r="S38" s="53">
        <f t="shared" si="12"/>
        <v>27</v>
      </c>
      <c r="T38" s="365" t="s">
        <v>134</v>
      </c>
      <c r="U38" s="474">
        <f>+Inputs!B6</f>
        <v>2.9520000000000002E-3</v>
      </c>
      <c r="V38" s="501">
        <f>-SUM(V14:V21,V23,V31)*U38</f>
        <v>46920.372618261456</v>
      </c>
      <c r="W38" s="55"/>
      <c r="X38" s="55"/>
      <c r="Y38" s="55"/>
      <c r="Z38" s="55"/>
      <c r="AA38" s="55"/>
      <c r="AS38"/>
      <c r="AT38" s="36"/>
      <c r="AU38" s="36"/>
      <c r="AV38" s="36"/>
      <c r="AW38" s="36"/>
      <c r="AX38" s="36"/>
      <c r="BH38" s="36"/>
      <c r="BI38" s="36"/>
      <c r="BJ38" s="36"/>
      <c r="BK38" s="36"/>
      <c r="BL38" s="36"/>
      <c r="BM38" s="36"/>
      <c r="BN38" s="149"/>
      <c r="BO38" s="149"/>
      <c r="BP38" s="149"/>
      <c r="BQ38" s="149"/>
      <c r="BR38" s="149"/>
      <c r="BS38" s="36"/>
      <c r="BT38" s="36"/>
      <c r="BU38" s="36"/>
      <c r="BV38" s="36"/>
      <c r="BW38" s="36"/>
      <c r="BX38" s="36"/>
      <c r="BY38" s="81"/>
      <c r="CA38" s="1"/>
      <c r="CC38" s="125"/>
      <c r="CE38" s="106">
        <f t="shared" ref="CE38" si="51">+CE37+1</f>
        <v>26</v>
      </c>
      <c r="CF38" s="17" t="s">
        <v>12</v>
      </c>
      <c r="CG38" s="337">
        <f>'[21]Allocated (CBR)'!$C34</f>
        <v>91163444.079999939</v>
      </c>
      <c r="CH38" s="42"/>
      <c r="CI38" s="42"/>
      <c r="CJ38" s="42"/>
      <c r="CK38" s="42"/>
      <c r="CL38" s="417"/>
      <c r="CM38" s="42"/>
      <c r="CN38" s="42"/>
      <c r="CO38" s="16">
        <f t="shared" si="14"/>
        <v>18</v>
      </c>
      <c r="CP38" s="17" t="s">
        <v>12</v>
      </c>
      <c r="CQ38" s="42"/>
      <c r="CR38" s="42"/>
      <c r="CS38" s="42"/>
      <c r="CT38" s="42"/>
      <c r="CU38" s="42"/>
      <c r="CV38" s="42"/>
      <c r="CW38" s="417"/>
      <c r="CX38" s="417"/>
      <c r="CY38" s="417">
        <f t="shared" si="33"/>
        <v>0</v>
      </c>
      <c r="CZ38" s="42">
        <f t="shared" si="38"/>
        <v>91163444.079999939</v>
      </c>
      <c r="DA38" s="16">
        <f t="shared" si="16"/>
        <v>18</v>
      </c>
      <c r="DB38" s="17" t="s">
        <v>12</v>
      </c>
      <c r="DC38" s="42">
        <f t="shared" si="39"/>
        <v>91163444.079999939</v>
      </c>
      <c r="DD38" s="13">
        <f t="shared" si="40"/>
        <v>0</v>
      </c>
      <c r="DE38" s="65">
        <f t="shared" si="42"/>
        <v>91163444.079999939</v>
      </c>
    </row>
    <row r="39" spans="1:122" ht="15" customHeight="1" x14ac:dyDescent="0.2">
      <c r="A39" s="16">
        <f t="shared" si="0"/>
        <v>28</v>
      </c>
      <c r="E39" s="25"/>
      <c r="F39" s="297">
        <f>SUM(E38:E38)</f>
        <v>0</v>
      </c>
      <c r="G39" s="53">
        <f>ROW()</f>
        <v>39</v>
      </c>
      <c r="H39" s="358"/>
      <c r="I39" s="156"/>
      <c r="J39" s="156"/>
      <c r="K39" s="367"/>
      <c r="L39"/>
      <c r="M39"/>
      <c r="N39"/>
      <c r="O39"/>
      <c r="P39" s="584"/>
      <c r="Q39" s="584"/>
      <c r="R39" s="587"/>
      <c r="S39" s="53">
        <f t="shared" si="12"/>
        <v>28</v>
      </c>
      <c r="T39" s="465" t="s">
        <v>151</v>
      </c>
      <c r="U39" s="474">
        <f>+Inputs!B7</f>
        <v>5.0000000000000001E-3</v>
      </c>
      <c r="V39" s="343">
        <f>-SUM(V14:V21,V23,V31)*U39</f>
        <v>79472.175843938778</v>
      </c>
      <c r="W39" s="55"/>
      <c r="X39" s="55"/>
      <c r="Y39" s="55"/>
      <c r="Z39" s="55"/>
      <c r="AA39" s="55"/>
      <c r="AS39"/>
      <c r="AT39" s="36"/>
      <c r="AU39" s="36"/>
      <c r="AV39" s="36"/>
      <c r="AW39" s="36"/>
      <c r="AX39" s="36"/>
      <c r="BH39" s="36"/>
      <c r="BI39" s="36"/>
      <c r="BJ39" s="36"/>
      <c r="BK39" s="36"/>
      <c r="BL39" s="36"/>
      <c r="BM39" s="36"/>
      <c r="BN39" s="149"/>
      <c r="BO39" s="149"/>
      <c r="BP39" s="149"/>
      <c r="BQ39" s="149"/>
      <c r="BR39" s="149"/>
      <c r="BS39" s="36"/>
      <c r="BT39" s="36"/>
      <c r="BU39" s="36"/>
      <c r="BV39" s="36"/>
      <c r="BW39" s="36"/>
      <c r="BX39" s="36"/>
      <c r="BY39" s="81"/>
      <c r="CA39" s="1"/>
      <c r="CC39" s="125"/>
      <c r="CE39" s="106">
        <f t="shared" ref="CE39" si="52">+CE38+1</f>
        <v>27</v>
      </c>
      <c r="CF39" s="17" t="s">
        <v>13</v>
      </c>
      <c r="CG39" s="337">
        <f>'[21]Allocated (CBR)'!$C35</f>
        <v>123312864.25</v>
      </c>
      <c r="CH39" s="42">
        <f>+E44</f>
        <v>-2057</v>
      </c>
      <c r="CI39" s="42">
        <f>J32</f>
        <v>0</v>
      </c>
      <c r="CJ39" s="42"/>
      <c r="CK39" s="42"/>
      <c r="CL39" s="475">
        <f>V40+V46+V50+V56+V54</f>
        <v>-71799830.552907526</v>
      </c>
      <c r="CM39" s="42"/>
      <c r="CN39" s="42"/>
      <c r="CO39" s="16">
        <f t="shared" si="14"/>
        <v>19</v>
      </c>
      <c r="CP39" s="17" t="s">
        <v>13</v>
      </c>
      <c r="CQ39" s="42">
        <f>AM15</f>
        <v>-68741.901864941989</v>
      </c>
      <c r="CR39" s="42">
        <f>AS14</f>
        <v>1108439.7200119942</v>
      </c>
      <c r="CS39" s="42"/>
      <c r="CT39" s="42"/>
      <c r="CU39" s="42"/>
      <c r="CV39" s="42"/>
      <c r="CW39" s="417">
        <f>+BR24</f>
        <v>-162050.81408400001</v>
      </c>
      <c r="CX39" s="417"/>
      <c r="CY39" s="417">
        <f t="shared" si="33"/>
        <v>-70924240.548844472</v>
      </c>
      <c r="CZ39" s="42">
        <f t="shared" si="38"/>
        <v>52388623.701155528</v>
      </c>
      <c r="DA39" s="16">
        <f t="shared" si="16"/>
        <v>19</v>
      </c>
      <c r="DB39" s="17" t="s">
        <v>13</v>
      </c>
      <c r="DC39" s="42">
        <f t="shared" si="39"/>
        <v>123312864.25</v>
      </c>
      <c r="DD39" s="93">
        <f t="shared" si="40"/>
        <v>-70924240.548844472</v>
      </c>
      <c r="DE39" s="65">
        <f t="shared" si="42"/>
        <v>52388623.701155528</v>
      </c>
    </row>
    <row r="40" spans="1:122" ht="15" customHeight="1" x14ac:dyDescent="0.2">
      <c r="A40" s="16">
        <f t="shared" si="0"/>
        <v>29</v>
      </c>
      <c r="B40" s="160" t="s">
        <v>134</v>
      </c>
      <c r="C40" s="160"/>
      <c r="D40" s="192">
        <f>+Inputs!B6</f>
        <v>2.9520000000000002E-3</v>
      </c>
      <c r="E40" s="64">
        <f>ROUND(F35*D40,0)</f>
        <v>-158</v>
      </c>
      <c r="F40" s="42"/>
      <c r="G40" s="53">
        <f>ROW()</f>
        <v>40</v>
      </c>
      <c r="H40" s="358" t="s">
        <v>89</v>
      </c>
      <c r="I40" s="156"/>
      <c r="J40" s="299"/>
      <c r="K40" s="367">
        <f>K26-K30-K34-K38</f>
        <v>0</v>
      </c>
      <c r="L40"/>
      <c r="M40"/>
      <c r="N40"/>
      <c r="O40"/>
      <c r="P40" s="584"/>
      <c r="Q40" s="584"/>
      <c r="R40" s="584"/>
      <c r="S40" s="53">
        <f t="shared" si="12"/>
        <v>29</v>
      </c>
      <c r="T40" s="466" t="s">
        <v>152</v>
      </c>
      <c r="U40" s="474">
        <f>+Inputs!B8</f>
        <v>3.8406000000000003E-2</v>
      </c>
      <c r="V40" s="343">
        <f>-SUM(V14:V21,V23,V31)*U40</f>
        <v>610441.67709246255</v>
      </c>
      <c r="X40" s="36"/>
      <c r="Y40" s="36"/>
      <c r="Z40" s="36"/>
      <c r="AA40" s="36"/>
      <c r="AS40"/>
      <c r="AT40" s="148"/>
      <c r="AU40" s="148"/>
      <c r="AV40" s="148"/>
      <c r="AW40" s="148"/>
      <c r="AX40" s="148"/>
      <c r="BH40" s="148"/>
      <c r="BI40" s="148"/>
      <c r="BJ40" s="148"/>
      <c r="BK40" s="148"/>
      <c r="BL40" s="148"/>
      <c r="BM40" s="148"/>
      <c r="BN40" s="149"/>
      <c r="BO40" s="149"/>
      <c r="BP40" s="149"/>
      <c r="BQ40" s="149"/>
      <c r="BR40" s="149"/>
      <c r="BS40" s="148"/>
      <c r="BT40" s="148"/>
      <c r="BU40" s="148"/>
      <c r="BV40" s="148"/>
      <c r="BW40" s="148"/>
      <c r="BX40" s="148"/>
      <c r="BY40" s="81"/>
      <c r="CA40" s="1"/>
      <c r="CC40" s="125"/>
      <c r="CE40" s="106">
        <f t="shared" ref="CE40" si="53">+CE39+1</f>
        <v>28</v>
      </c>
      <c r="CF40" s="17" t="s">
        <v>14</v>
      </c>
      <c r="CG40" s="337">
        <f>'[21]Allocated (CBR)'!$C36</f>
        <v>41403785.339138284</v>
      </c>
      <c r="CH40" s="42">
        <f>+F49</f>
        <v>-10723</v>
      </c>
      <c r="CI40" s="42">
        <f>K42+K43</f>
        <v>0</v>
      </c>
      <c r="CJ40" s="42">
        <f>N29</f>
        <v>13355061.647413179</v>
      </c>
      <c r="CK40" s="42">
        <f>R23</f>
        <v>-17348740.725928072</v>
      </c>
      <c r="CL40" s="417">
        <f>V61</f>
        <v>226353.06005207574</v>
      </c>
      <c r="CM40" s="42">
        <f>AA22</f>
        <v>-6534.6026474400142</v>
      </c>
      <c r="CN40" s="42">
        <f>AH28</f>
        <v>96841</v>
      </c>
      <c r="CO40" s="16">
        <f t="shared" si="14"/>
        <v>20</v>
      </c>
      <c r="CP40" s="17" t="s">
        <v>14</v>
      </c>
      <c r="CQ40" s="42">
        <f>AM20</f>
        <v>178666</v>
      </c>
      <c r="CR40" s="42">
        <f>AS24</f>
        <v>344396.21567148104</v>
      </c>
      <c r="CS40" s="42">
        <f>AX18</f>
        <v>523.86643922863175</v>
      </c>
      <c r="CT40" s="42"/>
      <c r="CU40" s="42">
        <f>BG18</f>
        <v>-552401.49342837255</v>
      </c>
      <c r="CV40" s="42">
        <f>BL17</f>
        <v>84632</v>
      </c>
      <c r="CW40" s="417">
        <f>+BR28</f>
        <v>-845000.18521547993</v>
      </c>
      <c r="CX40" s="417">
        <f>+BX22</f>
        <v>0</v>
      </c>
      <c r="CY40" s="417">
        <f>SUM(CH40:CX40)-CO40</f>
        <v>-4476926.2176433997</v>
      </c>
      <c r="CZ40" s="42">
        <f t="shared" si="38"/>
        <v>36926859.121494882</v>
      </c>
      <c r="DA40" s="16">
        <f t="shared" si="16"/>
        <v>20</v>
      </c>
      <c r="DB40" s="17" t="s">
        <v>14</v>
      </c>
      <c r="DC40" s="42">
        <f t="shared" si="39"/>
        <v>41403785.339138284</v>
      </c>
      <c r="DD40" s="93">
        <f t="shared" si="40"/>
        <v>-4476926.2176433997</v>
      </c>
      <c r="DE40" s="65">
        <f t="shared" si="42"/>
        <v>36926859.121494882</v>
      </c>
    </row>
    <row r="41" spans="1:122" ht="15" customHeight="1" x14ac:dyDescent="0.2">
      <c r="A41" s="16">
        <f t="shared" si="0"/>
        <v>30</v>
      </c>
      <c r="B41" s="160" t="s">
        <v>135</v>
      </c>
      <c r="C41" s="160"/>
      <c r="D41" s="192">
        <f>+Inputs!B7</f>
        <v>5.0000000000000001E-3</v>
      </c>
      <c r="E41" s="66">
        <f>ROUND(F35*D41,0)</f>
        <v>-268</v>
      </c>
      <c r="F41" s="42"/>
      <c r="G41" s="53">
        <f>ROW()</f>
        <v>41</v>
      </c>
      <c r="H41" s="358"/>
      <c r="I41" s="156"/>
      <c r="J41" s="299"/>
      <c r="K41" s="367"/>
      <c r="L41"/>
      <c r="M41"/>
      <c r="N41"/>
      <c r="O41"/>
      <c r="P41" s="200"/>
      <c r="Q41" s="200"/>
      <c r="R41" s="589"/>
      <c r="S41" s="53">
        <f t="shared" si="12"/>
        <v>30</v>
      </c>
      <c r="T41" s="466" t="s">
        <v>153</v>
      </c>
      <c r="U41" s="467"/>
      <c r="V41" s="468">
        <f>SUM(V38:V40)</f>
        <v>736834.22555466276</v>
      </c>
      <c r="X41" s="36"/>
      <c r="Y41" s="36"/>
      <c r="Z41" s="36"/>
      <c r="AA41" s="36"/>
      <c r="AS41"/>
      <c r="AT41" s="149"/>
      <c r="AU41" s="149"/>
      <c r="AV41" s="149"/>
      <c r="AW41" s="149"/>
      <c r="AX41" s="149"/>
      <c r="BH41" s="149"/>
      <c r="BI41" s="149"/>
      <c r="BJ41" s="149"/>
      <c r="BK41" s="149"/>
      <c r="BL41" s="149"/>
      <c r="BM41" s="149"/>
      <c r="BN41" s="149"/>
      <c r="BO41" s="149"/>
      <c r="BP41" s="149"/>
      <c r="BQ41" s="149"/>
      <c r="BR41" s="149"/>
      <c r="BS41" s="149"/>
      <c r="BT41" s="149"/>
      <c r="BU41" s="149"/>
      <c r="BV41" s="149"/>
      <c r="BW41" s="149"/>
      <c r="BX41" s="149"/>
      <c r="BY41" s="81"/>
      <c r="CA41" s="1"/>
      <c r="CC41" s="125"/>
      <c r="CE41" s="106">
        <f t="shared" ref="CE41" si="54">+CE40+1</f>
        <v>29</v>
      </c>
      <c r="CF41" s="2" t="s">
        <v>15</v>
      </c>
      <c r="CG41" s="337">
        <f>'[21]Allocated (CBR)'!$C37</f>
        <v>-10256451.170000002</v>
      </c>
      <c r="CH41" s="42"/>
      <c r="CI41" s="42"/>
      <c r="CJ41" s="42">
        <f>N30</f>
        <v>-448326.09218999743</v>
      </c>
      <c r="CK41" s="42">
        <f>R26</f>
        <v>0</v>
      </c>
      <c r="CL41" s="417"/>
      <c r="CM41" s="42"/>
      <c r="CN41" s="43"/>
      <c r="CO41" s="16">
        <f t="shared" si="14"/>
        <v>21</v>
      </c>
      <c r="CP41" s="2" t="s">
        <v>15</v>
      </c>
      <c r="CQ41" s="51"/>
      <c r="CR41" s="45"/>
      <c r="CS41" s="51"/>
      <c r="CT41" s="43"/>
      <c r="CU41" s="51"/>
      <c r="CV41" s="51"/>
      <c r="CW41" s="367"/>
      <c r="CX41" s="367"/>
      <c r="CY41" s="367">
        <f t="shared" si="33"/>
        <v>-448326.09218999743</v>
      </c>
      <c r="CZ41" s="43">
        <f t="shared" si="38"/>
        <v>-10704777.262189999</v>
      </c>
      <c r="DA41" s="16">
        <f t="shared" si="16"/>
        <v>21</v>
      </c>
      <c r="DB41" s="2" t="s">
        <v>15</v>
      </c>
      <c r="DC41" s="43">
        <f t="shared" si="39"/>
        <v>-10256451.170000002</v>
      </c>
      <c r="DD41" s="94">
        <f t="shared" si="40"/>
        <v>-448326.09218999743</v>
      </c>
      <c r="DE41" s="66">
        <f t="shared" si="42"/>
        <v>-10704777.262189999</v>
      </c>
      <c r="DG41" s="482"/>
      <c r="DH41" s="483"/>
    </row>
    <row r="42" spans="1:122" ht="15" customHeight="1" x14ac:dyDescent="0.2">
      <c r="A42" s="16">
        <f t="shared" si="0"/>
        <v>31</v>
      </c>
      <c r="B42" s="161" t="s">
        <v>50</v>
      </c>
      <c r="C42" s="160"/>
      <c r="D42" s="298"/>
      <c r="E42" s="299"/>
      <c r="F42" s="300">
        <f>SUM(E40:E41)</f>
        <v>-426</v>
      </c>
      <c r="G42" s="53">
        <f>ROW()</f>
        <v>42</v>
      </c>
      <c r="H42" s="358" t="s">
        <v>90</v>
      </c>
      <c r="I42" s="141">
        <f>+Inputs!B9</f>
        <v>0.21</v>
      </c>
      <c r="J42" s="299"/>
      <c r="K42" s="367">
        <f>ROUND(K40*I42,0)</f>
        <v>0</v>
      </c>
      <c r="L42"/>
      <c r="M42"/>
      <c r="N42"/>
      <c r="O42"/>
      <c r="P42" s="200"/>
      <c r="Q42" s="200"/>
      <c r="R42" s="200"/>
      <c r="S42" s="53">
        <f t="shared" si="12"/>
        <v>31</v>
      </c>
      <c r="T42" s="364"/>
      <c r="U42" s="364"/>
      <c r="V42" s="469"/>
      <c r="W42" s="482"/>
      <c r="X42" s="36"/>
      <c r="Y42" s="36"/>
      <c r="Z42" s="36"/>
      <c r="AA42" s="36"/>
      <c r="AS42"/>
      <c r="AT42" s="149"/>
      <c r="AU42" s="149"/>
      <c r="AV42" s="149"/>
      <c r="AW42" s="149"/>
      <c r="AX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  <c r="BR42" s="149"/>
      <c r="BS42" s="149"/>
      <c r="BT42" s="149"/>
      <c r="BU42" s="149"/>
      <c r="BV42" s="149"/>
      <c r="BW42" s="149"/>
      <c r="BX42" s="149"/>
      <c r="BY42" s="81"/>
      <c r="CA42" s="1"/>
      <c r="CC42" s="125"/>
      <c r="CD42" s="15"/>
      <c r="CE42" s="106">
        <f t="shared" ref="CE42" si="55">+CE41+1</f>
        <v>30</v>
      </c>
      <c r="CF42" s="17" t="s">
        <v>16</v>
      </c>
      <c r="CG42" s="324">
        <f>SUM(CG26:CG41)</f>
        <v>1155696821.6926391</v>
      </c>
      <c r="CH42" s="41">
        <f t="shared" ref="CH42:CN42" si="56">SUM(CH26:CH41)</f>
        <v>-13206</v>
      </c>
      <c r="CI42" s="41">
        <f t="shared" si="56"/>
        <v>0</v>
      </c>
      <c r="CJ42" s="41">
        <f t="shared" si="56"/>
        <v>12906735.555223182</v>
      </c>
      <c r="CK42" s="41">
        <f t="shared" si="56"/>
        <v>-17348740.725928072</v>
      </c>
      <c r="CL42" s="41">
        <f>SUM(CL26:CL41)</f>
        <v>25375908.785606764</v>
      </c>
      <c r="CM42" s="41">
        <f t="shared" si="56"/>
        <v>24582.552816560055</v>
      </c>
      <c r="CN42" s="41">
        <f t="shared" si="56"/>
        <v>-364308</v>
      </c>
      <c r="CO42" s="16">
        <f t="shared" si="14"/>
        <v>22</v>
      </c>
      <c r="CP42" s="17" t="s">
        <v>16</v>
      </c>
      <c r="CQ42" s="41">
        <f t="shared" ref="CQ42" si="57">SUM(CQ26:CQ41)</f>
        <v>-672122.56699511199</v>
      </c>
      <c r="CR42" s="41">
        <f t="shared" ref="CR42" si="58">SUM(CR26:CR41)</f>
        <v>-1295585.763716524</v>
      </c>
      <c r="CS42" s="41">
        <f t="shared" ref="CS42" si="59">SUM(CS26:CS41)</f>
        <v>-1970.7356523362814</v>
      </c>
      <c r="CT42" s="41">
        <f t="shared" ref="CT42" si="60">SUM(CT26:CT41)</f>
        <v>12970.922682460985</v>
      </c>
      <c r="CU42" s="41">
        <f t="shared" ref="CU42:CW42" si="61">SUM(CU26:CU41)</f>
        <v>2078081.8086114966</v>
      </c>
      <c r="CV42" s="41">
        <f t="shared" ref="CV42" si="62">SUM(CV26:CV41)</f>
        <v>-318377.40752325614</v>
      </c>
      <c r="CW42" s="324">
        <f t="shared" si="61"/>
        <v>-1040603.77942748</v>
      </c>
      <c r="CX42" s="324">
        <f t="shared" ref="CX42" si="63">SUM(CX26:CX41)</f>
        <v>0</v>
      </c>
      <c r="CY42" s="324">
        <f t="shared" ref="CY42" si="64">SUM(CY26:CY41)</f>
        <v>19343364.645697679</v>
      </c>
      <c r="CZ42" s="41">
        <f t="shared" ref="CZ42" si="65">SUM(CZ26:CZ41)</f>
        <v>1175040186.3383367</v>
      </c>
      <c r="DA42" s="16">
        <f t="shared" si="16"/>
        <v>22</v>
      </c>
      <c r="DB42" s="17" t="s">
        <v>16</v>
      </c>
      <c r="DC42" s="41">
        <f t="shared" ref="DC42" si="66">SUM(DC26:DC41)</f>
        <v>1155696821.6926391</v>
      </c>
      <c r="DD42" s="41">
        <f t="shared" ref="DD42" si="67">SUM(DD26:DD41)</f>
        <v>19343364.645697679</v>
      </c>
      <c r="DE42" s="41">
        <f t="shared" ref="DE42" si="68">SUM(DE26:DE41)</f>
        <v>1175040186.3383367</v>
      </c>
      <c r="DG42" s="36"/>
      <c r="DH42" s="36"/>
    </row>
    <row r="43" spans="1:122" ht="15" customHeight="1" x14ac:dyDescent="0.2">
      <c r="A43" s="16">
        <f t="shared" si="0"/>
        <v>32</v>
      </c>
      <c r="B43" s="160"/>
      <c r="C43" s="160"/>
      <c r="D43" s="301"/>
      <c r="E43" s="182"/>
      <c r="F43" s="42"/>
      <c r="G43" s="53">
        <f>ROW()</f>
        <v>43</v>
      </c>
      <c r="H43" s="358"/>
      <c r="I43" s="141"/>
      <c r="J43" s="299"/>
      <c r="K43" s="367"/>
      <c r="L43"/>
      <c r="M43"/>
      <c r="N43"/>
      <c r="O43"/>
      <c r="P43"/>
      <c r="Q43"/>
      <c r="R43"/>
      <c r="S43" s="53">
        <f t="shared" si="12"/>
        <v>32</v>
      </c>
      <c r="T43" s="494" t="s">
        <v>154</v>
      </c>
      <c r="U43" s="362"/>
      <c r="V43" s="469"/>
      <c r="W43" s="36"/>
      <c r="X43" s="36"/>
      <c r="Y43" s="36"/>
      <c r="Z43" s="36"/>
      <c r="AA43" s="36"/>
      <c r="AS43"/>
      <c r="AT43" s="149"/>
      <c r="AU43" s="149"/>
      <c r="AV43" s="149"/>
      <c r="AW43" s="149"/>
      <c r="AX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  <c r="BR43" s="149"/>
      <c r="BS43" s="149"/>
      <c r="BT43" s="149"/>
      <c r="BU43" s="149"/>
      <c r="BV43" s="149"/>
      <c r="BW43" s="149"/>
      <c r="BX43" s="149"/>
      <c r="BY43" s="81"/>
      <c r="CA43" s="1"/>
      <c r="CC43" s="125"/>
      <c r="CD43" s="70"/>
      <c r="CE43" s="106">
        <f t="shared" ref="CE43" si="69">+CE42+1</f>
        <v>31</v>
      </c>
      <c r="CG43" s="337"/>
      <c r="CH43" s="25"/>
      <c r="CI43" s="25"/>
      <c r="CJ43" s="25"/>
      <c r="CK43" s="25"/>
      <c r="CL43" s="25"/>
      <c r="CM43" s="25"/>
      <c r="CN43" s="25"/>
      <c r="CO43" s="16">
        <f t="shared" si="14"/>
        <v>23</v>
      </c>
      <c r="CQ43" s="25"/>
      <c r="CR43" s="25"/>
      <c r="CS43" s="25"/>
      <c r="CT43" s="25"/>
      <c r="CU43" s="25"/>
      <c r="CV43" s="25"/>
      <c r="CW43" s="337"/>
      <c r="CX43" s="337"/>
      <c r="CY43" s="337"/>
      <c r="CZ43" s="25"/>
      <c r="DA43" s="16">
        <f t="shared" si="16"/>
        <v>23</v>
      </c>
      <c r="DC43" s="25"/>
      <c r="DD43" s="25"/>
      <c r="DE43" s="25"/>
      <c r="DG43" s="36"/>
      <c r="DH43" s="36"/>
    </row>
    <row r="44" spans="1:122" ht="15" customHeight="1" thickBot="1" x14ac:dyDescent="0.25">
      <c r="A44" s="16">
        <f t="shared" si="0"/>
        <v>33</v>
      </c>
      <c r="B44" s="160" t="s">
        <v>136</v>
      </c>
      <c r="C44" s="160"/>
      <c r="D44" s="192">
        <f>+Inputs!B8</f>
        <v>3.8406000000000003E-2</v>
      </c>
      <c r="E44" s="302">
        <f>ROUND(F35*D44,0)</f>
        <v>-2057</v>
      </c>
      <c r="F44" s="42"/>
      <c r="G44" s="53">
        <f>ROW()</f>
        <v>44</v>
      </c>
      <c r="H44" s="358" t="s">
        <v>55</v>
      </c>
      <c r="I44" s="156"/>
      <c r="J44" s="299"/>
      <c r="K44" s="354">
        <f>K40-K42-K43</f>
        <v>0</v>
      </c>
      <c r="L44"/>
      <c r="M44"/>
      <c r="N44"/>
      <c r="O44"/>
      <c r="P44"/>
      <c r="Q44"/>
      <c r="R44"/>
      <c r="S44" s="53">
        <f t="shared" si="12"/>
        <v>33</v>
      </c>
      <c r="T44" s="365" t="s">
        <v>155</v>
      </c>
      <c r="U44" s="17" t="s">
        <v>9</v>
      </c>
      <c r="V44" s="367">
        <f>'[18]Lead 3.05 '!D44</f>
        <v>-17306271.609999999</v>
      </c>
      <c r="W44" s="36"/>
      <c r="X44" s="36"/>
      <c r="Y44" s="36"/>
      <c r="Z44" s="36"/>
      <c r="AA44" s="36"/>
      <c r="AS44"/>
      <c r="AT44" s="149"/>
      <c r="AU44" s="149"/>
      <c r="AV44" s="149"/>
      <c r="AW44" s="149"/>
      <c r="AX44" s="149"/>
      <c r="BH44" s="149"/>
      <c r="BI44" s="149"/>
      <c r="BJ44" s="149"/>
      <c r="BK44" s="149"/>
      <c r="BL44" s="149"/>
      <c r="BM44" s="149"/>
      <c r="BS44" s="149"/>
      <c r="BT44" s="149"/>
      <c r="BU44" s="149"/>
      <c r="BV44" s="149"/>
      <c r="BW44" s="149"/>
      <c r="BX44" s="149"/>
      <c r="BY44" s="81"/>
      <c r="CA44" s="1"/>
      <c r="CC44" s="125"/>
      <c r="CD44" s="3"/>
      <c r="CE44" s="106">
        <f t="shared" ref="CE44" si="70">+CE43+1</f>
        <v>32</v>
      </c>
      <c r="CF44" s="17" t="s">
        <v>17</v>
      </c>
      <c r="CG44" s="12">
        <f t="shared" ref="CG44:CN44" si="71">CG17-CG42</f>
        <v>210480431.60736108</v>
      </c>
      <c r="CH44" s="12">
        <f t="shared" si="71"/>
        <v>-40341.119981568081</v>
      </c>
      <c r="CI44" s="426">
        <f t="shared" si="71"/>
        <v>0</v>
      </c>
      <c r="CJ44" s="426">
        <f t="shared" si="71"/>
        <v>-12906735.555223182</v>
      </c>
      <c r="CK44" s="12">
        <f t="shared" si="71"/>
        <v>17348740.725928072</v>
      </c>
      <c r="CL44" s="12">
        <f t="shared" si="71"/>
        <v>851518.65448162705</v>
      </c>
      <c r="CM44" s="12">
        <f t="shared" si="71"/>
        <v>-24582.552816560055</v>
      </c>
      <c r="CN44" s="12">
        <f t="shared" si="71"/>
        <v>364308</v>
      </c>
      <c r="CO44" s="16">
        <f t="shared" si="14"/>
        <v>24</v>
      </c>
      <c r="CP44" s="17" t="s">
        <v>17</v>
      </c>
      <c r="CQ44" s="12">
        <f t="shared" ref="CQ44:CZ44" si="72">CQ17-CQ42</f>
        <v>672122.56699511199</v>
      </c>
      <c r="CR44" s="12">
        <f t="shared" si="72"/>
        <v>1295585.763716524</v>
      </c>
      <c r="CS44" s="12">
        <f t="shared" si="72"/>
        <v>1970.7356523362814</v>
      </c>
      <c r="CT44" s="12">
        <f t="shared" si="72"/>
        <v>-12970.922682460985</v>
      </c>
      <c r="CU44" s="12">
        <f t="shared" si="72"/>
        <v>-2078081.8086114966</v>
      </c>
      <c r="CV44" s="12">
        <f t="shared" si="72"/>
        <v>318377.40752325614</v>
      </c>
      <c r="CW44" s="12">
        <f t="shared" si="72"/>
        <v>-3178810.22057252</v>
      </c>
      <c r="CX44" s="12">
        <f t="shared" si="72"/>
        <v>0</v>
      </c>
      <c r="CY44" s="12">
        <f>CY17-CY42</f>
        <v>2611101.6744091436</v>
      </c>
      <c r="CZ44" s="12">
        <f t="shared" si="72"/>
        <v>213091533.28177023</v>
      </c>
      <c r="DA44" s="16">
        <f t="shared" si="16"/>
        <v>24</v>
      </c>
      <c r="DB44" s="2" t="str">
        <f>CF44</f>
        <v>NET OPERATING INCOME</v>
      </c>
      <c r="DC44" s="12">
        <f>DC17-DC42</f>
        <v>210480431.60736108</v>
      </c>
      <c r="DD44" s="12">
        <f>DD17-DD42</f>
        <v>2611101.6744091436</v>
      </c>
      <c r="DE44" s="12">
        <f>DE17-DE42</f>
        <v>213091533.28177023</v>
      </c>
      <c r="DG44" s="484"/>
      <c r="DH44" s="36"/>
    </row>
    <row r="45" spans="1:122" ht="15" customHeight="1" thickTop="1" x14ac:dyDescent="0.2">
      <c r="A45" s="16">
        <f t="shared" si="0"/>
        <v>34</v>
      </c>
      <c r="B45" s="161" t="s">
        <v>137</v>
      </c>
      <c r="C45" s="160"/>
      <c r="D45" s="156"/>
      <c r="E45" s="182"/>
      <c r="F45" s="303">
        <f>SUM(E44:E44)</f>
        <v>-2057</v>
      </c>
      <c r="G45" s="53"/>
      <c r="H45" s="413"/>
      <c r="I45" s="413"/>
      <c r="J45" s="413"/>
      <c r="K45" s="413"/>
      <c r="N45"/>
      <c r="O45"/>
      <c r="P45"/>
      <c r="Q45"/>
      <c r="R45"/>
      <c r="S45" s="53">
        <f t="shared" si="12"/>
        <v>34</v>
      </c>
      <c r="T45" s="365" t="s">
        <v>156</v>
      </c>
      <c r="U45" s="17" t="s">
        <v>10</v>
      </c>
      <c r="V45" s="367">
        <f>'[18]Lead 3.05 '!D45</f>
        <v>-28674631.989999998</v>
      </c>
      <c r="W45" s="36"/>
      <c r="X45" s="36"/>
      <c r="Y45" s="36"/>
      <c r="Z45" s="36"/>
      <c r="AA45" s="36"/>
      <c r="AS45"/>
      <c r="AT45" s="149"/>
      <c r="AU45" s="149"/>
      <c r="AV45" s="149"/>
      <c r="AW45" s="149"/>
      <c r="AX45" s="149"/>
      <c r="BH45" s="149"/>
      <c r="BI45" s="149"/>
      <c r="BJ45" s="149"/>
      <c r="BK45" s="149"/>
      <c r="BL45" s="149"/>
      <c r="BM45" s="149"/>
      <c r="BS45" s="149"/>
      <c r="BT45" s="149"/>
      <c r="BU45" s="149"/>
      <c r="BV45" s="149"/>
      <c r="BW45" s="149"/>
      <c r="BX45" s="149"/>
      <c r="BY45" s="81"/>
      <c r="CA45" s="1"/>
      <c r="CC45" s="125"/>
      <c r="CD45" s="50"/>
      <c r="CE45" s="106">
        <f t="shared" ref="CE45" si="73">+CE44+1</f>
        <v>33</v>
      </c>
      <c r="CG45" s="424"/>
      <c r="CH45"/>
      <c r="CI45"/>
      <c r="CJ45"/>
      <c r="CK45"/>
      <c r="CL45"/>
      <c r="CM45"/>
      <c r="CN45"/>
      <c r="CO45" s="16">
        <f t="shared" si="14"/>
        <v>25</v>
      </c>
      <c r="CP45"/>
      <c r="CQ45"/>
      <c r="CR45"/>
      <c r="CS45"/>
      <c r="CT45"/>
      <c r="CU45"/>
      <c r="CV45"/>
      <c r="CW45"/>
      <c r="CX45"/>
      <c r="CY45"/>
      <c r="CZ45"/>
      <c r="DA45" s="16">
        <f t="shared" si="16"/>
        <v>25</v>
      </c>
      <c r="DB45" s="17"/>
      <c r="DC45"/>
      <c r="DD45"/>
      <c r="DE45"/>
      <c r="DF45"/>
      <c r="DG45" s="484"/>
      <c r="DH45" s="36"/>
    </row>
    <row r="46" spans="1:122" ht="15" customHeight="1" x14ac:dyDescent="0.2">
      <c r="A46" s="16">
        <f t="shared" si="0"/>
        <v>35</v>
      </c>
      <c r="B46" s="160"/>
      <c r="C46" s="160"/>
      <c r="D46" s="156"/>
      <c r="E46" s="156"/>
      <c r="F46" s="42"/>
      <c r="G46" s="53"/>
      <c r="N46"/>
      <c r="O46"/>
      <c r="P46"/>
      <c r="Q46"/>
      <c r="R46"/>
      <c r="S46" s="53">
        <f t="shared" si="12"/>
        <v>35</v>
      </c>
      <c r="T46" s="365" t="s">
        <v>217</v>
      </c>
      <c r="U46" s="17" t="s">
        <v>13</v>
      </c>
      <c r="V46" s="367">
        <f>'[18]Lead 3.05 '!D46</f>
        <v>-16871066.75</v>
      </c>
      <c r="W46" s="36"/>
      <c r="X46" s="55"/>
      <c r="Y46" s="55"/>
      <c r="Z46" s="55"/>
      <c r="AA46" s="55"/>
      <c r="AS46"/>
      <c r="AT46" s="149"/>
      <c r="AU46" s="149"/>
      <c r="AV46" s="149"/>
      <c r="AW46" s="149"/>
      <c r="AX46" s="149"/>
      <c r="BH46" s="149"/>
      <c r="BI46" s="149"/>
      <c r="BJ46" s="149"/>
      <c r="BK46" s="149"/>
      <c r="BL46" s="149"/>
      <c r="BM46" s="149"/>
      <c r="BS46" s="149"/>
      <c r="BT46" s="149"/>
      <c r="BU46" s="149"/>
      <c r="BV46" s="149"/>
      <c r="BW46" s="149"/>
      <c r="BX46" s="149"/>
      <c r="BY46" s="81"/>
      <c r="CA46" s="1"/>
      <c r="CC46" s="125"/>
      <c r="CD46" s="50"/>
      <c r="CE46" s="106">
        <f t="shared" ref="CE46" si="74">+CE45+1</f>
        <v>34</v>
      </c>
      <c r="CF46" s="17" t="s">
        <v>18</v>
      </c>
      <c r="CG46" s="12">
        <f>CG57</f>
        <v>3123771669.0852828</v>
      </c>
      <c r="CH46" s="12">
        <f t="shared" ref="CH46:CN46" si="75">CH57</f>
        <v>0</v>
      </c>
      <c r="CI46" s="12">
        <f t="shared" si="75"/>
        <v>0</v>
      </c>
      <c r="CJ46" s="12">
        <f t="shared" si="75"/>
        <v>0</v>
      </c>
      <c r="CK46" s="12">
        <f t="shared" si="75"/>
        <v>0</v>
      </c>
      <c r="CL46" s="12">
        <f t="shared" si="75"/>
        <v>0</v>
      </c>
      <c r="CM46" s="12">
        <f t="shared" si="75"/>
        <v>0</v>
      </c>
      <c r="CN46" s="12">
        <f t="shared" si="75"/>
        <v>0</v>
      </c>
      <c r="CO46" s="16">
        <f t="shared" si="14"/>
        <v>26</v>
      </c>
      <c r="CP46" s="17" t="s">
        <v>18</v>
      </c>
      <c r="CQ46" s="12">
        <f t="shared" ref="CQ46:CY46" si="76">CQ57</f>
        <v>0</v>
      </c>
      <c r="CR46" s="12">
        <f t="shared" si="76"/>
        <v>0</v>
      </c>
      <c r="CS46" s="12">
        <f t="shared" si="76"/>
        <v>0</v>
      </c>
      <c r="CT46" s="12">
        <f t="shared" si="76"/>
        <v>0</v>
      </c>
      <c r="CU46" s="12">
        <f t="shared" si="76"/>
        <v>0</v>
      </c>
      <c r="CV46" s="12">
        <f t="shared" si="76"/>
        <v>0</v>
      </c>
      <c r="CW46" s="12">
        <f t="shared" ref="CW46:CX46" si="77">CW57</f>
        <v>-52654528.719186679</v>
      </c>
      <c r="CX46" s="12">
        <f t="shared" si="77"/>
        <v>0</v>
      </c>
      <c r="CY46" s="12">
        <f t="shared" si="76"/>
        <v>-52654528.719186679</v>
      </c>
      <c r="CZ46" s="25">
        <f>CG46+CY46</f>
        <v>3071117140.366096</v>
      </c>
      <c r="DA46" s="16">
        <f t="shared" si="16"/>
        <v>26</v>
      </c>
      <c r="DB46" s="17" t="s">
        <v>18</v>
      </c>
      <c r="DC46" s="25">
        <f>CG46</f>
        <v>3123771669.0852828</v>
      </c>
      <c r="DD46" s="98">
        <f>CY46</f>
        <v>-52654528.719186679</v>
      </c>
      <c r="DE46" s="25">
        <f>+DC46+DD46</f>
        <v>3071117140.366096</v>
      </c>
    </row>
    <row r="47" spans="1:122" ht="15" customHeight="1" x14ac:dyDescent="0.2">
      <c r="A47" s="16">
        <f t="shared" si="0"/>
        <v>36</v>
      </c>
      <c r="B47" s="160" t="s">
        <v>89</v>
      </c>
      <c r="C47" s="160"/>
      <c r="D47" s="156"/>
      <c r="E47" s="299"/>
      <c r="F47" s="183">
        <f>F35-F39-F42-F45</f>
        <v>-51064.119981568081</v>
      </c>
      <c r="G47" s="53"/>
      <c r="H47" s="190"/>
      <c r="I47" s="190"/>
      <c r="J47" s="190"/>
      <c r="K47" s="190"/>
      <c r="N47"/>
      <c r="O47"/>
      <c r="P47"/>
      <c r="Q47"/>
      <c r="R47"/>
      <c r="S47" s="53">
        <f t="shared" si="12"/>
        <v>36</v>
      </c>
      <c r="T47" s="365" t="s">
        <v>157</v>
      </c>
      <c r="U47" s="17" t="s">
        <v>82</v>
      </c>
      <c r="V47" s="367">
        <f>'[18]Lead 3.05 '!D47</f>
        <v>145843026.92000002</v>
      </c>
      <c r="W47" s="36"/>
      <c r="X47" s="55"/>
      <c r="Y47" s="55"/>
      <c r="Z47" s="55"/>
      <c r="AA47" s="55"/>
      <c r="AS47"/>
      <c r="BY47" s="81"/>
      <c r="CA47" s="1"/>
      <c r="CC47" s="125"/>
      <c r="CD47" s="50"/>
      <c r="CE47" s="106">
        <f t="shared" ref="CE47" si="78">+CE46+1</f>
        <v>35</v>
      </c>
      <c r="CG47" s="424"/>
      <c r="CH47"/>
      <c r="CI47"/>
      <c r="CJ47"/>
      <c r="CK47"/>
      <c r="CL47"/>
      <c r="CM47"/>
      <c r="CN47"/>
      <c r="CO47" s="16">
        <f t="shared" si="14"/>
        <v>27</v>
      </c>
      <c r="CP47"/>
      <c r="CQ47"/>
      <c r="CR47"/>
      <c r="CS47"/>
      <c r="CT47"/>
      <c r="CU47"/>
      <c r="CV47"/>
      <c r="CW47"/>
      <c r="CX47"/>
      <c r="CY47"/>
      <c r="CZ47"/>
      <c r="DA47" s="16">
        <f t="shared" si="16"/>
        <v>27</v>
      </c>
      <c r="DC47"/>
      <c r="DD47"/>
      <c r="DE47"/>
      <c r="DF47"/>
    </row>
    <row r="48" spans="1:122" ht="15" customHeight="1" x14ac:dyDescent="0.2">
      <c r="A48" s="16">
        <f t="shared" si="0"/>
        <v>37</v>
      </c>
      <c r="B48" s="160"/>
      <c r="C48" s="160"/>
      <c r="D48" s="156"/>
      <c r="E48" s="299"/>
      <c r="F48" s="299"/>
      <c r="G48" s="53"/>
      <c r="H48" s="190"/>
      <c r="I48" s="190"/>
      <c r="J48" s="190"/>
      <c r="K48" s="190"/>
      <c r="N48"/>
      <c r="O48"/>
      <c r="P48"/>
      <c r="Q48"/>
      <c r="R48"/>
      <c r="S48" s="53">
        <f t="shared" si="12"/>
        <v>37</v>
      </c>
      <c r="T48" s="365" t="s">
        <v>214</v>
      </c>
      <c r="U48" s="17" t="s">
        <v>9</v>
      </c>
      <c r="V48" s="367">
        <f>'[18]Lead 3.05 '!D48</f>
        <v>-145786.22</v>
      </c>
      <c r="W48" s="36"/>
      <c r="X48" s="55"/>
      <c r="Y48" s="55"/>
      <c r="Z48" s="55"/>
      <c r="AA48" s="55"/>
      <c r="AN48" s="16"/>
      <c r="AO48" s="80"/>
      <c r="AP48" s="1"/>
      <c r="AQ48" s="119"/>
      <c r="AR48" s="119"/>
      <c r="AS48"/>
      <c r="BD48" s="36"/>
      <c r="BE48" s="36"/>
      <c r="BF48" s="36"/>
      <c r="BY48" s="81"/>
      <c r="CA48" s="1"/>
      <c r="CC48" s="125"/>
      <c r="CD48" s="71"/>
      <c r="CE48" s="106">
        <f t="shared" ref="CE48" si="79">+CE47+1</f>
        <v>36</v>
      </c>
      <c r="CF48" s="17" t="s">
        <v>19</v>
      </c>
      <c r="CG48" s="293"/>
      <c r="CL48" s="47"/>
      <c r="CM48" s="47"/>
      <c r="CN48" s="1"/>
      <c r="CO48" s="16">
        <f t="shared" si="14"/>
        <v>28</v>
      </c>
      <c r="CP48" s="17" t="s">
        <v>19</v>
      </c>
      <c r="CQ48" s="1"/>
      <c r="CS48" s="1"/>
      <c r="CT48" s="1"/>
      <c r="CU48" s="1"/>
      <c r="CV48" s="1"/>
      <c r="CW48" s="119"/>
      <c r="CX48" s="119"/>
      <c r="CY48" s="119"/>
      <c r="CZ48" s="50"/>
      <c r="DA48" s="16">
        <f t="shared" si="16"/>
        <v>28</v>
      </c>
      <c r="DB48" s="17" t="s">
        <v>19</v>
      </c>
      <c r="DC48" s="50">
        <f>CG48</f>
        <v>0</v>
      </c>
      <c r="DE48" s="50"/>
    </row>
    <row r="49" spans="1:110" ht="15" customHeight="1" x14ac:dyDescent="0.2">
      <c r="A49" s="16">
        <f t="shared" si="0"/>
        <v>38</v>
      </c>
      <c r="B49" s="160" t="s">
        <v>90</v>
      </c>
      <c r="C49" s="160"/>
      <c r="D49" s="131">
        <f>+Inputs!B9</f>
        <v>0.21</v>
      </c>
      <c r="E49" s="299"/>
      <c r="F49" s="51">
        <f>ROUND(F47*D49,0)</f>
        <v>-10723</v>
      </c>
      <c r="G49" s="53"/>
      <c r="N49"/>
      <c r="O49"/>
      <c r="P49"/>
      <c r="Q49"/>
      <c r="R49"/>
      <c r="S49" s="53">
        <f t="shared" si="12"/>
        <v>38</v>
      </c>
      <c r="T49" s="365" t="s">
        <v>214</v>
      </c>
      <c r="U49" s="17" t="s">
        <v>11</v>
      </c>
      <c r="V49" s="367">
        <f>'[18]Lead 3.05 '!D49</f>
        <v>-19894</v>
      </c>
      <c r="W49" s="55"/>
      <c r="X49" s="55"/>
      <c r="Y49" s="55"/>
      <c r="Z49" s="55"/>
      <c r="AA49" s="55"/>
      <c r="AS49"/>
      <c r="BD49" s="36"/>
      <c r="BE49" s="36"/>
      <c r="BF49" s="36"/>
      <c r="BY49" s="81"/>
      <c r="CA49" s="1"/>
      <c r="CC49" s="125"/>
      <c r="CE49" s="106">
        <f t="shared" ref="CE49" si="80">+CE48+1</f>
        <v>37</v>
      </c>
      <c r="CO49" s="16">
        <f t="shared" si="14"/>
        <v>29</v>
      </c>
      <c r="DA49" s="16">
        <f t="shared" si="16"/>
        <v>29</v>
      </c>
      <c r="DC49" s="68"/>
      <c r="DE49" s="68"/>
    </row>
    <row r="50" spans="1:110" ht="15" customHeight="1" thickBot="1" x14ac:dyDescent="0.25">
      <c r="A50" s="16">
        <f t="shared" si="0"/>
        <v>39</v>
      </c>
      <c r="B50" s="160" t="s">
        <v>55</v>
      </c>
      <c r="C50" s="160"/>
      <c r="D50" s="156"/>
      <c r="E50" s="299"/>
      <c r="F50" s="346">
        <f>ROUND(-F49+F47,0)</f>
        <v>-40341</v>
      </c>
      <c r="G50" s="53"/>
      <c r="H50" s="190"/>
      <c r="I50" s="190"/>
      <c r="J50" s="190"/>
      <c r="K50" s="190"/>
      <c r="O50" s="16"/>
      <c r="P50"/>
      <c r="Q50"/>
      <c r="R50"/>
      <c r="S50" s="53">
        <f t="shared" si="12"/>
        <v>39</v>
      </c>
      <c r="T50" s="365" t="s">
        <v>214</v>
      </c>
      <c r="U50" s="17" t="s">
        <v>13</v>
      </c>
      <c r="V50" s="367">
        <f>'[18]Lead 3.05 '!D50</f>
        <v>-7991.62</v>
      </c>
      <c r="W50" s="55"/>
      <c r="X50" s="55"/>
      <c r="Y50" s="55"/>
      <c r="Z50" s="55"/>
      <c r="AA50" s="55"/>
      <c r="AN50" s="16"/>
      <c r="AS50"/>
      <c r="BD50" s="36"/>
      <c r="BE50" s="36"/>
      <c r="BF50" s="36"/>
      <c r="BY50" s="81"/>
      <c r="CA50" s="1"/>
      <c r="CC50" s="125"/>
      <c r="CE50" s="106">
        <f t="shared" ref="CE50" si="81">+CE49+1</f>
        <v>38</v>
      </c>
      <c r="CF50" s="2" t="s">
        <v>68</v>
      </c>
      <c r="CG50" s="15"/>
      <c r="CN50" s="1"/>
      <c r="CO50" s="16">
        <f t="shared" si="14"/>
        <v>30</v>
      </c>
      <c r="CP50" s="2" t="s">
        <v>68</v>
      </c>
      <c r="CQ50" s="1"/>
      <c r="CS50" s="1"/>
      <c r="CT50" s="1"/>
      <c r="CU50" s="1"/>
      <c r="CV50" s="1"/>
      <c r="CW50" s="119"/>
      <c r="CX50" s="119"/>
      <c r="CY50" s="119"/>
      <c r="CZ50" s="22"/>
      <c r="DA50" s="16">
        <f t="shared" si="16"/>
        <v>30</v>
      </c>
      <c r="DB50" s="2" t="s">
        <v>68</v>
      </c>
    </row>
    <row r="51" spans="1:110" ht="15" customHeight="1" thickTop="1" x14ac:dyDescent="0.2">
      <c r="A51" s="106">
        <f t="shared" si="0"/>
        <v>40</v>
      </c>
      <c r="F51" s="51"/>
      <c r="G51" s="53"/>
      <c r="H51" s="190"/>
      <c r="I51" s="190"/>
      <c r="J51" s="190"/>
      <c r="K51" s="190"/>
      <c r="O51" s="1"/>
      <c r="P51"/>
      <c r="Q51"/>
      <c r="R51"/>
      <c r="S51" s="53">
        <f t="shared" si="12"/>
        <v>40</v>
      </c>
      <c r="T51" s="365" t="s">
        <v>214</v>
      </c>
      <c r="U51" s="17" t="s">
        <v>82</v>
      </c>
      <c r="V51" s="367">
        <f>'[18]Lead 3.05 '!D51</f>
        <v>-1328061</v>
      </c>
      <c r="W51" s="55"/>
      <c r="X51" s="55"/>
      <c r="Y51" s="55"/>
      <c r="Z51" s="55"/>
      <c r="AA51" s="55"/>
      <c r="AJ51" s="150"/>
      <c r="AN51" s="16"/>
      <c r="AS51"/>
      <c r="BY51" s="81"/>
      <c r="CA51" s="1"/>
      <c r="CC51" s="125"/>
      <c r="CD51" s="46"/>
      <c r="CE51" s="106">
        <f t="shared" ref="CE51" si="82">+CE50+1</f>
        <v>39</v>
      </c>
      <c r="CF51" s="502" t="s">
        <v>325</v>
      </c>
      <c r="CG51" s="12">
        <f>'[23]GRB AMA'!$C$35</f>
        <v>5813713797.9265213</v>
      </c>
      <c r="CH51" s="5"/>
      <c r="CI51" s="5">
        <v>0</v>
      </c>
      <c r="CJ51" s="5">
        <v>0</v>
      </c>
      <c r="CK51" s="5">
        <v>0</v>
      </c>
      <c r="CL51" s="5"/>
      <c r="CM51" s="5"/>
      <c r="CN51" s="5">
        <v>0</v>
      </c>
      <c r="CO51" s="16">
        <f t="shared" si="14"/>
        <v>31</v>
      </c>
      <c r="CP51" s="502" t="s">
        <v>325</v>
      </c>
      <c r="CQ51" s="504">
        <v>0</v>
      </c>
      <c r="CR51" s="504">
        <v>0</v>
      </c>
      <c r="CS51" s="504">
        <v>0</v>
      </c>
      <c r="CT51" s="504">
        <v>0</v>
      </c>
      <c r="CU51" s="504">
        <v>0</v>
      </c>
      <c r="CV51" s="504"/>
      <c r="CW51" s="504">
        <f>BR14</f>
        <v>-75551072.666148052</v>
      </c>
      <c r="CX51" s="506">
        <f t="shared" ref="CX51:CX53" si="83">+BX13</f>
        <v>0</v>
      </c>
      <c r="CY51" s="504">
        <f>SUM(CH51:CX51)-CO51</f>
        <v>-75551072.666148052</v>
      </c>
      <c r="CZ51" s="504">
        <f t="shared" ref="CZ51:CZ56" si="84">+CY51+CG51</f>
        <v>5738162725.2603731</v>
      </c>
      <c r="DA51" s="118">
        <f t="shared" si="16"/>
        <v>31</v>
      </c>
      <c r="DB51" s="502" t="s">
        <v>325</v>
      </c>
      <c r="DC51" s="312">
        <f t="shared" ref="DC51:DC56" si="85">+CG51</f>
        <v>5813713797.9265213</v>
      </c>
      <c r="DD51" s="505">
        <f t="shared" ref="DD51:DD56" si="86">+CY51</f>
        <v>-75551072.666148052</v>
      </c>
      <c r="DE51" s="504">
        <f t="shared" ref="DE51:DE56" si="87">+DD51+DC51</f>
        <v>5738162725.2603731</v>
      </c>
    </row>
    <row r="52" spans="1:110" ht="15" customHeight="1" x14ac:dyDescent="0.2">
      <c r="A52" s="106">
        <f t="shared" si="0"/>
        <v>41</v>
      </c>
      <c r="B52" s="161"/>
      <c r="G52" s="53"/>
      <c r="O52" s="1"/>
      <c r="P52"/>
      <c r="Q52"/>
      <c r="R52"/>
      <c r="S52" s="53">
        <f t="shared" si="12"/>
        <v>41</v>
      </c>
      <c r="T52" s="365" t="s">
        <v>314</v>
      </c>
      <c r="U52" s="17" t="s">
        <v>9</v>
      </c>
      <c r="V52" s="367">
        <f>'[18]Lead 3.05 '!D52</f>
        <v>-30542.940000000002</v>
      </c>
      <c r="W52" s="55"/>
      <c r="X52" s="55"/>
      <c r="Y52" s="55"/>
      <c r="Z52" s="55"/>
      <c r="AA52" s="55"/>
      <c r="AN52" s="16"/>
      <c r="AS52"/>
      <c r="BY52" s="81"/>
      <c r="CA52" s="1"/>
      <c r="CC52" s="125"/>
      <c r="CD52" s="14"/>
      <c r="CE52" s="106">
        <f t="shared" ref="CE52" si="88">+CE51+1</f>
        <v>40</v>
      </c>
      <c r="CF52" s="502" t="s">
        <v>322</v>
      </c>
      <c r="CG52" s="414">
        <f>'[23]GRB AMA'!$C$36</f>
        <v>-2262669610.9303446</v>
      </c>
      <c r="CH52" s="7"/>
      <c r="CI52" s="7"/>
      <c r="CJ52" s="7"/>
      <c r="CK52" s="7"/>
      <c r="CL52" s="7"/>
      <c r="CM52" s="7"/>
      <c r="CN52" s="7"/>
      <c r="CO52" s="16">
        <f t="shared" si="14"/>
        <v>32</v>
      </c>
      <c r="CP52" s="502" t="s">
        <v>322</v>
      </c>
      <c r="CQ52" s="503"/>
      <c r="CR52" s="503"/>
      <c r="CS52" s="503"/>
      <c r="CT52" s="503"/>
      <c r="CU52" s="503"/>
      <c r="CV52" s="503"/>
      <c r="CW52" s="503">
        <f>BR15</f>
        <v>11832604.198422229</v>
      </c>
      <c r="CX52" s="506">
        <f t="shared" si="83"/>
        <v>0</v>
      </c>
      <c r="CY52" s="503">
        <f t="shared" ref="CY52:CY56" si="89">SUM(CH52:CX52)-CO52</f>
        <v>11832604.198422229</v>
      </c>
      <c r="CZ52" s="503">
        <f t="shared" si="84"/>
        <v>-2250837006.7319221</v>
      </c>
      <c r="DA52" s="118">
        <f t="shared" si="16"/>
        <v>32</v>
      </c>
      <c r="DB52" s="502" t="s">
        <v>322</v>
      </c>
      <c r="DC52" s="416">
        <f t="shared" si="85"/>
        <v>-2262669610.9303446</v>
      </c>
      <c r="DD52" s="503">
        <f t="shared" si="86"/>
        <v>11832604.198422229</v>
      </c>
      <c r="DE52" s="503">
        <f t="shared" si="87"/>
        <v>-2250837006.7319221</v>
      </c>
    </row>
    <row r="53" spans="1:110" ht="15" customHeight="1" x14ac:dyDescent="0.2">
      <c r="A53" s="106">
        <f t="shared" si="0"/>
        <v>42</v>
      </c>
      <c r="B53" s="161"/>
      <c r="G53" s="165"/>
      <c r="P53"/>
      <c r="Q53"/>
      <c r="R53"/>
      <c r="S53" s="53">
        <f t="shared" si="12"/>
        <v>42</v>
      </c>
      <c r="T53" s="365" t="s">
        <v>314</v>
      </c>
      <c r="U53" s="17" t="s">
        <v>11</v>
      </c>
      <c r="V53" s="367">
        <f>'[18]Lead 3.05 '!D53</f>
        <v>-5649.83</v>
      </c>
      <c r="W53" s="55"/>
      <c r="X53" s="55"/>
      <c r="Y53" s="55"/>
      <c r="Z53" s="55"/>
      <c r="AA53" s="55"/>
      <c r="AS53"/>
      <c r="BY53" s="81"/>
      <c r="CA53" s="1"/>
      <c r="CC53" s="125"/>
      <c r="CD53" s="14"/>
      <c r="CE53" s="106">
        <f t="shared" ref="CE53" si="90">+CE52+1</f>
        <v>41</v>
      </c>
      <c r="CF53" s="502" t="s">
        <v>323</v>
      </c>
      <c r="CG53" s="416">
        <f>'[23]GRB AMA'!$C$37</f>
        <v>40036785.180833332</v>
      </c>
      <c r="CH53" s="8"/>
      <c r="CI53" s="8"/>
      <c r="CJ53" s="8"/>
      <c r="CK53" s="8"/>
      <c r="CL53" s="8"/>
      <c r="CM53" s="8"/>
      <c r="CN53" s="8"/>
      <c r="CO53" s="16">
        <f t="shared" si="14"/>
        <v>33</v>
      </c>
      <c r="CP53" s="502" t="s">
        <v>323</v>
      </c>
      <c r="CQ53" s="506"/>
      <c r="CR53" s="506"/>
      <c r="CS53" s="506"/>
      <c r="CT53" s="506"/>
      <c r="CU53" s="506"/>
      <c r="CV53" s="506"/>
      <c r="CW53" s="506">
        <f>BR16</f>
        <v>11063939.748539142</v>
      </c>
      <c r="CX53" s="506">
        <f t="shared" si="83"/>
        <v>0</v>
      </c>
      <c r="CY53" s="506">
        <f t="shared" si="89"/>
        <v>11063939.748539142</v>
      </c>
      <c r="CZ53" s="503">
        <f t="shared" si="84"/>
        <v>51100724.929372475</v>
      </c>
      <c r="DA53" s="118">
        <f t="shared" si="16"/>
        <v>33</v>
      </c>
      <c r="DB53" s="502" t="s">
        <v>323</v>
      </c>
      <c r="DC53" s="507">
        <f t="shared" si="85"/>
        <v>40036785.180833332</v>
      </c>
      <c r="DD53" s="506">
        <f t="shared" si="86"/>
        <v>11063939.748539142</v>
      </c>
      <c r="DE53" s="506">
        <f t="shared" si="87"/>
        <v>51100724.929372475</v>
      </c>
    </row>
    <row r="54" spans="1:110" ht="15" customHeight="1" x14ac:dyDescent="0.2">
      <c r="A54" s="106">
        <f t="shared" si="0"/>
        <v>43</v>
      </c>
      <c r="B54" s="161"/>
      <c r="G54" s="165"/>
      <c r="H54" s="190"/>
      <c r="I54" s="190"/>
      <c r="J54" s="190"/>
      <c r="K54" s="190"/>
      <c r="L54" s="1"/>
      <c r="P54"/>
      <c r="Q54"/>
      <c r="R54"/>
      <c r="S54" s="53">
        <f t="shared" si="12"/>
        <v>43</v>
      </c>
      <c r="T54" s="365" t="s">
        <v>314</v>
      </c>
      <c r="U54" s="17" t="s">
        <v>13</v>
      </c>
      <c r="V54" s="367">
        <f>'[18]Lead 3.05 '!D54</f>
        <v>-2269.6</v>
      </c>
      <c r="W54" s="55"/>
      <c r="X54" s="55"/>
      <c r="Y54" s="55"/>
      <c r="Z54" s="55"/>
      <c r="AA54" s="55"/>
      <c r="AN54" s="16"/>
      <c r="AS54"/>
      <c r="BY54" s="16"/>
      <c r="CA54" s="71"/>
      <c r="CB54" s="50"/>
      <c r="CC54" s="71"/>
      <c r="CD54" s="14"/>
      <c r="CE54" s="106">
        <f t="shared" ref="CE54" si="91">+CE53+1</f>
        <v>42</v>
      </c>
      <c r="CF54" s="502" t="s">
        <v>324</v>
      </c>
      <c r="CG54" s="416">
        <f>'[23]GRB AMA'!$C$38</f>
        <v>-595993254.15068614</v>
      </c>
      <c r="CH54" s="503"/>
      <c r="CI54" s="503"/>
      <c r="CJ54" s="503"/>
      <c r="CK54" s="503"/>
      <c r="CL54" s="503"/>
      <c r="CM54" s="503"/>
      <c r="CN54" s="503"/>
      <c r="CO54" s="16">
        <f t="shared" si="14"/>
        <v>34</v>
      </c>
      <c r="CP54" s="502" t="s">
        <v>324</v>
      </c>
      <c r="CQ54" s="503"/>
      <c r="CR54" s="503"/>
      <c r="CS54" s="503"/>
      <c r="CT54" s="503"/>
      <c r="CU54" s="503"/>
      <c r="CV54" s="503"/>
      <c r="CW54" s="503"/>
      <c r="CX54" s="503"/>
      <c r="CY54" s="503">
        <f t="shared" si="89"/>
        <v>0</v>
      </c>
      <c r="CZ54" s="503">
        <f t="shared" si="84"/>
        <v>-595993254.15068614</v>
      </c>
      <c r="DA54" s="118">
        <f t="shared" si="16"/>
        <v>34</v>
      </c>
      <c r="DB54" s="502" t="s">
        <v>324</v>
      </c>
      <c r="DC54" s="416">
        <f t="shared" si="85"/>
        <v>-595993254.15068614</v>
      </c>
      <c r="DD54" s="503">
        <f t="shared" si="86"/>
        <v>0</v>
      </c>
      <c r="DE54" s="503">
        <f t="shared" si="87"/>
        <v>-595993254.15068614</v>
      </c>
    </row>
    <row r="55" spans="1:110" ht="15" customHeight="1" x14ac:dyDescent="0.2">
      <c r="A55" s="106">
        <f t="shared" si="0"/>
        <v>44</v>
      </c>
      <c r="B55" s="161"/>
      <c r="G55" s="264"/>
      <c r="L55" s="1"/>
      <c r="P55"/>
      <c r="Q55"/>
      <c r="R55"/>
      <c r="S55" s="53">
        <f t="shared" si="12"/>
        <v>44</v>
      </c>
      <c r="T55" s="365" t="s">
        <v>314</v>
      </c>
      <c r="U55" s="17" t="s">
        <v>82</v>
      </c>
      <c r="V55" s="367">
        <f>'[18]Lead 3.05 '!D55</f>
        <v>-1468395.11</v>
      </c>
      <c r="W55" s="55"/>
      <c r="X55" s="55"/>
      <c r="Y55" s="55"/>
      <c r="Z55" s="55"/>
      <c r="AA55" s="55"/>
      <c r="AN55" s="16"/>
      <c r="AO55" s="1"/>
      <c r="AP55" s="1"/>
      <c r="AQ55" s="119"/>
      <c r="AR55" s="119"/>
      <c r="AS55"/>
      <c r="BY55" s="16"/>
      <c r="CD55" s="14"/>
      <c r="CE55" s="106">
        <f t="shared" ref="CE55" si="92">+CE54+1</f>
        <v>43</v>
      </c>
      <c r="CF55" s="502" t="s">
        <v>326</v>
      </c>
      <c r="CG55" s="416">
        <f>'[23]GRB AMA'!$C$39</f>
        <v>129633627.38497032</v>
      </c>
      <c r="CH55" s="6"/>
      <c r="CI55" s="6"/>
      <c r="CJ55" s="6"/>
      <c r="CK55" s="6"/>
      <c r="CL55" s="6"/>
      <c r="CM55" s="6"/>
      <c r="CN55" s="6"/>
      <c r="CO55" s="16">
        <f t="shared" si="14"/>
        <v>35</v>
      </c>
      <c r="CP55" s="502" t="s">
        <v>326</v>
      </c>
      <c r="CQ55" s="6"/>
      <c r="CR55" s="6"/>
      <c r="CS55" s="6"/>
      <c r="CT55" s="6"/>
      <c r="CU55" s="6"/>
      <c r="CV55" s="6"/>
      <c r="CW55" s="6"/>
      <c r="CX55" s="6"/>
      <c r="CY55" s="6">
        <f t="shared" si="89"/>
        <v>0</v>
      </c>
      <c r="CZ55" s="503">
        <f t="shared" si="84"/>
        <v>129633627.38497032</v>
      </c>
      <c r="DA55" s="16">
        <f t="shared" si="16"/>
        <v>35</v>
      </c>
      <c r="DB55" s="502" t="s">
        <v>326</v>
      </c>
      <c r="DC55" s="416">
        <f t="shared" si="85"/>
        <v>129633627.38497032</v>
      </c>
      <c r="DD55" s="503">
        <f t="shared" si="86"/>
        <v>0</v>
      </c>
      <c r="DE55" s="503">
        <f t="shared" si="87"/>
        <v>129633627.38497032</v>
      </c>
    </row>
    <row r="56" spans="1:110" ht="15" customHeight="1" x14ac:dyDescent="0.2">
      <c r="A56" s="106">
        <f t="shared" si="0"/>
        <v>45</v>
      </c>
      <c r="G56" s="264"/>
      <c r="H56" s="190"/>
      <c r="I56" s="190"/>
      <c r="J56" s="190"/>
      <c r="K56" s="190"/>
      <c r="L56" s="1"/>
      <c r="P56"/>
      <c r="Q56"/>
      <c r="R56"/>
      <c r="S56" s="53">
        <f t="shared" si="12"/>
        <v>45</v>
      </c>
      <c r="T56" s="365" t="s">
        <v>210</v>
      </c>
      <c r="U56" s="17" t="s">
        <v>13</v>
      </c>
      <c r="V56" s="367">
        <f>'[18]Lead 3.05 '!D56</f>
        <v>-55528944.259999998</v>
      </c>
      <c r="W56" s="55"/>
      <c r="X56" s="55"/>
      <c r="Y56" s="55"/>
      <c r="Z56" s="55"/>
      <c r="AA56" s="55"/>
      <c r="AN56" s="16"/>
      <c r="AO56" s="1"/>
      <c r="AP56" s="100"/>
      <c r="AQ56" s="100"/>
      <c r="AR56" s="100"/>
      <c r="AS56"/>
      <c r="BY56" s="36"/>
      <c r="BZ56" s="36"/>
      <c r="CA56" s="36"/>
      <c r="CB56" s="36"/>
      <c r="CC56" s="36"/>
      <c r="CD56" s="14"/>
      <c r="CE56" s="106">
        <f t="shared" ref="CE56" si="93">+CE55+1</f>
        <v>44</v>
      </c>
      <c r="CF56" s="502" t="s">
        <v>170</v>
      </c>
      <c r="CG56" s="48">
        <f>'[23]GRB AMA'!$C$40</f>
        <v>-949676.32601141697</v>
      </c>
      <c r="CH56" s="9"/>
      <c r="CI56" s="9"/>
      <c r="CJ56" s="9"/>
      <c r="CK56" s="9"/>
      <c r="CL56" s="9"/>
      <c r="CM56" s="9"/>
      <c r="CN56" s="9"/>
      <c r="CO56" s="16">
        <f t="shared" si="14"/>
        <v>36</v>
      </c>
      <c r="CP56" s="502" t="s">
        <v>170</v>
      </c>
      <c r="CQ56" s="9"/>
      <c r="CR56" s="9"/>
      <c r="CS56" s="9"/>
      <c r="CT56" s="9"/>
      <c r="CU56" s="9"/>
      <c r="CV56" s="138"/>
      <c r="CW56" s="138"/>
      <c r="CX56" s="138"/>
      <c r="CY56" s="138">
        <f t="shared" si="89"/>
        <v>0</v>
      </c>
      <c r="CZ56" s="9">
        <f t="shared" si="84"/>
        <v>-949676.32601141697</v>
      </c>
      <c r="DA56" s="16">
        <f t="shared" si="16"/>
        <v>36</v>
      </c>
      <c r="DB56" s="502" t="s">
        <v>170</v>
      </c>
      <c r="DC56" s="48">
        <f t="shared" si="85"/>
        <v>-949676.32601141697</v>
      </c>
      <c r="DD56" s="9">
        <f t="shared" si="86"/>
        <v>0</v>
      </c>
      <c r="DE56" s="9">
        <f t="shared" si="87"/>
        <v>-949676.32601141697</v>
      </c>
    </row>
    <row r="57" spans="1:110" ht="15" customHeight="1" thickBot="1" x14ac:dyDescent="0.25">
      <c r="A57" s="106">
        <f t="shared" si="0"/>
        <v>46</v>
      </c>
      <c r="G57" s="264"/>
      <c r="L57" s="1"/>
      <c r="P57"/>
      <c r="Q57"/>
      <c r="R57"/>
      <c r="S57" s="53">
        <f t="shared" si="12"/>
        <v>46</v>
      </c>
      <c r="T57" s="365" t="str">
        <f>'[18]Lead 3.05 '!$B$57</f>
        <v>REMOVE PART FUND GRANTS - SCHEDULE 141PFG</v>
      </c>
      <c r="U57" s="17" t="s">
        <v>9</v>
      </c>
      <c r="V57" s="417">
        <f>'[18]Lead 3.05 '!$D$57</f>
        <v>-40800.49</v>
      </c>
      <c r="W57" s="55"/>
      <c r="X57" s="55"/>
      <c r="Y57" s="55"/>
      <c r="Z57" s="55"/>
      <c r="AA57" s="55"/>
      <c r="AN57" s="16"/>
      <c r="AO57" s="1"/>
      <c r="AP57" s="1"/>
      <c r="AQ57" s="119"/>
      <c r="AR57" s="119"/>
      <c r="AS57"/>
      <c r="BY57" s="36"/>
      <c r="BZ57" s="36"/>
      <c r="CA57" s="36"/>
      <c r="CB57" s="36"/>
      <c r="CC57" s="36"/>
      <c r="CE57" s="106">
        <f t="shared" ref="CE57" si="94">+CE56+1</f>
        <v>45</v>
      </c>
      <c r="CF57" s="99" t="s">
        <v>69</v>
      </c>
      <c r="CG57" s="387">
        <f>SUM(CG51:CG56)</f>
        <v>3123771669.0852828</v>
      </c>
      <c r="CH57" s="387">
        <f t="shared" ref="CH57:CN57" si="95">SUM(CH51:CH56)</f>
        <v>0</v>
      </c>
      <c r="CI57" s="387">
        <f t="shared" si="95"/>
        <v>0</v>
      </c>
      <c r="CJ57" s="387">
        <f t="shared" si="95"/>
        <v>0</v>
      </c>
      <c r="CK57" s="387">
        <f t="shared" si="95"/>
        <v>0</v>
      </c>
      <c r="CL57" s="387">
        <f t="shared" si="95"/>
        <v>0</v>
      </c>
      <c r="CM57" s="387">
        <f t="shared" si="95"/>
        <v>0</v>
      </c>
      <c r="CN57" s="387">
        <f t="shared" si="95"/>
        <v>0</v>
      </c>
      <c r="CO57" s="16">
        <f t="shared" si="14"/>
        <v>37</v>
      </c>
      <c r="CP57" s="99" t="s">
        <v>69</v>
      </c>
      <c r="CQ57" s="387">
        <f t="shared" ref="CQ57" si="96">SUM(CQ51:CQ56)</f>
        <v>0</v>
      </c>
      <c r="CR57" s="387">
        <f t="shared" ref="CR57" si="97">SUM(CR51:CR56)</f>
        <v>0</v>
      </c>
      <c r="CS57" s="387">
        <f t="shared" ref="CS57" si="98">SUM(CS51:CS56)</f>
        <v>0</v>
      </c>
      <c r="CT57" s="387">
        <f t="shared" ref="CT57" si="99">SUM(CT51:CT56)</f>
        <v>0</v>
      </c>
      <c r="CU57" s="387">
        <f t="shared" ref="CU57" si="100">SUM(CU51:CU56)</f>
        <v>0</v>
      </c>
      <c r="CV57" s="387">
        <f t="shared" ref="CV57" si="101">SUM(CV51:CV56)</f>
        <v>0</v>
      </c>
      <c r="CW57" s="387">
        <f t="shared" ref="CW57" si="102">SUM(CW51:CW56)</f>
        <v>-52654528.719186679</v>
      </c>
      <c r="CX57" s="387">
        <f t="shared" ref="CX57" si="103">SUM(CX51:CX56)</f>
        <v>0</v>
      </c>
      <c r="CY57" s="387">
        <f>SUM(CY51:CY56)</f>
        <v>-52654528.719186679</v>
      </c>
      <c r="CZ57" s="10">
        <f>SUM(CZ51:CZ56)</f>
        <v>3071117140.366096</v>
      </c>
      <c r="DA57" s="16">
        <f t="shared" si="16"/>
        <v>37</v>
      </c>
      <c r="DB57" s="99" t="s">
        <v>69</v>
      </c>
      <c r="DC57" s="10">
        <f>SUM(DC51:DC56)</f>
        <v>3123771669.0852828</v>
      </c>
      <c r="DD57" s="10">
        <f t="shared" ref="DD57:DE57" si="104">SUM(DD51:DD56)</f>
        <v>-52654528.719186679</v>
      </c>
      <c r="DE57" s="10">
        <f t="shared" si="104"/>
        <v>3071117140.366096</v>
      </c>
    </row>
    <row r="58" spans="1:110" ht="15" customHeight="1" thickTop="1" x14ac:dyDescent="0.2">
      <c r="A58" s="106">
        <f t="shared" si="0"/>
        <v>47</v>
      </c>
      <c r="G58" s="264"/>
      <c r="H58" s="190"/>
      <c r="I58" s="190"/>
      <c r="J58" s="190"/>
      <c r="K58" s="190"/>
      <c r="L58" s="1"/>
      <c r="P58"/>
      <c r="Q58"/>
      <c r="R58"/>
      <c r="S58" s="53">
        <f t="shared" si="12"/>
        <v>47</v>
      </c>
      <c r="T58" s="362" t="s">
        <v>102</v>
      </c>
      <c r="U58" s="362"/>
      <c r="V58" s="470">
        <f>SUM(V44:V57)</f>
        <v>24412721.500000034</v>
      </c>
      <c r="W58" s="55"/>
      <c r="X58" s="55"/>
      <c r="Y58" s="55"/>
      <c r="Z58" s="55"/>
      <c r="AA58" s="55"/>
      <c r="AN58" s="16"/>
      <c r="AO58" s="97"/>
      <c r="AP58" s="100"/>
      <c r="AQ58" s="100"/>
      <c r="AR58" s="100"/>
      <c r="AS58"/>
      <c r="BY58" s="36"/>
      <c r="BZ58" s="36"/>
      <c r="CA58" s="36"/>
      <c r="CB58" s="36"/>
      <c r="CC58" s="36"/>
      <c r="CG58" s="417"/>
      <c r="DA58" s="16"/>
    </row>
    <row r="59" spans="1:110" ht="15" customHeight="1" x14ac:dyDescent="0.2">
      <c r="A59" s="106">
        <f t="shared" si="0"/>
        <v>48</v>
      </c>
      <c r="B59" s="273"/>
      <c r="C59" s="273"/>
      <c r="D59" s="273"/>
      <c r="E59" s="273"/>
      <c r="F59" s="273"/>
      <c r="G59" s="264"/>
      <c r="H59" s="190"/>
      <c r="I59" s="190"/>
      <c r="J59" s="190"/>
      <c r="K59" s="190"/>
      <c r="L59" s="1"/>
      <c r="P59"/>
      <c r="Q59"/>
      <c r="R59"/>
      <c r="S59" s="53">
        <f t="shared" si="12"/>
        <v>48</v>
      </c>
      <c r="T59" s="364"/>
      <c r="U59" s="364"/>
      <c r="V59" s="471"/>
      <c r="W59" s="55"/>
      <c r="X59" s="55"/>
      <c r="Y59" s="55"/>
      <c r="Z59" s="55"/>
      <c r="AA59" s="55"/>
      <c r="AN59" s="16"/>
      <c r="AO59" s="97"/>
      <c r="AP59" s="100"/>
      <c r="AQ59" s="100"/>
      <c r="AR59" s="100"/>
      <c r="AS59"/>
      <c r="BY59" s="36"/>
      <c r="BZ59" s="36"/>
      <c r="CA59" s="36"/>
      <c r="CB59" s="36"/>
      <c r="CC59" s="36"/>
      <c r="CD59" s="38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</row>
    <row r="60" spans="1:110" ht="15" customHeight="1" x14ac:dyDescent="0.2">
      <c r="A60" s="106">
        <f t="shared" si="0"/>
        <v>49</v>
      </c>
      <c r="G60" s="264"/>
      <c r="H60" s="190"/>
      <c r="I60" s="190"/>
      <c r="J60" s="190"/>
      <c r="K60" s="190"/>
      <c r="L60" s="1"/>
      <c r="P60"/>
      <c r="Q60"/>
      <c r="R60"/>
      <c r="S60" s="53">
        <f t="shared" si="12"/>
        <v>49</v>
      </c>
      <c r="T60" s="360" t="s">
        <v>158</v>
      </c>
      <c r="U60" s="360"/>
      <c r="V60" s="307">
        <f>-V35-V41-V58</f>
        <v>1077871.7145336941</v>
      </c>
      <c r="W60" s="55"/>
      <c r="X60" s="55"/>
      <c r="Y60" s="55"/>
      <c r="Z60" s="55"/>
      <c r="AA60" s="55"/>
      <c r="AN60" s="81"/>
      <c r="AO60" s="97"/>
      <c r="AP60" s="100"/>
      <c r="AQ60" s="100"/>
      <c r="AR60" s="100"/>
      <c r="AS60"/>
      <c r="AU60" s="150"/>
      <c r="BY60" s="36"/>
      <c r="BZ60" s="36"/>
      <c r="CA60" s="36"/>
      <c r="CB60" s="36"/>
      <c r="CC60" s="36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</row>
    <row r="61" spans="1:110" ht="15" customHeight="1" x14ac:dyDescent="0.2">
      <c r="A61" s="106">
        <f t="shared" si="0"/>
        <v>50</v>
      </c>
      <c r="G61" s="264"/>
      <c r="H61" s="190"/>
      <c r="I61" s="190"/>
      <c r="J61" s="190"/>
      <c r="K61" s="190"/>
      <c r="L61" s="1"/>
      <c r="P61"/>
      <c r="Q61"/>
      <c r="R61"/>
      <c r="S61" s="53">
        <f t="shared" si="12"/>
        <v>50</v>
      </c>
      <c r="T61" s="360" t="s">
        <v>299</v>
      </c>
      <c r="U61" s="422">
        <f>+Inputs!B9</f>
        <v>0.21</v>
      </c>
      <c r="V61" s="417">
        <f>V60*U61</f>
        <v>226353.06005207574</v>
      </c>
      <c r="W61" s="55"/>
      <c r="X61" s="55"/>
      <c r="Y61" s="55"/>
      <c r="Z61" s="55"/>
      <c r="AA61" s="55"/>
      <c r="AN61" s="20"/>
      <c r="AO61" s="97"/>
      <c r="AP61" s="101"/>
      <c r="AQ61" s="101"/>
      <c r="AR61" s="101"/>
      <c r="BY61" s="36"/>
      <c r="BZ61" s="36"/>
      <c r="CA61" s="36"/>
      <c r="CB61" s="36"/>
      <c r="CC61" s="36"/>
      <c r="CD61" s="69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</row>
    <row r="62" spans="1:110" ht="15" customHeight="1" thickBot="1" x14ac:dyDescent="0.25">
      <c r="A62" s="106">
        <f t="shared" si="0"/>
        <v>51</v>
      </c>
      <c r="G62" s="264"/>
      <c r="H62" s="190"/>
      <c r="I62" s="190"/>
      <c r="J62" s="190"/>
      <c r="K62" s="190"/>
      <c r="L62" s="273"/>
      <c r="M62" s="273"/>
      <c r="N62" s="273"/>
      <c r="O62" s="273"/>
      <c r="P62"/>
      <c r="Q62"/>
      <c r="R62"/>
      <c r="T62" s="360" t="s">
        <v>55</v>
      </c>
      <c r="U62" s="360"/>
      <c r="V62" s="472">
        <f>V60-V61</f>
        <v>851518.65448161832</v>
      </c>
      <c r="AN62" s="20"/>
      <c r="AO62" s="97"/>
      <c r="AP62" s="101"/>
      <c r="AQ62" s="101"/>
      <c r="AR62" s="101"/>
      <c r="BY62" s="36"/>
      <c r="BZ62" s="36"/>
      <c r="CA62" s="36"/>
      <c r="CB62" s="36"/>
      <c r="CC62" s="36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</row>
    <row r="63" spans="1:110" ht="15" customHeight="1" thickTop="1" x14ac:dyDescent="0.2">
      <c r="A63" s="106">
        <f t="shared" si="0"/>
        <v>52</v>
      </c>
      <c r="G63" s="264"/>
      <c r="H63" s="190"/>
      <c r="I63" s="190"/>
      <c r="J63" s="190"/>
      <c r="K63" s="190"/>
      <c r="L63" s="1"/>
      <c r="P63"/>
      <c r="Q63"/>
      <c r="R63"/>
      <c r="T63" s="144"/>
      <c r="U63" s="144"/>
      <c r="V63" s="144"/>
      <c r="AN63" s="20"/>
      <c r="AO63" s="97"/>
      <c r="AP63" s="101"/>
      <c r="AQ63" s="101"/>
      <c r="AR63" s="101"/>
      <c r="BY63" s="36"/>
      <c r="BZ63" s="36"/>
      <c r="CA63" s="36"/>
      <c r="CB63" s="36"/>
      <c r="CC63" s="36"/>
      <c r="CD63" s="22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</row>
    <row r="64" spans="1:110" ht="15" customHeight="1" x14ac:dyDescent="0.2">
      <c r="A64" s="183"/>
      <c r="G64" s="264"/>
      <c r="H64" s="190"/>
      <c r="I64" s="190"/>
      <c r="J64" s="190"/>
      <c r="K64" s="190"/>
      <c r="L64" s="1"/>
      <c r="P64"/>
      <c r="Q64"/>
      <c r="R64"/>
      <c r="T64" s="144"/>
      <c r="U64" s="144"/>
      <c r="V64" s="481"/>
      <c r="AN64" s="20"/>
      <c r="AO64" s="97"/>
      <c r="AP64" s="101"/>
      <c r="AQ64" s="101"/>
      <c r="AR64" s="101"/>
      <c r="BY64" s="36"/>
      <c r="BZ64" s="36"/>
      <c r="CA64" s="36"/>
      <c r="CB64" s="36"/>
      <c r="CC64" s="36"/>
      <c r="CD64" s="22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</row>
    <row r="65" spans="1:110" ht="15" customHeight="1" x14ac:dyDescent="0.2">
      <c r="A65" s="183"/>
      <c r="G65" s="264"/>
      <c r="H65" s="190"/>
      <c r="I65" s="190"/>
      <c r="J65" s="190"/>
      <c r="K65" s="190"/>
      <c r="L65" s="1"/>
      <c r="P65"/>
      <c r="Q65"/>
      <c r="R65"/>
      <c r="T65" s="144"/>
      <c r="U65" s="144"/>
      <c r="V65" s="144"/>
      <c r="AN65" s="20"/>
      <c r="AO65" s="97"/>
      <c r="AP65" s="101"/>
      <c r="AQ65" s="101"/>
      <c r="AR65" s="101"/>
      <c r="BY65" s="36"/>
      <c r="BZ65" s="36"/>
      <c r="CA65" s="36"/>
      <c r="CB65" s="36"/>
      <c r="CC65" s="36"/>
      <c r="CD65" s="19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</row>
    <row r="66" spans="1:110" ht="15" customHeight="1" x14ac:dyDescent="0.2">
      <c r="A66" s="183"/>
      <c r="G66" s="264"/>
      <c r="H66" s="190"/>
      <c r="I66" s="190"/>
      <c r="J66" s="190"/>
      <c r="K66" s="190"/>
      <c r="L66" s="1"/>
      <c r="P66"/>
      <c r="Q66"/>
      <c r="R66"/>
      <c r="T66" s="144"/>
      <c r="U66" s="144"/>
      <c r="V66" s="144"/>
      <c r="AN66" s="20"/>
      <c r="AO66" s="97"/>
      <c r="AP66" s="101"/>
      <c r="AQ66" s="101"/>
      <c r="AR66" s="101"/>
      <c r="BY66" s="36"/>
      <c r="BZ66" s="36"/>
      <c r="CA66" s="36"/>
      <c r="CB66" s="36"/>
      <c r="CC66" s="36"/>
      <c r="CD66" s="22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</row>
    <row r="67" spans="1:110" ht="15" customHeight="1" x14ac:dyDescent="0.2">
      <c r="A67" s="183"/>
      <c r="G67" s="264"/>
      <c r="H67" s="190"/>
      <c r="I67" s="190"/>
      <c r="J67" s="190"/>
      <c r="K67" s="190"/>
      <c r="L67" s="1"/>
      <c r="P67"/>
      <c r="Q67"/>
      <c r="R67"/>
      <c r="T67" s="144"/>
      <c r="U67" s="144"/>
      <c r="V67" s="144"/>
      <c r="AN67" s="20"/>
      <c r="AO67" s="97"/>
      <c r="AP67" s="101"/>
      <c r="AQ67" s="101"/>
      <c r="AR67" s="101"/>
      <c r="BY67" s="36"/>
      <c r="BZ67" s="36"/>
      <c r="CA67" s="36"/>
      <c r="CB67" s="36"/>
      <c r="CC67" s="36"/>
      <c r="CD67" s="22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</row>
    <row r="68" spans="1:110" ht="15" customHeight="1" x14ac:dyDescent="0.2">
      <c r="A68" s="183"/>
      <c r="G68" s="264"/>
      <c r="H68" s="190"/>
      <c r="I68" s="190"/>
      <c r="J68" s="190"/>
      <c r="K68" s="190"/>
      <c r="L68" s="1"/>
      <c r="P68"/>
      <c r="Q68"/>
      <c r="R68"/>
      <c r="T68" s="144"/>
      <c r="U68" s="144"/>
      <c r="V68" s="144"/>
      <c r="AN68" s="20"/>
      <c r="AO68" s="97"/>
      <c r="AP68" s="101"/>
      <c r="AQ68" s="101"/>
      <c r="AR68" s="101"/>
      <c r="AY68" s="157"/>
      <c r="BY68" s="36"/>
      <c r="BZ68" s="36"/>
      <c r="CA68" s="36"/>
      <c r="CB68" s="36"/>
      <c r="CC68" s="36"/>
      <c r="CD68" s="73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</row>
    <row r="69" spans="1:110" ht="15" customHeight="1" x14ac:dyDescent="0.2">
      <c r="A69" s="183"/>
      <c r="G69" s="264"/>
      <c r="H69" s="273"/>
      <c r="I69" s="273"/>
      <c r="J69" s="273"/>
      <c r="K69" s="273"/>
      <c r="L69" s="1"/>
      <c r="P69"/>
      <c r="Q69"/>
      <c r="R69"/>
      <c r="T69" s="144"/>
      <c r="U69" s="144"/>
      <c r="V69" s="144"/>
      <c r="AN69" s="20"/>
      <c r="AO69" s="97"/>
      <c r="AP69" s="101"/>
      <c r="AQ69" s="101"/>
      <c r="AR69" s="101"/>
      <c r="BY69" s="36"/>
      <c r="BZ69" s="36"/>
      <c r="CA69" s="36"/>
      <c r="CB69" s="36"/>
      <c r="CC69" s="36"/>
      <c r="CD69" s="134" t="s">
        <v>20</v>
      </c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</row>
    <row r="70" spans="1:110" ht="15" customHeight="1" x14ac:dyDescent="0.2">
      <c r="A70" s="183"/>
      <c r="G70" s="264"/>
      <c r="H70" s="190"/>
      <c r="I70" s="190"/>
      <c r="J70" s="190"/>
      <c r="K70" s="190"/>
      <c r="L70" s="1"/>
      <c r="M70" s="183"/>
      <c r="P70"/>
      <c r="Q70"/>
      <c r="R70"/>
      <c r="T70" s="144"/>
      <c r="U70" s="144"/>
      <c r="V70" s="144"/>
      <c r="AN70" s="20"/>
      <c r="AO70" s="97"/>
      <c r="AP70" s="101"/>
      <c r="AQ70" s="101"/>
      <c r="AR70" s="101"/>
      <c r="BY70" s="36"/>
      <c r="BZ70" s="36"/>
      <c r="CA70" s="36"/>
      <c r="CB70" s="36"/>
      <c r="CC70" s="36"/>
      <c r="CD70" s="135" t="s">
        <v>20</v>
      </c>
      <c r="CE70" s="16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</row>
    <row r="71" spans="1:110" ht="15" customHeight="1" x14ac:dyDescent="0.2">
      <c r="A71" s="183"/>
      <c r="G71" s="264"/>
      <c r="H71" s="190"/>
      <c r="I71" s="190"/>
      <c r="J71" s="190"/>
      <c r="K71" s="190"/>
      <c r="P71"/>
      <c r="Q71"/>
      <c r="R71"/>
      <c r="T71" s="144"/>
      <c r="U71" s="144"/>
      <c r="V71" s="144"/>
      <c r="BY71" s="36"/>
      <c r="BZ71" s="36"/>
      <c r="CA71" s="36"/>
      <c r="CB71" s="36"/>
      <c r="CC71" s="36"/>
      <c r="CD71" s="74"/>
      <c r="CE71" s="16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</row>
    <row r="72" spans="1:110" ht="15" customHeight="1" x14ac:dyDescent="0.2">
      <c r="A72" s="183"/>
      <c r="G72" s="264"/>
      <c r="H72" s="190"/>
      <c r="I72" s="190"/>
      <c r="J72" s="190"/>
      <c r="K72" s="190"/>
      <c r="P72"/>
      <c r="Q72"/>
      <c r="R72"/>
      <c r="T72" s="144"/>
      <c r="U72" s="144"/>
      <c r="V72" s="144"/>
      <c r="BY72" s="36"/>
      <c r="BZ72" s="36"/>
      <c r="CA72" s="36"/>
      <c r="CB72" s="36"/>
      <c r="CC72" s="36"/>
      <c r="CD72" s="59"/>
      <c r="CE72" s="3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</row>
    <row r="73" spans="1:110" ht="15" customHeight="1" x14ac:dyDescent="0.2">
      <c r="A73" s="183"/>
      <c r="G73" s="264"/>
      <c r="H73" s="190"/>
      <c r="I73" s="190"/>
      <c r="J73" s="190"/>
      <c r="K73" s="190"/>
      <c r="P73"/>
      <c r="Q73"/>
      <c r="R73"/>
      <c r="S73" s="273"/>
      <c r="T73" s="144"/>
      <c r="U73" s="144"/>
      <c r="V73" s="144"/>
      <c r="BY73" s="36"/>
      <c r="BZ73" s="36"/>
      <c r="CA73" s="36"/>
      <c r="CB73" s="36"/>
      <c r="CC73" s="36"/>
      <c r="CD73" s="75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</row>
    <row r="74" spans="1:110" ht="15" customHeight="1" x14ac:dyDescent="0.2">
      <c r="A74" s="183"/>
      <c r="G74" s="190"/>
      <c r="H74" s="190"/>
      <c r="I74" s="190"/>
      <c r="J74" s="190"/>
      <c r="K74" s="190"/>
      <c r="P74"/>
      <c r="Q74"/>
      <c r="R74"/>
      <c r="T74" s="144"/>
      <c r="U74" s="144"/>
      <c r="V74" s="144"/>
      <c r="BY74" s="36"/>
      <c r="BZ74" s="36"/>
      <c r="CA74" s="36"/>
      <c r="CB74" s="36"/>
      <c r="CC74" s="36"/>
      <c r="CD74" s="59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</row>
    <row r="75" spans="1:110" ht="15" customHeight="1" x14ac:dyDescent="0.2">
      <c r="A75" s="183"/>
      <c r="G75" s="190"/>
      <c r="H75" s="190"/>
      <c r="I75" s="190"/>
      <c r="J75" s="190"/>
      <c r="K75" s="190"/>
      <c r="P75"/>
      <c r="Q75"/>
      <c r="R75"/>
      <c r="T75" s="144"/>
      <c r="U75" s="144"/>
      <c r="V75" s="144"/>
      <c r="BY75" s="36"/>
      <c r="BZ75" s="36"/>
      <c r="CA75" s="36"/>
      <c r="CB75" s="36"/>
      <c r="CC75" s="36"/>
      <c r="CD75" s="59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</row>
    <row r="76" spans="1:110" ht="15" customHeight="1" x14ac:dyDescent="0.2">
      <c r="A76" s="183"/>
      <c r="G76" s="273"/>
      <c r="H76" s="190"/>
      <c r="I76" s="190"/>
      <c r="J76" s="190"/>
      <c r="K76" s="190"/>
      <c r="P76"/>
      <c r="Q76"/>
      <c r="R76"/>
      <c r="T76" s="144"/>
      <c r="U76" s="144"/>
      <c r="V76" s="144"/>
      <c r="BY76" s="36"/>
      <c r="BZ76" s="36"/>
      <c r="CA76" s="36"/>
      <c r="CB76" s="36"/>
      <c r="CC76" s="36"/>
      <c r="CD76" s="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</row>
    <row r="77" spans="1:110" ht="15" customHeight="1" x14ac:dyDescent="0.2">
      <c r="A77" s="183"/>
      <c r="G77" s="190"/>
      <c r="H77" s="190"/>
      <c r="I77" s="190"/>
      <c r="J77" s="190"/>
      <c r="K77" s="190"/>
      <c r="P77"/>
      <c r="Q77"/>
      <c r="R77"/>
      <c r="T77" s="144"/>
      <c r="U77" s="144"/>
      <c r="V77" s="144"/>
      <c r="W77" s="17"/>
      <c r="X77" s="17"/>
      <c r="Y77" s="17"/>
      <c r="Z77" s="17"/>
      <c r="AA77" s="17"/>
      <c r="BY77" s="36"/>
      <c r="BZ77" s="36"/>
      <c r="CA77" s="36"/>
      <c r="CB77" s="36"/>
      <c r="CC77" s="36"/>
      <c r="CD77" s="75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</row>
    <row r="78" spans="1:110" ht="15" customHeight="1" x14ac:dyDescent="0.2">
      <c r="G78" s="190"/>
      <c r="H78" s="190"/>
      <c r="I78" s="190"/>
      <c r="J78" s="190"/>
      <c r="K78" s="190"/>
      <c r="P78"/>
      <c r="Q78"/>
      <c r="R78"/>
      <c r="T78" s="273"/>
      <c r="U78" s="273"/>
      <c r="V78" s="144"/>
      <c r="BY78" s="16"/>
      <c r="CC78" s="132" t="s">
        <v>20</v>
      </c>
      <c r="CD78" s="62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</row>
    <row r="79" spans="1:110" ht="15" customHeight="1" x14ac:dyDescent="0.2">
      <c r="G79" s="190"/>
      <c r="H79" s="190"/>
      <c r="I79" s="190"/>
      <c r="J79" s="190"/>
      <c r="K79" s="190"/>
      <c r="P79"/>
      <c r="Q79"/>
      <c r="R79"/>
      <c r="T79" s="413"/>
      <c r="U79" s="413"/>
      <c r="V79" s="413"/>
      <c r="BY79" s="16"/>
      <c r="CC79" s="136"/>
      <c r="CD79" s="77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06"/>
      <c r="CX79" s="106"/>
      <c r="CY79" s="106"/>
    </row>
    <row r="80" spans="1:110" ht="15" customHeight="1" x14ac:dyDescent="0.2">
      <c r="G80" s="190"/>
      <c r="H80" s="190"/>
      <c r="I80" s="190"/>
      <c r="J80" s="190"/>
      <c r="K80" s="190"/>
      <c r="P80"/>
      <c r="Q80"/>
      <c r="R80"/>
      <c r="T80" s="413"/>
      <c r="U80" s="413"/>
      <c r="V80" s="413"/>
      <c r="BY80" s="57"/>
      <c r="CC80" s="59"/>
      <c r="CD80" s="77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06"/>
      <c r="CX80" s="106"/>
      <c r="CY80" s="106"/>
    </row>
    <row r="81" spans="7:109" ht="15" customHeight="1" x14ac:dyDescent="0.2">
      <c r="G81" s="190"/>
      <c r="H81" s="190"/>
      <c r="I81" s="190"/>
      <c r="J81" s="190"/>
      <c r="K81" s="190"/>
      <c r="P81"/>
      <c r="Q81"/>
      <c r="R81"/>
      <c r="BY81" s="16"/>
      <c r="CB81" s="102"/>
      <c r="CC81" s="136"/>
      <c r="CD81" s="77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06"/>
      <c r="CX81" s="106"/>
      <c r="CY81" s="106"/>
    </row>
    <row r="82" spans="7:109" ht="15" customHeight="1" x14ac:dyDescent="0.2">
      <c r="G82" s="190"/>
      <c r="H82" s="190"/>
      <c r="I82" s="190"/>
      <c r="J82" s="190"/>
      <c r="K82" s="190"/>
      <c r="BY82" s="16"/>
      <c r="CC82" s="76"/>
      <c r="CD82" s="77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06"/>
      <c r="CX82" s="106"/>
      <c r="CY82" s="106"/>
    </row>
    <row r="83" spans="7:109" ht="15" customHeight="1" x14ac:dyDescent="0.2">
      <c r="G83" s="190"/>
      <c r="H83" s="190"/>
      <c r="I83" s="190"/>
      <c r="J83" s="190"/>
      <c r="K83" s="190"/>
      <c r="BY83" s="16"/>
      <c r="CC83" s="59"/>
      <c r="CD83" s="77"/>
      <c r="CE83" s="60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06"/>
      <c r="CX83" s="106"/>
      <c r="CY83" s="106"/>
    </row>
    <row r="84" spans="7:109" ht="15" customHeight="1" x14ac:dyDescent="0.2">
      <c r="G84" s="190"/>
      <c r="H84" s="190"/>
      <c r="I84" s="190"/>
      <c r="J84" s="190"/>
      <c r="K84" s="190"/>
      <c r="BY84" s="16"/>
      <c r="BZ84" s="36"/>
      <c r="CA84" s="36"/>
      <c r="CB84" s="36"/>
      <c r="CC84" s="36"/>
      <c r="CD84" s="36"/>
      <c r="CE84" s="72"/>
      <c r="CF84" s="60"/>
      <c r="CG84" s="60"/>
      <c r="CH84" s="60"/>
      <c r="CI84" s="60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06"/>
      <c r="CX84" s="106"/>
      <c r="CY84" s="106"/>
    </row>
    <row r="85" spans="7:109" ht="15" customHeight="1" x14ac:dyDescent="0.2">
      <c r="G85" s="190"/>
      <c r="H85" s="190"/>
      <c r="I85" s="190"/>
      <c r="J85" s="190"/>
      <c r="K85" s="190"/>
      <c r="W85" s="47"/>
      <c r="X85" s="47"/>
      <c r="Y85" s="47"/>
      <c r="Z85" s="47"/>
      <c r="AA85" s="47"/>
      <c r="BY85" s="16"/>
      <c r="BZ85" s="36"/>
      <c r="CA85" s="36"/>
      <c r="CB85" s="36"/>
      <c r="CC85" s="36"/>
      <c r="CD85" s="36"/>
      <c r="CF85" s="72"/>
      <c r="CG85" s="72"/>
      <c r="CH85" s="72"/>
      <c r="CI85" s="72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06"/>
      <c r="CX85" s="106"/>
      <c r="CY85" s="106"/>
    </row>
    <row r="86" spans="7:109" ht="15" customHeight="1" x14ac:dyDescent="0.2">
      <c r="G86" s="190"/>
      <c r="H86" s="190"/>
      <c r="I86" s="190"/>
      <c r="J86" s="190"/>
      <c r="K86" s="190"/>
      <c r="W86" s="47"/>
      <c r="X86" s="47"/>
      <c r="Y86" s="47"/>
      <c r="Z86" s="47"/>
      <c r="AA86" s="47"/>
      <c r="BY86" s="16"/>
      <c r="BZ86" s="36"/>
      <c r="CA86" s="36"/>
      <c r="CB86" s="36"/>
      <c r="CC86" s="36"/>
      <c r="CD86" s="3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06"/>
      <c r="CX86" s="106"/>
      <c r="CY86" s="106"/>
    </row>
    <row r="87" spans="7:109" ht="15" customHeight="1" x14ac:dyDescent="0.2">
      <c r="G87" s="190"/>
      <c r="H87" s="190"/>
      <c r="I87" s="190"/>
      <c r="J87" s="190"/>
      <c r="K87" s="190"/>
      <c r="W87" s="47"/>
      <c r="X87" s="47"/>
      <c r="Y87" s="47"/>
      <c r="Z87" s="47"/>
      <c r="AA87" s="47"/>
      <c r="BY87" s="16"/>
      <c r="BZ87" s="36"/>
      <c r="CA87" s="36"/>
      <c r="CB87" s="36"/>
      <c r="CC87" s="36"/>
      <c r="CD87" s="3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06"/>
      <c r="CX87" s="106"/>
      <c r="CY87" s="106"/>
    </row>
    <row r="88" spans="7:109" ht="15" customHeight="1" x14ac:dyDescent="0.2">
      <c r="G88" s="190"/>
      <c r="H88" s="190"/>
      <c r="I88" s="190"/>
      <c r="J88" s="190"/>
      <c r="K88" s="190"/>
      <c r="W88" s="47"/>
      <c r="X88" s="47"/>
      <c r="Y88" s="47"/>
      <c r="Z88" s="47"/>
      <c r="AA88" s="47"/>
      <c r="BY88" s="16"/>
      <c r="BZ88" s="36"/>
      <c r="CA88" s="36"/>
      <c r="CB88" s="36"/>
      <c r="CC88" s="36"/>
      <c r="CD88" s="36"/>
      <c r="CQ88" s="16"/>
      <c r="CR88" s="16"/>
      <c r="CS88" s="16"/>
      <c r="CZ88" s="16"/>
    </row>
    <row r="89" spans="7:109" ht="15" customHeight="1" x14ac:dyDescent="0.2">
      <c r="G89" s="190"/>
      <c r="H89" s="190"/>
      <c r="I89" s="190"/>
      <c r="J89" s="190"/>
      <c r="K89" s="190"/>
      <c r="S89" s="17"/>
      <c r="W89" s="47"/>
      <c r="X89" s="47"/>
      <c r="Y89" s="47"/>
      <c r="Z89" s="47"/>
      <c r="AA89" s="47"/>
      <c r="BY89" s="16"/>
      <c r="BZ89" s="36"/>
      <c r="CA89" s="36"/>
      <c r="CB89" s="36"/>
      <c r="CC89" s="36"/>
      <c r="CD89" s="36"/>
      <c r="CQ89" s="16"/>
      <c r="CR89" s="16"/>
      <c r="CS89" s="16"/>
      <c r="CZ89" s="16"/>
    </row>
    <row r="90" spans="7:109" ht="15" customHeight="1" x14ac:dyDescent="0.2">
      <c r="G90" s="190"/>
      <c r="H90" s="190"/>
      <c r="I90" s="190"/>
      <c r="J90" s="190"/>
      <c r="K90" s="190"/>
      <c r="W90" s="47"/>
      <c r="X90" s="47"/>
      <c r="Y90" s="47"/>
      <c r="Z90" s="47"/>
      <c r="AA90" s="47"/>
      <c r="BY90" s="16"/>
      <c r="BZ90" s="36"/>
      <c r="CA90" s="36"/>
      <c r="CB90" s="36"/>
      <c r="CC90" s="36"/>
      <c r="CD90" s="36"/>
      <c r="CE90" s="16"/>
      <c r="CO90" s="16"/>
      <c r="CP90" s="16"/>
      <c r="CQ90" s="16"/>
      <c r="CR90" s="16"/>
      <c r="CS90" s="16"/>
      <c r="CZ90" s="16"/>
    </row>
    <row r="91" spans="7:109" ht="15" customHeight="1" x14ac:dyDescent="0.2">
      <c r="G91" s="190"/>
      <c r="H91" s="190"/>
      <c r="I91" s="190"/>
      <c r="J91" s="190"/>
      <c r="K91" s="190"/>
      <c r="W91" s="47"/>
      <c r="X91" s="47"/>
      <c r="Y91" s="47"/>
      <c r="Z91" s="47"/>
      <c r="AA91" s="47"/>
      <c r="AB91" s="16"/>
      <c r="BY91" s="16"/>
      <c r="BZ91" s="36"/>
      <c r="CA91" s="36"/>
      <c r="CB91" s="36"/>
      <c r="CC91" s="36"/>
      <c r="CD91" s="36"/>
      <c r="CE91" s="16"/>
      <c r="CF91" s="16"/>
      <c r="CG91" s="10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06"/>
      <c r="CX91" s="106"/>
      <c r="CY91" s="106"/>
      <c r="CZ91" s="16"/>
      <c r="DA91" s="16"/>
      <c r="DB91" s="16"/>
      <c r="DC91" s="16"/>
      <c r="DD91" s="16"/>
      <c r="DE91" s="16"/>
    </row>
    <row r="92" spans="7:109" ht="15" customHeight="1" x14ac:dyDescent="0.2">
      <c r="G92" s="190"/>
      <c r="H92" s="190"/>
      <c r="I92" s="190"/>
      <c r="J92" s="190"/>
      <c r="K92" s="190"/>
      <c r="W92" s="47"/>
      <c r="X92" s="47"/>
      <c r="Y92" s="47"/>
      <c r="Z92" s="47"/>
      <c r="AA92" s="47"/>
      <c r="AB92" s="16"/>
      <c r="BY92" s="16"/>
      <c r="BZ92" s="36"/>
      <c r="CA92" s="36"/>
      <c r="CB92" s="36"/>
      <c r="CC92" s="36"/>
      <c r="CD92" s="36"/>
      <c r="CE92" s="16"/>
      <c r="CF92" s="16"/>
      <c r="CG92" s="10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06"/>
      <c r="CX92" s="106"/>
      <c r="CY92" s="106"/>
      <c r="CZ92" s="16"/>
      <c r="DA92" s="16"/>
      <c r="DB92" s="16"/>
      <c r="DC92" s="16"/>
      <c r="DD92" s="16"/>
      <c r="DE92" s="16"/>
    </row>
    <row r="93" spans="7:109" ht="15" customHeight="1" x14ac:dyDescent="0.2">
      <c r="G93" s="190"/>
      <c r="H93" s="190"/>
      <c r="I93" s="190"/>
      <c r="J93" s="190"/>
      <c r="K93" s="190"/>
      <c r="O93" s="1"/>
      <c r="W93" s="47"/>
      <c r="X93" s="47"/>
      <c r="Y93" s="47"/>
      <c r="Z93" s="47"/>
      <c r="AA93" s="47"/>
      <c r="AB93" s="16"/>
      <c r="BY93" s="16"/>
      <c r="BZ93" s="16"/>
      <c r="CA93" s="127"/>
      <c r="CB93" s="126"/>
      <c r="CC93" s="128"/>
      <c r="CD93" s="128"/>
      <c r="CE93" s="16"/>
      <c r="CF93" s="16"/>
      <c r="CG93" s="10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06"/>
      <c r="CX93" s="106"/>
      <c r="CY93" s="106"/>
      <c r="CZ93" s="16"/>
      <c r="DA93" s="16"/>
      <c r="DB93" s="16"/>
      <c r="DC93" s="16"/>
      <c r="DD93" s="16"/>
      <c r="DE93" s="16"/>
    </row>
    <row r="94" spans="7:109" ht="15" customHeight="1" x14ac:dyDescent="0.2">
      <c r="G94" s="190"/>
      <c r="H94" s="190"/>
      <c r="I94" s="190"/>
      <c r="J94" s="190"/>
      <c r="K94" s="190"/>
      <c r="O94" s="1"/>
      <c r="T94" s="17"/>
      <c r="U94" s="17"/>
      <c r="V94" s="17"/>
      <c r="W94" s="47"/>
      <c r="X94" s="47"/>
      <c r="Y94" s="47"/>
      <c r="Z94" s="47"/>
      <c r="AA94" s="47"/>
      <c r="AB94" s="16"/>
      <c r="BY94" s="16"/>
      <c r="BZ94" s="16"/>
      <c r="CA94" s="127"/>
      <c r="CB94" s="126"/>
      <c r="CC94" s="128"/>
      <c r="CD94" s="128"/>
      <c r="CE94" s="16"/>
      <c r="CF94" s="16"/>
      <c r="CG94" s="10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06"/>
      <c r="CX94" s="106"/>
      <c r="CY94" s="106"/>
      <c r="CZ94" s="16"/>
      <c r="DA94" s="16"/>
      <c r="DB94" s="16"/>
      <c r="DC94" s="16"/>
      <c r="DD94" s="16"/>
      <c r="DE94" s="16"/>
    </row>
    <row r="95" spans="7:109" ht="15" customHeight="1" x14ac:dyDescent="0.2">
      <c r="G95" s="190"/>
      <c r="H95" s="190"/>
      <c r="I95" s="190"/>
      <c r="J95" s="190"/>
      <c r="K95" s="190"/>
      <c r="O95" s="1"/>
      <c r="P95" s="1"/>
      <c r="Q95" s="1"/>
      <c r="R95" s="1"/>
      <c r="W95" s="47"/>
      <c r="X95" s="47"/>
      <c r="Y95" s="47"/>
      <c r="Z95" s="47"/>
      <c r="AA95" s="47"/>
      <c r="AB95" s="16"/>
      <c r="BY95" s="16"/>
      <c r="BZ95" s="16"/>
      <c r="CA95" s="127"/>
      <c r="CB95" s="126"/>
      <c r="CC95" s="128"/>
      <c r="CD95" s="128"/>
      <c r="CE95" s="16"/>
      <c r="CF95" s="16"/>
      <c r="CG95" s="10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06"/>
      <c r="CX95" s="106"/>
      <c r="CY95" s="106"/>
      <c r="CZ95" s="16"/>
      <c r="DA95" s="16"/>
      <c r="DB95" s="16"/>
      <c r="DC95" s="16"/>
      <c r="DD95" s="16"/>
      <c r="DE95" s="16"/>
    </row>
    <row r="96" spans="7:109" ht="15" customHeight="1" x14ac:dyDescent="0.2">
      <c r="G96" s="190"/>
      <c r="H96" s="190"/>
      <c r="I96" s="190"/>
      <c r="J96" s="190"/>
      <c r="K96" s="190"/>
      <c r="O96" s="1"/>
      <c r="P96" s="1"/>
      <c r="Q96" s="1"/>
      <c r="R96" s="1"/>
      <c r="W96" s="47"/>
      <c r="X96" s="47"/>
      <c r="Y96" s="47"/>
      <c r="Z96" s="47"/>
      <c r="AA96" s="47"/>
      <c r="BY96" s="16"/>
      <c r="BZ96" s="16"/>
      <c r="CA96" s="127"/>
      <c r="CB96" s="126"/>
      <c r="CC96" s="128"/>
      <c r="CD96" s="128"/>
      <c r="CE96" s="16"/>
      <c r="CF96" s="16"/>
      <c r="CG96" s="10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06"/>
      <c r="CX96" s="106"/>
      <c r="CY96" s="106"/>
      <c r="CZ96" s="16"/>
      <c r="DA96" s="16"/>
      <c r="DB96" s="16"/>
      <c r="DC96" s="16"/>
      <c r="DD96" s="16"/>
      <c r="DE96" s="16"/>
    </row>
    <row r="97" spans="7:109" ht="15" customHeight="1" x14ac:dyDescent="0.2">
      <c r="G97" s="190"/>
      <c r="H97" s="190"/>
      <c r="I97" s="190"/>
      <c r="J97" s="190"/>
      <c r="K97" s="190"/>
      <c r="O97" s="1"/>
      <c r="P97" s="1"/>
      <c r="Q97" s="1"/>
      <c r="R97" s="1"/>
      <c r="S97" s="47"/>
      <c r="CA97" s="127"/>
      <c r="CB97" s="126"/>
      <c r="CC97" s="128"/>
      <c r="CD97" s="128"/>
      <c r="CF97" s="16"/>
      <c r="CG97" s="10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06"/>
      <c r="CX97" s="106"/>
      <c r="CY97" s="106"/>
      <c r="CZ97" s="16"/>
      <c r="DA97" s="16"/>
      <c r="DB97" s="16"/>
      <c r="DC97" s="16"/>
      <c r="DD97" s="16"/>
      <c r="DE97" s="16"/>
    </row>
    <row r="98" spans="7:109" ht="15" customHeight="1" x14ac:dyDescent="0.2">
      <c r="G98" s="190"/>
      <c r="H98" s="190"/>
      <c r="I98" s="190"/>
      <c r="J98" s="190"/>
      <c r="K98" s="190"/>
      <c r="O98" s="1"/>
      <c r="P98" s="1"/>
      <c r="Q98" s="1"/>
      <c r="R98" s="1"/>
      <c r="S98" s="47"/>
      <c r="CA98" s="127"/>
      <c r="CB98" s="126"/>
      <c r="CC98" s="128"/>
      <c r="CD98" s="128"/>
    </row>
    <row r="99" spans="7:109" ht="15" customHeight="1" x14ac:dyDescent="0.2">
      <c r="G99" s="190"/>
      <c r="H99" s="190"/>
      <c r="I99" s="190"/>
      <c r="J99" s="190"/>
      <c r="K99" s="190"/>
      <c r="O99" s="1"/>
      <c r="P99" s="1"/>
      <c r="Q99" s="1"/>
      <c r="R99" s="1"/>
      <c r="S99" s="47"/>
      <c r="CA99" s="127"/>
      <c r="CB99" s="126"/>
      <c r="CC99" s="128"/>
      <c r="CD99" s="128"/>
    </row>
    <row r="100" spans="7:109" ht="15" customHeight="1" x14ac:dyDescent="0.2">
      <c r="G100" s="190"/>
      <c r="H100" s="190"/>
      <c r="I100" s="190"/>
      <c r="J100" s="190"/>
      <c r="K100" s="190"/>
      <c r="O100" s="1"/>
      <c r="P100" s="1"/>
      <c r="Q100" s="1"/>
      <c r="R100" s="1"/>
      <c r="S100" s="47"/>
      <c r="CA100" s="127"/>
      <c r="CB100" s="126"/>
      <c r="CC100" s="128"/>
      <c r="CD100" s="128"/>
    </row>
    <row r="101" spans="7:109" ht="15" customHeight="1" x14ac:dyDescent="0.2">
      <c r="G101" s="190"/>
      <c r="H101" s="190"/>
      <c r="I101" s="190"/>
      <c r="J101" s="190"/>
      <c r="K101" s="190"/>
      <c r="O101" s="1"/>
      <c r="P101" s="1"/>
      <c r="Q101" s="1"/>
      <c r="R101" s="1"/>
      <c r="S101" s="47"/>
      <c r="CA101" s="127"/>
      <c r="CB101" s="126"/>
      <c r="CC101" s="128"/>
      <c r="CD101" s="128"/>
    </row>
    <row r="102" spans="7:109" ht="15" customHeight="1" x14ac:dyDescent="0.2">
      <c r="G102" s="190"/>
      <c r="H102" s="190"/>
      <c r="I102" s="190"/>
      <c r="J102" s="190"/>
      <c r="K102" s="190"/>
      <c r="O102" s="1"/>
      <c r="P102" s="1"/>
      <c r="Q102" s="1"/>
      <c r="R102" s="1"/>
      <c r="S102" s="47"/>
      <c r="T102" s="47"/>
      <c r="U102" s="47"/>
      <c r="V102" s="47"/>
      <c r="CA102" s="127"/>
      <c r="CB102" s="126"/>
      <c r="CC102" s="128"/>
      <c r="CD102" s="128"/>
    </row>
    <row r="103" spans="7:109" ht="15" customHeight="1" x14ac:dyDescent="0.2">
      <c r="G103" s="190"/>
      <c r="H103" s="190"/>
      <c r="I103" s="190"/>
      <c r="J103" s="190"/>
      <c r="K103" s="190"/>
      <c r="O103" s="1"/>
      <c r="P103" s="1"/>
      <c r="Q103" s="1"/>
      <c r="R103" s="1"/>
      <c r="S103" s="47"/>
      <c r="T103" s="47"/>
      <c r="U103" s="47"/>
      <c r="V103" s="47"/>
      <c r="CA103" s="127"/>
      <c r="CB103" s="126"/>
      <c r="CC103" s="128"/>
      <c r="CD103" s="128"/>
    </row>
    <row r="104" spans="7:109" ht="15" customHeight="1" x14ac:dyDescent="0.2">
      <c r="G104" s="190"/>
      <c r="H104" s="190"/>
      <c r="I104" s="190"/>
      <c r="J104" s="190"/>
      <c r="K104" s="190"/>
      <c r="O104" s="1"/>
      <c r="P104" s="1"/>
      <c r="Q104" s="1"/>
      <c r="R104" s="1"/>
      <c r="S104" s="47"/>
      <c r="T104" s="47"/>
      <c r="U104" s="47"/>
      <c r="V104" s="47"/>
      <c r="CA104" s="127"/>
      <c r="CB104" s="126"/>
      <c r="CC104" s="128"/>
      <c r="CD104" s="128"/>
    </row>
    <row r="105" spans="7:109" ht="15" customHeight="1" x14ac:dyDescent="0.2">
      <c r="G105" s="190"/>
      <c r="H105" s="190"/>
      <c r="I105" s="190"/>
      <c r="J105" s="190"/>
      <c r="K105" s="190"/>
      <c r="O105" s="1"/>
      <c r="P105" s="1"/>
      <c r="Q105" s="1"/>
      <c r="R105" s="1"/>
      <c r="S105" s="47"/>
      <c r="T105" s="47"/>
      <c r="U105" s="47"/>
      <c r="V105" s="47"/>
      <c r="CA105" s="127"/>
      <c r="CB105" s="126"/>
      <c r="CC105" s="128"/>
      <c r="CD105" s="128"/>
    </row>
    <row r="106" spans="7:109" ht="15" customHeight="1" x14ac:dyDescent="0.2">
      <c r="G106" s="190"/>
      <c r="H106" s="190"/>
      <c r="I106" s="190"/>
      <c r="J106" s="190"/>
      <c r="K106" s="190"/>
      <c r="O106" s="1"/>
      <c r="P106" s="1"/>
      <c r="Q106" s="1"/>
      <c r="R106" s="1"/>
      <c r="S106" s="47"/>
      <c r="T106" s="47"/>
      <c r="U106" s="47"/>
      <c r="V106" s="47"/>
      <c r="CA106" s="127"/>
      <c r="CB106" s="126"/>
      <c r="CC106" s="128"/>
      <c r="CD106" s="128"/>
    </row>
    <row r="107" spans="7:109" ht="15" customHeight="1" x14ac:dyDescent="0.2">
      <c r="G107" s="190"/>
      <c r="H107" s="190"/>
      <c r="I107" s="190"/>
      <c r="J107" s="190"/>
      <c r="K107" s="190"/>
      <c r="O107" s="103"/>
      <c r="P107" s="1"/>
      <c r="Q107" s="1"/>
      <c r="R107" s="1"/>
      <c r="S107" s="47"/>
      <c r="T107" s="47"/>
      <c r="U107" s="47"/>
      <c r="V107" s="47"/>
      <c r="CA107" s="127"/>
      <c r="CB107" s="126"/>
      <c r="CC107" s="128"/>
      <c r="CD107" s="128"/>
    </row>
    <row r="108" spans="7:109" ht="12.75" customHeight="1" x14ac:dyDescent="0.2">
      <c r="G108" s="190"/>
      <c r="H108" s="190"/>
      <c r="I108" s="190"/>
      <c r="J108" s="190"/>
      <c r="K108" s="190"/>
      <c r="O108" s="103"/>
      <c r="P108" s="1"/>
      <c r="Q108" s="1"/>
      <c r="R108" s="1"/>
      <c r="S108" s="47"/>
      <c r="T108" s="47"/>
      <c r="U108" s="47"/>
      <c r="V108" s="47"/>
      <c r="CA108" s="127"/>
      <c r="CB108" s="126"/>
      <c r="CC108" s="128"/>
      <c r="CD108" s="128"/>
    </row>
    <row r="109" spans="7:109" ht="12.75" customHeight="1" x14ac:dyDescent="0.2">
      <c r="G109" s="190"/>
      <c r="H109" s="190"/>
      <c r="I109" s="190"/>
      <c r="J109" s="190"/>
      <c r="K109" s="190"/>
      <c r="O109" s="103"/>
      <c r="P109" s="1"/>
      <c r="Q109" s="1"/>
      <c r="R109" s="1"/>
      <c r="T109" s="47"/>
      <c r="U109" s="47"/>
      <c r="V109" s="47"/>
      <c r="CA109" s="127"/>
      <c r="CB109" s="126"/>
      <c r="CC109" s="128"/>
      <c r="CD109" s="128"/>
    </row>
    <row r="110" spans="7:109" ht="12.75" customHeight="1" x14ac:dyDescent="0.2">
      <c r="G110" s="190"/>
      <c r="H110" s="190"/>
      <c r="I110" s="190"/>
      <c r="J110" s="190"/>
      <c r="K110" s="190"/>
      <c r="O110" s="1"/>
      <c r="P110" s="1"/>
      <c r="Q110" s="1"/>
      <c r="R110" s="1"/>
      <c r="T110" s="47"/>
      <c r="U110" s="47"/>
      <c r="V110" s="47"/>
      <c r="CA110" s="127"/>
      <c r="CB110" s="126"/>
      <c r="CC110" s="128"/>
      <c r="CD110" s="128"/>
    </row>
    <row r="111" spans="7:109" ht="12.75" customHeight="1" x14ac:dyDescent="0.2">
      <c r="G111" s="190"/>
      <c r="H111" s="190"/>
      <c r="I111" s="190"/>
      <c r="J111" s="190"/>
      <c r="K111" s="190"/>
      <c r="O111" s="1"/>
      <c r="P111" s="1"/>
      <c r="Q111" s="1"/>
      <c r="R111" s="1"/>
      <c r="T111" s="47"/>
      <c r="U111" s="47"/>
      <c r="V111" s="47"/>
    </row>
    <row r="112" spans="7:109" ht="12.75" customHeight="1" x14ac:dyDescent="0.2">
      <c r="G112" s="190"/>
      <c r="H112" s="190"/>
      <c r="I112" s="190"/>
      <c r="J112" s="190"/>
      <c r="K112" s="190"/>
      <c r="O112" s="1"/>
      <c r="P112" s="1"/>
      <c r="Q112" s="1"/>
      <c r="R112" s="1"/>
      <c r="T112" s="47"/>
      <c r="U112" s="47"/>
      <c r="V112" s="47"/>
    </row>
    <row r="113" spans="7:87" ht="12.75" customHeight="1" x14ac:dyDescent="0.2">
      <c r="G113" s="190"/>
      <c r="H113" s="190"/>
      <c r="I113" s="190"/>
      <c r="J113" s="190"/>
      <c r="K113" s="190"/>
      <c r="O113" s="1"/>
      <c r="P113" s="1"/>
      <c r="Q113" s="1"/>
      <c r="R113" s="1"/>
      <c r="T113" s="47"/>
      <c r="U113" s="47"/>
      <c r="V113" s="47"/>
    </row>
    <row r="114" spans="7:87" ht="12.75" customHeight="1" x14ac:dyDescent="0.2">
      <c r="G114" s="190"/>
      <c r="H114" s="190"/>
      <c r="I114" s="190"/>
      <c r="J114" s="190"/>
      <c r="K114" s="190"/>
      <c r="O114" s="1"/>
      <c r="P114" s="1"/>
      <c r="Q114" s="1"/>
      <c r="R114" s="1"/>
    </row>
    <row r="115" spans="7:87" ht="12.75" customHeight="1" x14ac:dyDescent="0.2">
      <c r="G115" s="190"/>
      <c r="H115" s="190"/>
      <c r="I115" s="190"/>
      <c r="J115" s="190"/>
      <c r="K115" s="190"/>
      <c r="O115" s="1"/>
      <c r="P115" s="1"/>
      <c r="Q115" s="1"/>
      <c r="R115" s="1"/>
    </row>
    <row r="116" spans="7:87" ht="12.75" customHeight="1" x14ac:dyDescent="0.2">
      <c r="G116" s="190"/>
      <c r="H116" s="190"/>
      <c r="I116" s="190"/>
      <c r="J116" s="190"/>
      <c r="K116" s="190"/>
      <c r="O116" s="1"/>
      <c r="P116" s="1"/>
      <c r="Q116" s="1"/>
      <c r="R116" s="1"/>
      <c r="BY116" s="60"/>
      <c r="BZ116" s="60"/>
      <c r="CA116" s="60"/>
      <c r="CB116" s="60"/>
      <c r="CC116" s="60"/>
      <c r="CD116" s="60"/>
      <c r="CE116" s="60"/>
    </row>
    <row r="117" spans="7:87" ht="12.75" customHeight="1" x14ac:dyDescent="0.2">
      <c r="G117" s="190"/>
      <c r="H117" s="190"/>
      <c r="I117" s="190"/>
      <c r="J117" s="190"/>
      <c r="K117" s="190"/>
      <c r="O117" s="1"/>
      <c r="P117" s="1"/>
      <c r="Q117" s="1"/>
      <c r="R117" s="1"/>
      <c r="BY117" s="72"/>
      <c r="BZ117" s="50"/>
      <c r="CA117" s="131"/>
      <c r="CB117" s="131"/>
      <c r="CC117" s="131"/>
      <c r="CD117" s="131"/>
      <c r="CE117" s="131"/>
      <c r="CF117" s="60"/>
      <c r="CG117" s="60"/>
      <c r="CH117" s="60"/>
      <c r="CI117" s="60"/>
    </row>
    <row r="118" spans="7:87" ht="12.75" customHeight="1" x14ac:dyDescent="0.2">
      <c r="G118" s="190"/>
      <c r="H118" s="1"/>
      <c r="I118" s="1"/>
      <c r="J118" s="1"/>
      <c r="K118" s="26"/>
      <c r="O118" s="1"/>
      <c r="P118" s="1"/>
      <c r="Q118" s="1"/>
      <c r="R118" s="1"/>
      <c r="BZ118" s="11"/>
      <c r="CF118" s="131"/>
    </row>
    <row r="119" spans="7:87" ht="12.75" customHeight="1" x14ac:dyDescent="0.2">
      <c r="G119" s="190"/>
      <c r="H119" s="1"/>
      <c r="I119" s="1"/>
      <c r="J119" s="1"/>
      <c r="K119" s="1"/>
      <c r="O119" s="1"/>
      <c r="P119" s="1"/>
      <c r="Q119" s="1"/>
      <c r="R119" s="1"/>
      <c r="BZ119" s="11"/>
    </row>
    <row r="120" spans="7:87" ht="12.75" customHeight="1" x14ac:dyDescent="0.2">
      <c r="G120" s="190"/>
      <c r="H120" s="1"/>
      <c r="I120" s="1"/>
      <c r="J120" s="1"/>
      <c r="K120" s="1"/>
      <c r="O120" s="1"/>
      <c r="P120" s="1"/>
      <c r="Q120" s="1"/>
      <c r="R120" s="1"/>
      <c r="BZ120" s="11"/>
      <c r="CI120" s="17"/>
    </row>
    <row r="121" spans="7:87" ht="12.75" customHeight="1" x14ac:dyDescent="0.2">
      <c r="G121" s="190"/>
      <c r="H121" s="1"/>
      <c r="I121" s="1"/>
      <c r="J121" s="1"/>
      <c r="K121" s="1"/>
      <c r="O121" s="1"/>
      <c r="P121" s="1"/>
      <c r="Q121" s="1"/>
      <c r="R121" s="1"/>
      <c r="BZ121" s="11"/>
    </row>
    <row r="122" spans="7:87" ht="12.75" customHeight="1" x14ac:dyDescent="0.2">
      <c r="G122" s="190"/>
      <c r="H122" s="1"/>
      <c r="I122" s="1"/>
      <c r="J122" s="1"/>
      <c r="K122" s="1"/>
      <c r="O122" s="1"/>
      <c r="P122" s="1"/>
      <c r="Q122" s="1"/>
      <c r="R122" s="1"/>
      <c r="BZ122" s="11"/>
    </row>
    <row r="123" spans="7:87" ht="12.75" customHeight="1" x14ac:dyDescent="0.2">
      <c r="G123" s="190"/>
      <c r="H123" s="1"/>
      <c r="I123" s="1"/>
      <c r="J123" s="1"/>
      <c r="K123" s="1"/>
      <c r="O123" s="1"/>
      <c r="P123" s="1"/>
      <c r="Q123" s="1"/>
      <c r="R123" s="1"/>
      <c r="BZ123" s="11"/>
    </row>
    <row r="124" spans="7:87" ht="12.75" customHeight="1" x14ac:dyDescent="0.2">
      <c r="G124" s="190"/>
      <c r="H124" s="1"/>
      <c r="I124" s="1"/>
      <c r="J124" s="1"/>
      <c r="K124" s="1"/>
      <c r="O124" s="1"/>
      <c r="P124" s="1"/>
      <c r="Q124" s="1"/>
      <c r="R124" s="1"/>
    </row>
    <row r="125" spans="7:87" ht="12.75" customHeight="1" x14ac:dyDescent="0.2">
      <c r="G125" s="1"/>
      <c r="H125" s="1"/>
      <c r="I125" s="1"/>
      <c r="J125" s="1"/>
      <c r="K125" s="1"/>
      <c r="O125" s="1"/>
      <c r="P125" s="1"/>
      <c r="Q125" s="1"/>
      <c r="R125" s="1"/>
    </row>
    <row r="126" spans="7:87" ht="12.75" customHeight="1" x14ac:dyDescent="0.2">
      <c r="G126" s="1"/>
      <c r="H126" s="1"/>
      <c r="I126" s="1"/>
      <c r="J126" s="1"/>
      <c r="K126" s="1"/>
      <c r="O126" s="1"/>
      <c r="P126" s="1"/>
      <c r="Q126" s="1"/>
      <c r="R126" s="1"/>
    </row>
    <row r="127" spans="7:87" ht="12.75" customHeight="1" x14ac:dyDescent="0.2">
      <c r="G127" s="1"/>
      <c r="H127" s="1"/>
      <c r="I127" s="1"/>
      <c r="J127" s="1"/>
      <c r="K127" s="1"/>
      <c r="O127" s="1"/>
      <c r="P127" s="1"/>
      <c r="Q127" s="1"/>
      <c r="R127" s="1"/>
    </row>
    <row r="128" spans="7:87" ht="12.75" customHeight="1" x14ac:dyDescent="0.2">
      <c r="G128" s="1"/>
      <c r="H128" s="1"/>
      <c r="I128" s="1"/>
      <c r="J128" s="1"/>
      <c r="K128" s="1"/>
      <c r="O128" s="1"/>
      <c r="P128" s="1"/>
      <c r="Q128" s="1"/>
      <c r="R128" s="1"/>
    </row>
    <row r="129" spans="8:18" ht="12.75" customHeight="1" x14ac:dyDescent="0.2">
      <c r="H129" s="1"/>
      <c r="I129" s="1"/>
      <c r="J129" s="1"/>
      <c r="K129" s="1"/>
      <c r="O129" s="1"/>
      <c r="P129" s="1"/>
      <c r="Q129" s="1"/>
      <c r="R129" s="1"/>
    </row>
    <row r="130" spans="8:18" ht="12.75" customHeight="1" x14ac:dyDescent="0.2">
      <c r="H130" s="1"/>
      <c r="I130" s="1"/>
      <c r="J130" s="1"/>
      <c r="K130" s="1"/>
      <c r="O130" s="1"/>
      <c r="P130" s="1"/>
      <c r="Q130" s="1"/>
      <c r="R130" s="1"/>
    </row>
    <row r="131" spans="8:18" ht="12.75" customHeight="1" x14ac:dyDescent="0.2">
      <c r="H131" s="1"/>
      <c r="I131" s="1"/>
      <c r="J131" s="1"/>
      <c r="K131" s="1"/>
      <c r="O131" s="1"/>
      <c r="P131" s="1"/>
      <c r="Q131" s="1"/>
      <c r="R131" s="1"/>
    </row>
    <row r="132" spans="8:18" ht="12.75" customHeight="1" x14ac:dyDescent="0.2">
      <c r="H132" s="1"/>
      <c r="I132" s="1"/>
      <c r="J132" s="1"/>
      <c r="K132" s="1"/>
      <c r="O132" s="1"/>
      <c r="P132" s="1"/>
      <c r="Q132" s="1"/>
      <c r="R132" s="1"/>
    </row>
    <row r="133" spans="8:18" ht="12.75" customHeight="1" x14ac:dyDescent="0.2">
      <c r="H133" s="1"/>
      <c r="I133" s="1"/>
      <c r="J133" s="1"/>
      <c r="K133" s="1"/>
      <c r="O133" s="1"/>
      <c r="P133" s="1"/>
      <c r="Q133" s="1"/>
      <c r="R133" s="1"/>
    </row>
    <row r="134" spans="8:18" ht="12.75" customHeight="1" x14ac:dyDescent="0.2">
      <c r="H134" s="1"/>
      <c r="I134" s="1"/>
      <c r="J134" s="1"/>
      <c r="K134" s="1"/>
      <c r="O134" s="1"/>
      <c r="P134" s="1"/>
      <c r="Q134" s="1"/>
      <c r="R134" s="1"/>
    </row>
    <row r="135" spans="8:18" ht="12.75" customHeight="1" x14ac:dyDescent="0.2">
      <c r="H135" s="1"/>
      <c r="I135" s="1"/>
      <c r="J135" s="1"/>
      <c r="K135" s="1"/>
      <c r="O135" s="1"/>
      <c r="P135" s="1"/>
      <c r="Q135" s="1"/>
      <c r="R135" s="1"/>
    </row>
    <row r="136" spans="8:18" ht="12.75" customHeight="1" x14ac:dyDescent="0.2">
      <c r="H136" s="1"/>
      <c r="I136" s="1"/>
      <c r="J136" s="1"/>
      <c r="K136" s="1"/>
      <c r="O136" s="1"/>
      <c r="P136" s="1"/>
      <c r="Q136" s="1"/>
      <c r="R136" s="1"/>
    </row>
    <row r="137" spans="8:18" ht="12.75" customHeight="1" x14ac:dyDescent="0.2">
      <c r="H137" s="1"/>
      <c r="I137" s="1"/>
      <c r="J137" s="1"/>
      <c r="K137" s="1"/>
      <c r="O137" s="1"/>
      <c r="P137" s="1"/>
      <c r="Q137" s="1"/>
      <c r="R137" s="1"/>
    </row>
    <row r="138" spans="8:18" ht="12.75" customHeight="1" x14ac:dyDescent="0.2">
      <c r="H138" s="1"/>
      <c r="I138" s="1"/>
      <c r="J138" s="1"/>
      <c r="K138" s="1"/>
      <c r="O138" s="1"/>
      <c r="P138" s="1"/>
      <c r="Q138" s="1"/>
      <c r="R138" s="1"/>
    </row>
    <row r="139" spans="8:18" ht="12.75" customHeight="1" x14ac:dyDescent="0.2">
      <c r="H139" s="1"/>
      <c r="I139" s="1"/>
      <c r="J139" s="1"/>
      <c r="K139" s="1"/>
      <c r="O139" s="1"/>
      <c r="P139" s="1"/>
      <c r="Q139" s="1"/>
      <c r="R139" s="1"/>
    </row>
    <row r="140" spans="8:18" ht="12.75" customHeight="1" x14ac:dyDescent="0.2">
      <c r="H140" s="1"/>
      <c r="I140" s="1"/>
      <c r="J140" s="1"/>
      <c r="K140" s="1"/>
      <c r="O140" s="1"/>
      <c r="P140" s="1"/>
      <c r="Q140" s="1"/>
      <c r="R140" s="1"/>
    </row>
    <row r="141" spans="8:18" ht="12.75" customHeight="1" x14ac:dyDescent="0.2">
      <c r="H141" s="1"/>
      <c r="I141" s="1"/>
      <c r="J141" s="1"/>
      <c r="K141" s="1"/>
      <c r="O141" s="1"/>
      <c r="P141" s="1"/>
      <c r="Q141" s="1"/>
      <c r="R141" s="1"/>
    </row>
    <row r="142" spans="8:18" ht="12.75" customHeight="1" x14ac:dyDescent="0.2">
      <c r="H142" s="1"/>
      <c r="I142" s="1"/>
      <c r="J142" s="1"/>
      <c r="K142" s="1"/>
      <c r="O142" s="1"/>
      <c r="P142" s="1"/>
      <c r="Q142" s="1"/>
      <c r="R142" s="1"/>
    </row>
    <row r="143" spans="8:18" ht="12.75" customHeight="1" x14ac:dyDescent="0.2">
      <c r="H143" s="1"/>
      <c r="I143" s="1"/>
      <c r="J143" s="1"/>
      <c r="K143" s="1"/>
      <c r="O143" s="1"/>
      <c r="P143" s="1"/>
      <c r="Q143" s="1"/>
      <c r="R143" s="1"/>
    </row>
    <row r="144" spans="8:18" ht="12.75" customHeight="1" x14ac:dyDescent="0.2">
      <c r="H144" s="1"/>
      <c r="I144" s="1"/>
      <c r="J144" s="1"/>
      <c r="K144" s="1"/>
      <c r="O144" s="1"/>
      <c r="P144" s="1"/>
      <c r="Q144" s="1"/>
      <c r="R144" s="1"/>
    </row>
    <row r="145" spans="8:18" ht="12.75" customHeight="1" x14ac:dyDescent="0.2">
      <c r="H145" s="1"/>
      <c r="I145" s="1"/>
      <c r="J145" s="1"/>
      <c r="K145" s="1"/>
      <c r="O145" s="1"/>
      <c r="P145" s="1"/>
      <c r="Q145" s="1"/>
      <c r="R145" s="1"/>
    </row>
    <row r="146" spans="8:18" ht="12.75" customHeight="1" x14ac:dyDescent="0.2">
      <c r="I146" s="1"/>
      <c r="J146" s="1"/>
      <c r="K146" s="1"/>
      <c r="O146" s="1"/>
      <c r="P146" s="1"/>
      <c r="Q146" s="1"/>
      <c r="R146" s="1"/>
    </row>
    <row r="147" spans="8:18" ht="12.75" customHeight="1" x14ac:dyDescent="0.2">
      <c r="O147" s="1"/>
      <c r="P147" s="1"/>
      <c r="Q147" s="1"/>
      <c r="R147" s="1"/>
    </row>
    <row r="148" spans="8:18" ht="12.75" customHeight="1" x14ac:dyDescent="0.2">
      <c r="O148" s="1"/>
      <c r="P148" s="1"/>
      <c r="Q148" s="1"/>
      <c r="R148" s="1"/>
    </row>
    <row r="149" spans="8:18" ht="12.75" customHeight="1" x14ac:dyDescent="0.2">
      <c r="O149" s="1"/>
      <c r="P149" s="1"/>
      <c r="Q149" s="1"/>
      <c r="R149" s="1"/>
    </row>
    <row r="150" spans="8:18" ht="12.75" customHeight="1" x14ac:dyDescent="0.2">
      <c r="O150" s="1"/>
      <c r="P150" s="1"/>
      <c r="Q150" s="1"/>
      <c r="R150" s="1"/>
    </row>
    <row r="151" spans="8:18" ht="12.75" customHeight="1" x14ac:dyDescent="0.2">
      <c r="O151" s="1"/>
      <c r="P151" s="1"/>
      <c r="Q151" s="1"/>
      <c r="R151" s="1"/>
    </row>
    <row r="152" spans="8:18" ht="12.75" customHeight="1" x14ac:dyDescent="0.2">
      <c r="O152" s="1"/>
      <c r="P152" s="1"/>
      <c r="Q152" s="1"/>
      <c r="R152" s="1"/>
    </row>
    <row r="153" spans="8:18" ht="12.75" customHeight="1" x14ac:dyDescent="0.2">
      <c r="O153" s="1"/>
      <c r="P153" s="1"/>
      <c r="Q153" s="1"/>
      <c r="R153" s="1"/>
    </row>
    <row r="154" spans="8:18" ht="12.75" customHeight="1" x14ac:dyDescent="0.2">
      <c r="O154" s="1"/>
      <c r="P154" s="1"/>
      <c r="Q154" s="1"/>
      <c r="R154" s="1"/>
    </row>
    <row r="155" spans="8:18" ht="12.75" customHeight="1" x14ac:dyDescent="0.2">
      <c r="O155" s="1"/>
      <c r="P155" s="1"/>
      <c r="Q155" s="1"/>
      <c r="R155" s="1"/>
    </row>
    <row r="156" spans="8:18" ht="12.75" customHeight="1" x14ac:dyDescent="0.2">
      <c r="O156" s="1"/>
      <c r="P156" s="1"/>
      <c r="Q156" s="1"/>
      <c r="R156" s="1"/>
    </row>
    <row r="157" spans="8:18" ht="12.75" customHeight="1" x14ac:dyDescent="0.2">
      <c r="O157" s="1"/>
      <c r="P157" s="1"/>
      <c r="Q157" s="1"/>
      <c r="R157" s="1"/>
    </row>
    <row r="158" spans="8:18" ht="12.75" customHeight="1" x14ac:dyDescent="0.2">
      <c r="O158" s="1"/>
      <c r="P158" s="1"/>
      <c r="Q158" s="1"/>
      <c r="R158" s="1"/>
    </row>
    <row r="159" spans="8:18" ht="12.75" customHeight="1" x14ac:dyDescent="0.2">
      <c r="O159" s="1"/>
      <c r="P159" s="1"/>
      <c r="Q159" s="1"/>
      <c r="R159" s="1"/>
    </row>
    <row r="160" spans="8:18" ht="12.75" customHeight="1" x14ac:dyDescent="0.2">
      <c r="O160" s="1"/>
      <c r="P160" s="1"/>
      <c r="Q160" s="1"/>
      <c r="R160" s="1"/>
    </row>
    <row r="161" spans="7:18" ht="12.75" customHeight="1" x14ac:dyDescent="0.2">
      <c r="O161" s="1"/>
      <c r="P161" s="1"/>
      <c r="Q161" s="1"/>
      <c r="R161" s="1"/>
    </row>
    <row r="162" spans="7:18" ht="12.75" customHeight="1" x14ac:dyDescent="0.2">
      <c r="O162" s="1"/>
      <c r="P162" s="1"/>
      <c r="Q162" s="1"/>
      <c r="R162" s="1"/>
    </row>
    <row r="163" spans="7:18" ht="12.75" customHeight="1" x14ac:dyDescent="0.2">
      <c r="O163" s="1"/>
      <c r="P163" s="1"/>
      <c r="Q163" s="1"/>
      <c r="R163" s="1"/>
    </row>
    <row r="164" spans="7:18" ht="12.75" customHeight="1" x14ac:dyDescent="0.2">
      <c r="O164" s="1"/>
      <c r="P164" s="1"/>
      <c r="Q164" s="1"/>
      <c r="R164" s="1"/>
    </row>
    <row r="165" spans="7:18" ht="12.75" customHeight="1" x14ac:dyDescent="0.2">
      <c r="O165" s="1"/>
      <c r="P165" s="1"/>
      <c r="Q165" s="1"/>
      <c r="R165" s="1"/>
    </row>
    <row r="166" spans="7:18" ht="12.75" customHeight="1" x14ac:dyDescent="0.2">
      <c r="O166" s="1"/>
      <c r="P166" s="1"/>
      <c r="Q166" s="1"/>
      <c r="R166" s="1"/>
    </row>
    <row r="167" spans="7:18" ht="12.75" customHeight="1" x14ac:dyDescent="0.2">
      <c r="O167" s="1"/>
      <c r="P167" s="1"/>
      <c r="Q167" s="1"/>
      <c r="R167" s="1"/>
    </row>
    <row r="168" spans="7:18" ht="12.75" customHeight="1" x14ac:dyDescent="0.2">
      <c r="O168" s="1"/>
      <c r="P168" s="1"/>
      <c r="Q168" s="1"/>
      <c r="R168" s="1"/>
    </row>
    <row r="169" spans="7:18" ht="12.75" customHeight="1" x14ac:dyDescent="0.2">
      <c r="O169" s="1"/>
      <c r="P169" s="1"/>
      <c r="Q169" s="1"/>
      <c r="R169" s="1"/>
    </row>
    <row r="170" spans="7:18" ht="12.75" customHeight="1" x14ac:dyDescent="0.2">
      <c r="O170" s="1"/>
      <c r="P170" s="1"/>
      <c r="Q170" s="1"/>
      <c r="R170" s="1"/>
    </row>
    <row r="171" spans="7:18" ht="12.75" customHeight="1" x14ac:dyDescent="0.2">
      <c r="O171" s="1"/>
      <c r="P171" s="1"/>
      <c r="Q171" s="1"/>
      <c r="R171" s="1"/>
    </row>
    <row r="172" spans="7:18" ht="12.75" customHeight="1" x14ac:dyDescent="0.2">
      <c r="G172" s="104"/>
      <c r="O172" s="1"/>
      <c r="P172" s="1"/>
      <c r="Q172" s="1"/>
      <c r="R172" s="1"/>
    </row>
    <row r="173" spans="7:18" ht="12.75" customHeight="1" x14ac:dyDescent="0.2">
      <c r="G173" s="104"/>
      <c r="O173" s="1"/>
      <c r="P173" s="1"/>
      <c r="Q173" s="1"/>
      <c r="R173" s="1"/>
    </row>
    <row r="174" spans="7:18" ht="12.75" customHeight="1" x14ac:dyDescent="0.2">
      <c r="G174" s="104"/>
      <c r="O174" s="1"/>
      <c r="P174" s="1"/>
      <c r="Q174" s="1"/>
      <c r="R174" s="1"/>
    </row>
    <row r="175" spans="7:18" ht="12.75" customHeight="1" x14ac:dyDescent="0.2">
      <c r="G175" s="104"/>
      <c r="O175" s="1"/>
      <c r="P175" s="1"/>
      <c r="Q175" s="1"/>
      <c r="R175" s="1"/>
    </row>
    <row r="176" spans="7:18" ht="12.75" customHeight="1" x14ac:dyDescent="0.2">
      <c r="G176" s="106"/>
      <c r="O176" s="1"/>
      <c r="P176" s="1"/>
      <c r="Q176" s="1"/>
      <c r="R176" s="1"/>
    </row>
    <row r="177" spans="7:18" ht="12.75" customHeight="1" x14ac:dyDescent="0.2">
      <c r="G177" s="106"/>
      <c r="O177" s="1"/>
      <c r="P177" s="1"/>
      <c r="Q177" s="1"/>
      <c r="R177" s="1"/>
    </row>
    <row r="178" spans="7:18" ht="12.75" customHeight="1" x14ac:dyDescent="0.2">
      <c r="G178" s="108"/>
      <c r="O178" s="1"/>
      <c r="P178" s="1"/>
      <c r="Q178" s="1"/>
      <c r="R178" s="1"/>
    </row>
    <row r="179" spans="7:18" ht="12.75" customHeight="1" x14ac:dyDescent="0.2">
      <c r="G179" s="111"/>
      <c r="O179" s="1"/>
      <c r="P179" s="1"/>
      <c r="Q179" s="1"/>
      <c r="R179" s="1"/>
    </row>
    <row r="180" spans="7:18" ht="12.75" customHeight="1" x14ac:dyDescent="0.2">
      <c r="G180" s="111"/>
      <c r="O180" s="1"/>
      <c r="P180" s="1"/>
      <c r="Q180" s="1"/>
      <c r="R180" s="1"/>
    </row>
    <row r="181" spans="7:18" ht="12.75" customHeight="1" x14ac:dyDescent="0.2">
      <c r="G181" s="111"/>
      <c r="O181" s="1"/>
      <c r="P181" s="1"/>
      <c r="Q181" s="1"/>
      <c r="R181" s="1"/>
    </row>
    <row r="182" spans="7:18" ht="12.75" customHeight="1" x14ac:dyDescent="0.2">
      <c r="G182" s="111"/>
      <c r="O182" s="1"/>
      <c r="P182" s="1"/>
      <c r="Q182" s="1"/>
      <c r="R182" s="1"/>
    </row>
    <row r="183" spans="7:18" ht="12.75" customHeight="1" x14ac:dyDescent="0.2">
      <c r="G183" s="111"/>
      <c r="O183" s="1"/>
      <c r="P183" s="1"/>
      <c r="Q183" s="1"/>
      <c r="R183" s="1"/>
    </row>
    <row r="184" spans="7:18" ht="12.75" customHeight="1" x14ac:dyDescent="0.2">
      <c r="G184" s="111"/>
      <c r="O184" s="1"/>
      <c r="P184" s="1"/>
      <c r="Q184" s="1"/>
      <c r="R184" s="1"/>
    </row>
    <row r="185" spans="7:18" ht="12.75" customHeight="1" x14ac:dyDescent="0.2">
      <c r="G185" s="111"/>
      <c r="O185" s="1"/>
      <c r="P185" s="1"/>
      <c r="Q185" s="1"/>
      <c r="R185" s="1"/>
    </row>
    <row r="186" spans="7:18" ht="12.75" customHeight="1" x14ac:dyDescent="0.2">
      <c r="G186" s="111"/>
      <c r="O186" s="1"/>
      <c r="P186" s="1"/>
      <c r="Q186" s="1"/>
      <c r="R186" s="1"/>
    </row>
    <row r="187" spans="7:18" ht="12.75" customHeight="1" x14ac:dyDescent="0.2">
      <c r="G187" s="111"/>
      <c r="O187" s="1"/>
      <c r="P187" s="1"/>
      <c r="Q187" s="1"/>
      <c r="R187" s="1"/>
    </row>
    <row r="188" spans="7:18" ht="12.75" customHeight="1" x14ac:dyDescent="0.2">
      <c r="G188" s="111"/>
      <c r="O188" s="1"/>
      <c r="P188" s="1"/>
      <c r="Q188" s="1"/>
      <c r="R188" s="1"/>
    </row>
    <row r="189" spans="7:18" ht="12.75" customHeight="1" x14ac:dyDescent="0.2">
      <c r="G189" s="111"/>
      <c r="O189" s="1"/>
      <c r="P189" s="1"/>
      <c r="Q189" s="1"/>
      <c r="R189" s="1"/>
    </row>
    <row r="190" spans="7:18" ht="12.75" customHeight="1" x14ac:dyDescent="0.2">
      <c r="G190" s="111"/>
      <c r="K190" s="105"/>
      <c r="O190" s="1"/>
      <c r="P190" s="1"/>
      <c r="Q190" s="1"/>
      <c r="R190" s="1"/>
    </row>
    <row r="191" spans="7:18" ht="12.75" customHeight="1" x14ac:dyDescent="0.2">
      <c r="G191" s="111"/>
      <c r="K191" s="105"/>
      <c r="O191" s="1"/>
      <c r="P191" s="1"/>
      <c r="Q191" s="1"/>
      <c r="R191" s="1"/>
    </row>
    <row r="192" spans="7:18" ht="12.75" customHeight="1" x14ac:dyDescent="0.2">
      <c r="G192" s="108"/>
      <c r="K192" s="105"/>
      <c r="O192" s="1"/>
      <c r="P192" s="1"/>
      <c r="Q192" s="1"/>
      <c r="R192" s="1"/>
    </row>
    <row r="193" spans="7:18" ht="12.75" customHeight="1" x14ac:dyDescent="0.2">
      <c r="G193" s="111"/>
      <c r="H193" s="104"/>
      <c r="K193" s="105"/>
      <c r="O193" s="1"/>
      <c r="P193" s="1"/>
      <c r="Q193" s="1"/>
      <c r="R193" s="1"/>
    </row>
    <row r="194" spans="7:18" ht="12.75" customHeight="1" x14ac:dyDescent="0.2">
      <c r="G194" s="111"/>
      <c r="H194" s="107"/>
      <c r="I194" s="104"/>
      <c r="J194" s="104"/>
      <c r="K194" s="104"/>
      <c r="O194" s="1"/>
      <c r="P194" s="1"/>
      <c r="Q194" s="1"/>
      <c r="R194" s="1"/>
    </row>
    <row r="195" spans="7:18" ht="12.75" customHeight="1" x14ac:dyDescent="0.2">
      <c r="G195" s="108"/>
      <c r="H195" s="109"/>
      <c r="I195" s="107"/>
      <c r="J195" s="107"/>
      <c r="K195" s="107"/>
      <c r="O195" s="1"/>
      <c r="P195" s="1"/>
      <c r="Q195" s="1"/>
      <c r="R195" s="1"/>
    </row>
    <row r="196" spans="7:18" ht="12.75" customHeight="1" x14ac:dyDescent="0.2">
      <c r="G196" s="108"/>
      <c r="H196" s="110"/>
      <c r="I196" s="109"/>
      <c r="J196" s="109"/>
      <c r="K196" s="109"/>
      <c r="O196" s="1"/>
      <c r="P196" s="1"/>
      <c r="Q196" s="1"/>
      <c r="R196" s="1"/>
    </row>
    <row r="197" spans="7:18" ht="12.75" customHeight="1" x14ac:dyDescent="0.2">
      <c r="G197" s="111"/>
      <c r="H197" s="110"/>
      <c r="I197" s="110"/>
      <c r="J197" s="110"/>
      <c r="K197" s="110"/>
      <c r="O197" s="1"/>
      <c r="P197" s="1"/>
      <c r="Q197" s="1"/>
      <c r="R197" s="1"/>
    </row>
    <row r="198" spans="7:18" ht="12.75" customHeight="1" x14ac:dyDescent="0.2">
      <c r="G198" s="111"/>
      <c r="H198" s="110"/>
      <c r="I198" s="110"/>
      <c r="J198" s="110"/>
      <c r="K198" s="110"/>
      <c r="O198" s="1"/>
      <c r="P198" s="1"/>
      <c r="Q198" s="1"/>
      <c r="R198" s="1"/>
    </row>
    <row r="199" spans="7:18" ht="12.75" customHeight="1" x14ac:dyDescent="0.2">
      <c r="G199" s="111"/>
      <c r="H199" s="110"/>
      <c r="I199" s="110"/>
      <c r="J199" s="110"/>
      <c r="K199" s="110"/>
      <c r="O199" s="1"/>
      <c r="P199" s="1"/>
      <c r="Q199" s="1"/>
      <c r="R199" s="1"/>
    </row>
    <row r="200" spans="7:18" ht="12.75" customHeight="1" x14ac:dyDescent="0.2">
      <c r="G200" s="111"/>
      <c r="H200" s="110"/>
      <c r="I200" s="110"/>
      <c r="J200" s="110"/>
      <c r="K200" s="110"/>
      <c r="O200" s="1"/>
      <c r="P200" s="1"/>
      <c r="Q200" s="1"/>
      <c r="R200" s="1"/>
    </row>
    <row r="201" spans="7:18" ht="12.75" customHeight="1" x14ac:dyDescent="0.2">
      <c r="G201" s="111"/>
      <c r="H201" s="110"/>
      <c r="I201" s="110"/>
      <c r="J201" s="110"/>
      <c r="K201" s="110"/>
      <c r="O201" s="1"/>
      <c r="P201" s="1"/>
      <c r="Q201" s="1"/>
      <c r="R201" s="1"/>
    </row>
    <row r="202" spans="7:18" ht="12.75" customHeight="1" x14ac:dyDescent="0.2">
      <c r="G202" s="111"/>
      <c r="H202" s="110"/>
      <c r="I202" s="110"/>
      <c r="J202" s="110"/>
      <c r="K202" s="110"/>
      <c r="O202" s="1"/>
      <c r="P202" s="1"/>
      <c r="Q202" s="1"/>
      <c r="R202" s="1"/>
    </row>
    <row r="203" spans="7:18" ht="12.75" customHeight="1" x14ac:dyDescent="0.2">
      <c r="G203" s="111"/>
      <c r="H203" s="110"/>
      <c r="I203" s="110"/>
      <c r="J203" s="110"/>
      <c r="K203" s="110"/>
      <c r="O203" s="1"/>
      <c r="P203" s="1"/>
      <c r="Q203" s="1"/>
      <c r="R203" s="1"/>
    </row>
    <row r="204" spans="7:18" ht="12.75" customHeight="1" x14ac:dyDescent="0.2">
      <c r="G204" s="111"/>
      <c r="H204" s="110"/>
      <c r="I204" s="110"/>
      <c r="J204" s="110"/>
      <c r="K204" s="110"/>
      <c r="O204" s="1"/>
      <c r="P204" s="1"/>
      <c r="Q204" s="1"/>
      <c r="R204" s="1"/>
    </row>
    <row r="205" spans="7:18" ht="12.75" customHeight="1" x14ac:dyDescent="0.2">
      <c r="G205" s="111"/>
      <c r="H205" s="110"/>
      <c r="I205" s="110"/>
      <c r="J205" s="110"/>
      <c r="K205" s="110"/>
      <c r="O205" s="1"/>
      <c r="P205" s="1"/>
      <c r="Q205" s="1"/>
      <c r="R205" s="1"/>
    </row>
    <row r="206" spans="7:18" ht="12.75" customHeight="1" x14ac:dyDescent="0.2">
      <c r="G206" s="111"/>
      <c r="H206" s="112"/>
      <c r="I206" s="110"/>
      <c r="J206" s="110"/>
      <c r="K206" s="110"/>
      <c r="O206" s="1"/>
      <c r="P206" s="1"/>
      <c r="Q206" s="1"/>
      <c r="R206" s="1"/>
    </row>
    <row r="207" spans="7:18" ht="12.75" customHeight="1" x14ac:dyDescent="0.2">
      <c r="G207" s="111"/>
      <c r="H207" s="112"/>
      <c r="I207" s="112"/>
      <c r="J207" s="112"/>
      <c r="K207" s="113"/>
      <c r="O207" s="1"/>
      <c r="P207" s="1"/>
      <c r="Q207" s="1"/>
      <c r="R207" s="1"/>
    </row>
    <row r="208" spans="7:18" ht="12.75" customHeight="1" x14ac:dyDescent="0.2">
      <c r="G208" s="111"/>
      <c r="H208" s="112"/>
      <c r="I208" s="112"/>
      <c r="J208" s="112"/>
      <c r="K208" s="113"/>
      <c r="O208" s="1"/>
      <c r="P208" s="1"/>
      <c r="Q208" s="1"/>
      <c r="R208" s="1"/>
    </row>
    <row r="209" spans="7:18" ht="12.75" customHeight="1" x14ac:dyDescent="0.2">
      <c r="G209" s="111"/>
      <c r="H209" s="112"/>
      <c r="I209" s="112"/>
      <c r="J209" s="112"/>
      <c r="K209" s="113"/>
      <c r="O209" s="1"/>
      <c r="P209" s="1"/>
      <c r="Q209" s="1"/>
      <c r="R209" s="1"/>
    </row>
    <row r="210" spans="7:18" ht="12.75" customHeight="1" x14ac:dyDescent="0.2">
      <c r="G210" s="111"/>
      <c r="H210" s="113"/>
      <c r="I210" s="112"/>
      <c r="J210" s="112"/>
      <c r="K210" s="113"/>
      <c r="O210" s="1"/>
      <c r="P210" s="1"/>
      <c r="Q210" s="1"/>
      <c r="R210" s="1"/>
    </row>
    <row r="211" spans="7:18" ht="12.75" customHeight="1" x14ac:dyDescent="0.2">
      <c r="G211" s="111"/>
      <c r="H211" s="110"/>
      <c r="I211" s="113"/>
      <c r="J211" s="113"/>
      <c r="K211" s="113"/>
      <c r="O211" s="1"/>
      <c r="P211" s="1"/>
      <c r="Q211" s="1"/>
      <c r="R211" s="1"/>
    </row>
    <row r="212" spans="7:18" ht="12.75" customHeight="1" x14ac:dyDescent="0.2">
      <c r="G212" s="111"/>
      <c r="H212" s="109"/>
      <c r="I212" s="110"/>
      <c r="J212" s="110"/>
      <c r="K212" s="110"/>
      <c r="O212" s="1"/>
      <c r="P212" s="1"/>
      <c r="Q212" s="1"/>
      <c r="R212" s="1"/>
    </row>
    <row r="213" spans="7:18" ht="12.75" customHeight="1" x14ac:dyDescent="0.2">
      <c r="G213" s="111"/>
      <c r="H213" s="109"/>
      <c r="I213" s="109"/>
      <c r="J213" s="109"/>
      <c r="K213" s="109"/>
      <c r="O213" s="1"/>
      <c r="P213" s="1"/>
      <c r="Q213" s="1"/>
      <c r="R213" s="1"/>
    </row>
    <row r="214" spans="7:18" ht="12.75" customHeight="1" x14ac:dyDescent="0.2">
      <c r="G214" s="108"/>
      <c r="H214" s="110"/>
      <c r="I214" s="109"/>
      <c r="J214" s="109"/>
      <c r="K214" s="109"/>
      <c r="O214" s="1"/>
      <c r="P214" s="1"/>
      <c r="Q214" s="1"/>
      <c r="R214" s="1"/>
    </row>
    <row r="215" spans="7:18" ht="12.75" customHeight="1" x14ac:dyDescent="0.2">
      <c r="G215" s="108"/>
      <c r="H215" s="110"/>
      <c r="I215" s="110"/>
      <c r="J215" s="110"/>
      <c r="K215" s="110"/>
      <c r="O215" s="1"/>
      <c r="P215" s="1"/>
      <c r="Q215" s="1"/>
      <c r="R215" s="1"/>
    </row>
    <row r="216" spans="7:18" ht="12.75" customHeight="1" x14ac:dyDescent="0.2">
      <c r="G216" s="1"/>
      <c r="H216" s="110"/>
      <c r="I216" s="110"/>
      <c r="J216" s="110"/>
      <c r="K216" s="110"/>
      <c r="O216" s="1"/>
      <c r="P216" s="1"/>
      <c r="Q216" s="1"/>
      <c r="R216" s="1"/>
    </row>
    <row r="217" spans="7:18" ht="12.75" customHeight="1" x14ac:dyDescent="0.2">
      <c r="G217" s="1"/>
      <c r="H217" s="110"/>
      <c r="I217" s="110"/>
      <c r="J217" s="110"/>
      <c r="K217" s="110"/>
      <c r="O217" s="1"/>
      <c r="P217" s="1"/>
      <c r="Q217" s="1"/>
      <c r="R217" s="1"/>
    </row>
    <row r="218" spans="7:18" ht="12.75" customHeight="1" x14ac:dyDescent="0.2">
      <c r="G218" s="1"/>
      <c r="H218" s="110"/>
      <c r="I218" s="110"/>
      <c r="J218" s="110"/>
      <c r="K218" s="110"/>
      <c r="O218" s="1"/>
      <c r="P218" s="1"/>
      <c r="Q218" s="1"/>
      <c r="R218" s="1"/>
    </row>
    <row r="219" spans="7:18" ht="12.75" customHeight="1" x14ac:dyDescent="0.2">
      <c r="G219" s="1"/>
      <c r="H219" s="110"/>
      <c r="I219" s="110"/>
      <c r="J219" s="110"/>
      <c r="K219" s="110"/>
      <c r="O219" s="1"/>
      <c r="P219" s="1"/>
      <c r="Q219" s="1"/>
      <c r="R219" s="1"/>
    </row>
    <row r="220" spans="7:18" ht="12.75" customHeight="1" x14ac:dyDescent="0.2">
      <c r="G220" s="1"/>
      <c r="H220" s="110"/>
      <c r="I220" s="110"/>
      <c r="J220" s="110"/>
      <c r="K220" s="110"/>
      <c r="O220" s="1"/>
      <c r="P220" s="1"/>
      <c r="Q220" s="1"/>
      <c r="R220" s="1"/>
    </row>
    <row r="221" spans="7:18" ht="12.75" customHeight="1" x14ac:dyDescent="0.2">
      <c r="G221" s="1"/>
      <c r="H221" s="110"/>
      <c r="I221" s="110"/>
      <c r="J221" s="110"/>
      <c r="K221" s="110"/>
      <c r="O221" s="1"/>
      <c r="P221" s="1"/>
      <c r="Q221" s="1"/>
      <c r="R221" s="1"/>
    </row>
    <row r="222" spans="7:18" ht="12.75" customHeight="1" x14ac:dyDescent="0.2">
      <c r="G222" s="115"/>
      <c r="H222" s="110"/>
      <c r="I222" s="110"/>
      <c r="J222" s="110"/>
      <c r="K222" s="110"/>
      <c r="O222" s="1"/>
      <c r="P222" s="1"/>
      <c r="Q222" s="1"/>
      <c r="R222" s="1"/>
    </row>
    <row r="223" spans="7:18" ht="12.75" customHeight="1" x14ac:dyDescent="0.2">
      <c r="G223" s="115"/>
      <c r="H223" s="110"/>
      <c r="I223" s="110"/>
      <c r="J223" s="110"/>
      <c r="K223" s="110"/>
      <c r="O223" s="1"/>
      <c r="P223" s="1"/>
      <c r="Q223" s="1"/>
      <c r="R223" s="1"/>
    </row>
    <row r="224" spans="7:18" ht="12.75" customHeight="1" x14ac:dyDescent="0.2">
      <c r="G224" s="115"/>
      <c r="H224" s="110"/>
      <c r="I224" s="110"/>
      <c r="J224" s="110"/>
      <c r="K224" s="110"/>
      <c r="O224" s="1"/>
      <c r="P224" s="1"/>
      <c r="Q224" s="1"/>
      <c r="R224" s="1"/>
    </row>
    <row r="225" spans="7:18" ht="12.75" customHeight="1" x14ac:dyDescent="0.2">
      <c r="G225" s="115"/>
      <c r="H225" s="110"/>
      <c r="I225" s="110"/>
      <c r="J225" s="110"/>
      <c r="K225" s="110"/>
      <c r="O225" s="1"/>
      <c r="P225" s="1"/>
      <c r="Q225" s="1"/>
      <c r="R225" s="1"/>
    </row>
    <row r="226" spans="7:18" ht="12.75" customHeight="1" x14ac:dyDescent="0.2">
      <c r="G226" s="118"/>
      <c r="H226" s="110"/>
      <c r="I226" s="110"/>
      <c r="J226" s="110"/>
      <c r="K226" s="110"/>
      <c r="O226" s="1"/>
      <c r="P226" s="1"/>
      <c r="Q226" s="1"/>
      <c r="R226" s="1"/>
    </row>
    <row r="227" spans="7:18" ht="12.75" customHeight="1" x14ac:dyDescent="0.2">
      <c r="G227" s="118"/>
      <c r="H227" s="110"/>
      <c r="I227" s="110"/>
      <c r="J227" s="110"/>
      <c r="K227" s="110"/>
      <c r="O227" s="1"/>
      <c r="P227" s="1"/>
      <c r="Q227" s="1"/>
      <c r="R227" s="1"/>
    </row>
    <row r="228" spans="7:18" ht="12.75" customHeight="1" x14ac:dyDescent="0.2">
      <c r="G228" s="108"/>
      <c r="H228" s="110"/>
      <c r="I228" s="110"/>
      <c r="J228" s="110"/>
      <c r="K228" s="110"/>
      <c r="O228" s="1"/>
      <c r="P228" s="1"/>
      <c r="Q228" s="1"/>
      <c r="R228" s="1"/>
    </row>
    <row r="229" spans="7:18" ht="12.75" customHeight="1" x14ac:dyDescent="0.2">
      <c r="G229" s="120"/>
      <c r="H229" s="110"/>
      <c r="I229" s="110"/>
      <c r="J229" s="110"/>
      <c r="K229" s="114"/>
      <c r="O229" s="1"/>
      <c r="P229" s="1"/>
      <c r="Q229" s="1"/>
      <c r="R229" s="1"/>
    </row>
    <row r="230" spans="7:18" ht="12.75" customHeight="1" x14ac:dyDescent="0.2">
      <c r="G230" s="120"/>
      <c r="H230" s="110"/>
      <c r="I230" s="110"/>
      <c r="J230" s="110"/>
      <c r="K230" s="110"/>
      <c r="O230" s="1"/>
      <c r="P230" s="1"/>
      <c r="Q230" s="1"/>
      <c r="R230" s="1"/>
    </row>
    <row r="231" spans="7:18" ht="12.75" customHeight="1" x14ac:dyDescent="0.2">
      <c r="G231" s="120"/>
      <c r="H231" s="110"/>
      <c r="I231" s="110"/>
      <c r="J231" s="110"/>
      <c r="K231" s="110"/>
      <c r="O231" s="1"/>
      <c r="P231" s="1"/>
      <c r="Q231" s="1"/>
      <c r="R231" s="1"/>
    </row>
    <row r="232" spans="7:18" ht="12.75" customHeight="1" x14ac:dyDescent="0.2">
      <c r="G232" s="1"/>
      <c r="H232" s="110"/>
      <c r="I232" s="110"/>
      <c r="J232" s="110"/>
      <c r="K232" s="110"/>
      <c r="O232" s="1"/>
      <c r="P232" s="1"/>
      <c r="Q232" s="1"/>
      <c r="R232" s="1"/>
    </row>
    <row r="233" spans="7:18" ht="12.75" customHeight="1" x14ac:dyDescent="0.2">
      <c r="G233" s="120"/>
      <c r="H233" s="1"/>
      <c r="I233" s="110"/>
      <c r="J233" s="110"/>
      <c r="K233" s="110"/>
      <c r="O233" s="1"/>
      <c r="P233" s="1"/>
      <c r="Q233" s="1"/>
      <c r="R233" s="1"/>
    </row>
    <row r="234" spans="7:18" ht="12.75" customHeight="1" x14ac:dyDescent="0.2">
      <c r="G234" s="120"/>
      <c r="H234" s="1"/>
      <c r="I234" s="1"/>
      <c r="J234" s="1"/>
      <c r="K234" s="1"/>
      <c r="O234" s="1"/>
      <c r="P234" s="1"/>
      <c r="Q234" s="1"/>
      <c r="R234" s="1"/>
    </row>
    <row r="235" spans="7:18" ht="12.75" customHeight="1" x14ac:dyDescent="0.2">
      <c r="G235" s="120"/>
      <c r="H235" s="1"/>
      <c r="I235" s="1"/>
      <c r="J235" s="1"/>
      <c r="K235" s="1"/>
      <c r="O235" s="1"/>
      <c r="P235" s="1"/>
      <c r="Q235" s="1"/>
      <c r="R235" s="1"/>
    </row>
    <row r="236" spans="7:18" ht="12.75" customHeight="1" x14ac:dyDescent="0.2">
      <c r="G236" s="120"/>
      <c r="H236" s="1"/>
      <c r="I236" s="1"/>
      <c r="J236" s="1"/>
      <c r="K236" s="1"/>
      <c r="O236" s="1"/>
      <c r="P236" s="1"/>
      <c r="Q236" s="1"/>
      <c r="R236" s="1"/>
    </row>
    <row r="237" spans="7:18" ht="12.75" customHeight="1" x14ac:dyDescent="0.2">
      <c r="G237" s="120"/>
      <c r="H237" s="1"/>
      <c r="I237" s="1"/>
      <c r="J237" s="1"/>
      <c r="K237" s="1"/>
      <c r="O237" s="1"/>
      <c r="P237" s="1"/>
      <c r="Q237" s="1"/>
      <c r="R237" s="1"/>
    </row>
    <row r="238" spans="7:18" ht="12.75" customHeight="1" x14ac:dyDescent="0.2">
      <c r="G238" s="120"/>
      <c r="H238" s="1"/>
      <c r="I238" s="1"/>
      <c r="J238" s="1"/>
      <c r="K238" s="1"/>
      <c r="O238" s="1"/>
      <c r="P238" s="1"/>
      <c r="Q238" s="1"/>
      <c r="R238" s="1"/>
    </row>
    <row r="239" spans="7:18" ht="12.75" customHeight="1" x14ac:dyDescent="0.2">
      <c r="G239" s="120"/>
      <c r="H239" s="116"/>
      <c r="I239" s="1"/>
      <c r="J239" s="1"/>
      <c r="K239" s="1"/>
      <c r="O239" s="1"/>
      <c r="P239" s="1"/>
      <c r="Q239" s="1"/>
      <c r="R239" s="1"/>
    </row>
    <row r="240" spans="7:18" ht="12.75" customHeight="1" x14ac:dyDescent="0.2">
      <c r="G240" s="120"/>
      <c r="H240" s="116"/>
      <c r="I240" s="116"/>
      <c r="J240" s="116"/>
      <c r="K240" s="115"/>
      <c r="O240" s="1"/>
      <c r="P240" s="1"/>
      <c r="Q240" s="1"/>
      <c r="R240" s="1"/>
    </row>
    <row r="241" spans="7:18" ht="12.75" customHeight="1" x14ac:dyDescent="0.2">
      <c r="G241" s="120"/>
      <c r="H241" s="117"/>
      <c r="I241" s="116"/>
      <c r="J241" s="116"/>
      <c r="K241" s="115"/>
      <c r="O241" s="1"/>
      <c r="P241" s="1"/>
      <c r="Q241" s="1"/>
      <c r="R241" s="1"/>
    </row>
    <row r="242" spans="7:18" ht="12.75" customHeight="1" x14ac:dyDescent="0.2">
      <c r="G242" s="120"/>
      <c r="H242" s="117"/>
      <c r="I242" s="117"/>
      <c r="J242" s="117"/>
      <c r="K242" s="115"/>
      <c r="O242" s="1"/>
      <c r="P242" s="1"/>
      <c r="Q242" s="1"/>
      <c r="R242" s="1"/>
    </row>
    <row r="243" spans="7:18" ht="12.75" customHeight="1" x14ac:dyDescent="0.2">
      <c r="G243" s="120"/>
      <c r="H243" s="119"/>
      <c r="I243" s="117"/>
      <c r="J243" s="117"/>
      <c r="K243" s="115"/>
      <c r="O243" s="1"/>
      <c r="P243" s="1"/>
      <c r="Q243" s="1"/>
      <c r="R243" s="1"/>
    </row>
    <row r="244" spans="7:18" ht="12.75" customHeight="1" x14ac:dyDescent="0.2">
      <c r="G244" s="118"/>
      <c r="H244" s="109"/>
      <c r="I244" s="119"/>
      <c r="J244" s="119"/>
      <c r="K244" s="119"/>
      <c r="O244" s="1"/>
      <c r="P244" s="1"/>
      <c r="Q244" s="1"/>
      <c r="R244" s="1"/>
    </row>
    <row r="245" spans="7:18" ht="12.75" customHeight="1" x14ac:dyDescent="0.2">
      <c r="G245" s="1"/>
      <c r="H245" s="109"/>
      <c r="I245" s="109"/>
      <c r="J245" s="109"/>
      <c r="K245" s="119"/>
      <c r="O245" s="1"/>
      <c r="P245" s="1"/>
      <c r="Q245" s="1"/>
      <c r="R245" s="1"/>
    </row>
    <row r="246" spans="7:18" ht="12.75" customHeight="1" x14ac:dyDescent="0.2">
      <c r="G246" s="1"/>
      <c r="H246" s="119"/>
      <c r="I246" s="109"/>
      <c r="J246" s="109"/>
      <c r="K246" s="109"/>
      <c r="O246" s="1"/>
      <c r="P246" s="1"/>
      <c r="Q246" s="1"/>
      <c r="R246" s="1"/>
    </row>
    <row r="247" spans="7:18" ht="12.75" customHeight="1" x14ac:dyDescent="0.2">
      <c r="G247" s="1"/>
      <c r="H247" s="119"/>
      <c r="I247" s="119"/>
      <c r="J247" s="119"/>
      <c r="K247" s="121"/>
      <c r="O247" s="1"/>
      <c r="P247" s="1"/>
      <c r="Q247" s="1"/>
      <c r="R247" s="1"/>
    </row>
    <row r="248" spans="7:18" ht="12.75" customHeight="1" x14ac:dyDescent="0.2">
      <c r="G248" s="1"/>
      <c r="H248" s="119"/>
      <c r="I248" s="119"/>
      <c r="J248" s="119"/>
      <c r="K248" s="119"/>
      <c r="O248" s="1"/>
      <c r="P248" s="1"/>
      <c r="Q248" s="1"/>
      <c r="R248" s="1"/>
    </row>
    <row r="249" spans="7:18" ht="12.75" customHeight="1" x14ac:dyDescent="0.2">
      <c r="G249" s="1"/>
      <c r="H249" s="119"/>
      <c r="I249" s="119"/>
      <c r="J249" s="119"/>
      <c r="K249" s="122"/>
      <c r="O249" s="1"/>
      <c r="P249" s="1"/>
      <c r="Q249" s="1"/>
      <c r="R249" s="1"/>
    </row>
    <row r="250" spans="7:18" ht="12.75" customHeight="1" x14ac:dyDescent="0.2">
      <c r="G250" s="1"/>
      <c r="H250" s="119"/>
      <c r="I250" s="119"/>
      <c r="J250" s="119"/>
      <c r="K250" s="119"/>
      <c r="O250" s="1"/>
      <c r="P250" s="1"/>
      <c r="Q250" s="1"/>
      <c r="R250" s="1"/>
    </row>
    <row r="251" spans="7:18" ht="12.75" customHeight="1" x14ac:dyDescent="0.2">
      <c r="G251" s="1"/>
      <c r="H251" s="119"/>
      <c r="I251" s="119"/>
      <c r="J251" s="119"/>
      <c r="K251" s="122"/>
      <c r="O251" s="1"/>
      <c r="P251" s="1"/>
      <c r="Q251" s="1"/>
      <c r="R251" s="1"/>
    </row>
    <row r="252" spans="7:18" ht="12.75" customHeight="1" x14ac:dyDescent="0.2">
      <c r="G252" s="1"/>
      <c r="H252" s="119"/>
      <c r="I252" s="119"/>
      <c r="J252" s="119"/>
      <c r="K252" s="122"/>
      <c r="O252" s="1"/>
      <c r="P252" s="1"/>
      <c r="Q252" s="1"/>
      <c r="R252" s="1"/>
    </row>
    <row r="253" spans="7:18" ht="12.75" customHeight="1" x14ac:dyDescent="0.2">
      <c r="G253" s="1"/>
      <c r="H253" s="119"/>
      <c r="I253" s="119"/>
      <c r="J253" s="119"/>
      <c r="K253" s="122"/>
      <c r="O253" s="1"/>
      <c r="P253" s="1"/>
      <c r="Q253" s="1"/>
      <c r="R253" s="1"/>
    </row>
    <row r="254" spans="7:18" ht="12.75" customHeight="1" x14ac:dyDescent="0.2">
      <c r="G254" s="1"/>
      <c r="H254" s="119"/>
      <c r="I254" s="119"/>
      <c r="J254" s="119"/>
      <c r="K254" s="119"/>
      <c r="O254" s="1"/>
      <c r="P254" s="1"/>
      <c r="Q254" s="1"/>
      <c r="R254" s="1"/>
    </row>
    <row r="255" spans="7:18" ht="12.75" customHeight="1" x14ac:dyDescent="0.2">
      <c r="G255" s="1"/>
      <c r="H255" s="119"/>
      <c r="I255" s="119"/>
      <c r="J255" s="119"/>
      <c r="K255" s="121"/>
      <c r="O255" s="1"/>
      <c r="P255" s="1"/>
      <c r="Q255" s="1"/>
      <c r="R255" s="1"/>
    </row>
    <row r="256" spans="7:18" ht="12.75" customHeight="1" x14ac:dyDescent="0.2">
      <c r="G256" s="1"/>
      <c r="H256" s="119"/>
      <c r="I256" s="119"/>
      <c r="J256" s="119"/>
      <c r="K256" s="119"/>
      <c r="O256" s="1"/>
      <c r="P256" s="1"/>
      <c r="Q256" s="1"/>
      <c r="R256" s="1"/>
    </row>
    <row r="257" spans="7:18" ht="12.75" customHeight="1" x14ac:dyDescent="0.2">
      <c r="G257" s="1"/>
      <c r="H257" s="119"/>
      <c r="I257" s="119"/>
      <c r="J257" s="119"/>
      <c r="K257" s="123"/>
      <c r="O257" s="1"/>
      <c r="P257" s="1"/>
      <c r="Q257" s="1"/>
      <c r="R257" s="1"/>
    </row>
    <row r="258" spans="7:18" ht="12.75" customHeight="1" x14ac:dyDescent="0.2">
      <c r="G258" s="1"/>
      <c r="H258" s="119"/>
      <c r="I258" s="119"/>
      <c r="J258" s="119"/>
      <c r="K258" s="119"/>
      <c r="O258" s="1"/>
      <c r="P258" s="1"/>
      <c r="Q258" s="1"/>
      <c r="R258" s="1"/>
    </row>
    <row r="259" spans="7:18" ht="12.75" customHeight="1" x14ac:dyDescent="0.2">
      <c r="G259" s="1"/>
      <c r="H259" s="119"/>
      <c r="I259" s="119"/>
      <c r="J259" s="119"/>
      <c r="K259" s="121"/>
      <c r="O259" s="1"/>
      <c r="P259" s="1"/>
      <c r="Q259" s="1"/>
      <c r="R259" s="1"/>
    </row>
    <row r="260" spans="7:18" ht="12.75" customHeight="1" x14ac:dyDescent="0.2">
      <c r="G260" s="1"/>
      <c r="H260" s="119"/>
      <c r="I260" s="119"/>
      <c r="J260" s="119"/>
      <c r="K260" s="119"/>
      <c r="O260" s="1"/>
      <c r="P260" s="1"/>
      <c r="Q260" s="1"/>
      <c r="R260" s="1"/>
    </row>
    <row r="261" spans="7:18" ht="12.75" customHeight="1" x14ac:dyDescent="0.2">
      <c r="G261" s="1"/>
      <c r="H261" s="119"/>
      <c r="I261" s="119"/>
      <c r="J261" s="119"/>
      <c r="K261" s="124"/>
      <c r="O261" s="1"/>
      <c r="P261" s="1"/>
      <c r="Q261" s="1"/>
      <c r="R261" s="1"/>
    </row>
    <row r="262" spans="7:18" ht="12.75" customHeight="1" x14ac:dyDescent="0.2">
      <c r="G262" s="1"/>
      <c r="H262" s="1"/>
      <c r="I262" s="119"/>
      <c r="J262" s="119"/>
      <c r="K262" s="119"/>
      <c r="O262" s="1"/>
      <c r="P262" s="1"/>
      <c r="Q262" s="1"/>
      <c r="R262" s="1"/>
    </row>
    <row r="263" spans="7:18" ht="12.75" customHeight="1" x14ac:dyDescent="0.2">
      <c r="G263" s="1"/>
      <c r="H263" s="1"/>
      <c r="I263" s="1"/>
      <c r="J263" s="1"/>
      <c r="K263" s="1"/>
      <c r="O263" s="1"/>
      <c r="P263" s="1"/>
      <c r="Q263" s="1"/>
      <c r="R263" s="1"/>
    </row>
    <row r="264" spans="7:18" ht="12.75" customHeight="1" x14ac:dyDescent="0.2">
      <c r="G264" s="1"/>
      <c r="H264" s="1"/>
      <c r="I264" s="1"/>
      <c r="J264" s="1"/>
      <c r="K264" s="1"/>
      <c r="O264" s="1"/>
      <c r="P264" s="1"/>
      <c r="Q264" s="1"/>
      <c r="R264" s="1"/>
    </row>
    <row r="265" spans="7:18" ht="12.75" customHeight="1" x14ac:dyDescent="0.2">
      <c r="G265" s="1"/>
      <c r="H265" s="1"/>
      <c r="I265" s="1"/>
      <c r="J265" s="1"/>
      <c r="K265" s="1"/>
      <c r="O265" s="1"/>
      <c r="P265" s="1"/>
      <c r="Q265" s="1"/>
      <c r="R265" s="1"/>
    </row>
    <row r="266" spans="7:18" ht="12.75" customHeight="1" x14ac:dyDescent="0.2">
      <c r="G266" s="1"/>
      <c r="H266" s="1"/>
      <c r="I266" s="1"/>
      <c r="J266" s="1"/>
      <c r="K266" s="1"/>
      <c r="O266" s="1"/>
      <c r="P266" s="1"/>
      <c r="Q266" s="1"/>
      <c r="R266" s="1"/>
    </row>
    <row r="267" spans="7:18" ht="12.75" customHeight="1" x14ac:dyDescent="0.2">
      <c r="G267" s="1"/>
      <c r="H267" s="1"/>
      <c r="I267" s="1"/>
      <c r="J267" s="1"/>
      <c r="K267" s="1"/>
      <c r="O267" s="1"/>
      <c r="P267" s="1"/>
      <c r="Q267" s="1"/>
      <c r="R267" s="1"/>
    </row>
    <row r="268" spans="7:18" ht="12.75" customHeight="1" x14ac:dyDescent="0.2">
      <c r="G268" s="1"/>
      <c r="H268" s="1"/>
      <c r="I268" s="1"/>
      <c r="J268" s="1"/>
      <c r="K268" s="1"/>
      <c r="O268" s="1"/>
      <c r="P268" s="1"/>
      <c r="Q268" s="1"/>
      <c r="R268" s="1"/>
    </row>
    <row r="269" spans="7:18" ht="12.75" customHeight="1" x14ac:dyDescent="0.2">
      <c r="G269" s="1"/>
      <c r="H269" s="1"/>
      <c r="I269" s="1"/>
      <c r="J269" s="1"/>
      <c r="K269" s="1"/>
      <c r="O269" s="1"/>
      <c r="P269" s="1"/>
      <c r="Q269" s="1"/>
      <c r="R269" s="1"/>
    </row>
    <row r="270" spans="7:18" ht="12.75" customHeight="1" x14ac:dyDescent="0.2">
      <c r="G270" s="1"/>
      <c r="H270" s="1"/>
      <c r="I270" s="1"/>
      <c r="J270" s="1"/>
      <c r="K270" s="1"/>
      <c r="O270" s="1"/>
      <c r="P270" s="1"/>
      <c r="Q270" s="1"/>
      <c r="R270" s="1"/>
    </row>
    <row r="271" spans="7:18" ht="12.75" customHeight="1" x14ac:dyDescent="0.2">
      <c r="G271" s="1"/>
      <c r="H271" s="1"/>
      <c r="I271" s="1"/>
      <c r="J271" s="1"/>
      <c r="K271" s="1"/>
      <c r="O271" s="1"/>
      <c r="P271" s="1"/>
      <c r="Q271" s="1"/>
      <c r="R271" s="1"/>
    </row>
    <row r="272" spans="7:18" ht="12.75" customHeight="1" x14ac:dyDescent="0.2">
      <c r="G272" s="1"/>
      <c r="H272" s="1"/>
      <c r="I272" s="1"/>
      <c r="J272" s="1"/>
      <c r="K272" s="1"/>
      <c r="O272" s="1"/>
      <c r="P272" s="1"/>
      <c r="Q272" s="1"/>
      <c r="R272" s="1"/>
    </row>
    <row r="273" spans="7:18" ht="12.75" customHeight="1" x14ac:dyDescent="0.2">
      <c r="G273" s="1"/>
      <c r="H273" s="1"/>
      <c r="I273" s="1"/>
      <c r="J273" s="1"/>
      <c r="K273" s="1"/>
      <c r="O273" s="1"/>
      <c r="P273" s="1"/>
      <c r="Q273" s="1"/>
      <c r="R273" s="1"/>
    </row>
    <row r="274" spans="7:18" ht="12.75" customHeight="1" x14ac:dyDescent="0.2">
      <c r="G274" s="1"/>
      <c r="H274" s="1"/>
      <c r="I274" s="1"/>
      <c r="J274" s="1"/>
      <c r="K274" s="1"/>
      <c r="O274" s="1"/>
      <c r="P274" s="1"/>
      <c r="Q274" s="1"/>
      <c r="R274" s="1"/>
    </row>
    <row r="275" spans="7:18" ht="12.75" customHeight="1" x14ac:dyDescent="0.2">
      <c r="G275" s="1"/>
      <c r="H275" s="1"/>
      <c r="I275" s="1"/>
      <c r="J275" s="1"/>
      <c r="K275" s="1"/>
      <c r="O275" s="1"/>
      <c r="P275" s="1"/>
      <c r="Q275" s="1"/>
      <c r="R275" s="1"/>
    </row>
    <row r="276" spans="7:18" ht="12.75" customHeight="1" x14ac:dyDescent="0.2">
      <c r="G276" s="1"/>
      <c r="H276" s="1"/>
      <c r="I276" s="1"/>
      <c r="J276" s="1"/>
      <c r="K276" s="1"/>
      <c r="O276" s="1"/>
      <c r="P276" s="1"/>
      <c r="Q276" s="1"/>
      <c r="R276" s="1"/>
    </row>
    <row r="277" spans="7:18" ht="12.75" customHeight="1" x14ac:dyDescent="0.2">
      <c r="G277" s="1"/>
      <c r="H277" s="1"/>
      <c r="I277" s="1"/>
      <c r="J277" s="1"/>
      <c r="K277" s="1"/>
      <c r="O277" s="1"/>
      <c r="P277" s="1"/>
      <c r="Q277" s="1"/>
      <c r="R277" s="1"/>
    </row>
    <row r="278" spans="7:18" ht="12.75" customHeight="1" x14ac:dyDescent="0.2">
      <c r="G278" s="1"/>
      <c r="H278" s="1"/>
      <c r="I278" s="1"/>
      <c r="J278" s="1"/>
      <c r="K278" s="1"/>
      <c r="O278" s="1"/>
      <c r="P278" s="1"/>
      <c r="Q278" s="1"/>
      <c r="R278" s="1"/>
    </row>
    <row r="279" spans="7:18" ht="12.75" customHeight="1" x14ac:dyDescent="0.2">
      <c r="H279" s="1"/>
      <c r="I279" s="1"/>
      <c r="J279" s="1"/>
      <c r="K279" s="1"/>
      <c r="O279" s="1"/>
      <c r="P279" s="1"/>
      <c r="Q279" s="1"/>
      <c r="R279" s="1"/>
    </row>
    <row r="280" spans="7:18" ht="12.75" customHeight="1" x14ac:dyDescent="0.2">
      <c r="H280" s="1"/>
      <c r="I280" s="1"/>
      <c r="J280" s="1"/>
      <c r="K280" s="1"/>
      <c r="O280" s="1"/>
      <c r="P280" s="1"/>
      <c r="Q280" s="1"/>
      <c r="R280" s="1"/>
    </row>
    <row r="281" spans="7:18" ht="12.75" customHeight="1" x14ac:dyDescent="0.2">
      <c r="H281" s="1"/>
      <c r="I281" s="1"/>
      <c r="J281" s="1"/>
      <c r="K281" s="1"/>
      <c r="O281" s="1"/>
      <c r="P281" s="1"/>
      <c r="Q281" s="1"/>
      <c r="R281" s="1"/>
    </row>
    <row r="282" spans="7:18" ht="12.75" customHeight="1" x14ac:dyDescent="0.2">
      <c r="H282" s="1"/>
      <c r="I282" s="1"/>
      <c r="J282" s="1"/>
      <c r="K282" s="1"/>
      <c r="O282" s="1"/>
      <c r="P282" s="1"/>
      <c r="Q282" s="1"/>
      <c r="R282" s="1"/>
    </row>
    <row r="283" spans="7:18" ht="12.75" customHeight="1" x14ac:dyDescent="0.2">
      <c r="H283" s="1"/>
      <c r="I283" s="1"/>
      <c r="J283" s="1"/>
      <c r="K283" s="1"/>
      <c r="O283" s="1"/>
      <c r="P283" s="1"/>
      <c r="Q283" s="1"/>
      <c r="R283" s="1"/>
    </row>
    <row r="284" spans="7:18" ht="12.75" customHeight="1" x14ac:dyDescent="0.2">
      <c r="H284" s="1"/>
      <c r="I284" s="1"/>
      <c r="J284" s="1"/>
      <c r="K284" s="1"/>
      <c r="O284" s="1"/>
      <c r="P284" s="1"/>
      <c r="Q284" s="1"/>
      <c r="R284" s="1"/>
    </row>
    <row r="285" spans="7:18" ht="12.75" customHeight="1" x14ac:dyDescent="0.2">
      <c r="H285" s="1"/>
      <c r="I285" s="1"/>
      <c r="J285" s="1"/>
      <c r="K285" s="1"/>
      <c r="O285" s="1"/>
      <c r="P285" s="1"/>
      <c r="Q285" s="1"/>
      <c r="R285" s="1"/>
    </row>
    <row r="286" spans="7:18" ht="12.75" customHeight="1" x14ac:dyDescent="0.2">
      <c r="H286" s="1"/>
      <c r="I286" s="1"/>
      <c r="J286" s="1"/>
      <c r="K286" s="1"/>
      <c r="O286" s="1"/>
      <c r="P286" s="1"/>
      <c r="Q286" s="1"/>
      <c r="R286" s="1"/>
    </row>
    <row r="287" spans="7:18" ht="12.75" customHeight="1" x14ac:dyDescent="0.2">
      <c r="H287" s="1"/>
      <c r="I287" s="1"/>
      <c r="J287" s="1"/>
      <c r="K287" s="1"/>
      <c r="O287" s="1"/>
      <c r="P287" s="1"/>
      <c r="Q287" s="1"/>
      <c r="R287" s="1"/>
    </row>
    <row r="288" spans="7:18" ht="12.75" customHeight="1" x14ac:dyDescent="0.2">
      <c r="H288" s="1"/>
      <c r="I288" s="1"/>
      <c r="J288" s="1"/>
      <c r="K288" s="1"/>
      <c r="O288" s="1"/>
      <c r="P288" s="1"/>
      <c r="Q288" s="1"/>
      <c r="R288" s="1"/>
    </row>
    <row r="289" spans="8:18" ht="12.75" customHeight="1" x14ac:dyDescent="0.2">
      <c r="H289" s="1"/>
      <c r="I289" s="1"/>
      <c r="J289" s="1"/>
      <c r="K289" s="1"/>
      <c r="O289" s="1"/>
      <c r="P289" s="1"/>
      <c r="Q289" s="1"/>
      <c r="R289" s="1"/>
    </row>
    <row r="290" spans="8:18" ht="12.75" customHeight="1" x14ac:dyDescent="0.2">
      <c r="H290" s="1"/>
      <c r="I290" s="1"/>
      <c r="J290" s="1"/>
      <c r="K290" s="1"/>
      <c r="O290" s="1"/>
      <c r="P290" s="1"/>
      <c r="Q290" s="1"/>
      <c r="R290" s="1"/>
    </row>
    <row r="291" spans="8:18" ht="12.75" customHeight="1" x14ac:dyDescent="0.2">
      <c r="H291" s="1"/>
      <c r="I291" s="1"/>
      <c r="J291" s="1"/>
      <c r="K291" s="1"/>
      <c r="O291" s="1"/>
      <c r="P291" s="1"/>
      <c r="Q291" s="1"/>
      <c r="R291" s="1"/>
    </row>
    <row r="292" spans="8:18" ht="12.75" customHeight="1" x14ac:dyDescent="0.2">
      <c r="H292" s="1"/>
      <c r="I292" s="1"/>
      <c r="J292" s="1"/>
      <c r="K292" s="1"/>
      <c r="O292" s="1"/>
      <c r="P292" s="1"/>
      <c r="Q292" s="1"/>
      <c r="R292" s="1"/>
    </row>
    <row r="293" spans="8:18" ht="12.75" customHeight="1" x14ac:dyDescent="0.2">
      <c r="H293" s="1"/>
      <c r="I293" s="1"/>
      <c r="J293" s="1"/>
      <c r="K293" s="1"/>
      <c r="O293" s="1"/>
      <c r="P293" s="1"/>
      <c r="Q293" s="1"/>
      <c r="R293" s="1"/>
    </row>
    <row r="294" spans="8:18" ht="12.75" customHeight="1" x14ac:dyDescent="0.2">
      <c r="H294" s="1"/>
      <c r="I294" s="1"/>
      <c r="J294" s="1"/>
      <c r="K294" s="1"/>
      <c r="O294" s="1"/>
      <c r="P294" s="1"/>
      <c r="Q294" s="1"/>
      <c r="R294" s="1"/>
    </row>
    <row r="295" spans="8:18" ht="12.75" customHeight="1" x14ac:dyDescent="0.2">
      <c r="H295" s="1"/>
      <c r="I295" s="1"/>
      <c r="J295" s="1"/>
      <c r="K295" s="1"/>
      <c r="O295" s="1"/>
      <c r="P295" s="1"/>
      <c r="Q295" s="1"/>
      <c r="R295" s="1"/>
    </row>
    <row r="296" spans="8:18" ht="12.75" customHeight="1" x14ac:dyDescent="0.2">
      <c r="I296" s="1"/>
      <c r="J296" s="1"/>
      <c r="K296" s="1"/>
      <c r="O296" s="1"/>
      <c r="P296" s="1"/>
      <c r="Q296" s="1"/>
      <c r="R296" s="1"/>
    </row>
    <row r="297" spans="8:18" ht="12.75" customHeight="1" x14ac:dyDescent="0.2">
      <c r="O297" s="1"/>
      <c r="P297" s="1"/>
      <c r="Q297" s="1"/>
      <c r="R297" s="1"/>
    </row>
    <row r="298" spans="8:18" ht="12.75" customHeight="1" x14ac:dyDescent="0.2">
      <c r="O298" s="1"/>
      <c r="P298" s="1"/>
      <c r="Q298" s="1"/>
      <c r="R298" s="1"/>
    </row>
    <row r="299" spans="8:18" ht="12.75" customHeight="1" x14ac:dyDescent="0.2">
      <c r="O299" s="1"/>
      <c r="P299" s="1"/>
      <c r="Q299" s="1"/>
      <c r="R299" s="1"/>
    </row>
    <row r="300" spans="8:18" ht="12.75" customHeight="1" x14ac:dyDescent="0.2">
      <c r="O300" s="1"/>
      <c r="P300" s="1"/>
      <c r="Q300" s="1"/>
      <c r="R300" s="1"/>
    </row>
    <row r="301" spans="8:18" ht="12.75" customHeight="1" x14ac:dyDescent="0.2">
      <c r="O301" s="1"/>
      <c r="P301" s="1"/>
      <c r="Q301" s="1"/>
      <c r="R301" s="1"/>
    </row>
    <row r="302" spans="8:18" ht="12.75" customHeight="1" x14ac:dyDescent="0.2">
      <c r="O302" s="1"/>
      <c r="P302" s="1"/>
      <c r="Q302" s="1"/>
      <c r="R302" s="1"/>
    </row>
    <row r="303" spans="8:18" ht="12.75" customHeight="1" x14ac:dyDescent="0.2">
      <c r="O303" s="1"/>
      <c r="P303" s="1"/>
      <c r="Q303" s="1"/>
      <c r="R303" s="1"/>
    </row>
    <row r="304" spans="8:18" ht="12.75" customHeight="1" x14ac:dyDescent="0.2">
      <c r="O304" s="1"/>
      <c r="P304" s="1"/>
      <c r="Q304" s="1"/>
      <c r="R304" s="1"/>
    </row>
    <row r="305" spans="15:18" ht="12.75" customHeight="1" x14ac:dyDescent="0.2">
      <c r="O305" s="1"/>
      <c r="P305" s="1"/>
      <c r="Q305" s="1"/>
      <c r="R305" s="1"/>
    </row>
    <row r="306" spans="15:18" ht="12.75" customHeight="1" x14ac:dyDescent="0.2">
      <c r="O306" s="1"/>
      <c r="P306" s="1"/>
      <c r="Q306" s="1"/>
      <c r="R306" s="1"/>
    </row>
    <row r="307" spans="15:18" ht="12.75" customHeight="1" x14ac:dyDescent="0.2">
      <c r="O307" s="1"/>
      <c r="P307" s="1"/>
      <c r="Q307" s="1"/>
      <c r="R307" s="1"/>
    </row>
    <row r="308" spans="15:18" ht="12.75" customHeight="1" x14ac:dyDescent="0.2">
      <c r="O308" s="1"/>
      <c r="P308" s="1"/>
      <c r="Q308" s="1"/>
      <c r="R308" s="1"/>
    </row>
    <row r="309" spans="15:18" ht="12.75" customHeight="1" x14ac:dyDescent="0.2">
      <c r="O309" s="1"/>
      <c r="P309" s="1"/>
      <c r="Q309" s="1"/>
      <c r="R309" s="1"/>
    </row>
    <row r="310" spans="15:18" ht="12.75" customHeight="1" x14ac:dyDescent="0.2">
      <c r="O310" s="1"/>
      <c r="P310" s="1"/>
      <c r="Q310" s="1"/>
      <c r="R310" s="1"/>
    </row>
    <row r="311" spans="15:18" ht="12.75" customHeight="1" x14ac:dyDescent="0.2">
      <c r="O311" s="1"/>
      <c r="P311" s="1"/>
      <c r="Q311" s="1"/>
      <c r="R311" s="1"/>
    </row>
    <row r="312" spans="15:18" ht="12.75" customHeight="1" x14ac:dyDescent="0.2">
      <c r="O312" s="1"/>
      <c r="P312" s="1"/>
      <c r="Q312" s="1"/>
      <c r="R312" s="1"/>
    </row>
    <row r="313" spans="15:18" ht="12.75" customHeight="1" x14ac:dyDescent="0.2">
      <c r="O313" s="1"/>
      <c r="P313" s="1"/>
      <c r="Q313" s="1"/>
      <c r="R313" s="1"/>
    </row>
    <row r="314" spans="15:18" ht="12.75" customHeight="1" x14ac:dyDescent="0.2">
      <c r="O314" s="1"/>
      <c r="P314" s="1"/>
      <c r="Q314" s="1"/>
      <c r="R314" s="1"/>
    </row>
    <row r="315" spans="15:18" ht="12.75" customHeight="1" x14ac:dyDescent="0.2">
      <c r="O315" s="1"/>
      <c r="P315" s="1"/>
      <c r="Q315" s="1"/>
      <c r="R315" s="1"/>
    </row>
    <row r="316" spans="15:18" ht="12.75" customHeight="1" x14ac:dyDescent="0.2">
      <c r="O316" s="1"/>
      <c r="P316" s="1"/>
      <c r="Q316" s="1"/>
      <c r="R316" s="1"/>
    </row>
    <row r="317" spans="15:18" ht="12.75" customHeight="1" x14ac:dyDescent="0.2">
      <c r="O317" s="1"/>
      <c r="P317" s="1"/>
      <c r="Q317" s="1"/>
      <c r="R317" s="1"/>
    </row>
    <row r="318" spans="15:18" ht="12.75" customHeight="1" x14ac:dyDescent="0.2">
      <c r="O318" s="1"/>
      <c r="P318" s="1"/>
      <c r="Q318" s="1"/>
      <c r="R318" s="1"/>
    </row>
    <row r="319" spans="15:18" ht="12.75" customHeight="1" x14ac:dyDescent="0.2">
      <c r="O319" s="1"/>
      <c r="P319" s="1"/>
      <c r="Q319" s="1"/>
      <c r="R319" s="1"/>
    </row>
    <row r="320" spans="15:18" ht="12.75" customHeight="1" x14ac:dyDescent="0.2">
      <c r="O320" s="1"/>
      <c r="P320" s="1"/>
      <c r="Q320" s="1"/>
      <c r="R320" s="1"/>
    </row>
    <row r="321" spans="15:18" ht="12.75" customHeight="1" x14ac:dyDescent="0.2">
      <c r="O321" s="1"/>
      <c r="P321" s="1"/>
      <c r="Q321" s="1"/>
      <c r="R321" s="1"/>
    </row>
    <row r="322" spans="15:18" ht="12.75" customHeight="1" x14ac:dyDescent="0.2">
      <c r="O322" s="1"/>
      <c r="P322" s="1"/>
      <c r="Q322" s="1"/>
      <c r="R322" s="1"/>
    </row>
    <row r="323" spans="15:18" ht="12.75" customHeight="1" x14ac:dyDescent="0.2">
      <c r="O323" s="1"/>
      <c r="P323" s="1"/>
      <c r="Q323" s="1"/>
      <c r="R323" s="1"/>
    </row>
    <row r="324" spans="15:18" ht="12.75" customHeight="1" x14ac:dyDescent="0.2">
      <c r="O324" s="1"/>
      <c r="P324" s="1"/>
      <c r="Q324" s="1"/>
      <c r="R324" s="1"/>
    </row>
    <row r="325" spans="15:18" ht="12.75" customHeight="1" x14ac:dyDescent="0.2">
      <c r="O325" s="1"/>
      <c r="P325" s="1"/>
      <c r="Q325" s="1"/>
      <c r="R325" s="1"/>
    </row>
    <row r="326" spans="15:18" ht="12.75" customHeight="1" x14ac:dyDescent="0.2">
      <c r="O326" s="1"/>
      <c r="P326" s="1"/>
      <c r="Q326" s="1"/>
      <c r="R326" s="1"/>
    </row>
    <row r="327" spans="15:18" ht="12.75" customHeight="1" x14ac:dyDescent="0.2">
      <c r="O327" s="1"/>
      <c r="P327" s="1"/>
      <c r="Q327" s="1"/>
      <c r="R327" s="1"/>
    </row>
    <row r="328" spans="15:18" ht="12.75" customHeight="1" x14ac:dyDescent="0.2">
      <c r="O328" s="1"/>
      <c r="P328" s="1"/>
      <c r="Q328" s="1"/>
      <c r="R328" s="1"/>
    </row>
    <row r="329" spans="15:18" ht="12.75" customHeight="1" x14ac:dyDescent="0.2">
      <c r="O329" s="1"/>
      <c r="P329" s="1"/>
      <c r="Q329" s="1"/>
      <c r="R329" s="1"/>
    </row>
    <row r="330" spans="15:18" ht="12.75" customHeight="1" x14ac:dyDescent="0.2">
      <c r="O330" s="1"/>
      <c r="P330" s="1"/>
      <c r="Q330" s="1"/>
      <c r="R330" s="1"/>
    </row>
    <row r="331" spans="15:18" ht="12.75" customHeight="1" x14ac:dyDescent="0.2">
      <c r="O331" s="1"/>
      <c r="P331" s="1"/>
      <c r="Q331" s="1"/>
      <c r="R331" s="1"/>
    </row>
    <row r="332" spans="15:18" ht="12.75" customHeight="1" x14ac:dyDescent="0.2">
      <c r="O332" s="1"/>
      <c r="P332" s="1"/>
      <c r="Q332" s="1"/>
      <c r="R332" s="1"/>
    </row>
    <row r="333" spans="15:18" ht="12.75" customHeight="1" x14ac:dyDescent="0.2">
      <c r="O333" s="1"/>
      <c r="P333" s="1"/>
      <c r="Q333" s="1"/>
      <c r="R333" s="1"/>
    </row>
    <row r="334" spans="15:18" ht="12.75" customHeight="1" x14ac:dyDescent="0.2">
      <c r="O334" s="1"/>
      <c r="P334" s="1"/>
      <c r="Q334" s="1"/>
      <c r="R334" s="1"/>
    </row>
    <row r="335" spans="15:18" ht="12.75" customHeight="1" x14ac:dyDescent="0.2">
      <c r="O335" s="1"/>
      <c r="P335" s="1"/>
      <c r="Q335" s="1"/>
      <c r="R335" s="1"/>
    </row>
    <row r="336" spans="15:18" ht="12.75" customHeight="1" x14ac:dyDescent="0.2">
      <c r="O336" s="1"/>
      <c r="P336" s="1"/>
      <c r="Q336" s="1"/>
      <c r="R336" s="1"/>
    </row>
    <row r="337" spans="15:18" ht="12.75" customHeight="1" x14ac:dyDescent="0.2">
      <c r="O337" s="1"/>
      <c r="P337" s="1"/>
      <c r="Q337" s="1"/>
      <c r="R337" s="1"/>
    </row>
    <row r="338" spans="15:18" ht="12.75" customHeight="1" x14ac:dyDescent="0.2">
      <c r="O338" s="1"/>
      <c r="P338" s="1"/>
      <c r="Q338" s="1"/>
      <c r="R338" s="1"/>
    </row>
    <row r="339" spans="15:18" ht="12.75" customHeight="1" x14ac:dyDescent="0.2">
      <c r="O339" s="1"/>
      <c r="P339" s="1"/>
      <c r="Q339" s="1"/>
      <c r="R339" s="1"/>
    </row>
    <row r="340" spans="15:18" ht="12.75" customHeight="1" x14ac:dyDescent="0.2">
      <c r="O340" s="1"/>
      <c r="P340" s="1"/>
      <c r="Q340" s="1"/>
      <c r="R340" s="1"/>
    </row>
    <row r="341" spans="15:18" ht="12.75" customHeight="1" x14ac:dyDescent="0.2">
      <c r="O341" s="1"/>
      <c r="P341" s="1"/>
      <c r="Q341" s="1"/>
      <c r="R341" s="1"/>
    </row>
    <row r="342" spans="15:18" ht="12.75" customHeight="1" x14ac:dyDescent="0.2">
      <c r="O342" s="1"/>
      <c r="P342" s="1"/>
      <c r="Q342" s="1"/>
      <c r="R342" s="1"/>
    </row>
    <row r="343" spans="15:18" ht="12.75" customHeight="1" x14ac:dyDescent="0.2">
      <c r="O343" s="1"/>
      <c r="P343" s="1"/>
      <c r="Q343" s="1"/>
      <c r="R343" s="1"/>
    </row>
    <row r="344" spans="15:18" ht="12.75" customHeight="1" x14ac:dyDescent="0.2">
      <c r="O344" s="1"/>
      <c r="P344" s="1"/>
      <c r="Q344" s="1"/>
      <c r="R344" s="1"/>
    </row>
    <row r="345" spans="15:18" ht="12.75" customHeight="1" x14ac:dyDescent="0.2">
      <c r="O345" s="1"/>
      <c r="P345" s="1"/>
      <c r="Q345" s="1"/>
      <c r="R345" s="1"/>
    </row>
    <row r="346" spans="15:18" ht="12.75" customHeight="1" x14ac:dyDescent="0.2">
      <c r="O346" s="1"/>
      <c r="P346" s="1"/>
      <c r="Q346" s="1"/>
      <c r="R346" s="1"/>
    </row>
    <row r="347" spans="15:18" ht="12.75" customHeight="1" x14ac:dyDescent="0.2">
      <c r="O347" s="1"/>
      <c r="P347" s="1"/>
      <c r="Q347" s="1"/>
      <c r="R347" s="1"/>
    </row>
    <row r="348" spans="15:18" ht="12.75" customHeight="1" x14ac:dyDescent="0.2">
      <c r="O348" s="1"/>
      <c r="P348" s="1"/>
      <c r="Q348" s="1"/>
      <c r="R348" s="1"/>
    </row>
    <row r="349" spans="15:18" ht="12.75" customHeight="1" x14ac:dyDescent="0.2">
      <c r="O349" s="1"/>
      <c r="P349" s="1"/>
      <c r="Q349" s="1"/>
      <c r="R349" s="1"/>
    </row>
    <row r="350" spans="15:18" ht="12.75" customHeight="1" x14ac:dyDescent="0.2">
      <c r="O350" s="1"/>
      <c r="P350" s="1"/>
      <c r="Q350" s="1"/>
      <c r="R350" s="1"/>
    </row>
    <row r="351" spans="15:18" ht="12.75" customHeight="1" x14ac:dyDescent="0.2">
      <c r="P351" s="1"/>
      <c r="Q351" s="1"/>
      <c r="R351" s="1"/>
    </row>
    <row r="352" spans="15:18" ht="12.75" customHeight="1" x14ac:dyDescent="0.2">
      <c r="P352" s="1"/>
      <c r="Q352" s="1"/>
      <c r="R352" s="1"/>
    </row>
  </sheetData>
  <customSheetViews>
    <customSheetView guid="{DF51FD8A-8BA9-46B7-B455-DFD0D532E42D}" showPageBreaks="1" fitToPage="1" printArea="1" showRuler="0" topLeftCell="E1">
      <selection activeCell="G1" sqref="G1:K4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"/>
      <headerFooter alignWithMargins="0"/>
    </customSheetView>
    <customSheetView guid="{1E45DDAB-A557-4269-B1F7-CCA75743796E}" showPageBreaks="1" fitToPage="1" printArea="1" showRuler="0" topLeftCell="J1">
      <selection activeCell="L1" sqref="L1:O3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2"/>
      <headerFooter alignWithMargins="0"/>
    </customSheetView>
    <customSheetView guid="{114781A2-0298-429A-B53B-CCDE7FC07C8A}" showPageBreaks="1" fitToPage="1" printArea="1" showRuler="0" topLeftCell="O1">
      <selection activeCell="P1" sqref="P1:S26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3"/>
      <headerFooter alignWithMargins="0"/>
    </customSheetView>
    <customSheetView guid="{70410578-0BAB-407F-B45A-A1FD00E78914}" showPageBreaks="1" fitToPage="1" printArea="1" showRuler="0" topLeftCell="R1">
      <selection activeCell="T1" sqref="T1:W48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4"/>
      <headerFooter alignWithMargins="0"/>
    </customSheetView>
    <customSheetView guid="{833E8250-6973-4555-A9B1-5ACEC89F3481}" showPageBreaks="1" fitToPage="1" printArea="1" showRuler="0" topLeftCell="X1">
      <selection activeCell="X1" sqref="X1:AA25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5"/>
      <headerFooter alignWithMargins="0"/>
    </customSheetView>
    <customSheetView guid="{2C3700F5-7337-49E6-9C17-9B49CE910373}" showPageBreaks="1" fitToPage="1" printArea="1" showRuler="0" topLeftCell="AA1">
      <selection activeCell="AB1" sqref="AB1:AF5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6"/>
      <headerFooter alignWithMargins="0"/>
    </customSheetView>
    <customSheetView guid="{57344CAB-EDB4-4D23-8F83-6632FA133D6F}" showPageBreaks="1" fitToPage="1" printArea="1" showRuler="0" topLeftCell="AF1">
      <selection activeCell="AG1" sqref="AG1:AK23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7"/>
      <headerFooter alignWithMargins="0"/>
    </customSheetView>
    <customSheetView guid="{368BDFFC-8B6F-4E1E-88F3-F226428845CF}" showPageBreaks="1" fitToPage="1" printArea="1" showRuler="0" topLeftCell="BJ1">
      <selection activeCell="BK1" sqref="BK1:BQ33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8"/>
      <headerFooter alignWithMargins="0"/>
    </customSheetView>
    <customSheetView guid="{BEBB2007-766E-4870-AB0B-58E56CB3F651}" scale="75" printArea="1" showRuler="0" topLeftCell="CA2">
      <selection activeCell="CD2" sqref="CD2:CI33"/>
      <colBreaks count="3" manualBreakCount="3">
        <brk id="92" max="57" man="1"/>
        <brk id="102" max="57" man="1"/>
        <brk id="109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9"/>
      <headerFooter alignWithMargins="0"/>
    </customSheetView>
    <customSheetView guid="{F0C9B202-A28C-4D84-9483-9F8FC93D796D}" showPageBreaks="1" fitToPage="1" printArea="1" showRuler="0" topLeftCell="CH54">
      <selection activeCell="CJ56" sqref="CJ56:CN79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0"/>
      <headerFooter alignWithMargins="0"/>
    </customSheetView>
    <customSheetView guid="{5528C217-5C85-409E-BEF2-118EFA30D59F}" showPageBreaks="1" fitToPage="1" printArea="1" showRuler="0" topLeftCell="CH33">
      <selection activeCell="CJ34" sqref="CJ34:CN5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1"/>
      <headerFooter alignWithMargins="0"/>
    </customSheetView>
    <customSheetView guid="{3CBED636-2D45-404E-AAC8-3EE8AD1E87DC}" showPageBreaks="1" fitToPage="1" printArea="1" showRuler="0" topLeftCell="CH1">
      <selection activeCell="CJ1" sqref="CJ1:CN30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2"/>
      <headerFooter alignWithMargins="0"/>
    </customSheetView>
    <customSheetView guid="{31DFCE0A-9DA6-4A87-B609-465F85B537E0}" showPageBreaks="1" fitToPage="1" printArea="1" showRuler="0" topLeftCell="A34">
      <selection activeCell="F50" sqref="A1:F50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3"/>
      <headerFooter alignWithMargins="0"/>
    </customSheetView>
    <customSheetView guid="{363BCC7B-365C-4862-8308-FD01127C4AC4}" showPageBreaks="1" fitToPage="1" printArea="1" showRuler="0" topLeftCell="AN1">
      <selection activeCell="AP1" sqref="AP1:AS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4"/>
      <headerFooter alignWithMargins="0"/>
    </customSheetView>
    <customSheetView guid="{4D415296-881A-4775-98CD-22EFE3033486}" showPageBreaks="1" fitToPage="1" printArea="1" showRuler="0" topLeftCell="AR1">
      <selection activeCell="AT1" sqref="AT1:AW4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5"/>
      <headerFooter alignWithMargins="0"/>
    </customSheetView>
    <customSheetView guid="{1B900283-A429-4403-A9D8-C71CBE042C5B}" showPageBreaks="1" fitToPage="1" printArea="1" showRuler="0" topLeftCell="AZ1">
      <selection activeCell="BA1" sqref="BA1:BE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6"/>
      <headerFooter alignWithMargins="0"/>
    </customSheetView>
    <customSheetView guid="{1C1C43A1-DC1D-4B83-8878-3010F6B52F39}" showPageBreaks="1" fitToPage="1" printArea="1" showRuler="0" topLeftCell="BF1">
      <selection activeCell="BF1" sqref="BF1:BJ2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7"/>
      <headerFooter alignWithMargins="0"/>
    </customSheetView>
    <customSheetView guid="{9BA720D1-BA25-4C52-A40B-874BAF7D1762}" showPageBreaks="1" fitToPage="1" printArea="1" showRuler="0" topLeftCell="BJ1">
      <selection activeCell="BK1" sqref="BK1:BQ36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8"/>
      <headerFooter alignWithMargins="0"/>
    </customSheetView>
    <customSheetView guid="{416960AD-1B0E-43B1-BBE2-4C2BAE619099}" showPageBreaks="1" fitToPage="1" printArea="1" showRuler="0" topLeftCell="BP1">
      <selection activeCell="BR1" sqref="BR1:BU3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9"/>
      <headerFooter alignWithMargins="0"/>
    </customSheetView>
    <customSheetView guid="{E75FE358-FE2D-4487-BA5A-B5AB72EE82DF}" showPageBreaks="1" fitToPage="1" printArea="1" showRuler="0" topLeftCell="BY1">
      <selection activeCell="BZ1" sqref="BZ1:CC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20"/>
      <headerFooter alignWithMargins="0"/>
    </customSheetView>
    <customSheetView guid="{6734E4FA-60B7-471C-AEFF-A65F9BB053D8}" scale="60" showPageBreaks="1" printArea="1" hiddenColumns="1" view="pageBreakPreview" showRuler="0" topLeftCell="DL1">
      <selection activeCell="DR1" sqref="DR1"/>
      <colBreaks count="4" manualBreakCount="4">
        <brk id="92" max="55" man="1"/>
        <brk id="102" max="57" man="1"/>
        <brk id="112" max="57" man="1"/>
        <brk id="121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21"/>
      <headerFooter alignWithMargins="0"/>
    </customSheetView>
    <customSheetView guid="{9180F71E-9CF3-48FD-9127-9BC9888EC40C}" scale="75" printArea="1" hiddenColumns="1" showRuler="0" topLeftCell="AJ1">
      <selection activeCell="AQ6" sqref="AQ6"/>
      <colBreaks count="3" manualBreakCount="3">
        <brk id="92" max="57" man="1"/>
        <brk id="102" max="57" man="1"/>
        <brk id="109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22"/>
      <headerFooter alignWithMargins="0"/>
    </customSheetView>
  </customSheetViews>
  <phoneticPr fontId="16" type="noConversion"/>
  <printOptions horizontalCentered="1"/>
  <pageMargins left="0.5" right="0.25" top="0.78" bottom="0.45" header="0.5" footer="0.5"/>
  <pageSetup scale="89" orientation="portrait" r:id="rId23"/>
  <headerFooter alignWithMargins="0"/>
  <colBreaks count="2" manualBreakCount="2">
    <brk id="92" max="57" man="1"/>
    <brk id="104" max="57" man="1"/>
  </colBreaks>
  <customProperties>
    <customPr name="_pios_id" r:id="rId24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4"/>
  <sheetViews>
    <sheetView workbookViewId="0">
      <pane xSplit="4" ySplit="8" topLeftCell="E9" activePane="bottomRight" state="frozen"/>
      <selection activeCell="K29" sqref="K29"/>
      <selection pane="topRight" activeCell="K29" sqref="K29"/>
      <selection pane="bottomLeft" activeCell="K29" sqref="K29"/>
      <selection pane="bottomRight" activeCell="D30" sqref="D30"/>
    </sheetView>
  </sheetViews>
  <sheetFormatPr defaultColWidth="9.1640625" defaultRowHeight="12.75" outlineLevelCol="1" x14ac:dyDescent="0.2"/>
  <cols>
    <col min="1" max="1" width="5.5" style="388" customWidth="1"/>
    <col min="2" max="2" width="7.1640625" style="388" customWidth="1"/>
    <col min="3" max="3" width="54.33203125" style="388" customWidth="1" outlineLevel="1"/>
    <col min="4" max="4" width="47.33203125" style="388" bestFit="1" customWidth="1"/>
    <col min="5" max="5" width="21.1640625" style="388" bestFit="1" customWidth="1"/>
    <col min="6" max="6" width="19.5" style="388" bestFit="1" customWidth="1"/>
    <col min="7" max="7" width="15.1640625" style="388" bestFit="1" customWidth="1"/>
    <col min="8" max="8" width="9.1640625" style="388"/>
    <col min="9" max="9" width="10" style="388" bestFit="1" customWidth="1"/>
    <col min="10" max="11" width="9.1640625" style="388"/>
    <col min="12" max="13" width="12.6640625" style="388" customWidth="1"/>
    <col min="14" max="16384" width="9.1640625" style="388"/>
  </cols>
  <sheetData>
    <row r="2" spans="1:9" ht="15" x14ac:dyDescent="0.25">
      <c r="A2" s="391"/>
      <c r="B2" s="523" t="s">
        <v>216</v>
      </c>
      <c r="C2" s="524"/>
      <c r="D2" s="524"/>
      <c r="E2" s="524"/>
      <c r="F2" s="524"/>
    </row>
    <row r="3" spans="1:9" ht="15" x14ac:dyDescent="0.25">
      <c r="A3" s="391"/>
      <c r="B3" s="523" t="s">
        <v>355</v>
      </c>
      <c r="C3" s="524"/>
      <c r="D3" s="524"/>
      <c r="E3" s="524"/>
      <c r="F3" s="524"/>
    </row>
    <row r="4" spans="1:9" ht="15" x14ac:dyDescent="0.25">
      <c r="A4" s="391"/>
      <c r="B4" s="523" t="s">
        <v>254</v>
      </c>
      <c r="C4" s="524"/>
      <c r="D4" s="524"/>
      <c r="E4" s="524"/>
      <c r="F4" s="524"/>
    </row>
    <row r="5" spans="1:9" ht="15" x14ac:dyDescent="0.25">
      <c r="A5" s="391"/>
      <c r="B5" s="523" t="s">
        <v>358</v>
      </c>
      <c r="C5" s="524"/>
      <c r="D5" s="524"/>
      <c r="E5" s="524"/>
      <c r="F5" s="524"/>
    </row>
    <row r="6" spans="1:9" ht="15" x14ac:dyDescent="0.25">
      <c r="B6" s="524"/>
      <c r="C6" s="525"/>
      <c r="D6" s="525"/>
      <c r="E6" s="524"/>
      <c r="F6" s="526"/>
    </row>
    <row r="7" spans="1:9" ht="14.25" x14ac:dyDescent="0.2">
      <c r="B7" s="526"/>
      <c r="C7" s="526"/>
      <c r="D7" s="527"/>
      <c r="E7" s="526"/>
      <c r="F7" s="528"/>
    </row>
    <row r="8" spans="1:9" ht="49.5" customHeight="1" thickBot="1" x14ac:dyDescent="0.25">
      <c r="B8" s="529" t="s">
        <v>253</v>
      </c>
      <c r="C8" s="530" t="s">
        <v>190</v>
      </c>
      <c r="D8" s="531" t="s">
        <v>252</v>
      </c>
      <c r="E8" s="532" t="s">
        <v>372</v>
      </c>
      <c r="F8" s="528"/>
    </row>
    <row r="9" spans="1:9" ht="16.5" customHeight="1" x14ac:dyDescent="0.2">
      <c r="B9" s="533"/>
      <c r="C9" s="534"/>
      <c r="D9" s="535"/>
      <c r="E9" s="536"/>
      <c r="F9" s="528"/>
    </row>
    <row r="10" spans="1:9" ht="14.25" x14ac:dyDescent="0.2">
      <c r="B10" s="537">
        <v>1</v>
      </c>
      <c r="C10" s="538" t="s">
        <v>251</v>
      </c>
      <c r="D10" s="539" t="s">
        <v>356</v>
      </c>
      <c r="E10" s="540">
        <f>model!DE57</f>
        <v>3071117140.366096</v>
      </c>
      <c r="F10" s="528"/>
    </row>
    <row r="11" spans="1:9" ht="14.25" x14ac:dyDescent="0.2">
      <c r="B11" s="537">
        <f t="shared" ref="B11:B17" si="0">+B10+1</f>
        <v>2</v>
      </c>
      <c r="C11" s="538" t="s">
        <v>344</v>
      </c>
      <c r="D11" s="539" t="s">
        <v>345</v>
      </c>
      <c r="E11" s="541">
        <f>+K27</f>
        <v>7.6600000000000001E-2</v>
      </c>
      <c r="F11" s="526" t="s">
        <v>346</v>
      </c>
    </row>
    <row r="12" spans="1:9" ht="14.25" x14ac:dyDescent="0.2">
      <c r="B12" s="537">
        <f t="shared" si="0"/>
        <v>3</v>
      </c>
      <c r="C12" s="538" t="s">
        <v>250</v>
      </c>
      <c r="D12" s="539" t="s">
        <v>249</v>
      </c>
      <c r="E12" s="540">
        <f>ROUND(E10*E11,0)</f>
        <v>235247573</v>
      </c>
      <c r="F12" s="528"/>
    </row>
    <row r="13" spans="1:9" ht="14.25" x14ac:dyDescent="0.2">
      <c r="B13" s="537">
        <v>4</v>
      </c>
      <c r="C13" s="538" t="s">
        <v>123</v>
      </c>
      <c r="D13" s="539" t="s">
        <v>356</v>
      </c>
      <c r="E13" s="540">
        <f>model!DE44</f>
        <v>213091533.28177023</v>
      </c>
      <c r="F13" s="528"/>
      <c r="G13" s="390"/>
    </row>
    <row r="14" spans="1:9" ht="14.25" x14ac:dyDescent="0.2">
      <c r="B14" s="537">
        <f t="shared" si="0"/>
        <v>5</v>
      </c>
      <c r="C14" s="538" t="s">
        <v>248</v>
      </c>
      <c r="D14" s="539" t="s">
        <v>347</v>
      </c>
      <c r="E14" s="542">
        <f>ROUND(E13-E12,0)</f>
        <v>-22156040</v>
      </c>
      <c r="F14" s="528"/>
      <c r="G14" s="390"/>
      <c r="H14" s="389"/>
      <c r="I14" s="443"/>
    </row>
    <row r="15" spans="1:9" ht="14.25" x14ac:dyDescent="0.2">
      <c r="B15" s="537">
        <f t="shared" si="0"/>
        <v>6</v>
      </c>
      <c r="C15" s="538" t="s">
        <v>348</v>
      </c>
      <c r="D15" s="539" t="s">
        <v>357</v>
      </c>
      <c r="E15" s="540">
        <f>IF(E14&lt;0,0,E14)</f>
        <v>0</v>
      </c>
      <c r="F15" s="528"/>
      <c r="G15" s="443"/>
      <c r="I15" s="443"/>
    </row>
    <row r="16" spans="1:9" ht="14.25" x14ac:dyDescent="0.2">
      <c r="B16" s="537">
        <f t="shared" si="0"/>
        <v>7</v>
      </c>
      <c r="C16" s="538" t="s">
        <v>247</v>
      </c>
      <c r="D16" s="539" t="s">
        <v>354</v>
      </c>
      <c r="E16" s="543">
        <f>+F42</f>
        <v>0.75243099999999996</v>
      </c>
      <c r="F16" s="528"/>
    </row>
    <row r="17" spans="2:20" ht="14.25" x14ac:dyDescent="0.2">
      <c r="B17" s="544">
        <f t="shared" si="0"/>
        <v>8</v>
      </c>
      <c r="C17" s="545" t="s">
        <v>349</v>
      </c>
      <c r="D17" s="546" t="s">
        <v>350</v>
      </c>
      <c r="E17" s="547">
        <f>ROUND(+E15/E16,0)</f>
        <v>0</v>
      </c>
      <c r="F17" s="528"/>
    </row>
    <row r="18" spans="2:20" ht="14.25" x14ac:dyDescent="0.2">
      <c r="B18" s="548"/>
      <c r="C18" s="549"/>
      <c r="D18" s="549"/>
      <c r="E18" s="550"/>
      <c r="F18" s="528"/>
    </row>
    <row r="19" spans="2:20" ht="14.25" x14ac:dyDescent="0.2">
      <c r="B19" s="551"/>
      <c r="C19" s="552" t="s">
        <v>351</v>
      </c>
      <c r="D19" s="552"/>
      <c r="E19" s="553">
        <f>E13/E10</f>
        <v>6.9385674183814555E-2</v>
      </c>
      <c r="F19" s="528"/>
    </row>
    <row r="24" spans="2:20" x14ac:dyDescent="0.2">
      <c r="C24" s="275" t="s">
        <v>361</v>
      </c>
    </row>
    <row r="25" spans="2:20" x14ac:dyDescent="0.2">
      <c r="C25" s="564">
        <v>2024</v>
      </c>
      <c r="D25" s="554"/>
      <c r="E25" s="554"/>
      <c r="F25" s="565"/>
      <c r="J25" s="170" t="s">
        <v>353</v>
      </c>
      <c r="K25" s="170" t="s">
        <v>367</v>
      </c>
    </row>
    <row r="26" spans="2:20" x14ac:dyDescent="0.2">
      <c r="C26" s="566" t="s">
        <v>362</v>
      </c>
      <c r="D26" s="555">
        <v>0.51</v>
      </c>
      <c r="E26" s="555">
        <v>0.05</v>
      </c>
      <c r="F26" s="556">
        <v>2.5499999999999998E-2</v>
      </c>
      <c r="I26" s="388">
        <v>2024</v>
      </c>
      <c r="J26" s="170" t="s">
        <v>352</v>
      </c>
      <c r="K26" s="170" t="s">
        <v>368</v>
      </c>
    </row>
    <row r="27" spans="2:20" ht="14.25" x14ac:dyDescent="0.2">
      <c r="C27" s="566" t="s">
        <v>290</v>
      </c>
      <c r="D27" s="555">
        <v>0.49</v>
      </c>
      <c r="E27" s="555">
        <v>9.4E-2</v>
      </c>
      <c r="F27" s="556">
        <v>4.6100000000000002E-2</v>
      </c>
      <c r="I27" s="581">
        <f>+F28</f>
        <v>7.1599999999999997E-2</v>
      </c>
      <c r="J27" s="526">
        <v>5.0000000000000001E-3</v>
      </c>
      <c r="K27" s="582">
        <f>J27+I27</f>
        <v>7.6600000000000001E-2</v>
      </c>
    </row>
    <row r="28" spans="2:20" x14ac:dyDescent="0.2">
      <c r="C28" s="566" t="s">
        <v>31</v>
      </c>
      <c r="D28" s="557">
        <v>1</v>
      </c>
      <c r="E28" s="554"/>
      <c r="F28" s="558">
        <v>7.1599999999999997E-2</v>
      </c>
    </row>
    <row r="29" spans="2:20" x14ac:dyDescent="0.2">
      <c r="C29" s="566"/>
      <c r="D29" s="559"/>
      <c r="E29" s="559"/>
      <c r="F29" s="560"/>
      <c r="G29"/>
      <c r="H29"/>
      <c r="I29"/>
      <c r="L29"/>
      <c r="M29"/>
      <c r="N29"/>
      <c r="O29"/>
      <c r="P29"/>
      <c r="Q29"/>
      <c r="R29"/>
      <c r="S29"/>
      <c r="T29"/>
    </row>
    <row r="30" spans="2:20" x14ac:dyDescent="0.2">
      <c r="C30" s="566" t="s">
        <v>363</v>
      </c>
      <c r="D30" s="555">
        <v>0.51</v>
      </c>
      <c r="E30" s="555">
        <v>3.9500000000000007E-2</v>
      </c>
      <c r="F30" s="556">
        <v>2.01E-2</v>
      </c>
      <c r="G30"/>
      <c r="H30"/>
      <c r="I30"/>
      <c r="L30"/>
      <c r="M30"/>
      <c r="N30"/>
      <c r="O30"/>
      <c r="P30"/>
      <c r="Q30"/>
      <c r="R30"/>
      <c r="S30"/>
      <c r="T30"/>
    </row>
    <row r="31" spans="2:20" x14ac:dyDescent="0.2">
      <c r="C31" s="566" t="s">
        <v>290</v>
      </c>
      <c r="D31" s="555">
        <v>0.49</v>
      </c>
      <c r="E31" s="555">
        <v>9.4E-2</v>
      </c>
      <c r="F31" s="556">
        <v>4.6100000000000002E-2</v>
      </c>
      <c r="G31"/>
      <c r="H31"/>
      <c r="I31"/>
      <c r="L31"/>
      <c r="M31"/>
      <c r="N31"/>
      <c r="O31"/>
      <c r="P31"/>
      <c r="Q31"/>
      <c r="R31"/>
      <c r="S31"/>
      <c r="T31"/>
    </row>
    <row r="32" spans="2:20" x14ac:dyDescent="0.2">
      <c r="C32" s="567" t="s">
        <v>291</v>
      </c>
      <c r="D32" s="561">
        <v>1</v>
      </c>
      <c r="E32" s="562"/>
      <c r="F32" s="563">
        <v>6.6200000000000009E-2</v>
      </c>
      <c r="G32"/>
      <c r="H32"/>
      <c r="I32"/>
      <c r="L32"/>
      <c r="M32"/>
      <c r="N32"/>
      <c r="O32"/>
      <c r="P32"/>
      <c r="Q32"/>
      <c r="R32"/>
      <c r="S32"/>
      <c r="T32"/>
    </row>
    <row r="33" spans="3:20" ht="13.5" thickBot="1" x14ac:dyDescent="0.25">
      <c r="G33"/>
      <c r="H33"/>
      <c r="I33"/>
      <c r="L33"/>
      <c r="M33"/>
      <c r="N33"/>
      <c r="O33"/>
      <c r="P33"/>
      <c r="Q33"/>
      <c r="R33"/>
      <c r="S33"/>
      <c r="T33"/>
    </row>
    <row r="34" spans="3:20" x14ac:dyDescent="0.2">
      <c r="C34" s="568" t="s">
        <v>77</v>
      </c>
      <c r="D34" s="569"/>
      <c r="E34" s="569"/>
      <c r="F34" s="570">
        <v>4.1980000000000003E-3</v>
      </c>
      <c r="G34"/>
      <c r="H34"/>
      <c r="I34"/>
      <c r="L34"/>
      <c r="M34"/>
      <c r="N34"/>
      <c r="O34"/>
      <c r="P34"/>
      <c r="Q34"/>
      <c r="R34"/>
      <c r="S34"/>
      <c r="T34"/>
    </row>
    <row r="35" spans="3:20" x14ac:dyDescent="0.2">
      <c r="C35" s="571" t="s">
        <v>151</v>
      </c>
      <c r="D35" s="572"/>
      <c r="E35" s="572"/>
      <c r="F35" s="573">
        <v>5.0000000000000001E-3</v>
      </c>
      <c r="G35"/>
      <c r="H35"/>
      <c r="I35"/>
      <c r="L35"/>
      <c r="M35"/>
      <c r="N35"/>
      <c r="O35"/>
      <c r="P35"/>
      <c r="Q35"/>
      <c r="R35"/>
      <c r="S35"/>
      <c r="T35"/>
    </row>
    <row r="36" spans="3:20" x14ac:dyDescent="0.2">
      <c r="C36" s="571" t="s">
        <v>364</v>
      </c>
      <c r="D36" s="559"/>
      <c r="E36" s="574">
        <v>3.8519999999999999E-2</v>
      </c>
      <c r="F36" s="575">
        <v>3.8358000000000003E-2</v>
      </c>
      <c r="G36"/>
      <c r="H36"/>
      <c r="I36"/>
      <c r="L36"/>
      <c r="M36"/>
      <c r="N36"/>
      <c r="O36"/>
      <c r="P36"/>
      <c r="Q36"/>
      <c r="R36"/>
      <c r="S36"/>
      <c r="T36"/>
    </row>
    <row r="37" spans="3:20" x14ac:dyDescent="0.2">
      <c r="C37" s="571"/>
      <c r="D37" s="572"/>
      <c r="E37" s="572"/>
      <c r="F37" s="573"/>
      <c r="G37"/>
      <c r="H37"/>
      <c r="I37"/>
      <c r="L37"/>
      <c r="M37"/>
      <c r="N37"/>
      <c r="O37"/>
      <c r="P37"/>
      <c r="Q37"/>
      <c r="R37"/>
      <c r="S37"/>
      <c r="T37"/>
    </row>
    <row r="38" spans="3:20" x14ac:dyDescent="0.2">
      <c r="C38" s="571" t="s">
        <v>160</v>
      </c>
      <c r="D38" s="572"/>
      <c r="E38" s="572"/>
      <c r="F38" s="573">
        <v>4.7556000000000001E-2</v>
      </c>
      <c r="G38"/>
      <c r="H38"/>
      <c r="I38"/>
    </row>
    <row r="39" spans="3:20" x14ac:dyDescent="0.2">
      <c r="C39" s="576"/>
      <c r="D39" s="572"/>
      <c r="E39" s="572"/>
      <c r="F39" s="573"/>
      <c r="G39"/>
      <c r="H39"/>
      <c r="I39"/>
    </row>
    <row r="40" spans="3:20" x14ac:dyDescent="0.2">
      <c r="C40" s="576" t="s">
        <v>365</v>
      </c>
      <c r="D40" s="572"/>
      <c r="E40" s="572"/>
      <c r="F40" s="573">
        <v>0.95244399999999996</v>
      </c>
      <c r="G40"/>
      <c r="H40"/>
      <c r="I40"/>
    </row>
    <row r="41" spans="3:20" x14ac:dyDescent="0.2">
      <c r="C41" s="571" t="s">
        <v>294</v>
      </c>
      <c r="D41" s="572"/>
      <c r="E41" s="577">
        <v>0.21</v>
      </c>
      <c r="F41" s="573">
        <v>0.200013</v>
      </c>
      <c r="G41"/>
      <c r="H41"/>
      <c r="I41"/>
    </row>
    <row r="42" spans="3:20" ht="13.5" thickBot="1" x14ac:dyDescent="0.25">
      <c r="C42" s="578" t="s">
        <v>366</v>
      </c>
      <c r="D42" s="579"/>
      <c r="E42" s="579"/>
      <c r="F42" s="580">
        <v>0.75243099999999996</v>
      </c>
    </row>
    <row r="43" spans="3:20" x14ac:dyDescent="0.2">
      <c r="C43"/>
      <c r="D43"/>
      <c r="E43"/>
      <c r="F43"/>
      <c r="G43"/>
      <c r="H43"/>
      <c r="I43"/>
      <c r="J43"/>
      <c r="K43"/>
    </row>
    <row r="44" spans="3:20" x14ac:dyDescent="0.2">
      <c r="C44"/>
      <c r="D44"/>
      <c r="E44"/>
      <c r="F44"/>
      <c r="G44"/>
      <c r="H44"/>
      <c r="I44"/>
      <c r="J44"/>
      <c r="K44"/>
    </row>
    <row r="45" spans="3:20" x14ac:dyDescent="0.2">
      <c r="C45"/>
      <c r="D45"/>
      <c r="E45"/>
      <c r="F45"/>
      <c r="G45"/>
      <c r="H45"/>
      <c r="I45"/>
      <c r="J45"/>
      <c r="K45"/>
    </row>
    <row r="46" spans="3:20" x14ac:dyDescent="0.2">
      <c r="C46"/>
      <c r="D46"/>
      <c r="E46"/>
      <c r="F46"/>
      <c r="G46"/>
      <c r="H46"/>
      <c r="I46"/>
      <c r="J46"/>
      <c r="K46"/>
    </row>
    <row r="47" spans="3:20" x14ac:dyDescent="0.2">
      <c r="C47"/>
      <c r="D47"/>
      <c r="E47"/>
      <c r="F47"/>
      <c r="G47"/>
      <c r="H47"/>
      <c r="I47"/>
      <c r="J47"/>
      <c r="K47"/>
    </row>
    <row r="48" spans="3:20" x14ac:dyDescent="0.2">
      <c r="C48"/>
      <c r="D48"/>
      <c r="E48"/>
      <c r="F48"/>
      <c r="G48"/>
      <c r="H48"/>
      <c r="I48"/>
      <c r="J48"/>
      <c r="K48"/>
    </row>
    <row r="49" spans="3:11" x14ac:dyDescent="0.2">
      <c r="C49"/>
      <c r="D49"/>
      <c r="E49"/>
      <c r="F49"/>
      <c r="G49"/>
      <c r="H49"/>
      <c r="I49"/>
      <c r="J49"/>
      <c r="K49"/>
    </row>
    <row r="50" spans="3:11" x14ac:dyDescent="0.2">
      <c r="C50"/>
      <c r="D50"/>
      <c r="E50"/>
      <c r="F50"/>
      <c r="G50"/>
      <c r="H50"/>
      <c r="I50"/>
      <c r="J50"/>
      <c r="K50"/>
    </row>
    <row r="51" spans="3:11" x14ac:dyDescent="0.2">
      <c r="C51"/>
      <c r="D51"/>
      <c r="E51"/>
      <c r="F51"/>
      <c r="G51"/>
      <c r="H51"/>
      <c r="I51"/>
      <c r="J51"/>
      <c r="K51"/>
    </row>
    <row r="52" spans="3:11" x14ac:dyDescent="0.2">
      <c r="C52"/>
      <c r="D52"/>
      <c r="E52"/>
      <c r="F52"/>
      <c r="G52"/>
      <c r="H52"/>
      <c r="I52"/>
      <c r="J52"/>
      <c r="K52"/>
    </row>
    <row r="53" spans="3:11" x14ac:dyDescent="0.2">
      <c r="C53"/>
      <c r="D53"/>
      <c r="E53"/>
      <c r="F53"/>
      <c r="G53"/>
      <c r="H53"/>
      <c r="I53"/>
      <c r="J53"/>
      <c r="K53"/>
    </row>
    <row r="54" spans="3:11" x14ac:dyDescent="0.2">
      <c r="C54"/>
      <c r="D54"/>
      <c r="E54"/>
      <c r="F54"/>
      <c r="G54"/>
      <c r="H54"/>
      <c r="I54"/>
      <c r="J54"/>
      <c r="K54"/>
    </row>
    <row r="55" spans="3:11" x14ac:dyDescent="0.2">
      <c r="C55"/>
      <c r="D55"/>
      <c r="E55"/>
      <c r="F55"/>
      <c r="G55"/>
      <c r="H55"/>
      <c r="I55"/>
      <c r="J55"/>
      <c r="K55"/>
    </row>
    <row r="56" spans="3:11" x14ac:dyDescent="0.2">
      <c r="C56"/>
      <c r="D56"/>
      <c r="E56"/>
      <c r="F56"/>
      <c r="G56"/>
      <c r="H56"/>
      <c r="I56"/>
      <c r="J56"/>
      <c r="K56"/>
    </row>
    <row r="57" spans="3:11" x14ac:dyDescent="0.2">
      <c r="C57"/>
      <c r="D57"/>
      <c r="E57"/>
      <c r="F57"/>
      <c r="G57"/>
      <c r="H57"/>
      <c r="I57"/>
      <c r="J57"/>
      <c r="K57"/>
    </row>
    <row r="58" spans="3:11" x14ac:dyDescent="0.2">
      <c r="C58"/>
      <c r="D58"/>
      <c r="E58"/>
      <c r="F58"/>
      <c r="G58"/>
      <c r="H58"/>
      <c r="I58"/>
      <c r="J58"/>
      <c r="K58"/>
    </row>
    <row r="59" spans="3:11" x14ac:dyDescent="0.2">
      <c r="C59"/>
      <c r="D59"/>
      <c r="E59"/>
      <c r="F59"/>
      <c r="G59"/>
      <c r="H59"/>
      <c r="I59"/>
      <c r="J59"/>
      <c r="K59"/>
    </row>
    <row r="60" spans="3:11" x14ac:dyDescent="0.2">
      <c r="C60"/>
      <c r="D60"/>
      <c r="E60"/>
      <c r="F60"/>
      <c r="G60"/>
      <c r="H60"/>
      <c r="I60"/>
      <c r="J60"/>
      <c r="K60"/>
    </row>
    <row r="61" spans="3:11" x14ac:dyDescent="0.2">
      <c r="C61"/>
      <c r="D61"/>
      <c r="E61"/>
      <c r="F61"/>
      <c r="G61"/>
      <c r="H61"/>
      <c r="I61"/>
      <c r="J61"/>
      <c r="K61"/>
    </row>
    <row r="62" spans="3:11" x14ac:dyDescent="0.2">
      <c r="C62"/>
      <c r="D62"/>
      <c r="E62"/>
      <c r="F62"/>
      <c r="G62"/>
      <c r="H62"/>
      <c r="I62"/>
      <c r="J62"/>
      <c r="K62"/>
    </row>
    <row r="63" spans="3:11" x14ac:dyDescent="0.2">
      <c r="C63"/>
      <c r="D63"/>
      <c r="E63"/>
      <c r="F63"/>
      <c r="G63"/>
      <c r="H63"/>
      <c r="I63"/>
      <c r="J63"/>
      <c r="K63"/>
    </row>
    <row r="64" spans="3:11" x14ac:dyDescent="0.2">
      <c r="C64"/>
      <c r="D64"/>
      <c r="E64"/>
      <c r="F64"/>
      <c r="G64"/>
      <c r="H64"/>
      <c r="I64"/>
      <c r="J64"/>
      <c r="K64"/>
    </row>
  </sheetData>
  <pageMargins left="0.7" right="0.7" top="0.75" bottom="0.75" header="0.3" footer="0.3"/>
  <pageSetup scale="70" orientation="landscape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4"/>
  <sheetViews>
    <sheetView zoomScale="145" zoomScaleNormal="145" workbookViewId="0">
      <selection activeCell="K20" sqref="K20"/>
    </sheetView>
  </sheetViews>
  <sheetFormatPr defaultColWidth="9.33203125" defaultRowHeight="11.25" x14ac:dyDescent="0.2"/>
  <cols>
    <col min="1" max="1" width="19.33203125" style="478" bestFit="1" customWidth="1"/>
    <col min="2" max="16384" width="9.33203125" style="478"/>
  </cols>
  <sheetData>
    <row r="1" spans="1:107" x14ac:dyDescent="0.2">
      <c r="A1" s="477" t="s">
        <v>300</v>
      </c>
      <c r="B1" s="478" t="s">
        <v>307</v>
      </c>
    </row>
    <row r="2" spans="1:107" x14ac:dyDescent="0.2">
      <c r="A2" s="477" t="s">
        <v>301</v>
      </c>
      <c r="B2" s="478" t="s">
        <v>358</v>
      </c>
    </row>
    <row r="3" spans="1:107" x14ac:dyDescent="0.2">
      <c r="A3" s="477" t="s">
        <v>302</v>
      </c>
      <c r="B3" s="478" t="s">
        <v>359</v>
      </c>
    </row>
    <row r="4" spans="1:107" x14ac:dyDescent="0.2">
      <c r="A4" s="477" t="s">
        <v>303</v>
      </c>
      <c r="B4" s="478" t="s">
        <v>309</v>
      </c>
    </row>
    <row r="5" spans="1:107" x14ac:dyDescent="0.2">
      <c r="A5" s="477" t="s">
        <v>304</v>
      </c>
      <c r="B5" s="478" t="s">
        <v>305</v>
      </c>
    </row>
    <row r="6" spans="1:107" x14ac:dyDescent="0.2">
      <c r="A6" s="478" t="s">
        <v>310</v>
      </c>
      <c r="B6" s="478">
        <f>+model!CC12</f>
        <v>2.9520000000000002E-3</v>
      </c>
    </row>
    <row r="7" spans="1:107" x14ac:dyDescent="0.2">
      <c r="A7" s="478" t="s">
        <v>306</v>
      </c>
      <c r="B7" s="478">
        <f>+model!CC13</f>
        <v>5.0000000000000001E-3</v>
      </c>
    </row>
    <row r="8" spans="1:107" x14ac:dyDescent="0.2">
      <c r="A8" s="478" t="s">
        <v>308</v>
      </c>
      <c r="B8" s="478">
        <f>+model!CC14</f>
        <v>3.8406000000000003E-2</v>
      </c>
    </row>
    <row r="9" spans="1:107" x14ac:dyDescent="0.2">
      <c r="A9" s="477" t="s">
        <v>294</v>
      </c>
      <c r="B9" s="478">
        <v>0.21</v>
      </c>
    </row>
    <row r="14" spans="1:107" x14ac:dyDescent="0.2">
      <c r="DC14" s="478" t="b">
        <v>0</v>
      </c>
    </row>
  </sheetData>
  <pageMargins left="0.7" right="0.7" top="0.75" bottom="0.75" header="0.3" footer="0.3"/>
  <pageSetup orientation="portrait" horizontalDpi="360" verticalDpi="360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FC112CBC298CC4D8D30AFC02D6F87A6" ma:contentTypeVersion="19" ma:contentTypeDescription="" ma:contentTypeScope="" ma:versionID="1e799e0b47f3798d776541c2d160076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250210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9557272-EA35-4359-89FA-13E53B3962D8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73DB076A-81DF-4270-B92D-E8AD9BA9FAB7}"/>
</file>

<file path=customXml/itemProps3.xml><?xml version="1.0" encoding="utf-8"?>
<ds:datastoreItem xmlns:ds="http://schemas.openxmlformats.org/officeDocument/2006/customXml" ds:itemID="{8DB2F0D4-FB0D-46E0-9381-75AD10DBADC2}"/>
</file>

<file path=customXml/itemProps4.xml><?xml version="1.0" encoding="utf-8"?>
<ds:datastoreItem xmlns:ds="http://schemas.openxmlformats.org/officeDocument/2006/customXml" ds:itemID="{05148CC4-3C44-4673-ADE4-FC1E3AD2CCD0}"/>
</file>

<file path=customXml/itemProps5.xml><?xml version="1.0" encoding="utf-8"?>
<ds:datastoreItem xmlns:ds="http://schemas.openxmlformats.org/officeDocument/2006/customXml" ds:itemID="{5BA7ECE5-A044-4098-A3A1-DFA3B8E88A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1.02 COC</vt:lpstr>
      <vt:lpstr>1.01 ROR ROE</vt:lpstr>
      <vt:lpstr>model</vt:lpstr>
      <vt:lpstr>Earnings Sharing-CBR to Adj CBR</vt:lpstr>
      <vt:lpstr>Inputs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COMMISSION BASIS REPORT</dc:title>
  <dc:subject>TWELVE MOS. ENDED 6/30/95</dc:subject>
  <dc:creator>Janna D. Greif</dc:creator>
  <cp:lastModifiedBy>Pham, Linh</cp:lastModifiedBy>
  <cp:lastPrinted>2018-03-21T23:27:54Z</cp:lastPrinted>
  <dcterms:created xsi:type="dcterms:W3CDTF">1997-10-13T22:59:17Z</dcterms:created>
  <dcterms:modified xsi:type="dcterms:W3CDTF">2025-03-31T16:07:11Z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#GS Dec 2019CBR.xlsx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0x0101006E56B4D1795A2E4DB2F0B01679ED314A00BFC112CBC298CC4D8D30AFC02D6F87A6</vt:lpwstr>
  </property>
  <property fmtid="{D5CDD505-2E9C-101B-9397-08002B2CF9AE}" pid="5" name="_docset_NoMedatataSyncRequired">
    <vt:lpwstr>False</vt:lpwstr>
  </property>
</Properties>
</file>