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BA19182D-825E-4DC1-AAF6-69930FA82C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2020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4" l="1"/>
  <c r="B33" i="4"/>
  <c r="E33" i="4" s="1"/>
  <c r="F16" i="3" l="1"/>
  <c r="B46" i="4" l="1"/>
  <c r="C3" i="4" l="1"/>
  <c r="G15" i="1" l="1"/>
  <c r="B1" i="3" l="1"/>
  <c r="H24" i="1"/>
  <c r="H1" i="3" l="1"/>
  <c r="H44" i="4" l="1"/>
  <c r="B1" i="4" l="1"/>
  <c r="A18" i="3"/>
  <c r="K1" i="3"/>
  <c r="B40" i="4" l="1"/>
  <c r="B42" i="4"/>
  <c r="B43" i="4"/>
  <c r="K2" i="3"/>
  <c r="B15" i="3" s="1"/>
  <c r="D15" i="3" s="1"/>
  <c r="E14" i="1" l="1"/>
  <c r="E10" i="1"/>
  <c r="E11" i="1"/>
  <c r="E13" i="1"/>
  <c r="E12" i="1"/>
  <c r="H10" i="1" l="1"/>
  <c r="B37" i="4" l="1"/>
  <c r="B8" i="3"/>
  <c r="G2" i="3"/>
  <c r="B3" i="3"/>
  <c r="D2" i="4"/>
  <c r="B3" i="4"/>
  <c r="B39" i="4" l="1"/>
  <c r="B41" i="4"/>
  <c r="B28" i="4" l="1"/>
  <c r="B21" i="4"/>
  <c r="B14" i="4"/>
  <c r="B5" i="4" l="1"/>
  <c r="C5" i="4" s="1"/>
  <c r="E5" i="4" s="1"/>
  <c r="B4" i="4"/>
  <c r="C4" i="4" s="1"/>
  <c r="E4" i="4" s="1"/>
  <c r="B4" i="3" l="1"/>
  <c r="C4" i="3" l="1"/>
  <c r="B36" i="4"/>
  <c r="B30" i="4" l="1"/>
  <c r="B6" i="4" l="1"/>
  <c r="C6" i="4" s="1"/>
  <c r="E6" i="4" s="1"/>
  <c r="C11" i="3" l="1"/>
  <c r="D4" i="3"/>
  <c r="B38" i="4" l="1"/>
  <c r="B35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4" i="4"/>
  <c r="B8" i="4"/>
  <c r="B7" i="4"/>
  <c r="B13" i="3"/>
  <c r="C13" i="3" s="1"/>
  <c r="B12" i="3"/>
  <c r="C12" i="3" s="1"/>
  <c r="B10" i="3"/>
  <c r="C10" i="3" s="1"/>
  <c r="B9" i="3"/>
  <c r="C9" i="3" s="1"/>
  <c r="B7" i="3"/>
  <c r="C7" i="3" s="1"/>
  <c r="C8" i="3"/>
  <c r="B5" i="3"/>
  <c r="B6" i="3"/>
  <c r="C6" i="3" s="1"/>
  <c r="B44" i="4" l="1"/>
  <c r="E20" i="1" s="1"/>
  <c r="C7" i="4"/>
  <c r="E7" i="4" s="1"/>
  <c r="B16" i="3"/>
  <c r="C5" i="3"/>
  <c r="B18" i="3"/>
  <c r="E21" i="1" l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5" i="4"/>
  <c r="E36" i="4"/>
  <c r="E37" i="4"/>
  <c r="E40" i="4"/>
  <c r="E41" i="4"/>
  <c r="E9" i="4"/>
  <c r="E10" i="4"/>
  <c r="E13" i="4"/>
  <c r="E14" i="4"/>
  <c r="E17" i="4"/>
  <c r="E18" i="4"/>
  <c r="E21" i="4"/>
  <c r="E22" i="4"/>
  <c r="E25" i="4"/>
  <c r="E26" i="4"/>
  <c r="E29" i="4"/>
  <c r="E30" i="4"/>
  <c r="E34" i="4"/>
  <c r="E38" i="4"/>
  <c r="E39" i="4"/>
  <c r="D5" i="3"/>
  <c r="D6" i="3"/>
  <c r="D7" i="3"/>
  <c r="D8" i="3"/>
  <c r="D9" i="3"/>
  <c r="D10" i="3"/>
  <c r="D11" i="3"/>
  <c r="D12" i="3"/>
  <c r="D13" i="3"/>
  <c r="D16" i="3" l="1"/>
  <c r="E44" i="4"/>
  <c r="G20" i="1" s="1"/>
  <c r="I20" i="1" s="1"/>
  <c r="E5" i="1"/>
  <c r="H12" i="1" l="1"/>
  <c r="H13" i="1"/>
  <c r="H14" i="1"/>
  <c r="H11" i="1" l="1"/>
  <c r="G21" i="1" l="1"/>
  <c r="I21" i="1" s="1"/>
  <c r="I22" i="1" s="1"/>
  <c r="G22" i="1" l="1"/>
  <c r="F21" i="1"/>
  <c r="F20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tc={D800AA5E-E434-4818-9140-9D7FD192B53C}</author>
    <author>Shahumyan, Zepure</author>
  </authors>
  <commentList>
    <comment ref="H37" authorId="0" shapeId="0" xr:uid="{D800AA5E-E434-4818-9140-9D7FD192B53C}">
      <text>
        <t>[Threaded comment]
Your version of Excel allows you to read this threaded comment; however, any edits to it will get removed if the file is opened in a newer version of Excel. Learn more: https://go.microsoft.com/fwlink/?linkid=870924
Comment:
    Grant County - Mid-C Hydro Priest Rapids &amp; Wanapum Dams</t>
      </text>
    </comment>
    <comment ref="B46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Shahumyan, Zepure:</t>
        </r>
        <r>
          <rPr>
            <sz val="9"/>
            <color indexed="81"/>
            <rFont val="Tahoma"/>
            <family val="2"/>
          </rPr>
          <t xml:space="preserve">
75%CAEW+25%CAGW
</t>
        </r>
      </text>
    </comment>
  </commentList>
</comments>
</file>

<file path=xl/sharedStrings.xml><?xml version="1.0" encoding="utf-8"?>
<sst xmlns="http://schemas.openxmlformats.org/spreadsheetml/2006/main" count="160" uniqueCount="115">
  <si>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</si>
  <si>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</si>
  <si>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</si>
  <si>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</si>
  <si>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</si>
  <si>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</si>
  <si>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</si>
  <si>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</si>
  <si>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</si>
  <si>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</si>
  <si>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</si>
  <si>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</si>
  <si>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</si>
  <si>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</si>
  <si>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</si>
  <si>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</si>
  <si>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</si>
  <si>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</si>
  <si>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</si>
  <si>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</si>
  <si>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</si>
  <si>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</si>
  <si>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</si>
  <si>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</si>
  <si>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</si>
  <si>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</si>
  <si>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</si>
  <si>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</si>
  <si>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</si>
  <si>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</si>
  <si>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</si>
  <si>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</si>
  <si>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</si>
  <si>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</si>
  <si>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</si>
  <si>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</si>
  <si>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</si>
  <si>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</si>
  <si>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</si>
  <si>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</si>
  <si>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</si>
  <si>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</si>
  <si>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</si>
  <si>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</si>
  <si>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</si>
  <si>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</si>
  <si>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</si>
  <si>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</si>
  <si>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</si>
  <si>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</si>
  <si>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</si>
  <si>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</si>
  <si>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</si>
  <si>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</si>
  <si>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</si>
  <si>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</si>
  <si>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</si>
  <si>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</si>
  <si>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</si>
  <si>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</si>
  <si>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</si>
  <si>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</si>
  <si>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</si>
  <si>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</si>
  <si>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</si>
  <si>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</si>
  <si>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</si>
  <si>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</si>
  <si>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</si>
  <si>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</si>
  <si>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</si>
  <si>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</si>
  <si>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</si>
  <si>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</si>
  <si>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</si>
  <si>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</si>
  <si>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</si>
  <si>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</si>
  <si>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</si>
  <si>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</si>
  <si>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</si>
  <si>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</si>
  <si>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</si>
  <si>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</si>
  <si>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</si>
  <si>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</si>
  <si>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</si>
  <si>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</si>
  <si>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</si>
  <si>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</si>
  <si>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</si>
  <si>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</si>
  <si>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</si>
  <si>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</si>
  <si>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</si>
  <si>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</si>
  <si>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</si>
  <si>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</si>
  <si>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</si>
  <si>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</si>
  <si>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</si>
  <si>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</si>
  <si>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MT to lbs Converstion</t>
  </si>
  <si>
    <t>MT CO2e / MWh</t>
  </si>
  <si>
    <t>Dept. of Ecology Unspecified Electricity EF =</t>
  </si>
  <si>
    <t>Summary Energy and Emissions Intensity Report - 2020</t>
  </si>
  <si>
    <t>Annual (Unallocated) MWh 2020</t>
  </si>
  <si>
    <t>TOTAL GHG Content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</si>
  <si>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</si>
  <si>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Transmission Loss Factor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</si>
  <si>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</si>
  <si>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Updated 5/13/2021</t>
  </si>
  <si>
    <t>2020 Washington - WCA Allocation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</si>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</sst>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_(* #,##0.00000_);_(* \(#,##0.00000\);_(* &quot;-&quot;??_);_(@_)"/>
    <numFmt numFmtId="178" formatCode="0.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/>
    <xf numFmtId="0" fontId="45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5" fillId="0" borderId="0"/>
    <xf numFmtId="5" fontId="45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5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6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7" fillId="0" borderId="0"/>
    <xf numFmtId="0" fontId="11" fillId="0" borderId="0"/>
    <xf numFmtId="0" fontId="36" fillId="0" borderId="0"/>
    <xf numFmtId="37" fontId="45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5" fillId="0" borderId="0"/>
    <xf numFmtId="0" fontId="45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/>
    <xf numFmtId="37" fontId="49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5" fillId="0" borderId="41"/>
    <xf numFmtId="0" fontId="45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165" fontId="33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7" fillId="0" borderId="1" xfId="0" applyFont="1" applyBorder="1"/>
    <xf numFmtId="0" fontId="38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" fontId="33" fillId="0" borderId="2" xfId="0" applyNumberFormat="1" applyFont="1" applyBorder="1"/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/>
    <xf numFmtId="165" fontId="2" fillId="0" borderId="29" xfId="0" applyNumberFormat="1" applyFont="1" applyBorder="1"/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51" fillId="0" borderId="0" xfId="0" applyFont="1"/>
    <xf numFmtId="10" fontId="0" fillId="0" borderId="0" xfId="2" applyNumberFormat="1" applyFont="1" applyAlignment="1"/>
    <xf numFmtId="171" fontId="33" fillId="36" borderId="0" xfId="31" applyNumberFormat="1" applyFont="1" applyFill="1" applyBorder="1" applyAlignment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171" fontId="0" fillId="0" borderId="22" xfId="2" applyNumberFormat="1" applyFont="1" applyFill="1" applyBorder="1"/>
    <xf numFmtId="171" fontId="33" fillId="0" borderId="0" xfId="31" applyNumberFormat="1" applyFont="1" applyFill="1" applyBorder="1" applyAlignment="1"/>
    <xf numFmtId="9" fontId="0" fillId="0" borderId="0" xfId="2" applyFont="1" applyAlignment="1"/>
    <xf numFmtId="177" fontId="0" fillId="0" borderId="0" xfId="0" applyNumberFormat="1"/>
    <xf numFmtId="165" fontId="0" fillId="0" borderId="0" xfId="1" applyNumberFormat="1" applyFont="1" applyFill="1" applyAlignment="1">
      <alignment horizontal="right"/>
    </xf>
    <xf numFmtId="0" fontId="53" fillId="0" borderId="0" xfId="0" applyFont="1"/>
    <xf numFmtId="165" fontId="33" fillId="2" borderId="45" xfId="1" applyNumberFormat="1" applyFont="1" applyFill="1" applyBorder="1"/>
    <xf numFmtId="3" fontId="50" fillId="2" borderId="2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78" fontId="2" fillId="0" borderId="4" xfId="2" applyNumberFormat="1" applyFont="1" applyBorder="1" applyAlignment="1">
      <alignment horizontal="center" wrapText="1"/>
    </xf>
    <xf numFmtId="171" fontId="0" fillId="2" borderId="10" xfId="2" applyNumberFormat="1" applyFont="1" applyFill="1" applyBorder="1"/>
    <xf numFmtId="171" fontId="0" fillId="2" borderId="22" xfId="2" applyNumberFormat="1" applyFont="1" applyFill="1" applyBorder="1"/>
    <xf numFmtId="0" fontId="0" fillId="37" borderId="0" xfId="0" applyFill="1" applyAlignment="1">
      <alignment horizontal="center"/>
    </xf>
    <xf numFmtId="37" fontId="33" fillId="37" borderId="2" xfId="1" applyNumberFormat="1" applyFont="1" applyFill="1" applyBorder="1" applyAlignment="1">
      <alignment horizontal="center" vertical="center"/>
    </xf>
    <xf numFmtId="165" fontId="33" fillId="37" borderId="2" xfId="1" applyNumberFormat="1" applyFont="1" applyFill="1" applyBorder="1" applyAlignment="1"/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65" fontId="0" fillId="0" borderId="48" xfId="1" applyNumberFormat="1" applyFont="1" applyBorder="1" applyAlignment="1">
      <alignment horizontal="center"/>
    </xf>
    <xf numFmtId="165" fontId="2" fillId="0" borderId="48" xfId="1" applyNumberFormat="1" applyFont="1" applyBorder="1" applyAlignment="1">
      <alignment horizontal="center"/>
    </xf>
    <xf numFmtId="165" fontId="2" fillId="0" borderId="49" xfId="0" applyNumberFormat="1" applyFont="1" applyBorder="1"/>
    <xf numFmtId="0" fontId="0" fillId="0" borderId="3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humyan, Zepure (PacifiCorp)" id="{BF3213C8-9693-4FF3-8605-FF7720C393FD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7" dT="2021-05-10T23:05:46.68" personId="{BF3213C8-9693-4FF3-8605-FF7720C393FD}" id="{D800AA5E-E434-4818-9140-9D7FD192B53C}">
    <text>Grant County - Mid-C Hydro Priest Rapids &amp; Wanapum Dams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Normal="10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20.54296875" bestFit="1" customWidth="1"/>
    <col min="11" max="11" width="9.7265625" bestFit="1" customWidth="1"/>
    <col min="12" max="12" width="14.54296875" customWidth="1"/>
  </cols>
  <sheetData>
    <row r="1" spans="2:8" ht="18.5">
      <c r="B1" s="1" t="s">
        <v>105</v>
      </c>
    </row>
    <row r="2" spans="2:8" ht="15" thickBot="1"/>
    <row r="3" spans="2:8">
      <c r="B3" s="36"/>
      <c r="C3" s="37" t="s">
        <v>11</v>
      </c>
      <c r="D3" s="38" t="s">
        <v>39</v>
      </c>
      <c r="E3" s="39"/>
      <c r="F3" s="2"/>
    </row>
    <row r="4" spans="2:8">
      <c r="B4" s="118" t="s">
        <v>12</v>
      </c>
      <c r="C4" s="120"/>
      <c r="D4" s="22">
        <v>2020</v>
      </c>
      <c r="E4" s="41" t="s">
        <v>35</v>
      </c>
      <c r="F4" s="2"/>
    </row>
    <row r="5" spans="2:8" ht="15" thickBot="1">
      <c r="B5" s="115" t="s">
        <v>17</v>
      </c>
      <c r="C5" s="117"/>
      <c r="D5" s="102">
        <v>308836</v>
      </c>
      <c r="E5" s="69">
        <f>+E15/D5</f>
        <v>14.434140116187923</v>
      </c>
    </row>
    <row r="6" spans="2:8">
      <c r="D6" s="12"/>
      <c r="F6" s="11"/>
    </row>
    <row r="7" spans="2:8" ht="19" thickBot="1">
      <c r="C7" s="35" t="s">
        <v>32</v>
      </c>
      <c r="D7" s="12"/>
      <c r="F7" s="11"/>
    </row>
    <row r="8" spans="2:8">
      <c r="B8" s="25"/>
      <c r="C8" s="26"/>
      <c r="D8" s="26"/>
      <c r="E8" s="26"/>
      <c r="F8" s="26"/>
      <c r="G8" s="27" t="s">
        <v>16</v>
      </c>
      <c r="H8" s="48" t="s">
        <v>36</v>
      </c>
    </row>
    <row r="9" spans="2:8">
      <c r="B9" s="28"/>
      <c r="C9" s="7"/>
      <c r="D9" s="7"/>
      <c r="E9" s="9" t="s">
        <v>10</v>
      </c>
      <c r="F9" s="18" t="s">
        <v>24</v>
      </c>
      <c r="G9" s="14" t="s">
        <v>31</v>
      </c>
      <c r="H9" s="49" t="s">
        <v>16</v>
      </c>
    </row>
    <row r="10" spans="2:8">
      <c r="B10" s="118" t="s">
        <v>8</v>
      </c>
      <c r="C10" s="119"/>
      <c r="D10" s="120"/>
      <c r="E10" s="46">
        <f>+$E$15*F10</f>
        <v>1730908.6633539395</v>
      </c>
      <c r="F10" s="8">
        <v>0.38828920429930847</v>
      </c>
      <c r="G10" s="46">
        <v>111293</v>
      </c>
      <c r="H10" s="83">
        <f>+E10/G10</f>
        <v>15.552718170540281</v>
      </c>
    </row>
    <row r="11" spans="2:8">
      <c r="B11" s="118" t="s">
        <v>13</v>
      </c>
      <c r="C11" s="119"/>
      <c r="D11" s="120"/>
      <c r="E11" s="46">
        <f t="shared" ref="E11:E14" si="0">+$E$15*F11</f>
        <v>1647356.0636858065</v>
      </c>
      <c r="F11" s="8">
        <v>0.36954611685099975</v>
      </c>
      <c r="G11" s="46">
        <v>16519</v>
      </c>
      <c r="H11" s="50">
        <f>+E11/G11</f>
        <v>99.724926671457496</v>
      </c>
    </row>
    <row r="12" spans="2:8">
      <c r="B12" s="118" t="s">
        <v>14</v>
      </c>
      <c r="C12" s="119"/>
      <c r="D12" s="120"/>
      <c r="E12" s="46">
        <f t="shared" si="0"/>
        <v>878179.20172384637</v>
      </c>
      <c r="F12" s="8">
        <v>0.19699913154795298</v>
      </c>
      <c r="G12" s="46">
        <v>473</v>
      </c>
      <c r="H12" s="50">
        <f>+E12/G12</f>
        <v>1856.6156484647915</v>
      </c>
    </row>
    <row r="13" spans="2:8">
      <c r="B13" s="118" t="s">
        <v>37</v>
      </c>
      <c r="C13" s="119"/>
      <c r="D13" s="120"/>
      <c r="E13" s="46">
        <f t="shared" si="0"/>
        <v>196491.38512995778</v>
      </c>
      <c r="F13" s="8">
        <v>4.4078283966725536E-2</v>
      </c>
      <c r="G13" s="46">
        <v>5039</v>
      </c>
      <c r="H13" s="50">
        <f>+E13/G13</f>
        <v>38.994122867624085</v>
      </c>
    </row>
    <row r="14" spans="2:8">
      <c r="B14" s="121" t="s">
        <v>38</v>
      </c>
      <c r="C14" s="122"/>
      <c r="D14" s="123"/>
      <c r="E14" s="46">
        <f t="shared" si="0"/>
        <v>4846.7830294626638</v>
      </c>
      <c r="F14" s="8">
        <v>1.0872633350132027E-3</v>
      </c>
      <c r="G14" s="46">
        <v>218</v>
      </c>
      <c r="H14" s="50">
        <f>+E14/G14</f>
        <v>22.232949676434238</v>
      </c>
    </row>
    <row r="15" spans="2:8" ht="15" thickBot="1">
      <c r="B15" s="30"/>
      <c r="C15" s="43" t="s">
        <v>9</v>
      </c>
      <c r="D15" s="44"/>
      <c r="E15" s="40">
        <v>4457782.0969230132</v>
      </c>
      <c r="F15" s="45"/>
      <c r="G15" s="47">
        <f>SUM(G10:G14)</f>
        <v>133542</v>
      </c>
      <c r="H15" s="51"/>
    </row>
    <row r="17" spans="2:11" ht="19" thickBot="1">
      <c r="C17" s="35" t="s">
        <v>33</v>
      </c>
    </row>
    <row r="18" spans="2:11">
      <c r="B18" s="25"/>
      <c r="C18" s="26"/>
      <c r="D18" s="26"/>
      <c r="E18" s="26"/>
      <c r="F18" s="27" t="s">
        <v>25</v>
      </c>
      <c r="G18" s="31" t="s">
        <v>3</v>
      </c>
      <c r="H18" s="32"/>
      <c r="I18" s="110" t="s">
        <v>113</v>
      </c>
    </row>
    <row r="19" spans="2:11" ht="16.5">
      <c r="B19" s="33"/>
      <c r="E19" s="18" t="s">
        <v>15</v>
      </c>
      <c r="F19" s="14" t="s">
        <v>26</v>
      </c>
      <c r="G19" s="10" t="s">
        <v>114</v>
      </c>
      <c r="H19" s="29"/>
      <c r="I19" s="111" t="s">
        <v>114</v>
      </c>
    </row>
    <row r="20" spans="2:11" ht="15" thickBot="1">
      <c r="B20" s="118" t="s">
        <v>29</v>
      </c>
      <c r="C20" s="119"/>
      <c r="D20" s="120"/>
      <c r="E20" s="71">
        <f>'Known Resources'!B44</f>
        <v>3519548.350164894</v>
      </c>
      <c r="F20" s="8">
        <f>+E20/(E20+E21)</f>
        <v>0.79608883656592966</v>
      </c>
      <c r="G20" s="71">
        <f>'Known Resources'!E44</f>
        <v>2463075.5845840657</v>
      </c>
      <c r="H20" s="70"/>
      <c r="I20" s="112">
        <f>G20*0.907185</f>
        <v>2234465.2242008955</v>
      </c>
    </row>
    <row r="21" spans="2:11" ht="16.5">
      <c r="B21" s="118" t="s">
        <v>30</v>
      </c>
      <c r="C21" s="119"/>
      <c r="D21" s="120"/>
      <c r="E21" s="72">
        <f>'Unknown Resources'!B16</f>
        <v>901501.39768371265</v>
      </c>
      <c r="F21" s="34">
        <f>+E21/(E20+E21)</f>
        <v>0.20391116343407034</v>
      </c>
      <c r="G21" s="73">
        <f>'Unknown Resources'!D16</f>
        <v>434261.7604824804</v>
      </c>
      <c r="H21" s="42" t="s">
        <v>34</v>
      </c>
      <c r="I21" s="113">
        <f>G21*0.907185</f>
        <v>393955.75518329901</v>
      </c>
      <c r="J21" s="99"/>
      <c r="K21" s="98"/>
    </row>
    <row r="22" spans="2:11" ht="17" thickBot="1">
      <c r="B22" s="115" t="s">
        <v>107</v>
      </c>
      <c r="C22" s="116"/>
      <c r="D22" s="117"/>
      <c r="E22" s="43">
        <v>2020</v>
      </c>
      <c r="F22" s="78" t="s">
        <v>108</v>
      </c>
      <c r="G22" s="79">
        <f>SUM(G20:G21)</f>
        <v>2897337.345066546</v>
      </c>
      <c r="H22" s="85">
        <f>+G22/H24</f>
        <v>1.2076878471923573</v>
      </c>
      <c r="I22" s="114">
        <f>SUM(I20:I21)</f>
        <v>2628420.9793841946</v>
      </c>
      <c r="J22" s="13"/>
      <c r="K22" s="98"/>
    </row>
    <row r="23" spans="2:11">
      <c r="E23" s="2"/>
    </row>
    <row r="24" spans="2:11" ht="16.5">
      <c r="E24" s="52"/>
      <c r="G24" s="13" t="s">
        <v>23</v>
      </c>
      <c r="H24" s="19">
        <f>H30</f>
        <v>2399078</v>
      </c>
      <c r="I24" s="17"/>
    </row>
    <row r="26" spans="2:11">
      <c r="F26" s="17" t="s">
        <v>18</v>
      </c>
      <c r="G26" s="15"/>
      <c r="H26" s="15"/>
    </row>
    <row r="27" spans="2:11">
      <c r="F27" s="15"/>
      <c r="G27" s="15"/>
      <c r="H27" s="74" t="s">
        <v>22</v>
      </c>
    </row>
    <row r="28" spans="2:11" ht="16.5">
      <c r="F28" s="15"/>
      <c r="G28" s="15"/>
      <c r="H28" s="75" t="s">
        <v>2</v>
      </c>
    </row>
    <row r="29" spans="2:11">
      <c r="F29" s="15"/>
      <c r="G29" s="16" t="s">
        <v>19</v>
      </c>
      <c r="H29" s="76">
        <v>1131957</v>
      </c>
    </row>
    <row r="30" spans="2:11">
      <c r="F30" s="15"/>
      <c r="G30" s="16" t="s">
        <v>20</v>
      </c>
      <c r="H30" s="76">
        <v>2399078</v>
      </c>
    </row>
    <row r="31" spans="2:11">
      <c r="F31" s="15"/>
      <c r="G31" s="16" t="s">
        <v>21</v>
      </c>
      <c r="H31" s="76">
        <v>6946064</v>
      </c>
    </row>
    <row r="32" spans="2:11">
      <c r="H32" s="77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8"/>
  <sheetViews>
    <sheetView zoomScale="90" zoomScaleNormal="90" workbookViewId="0"/>
  </sheetViews>
  <sheetFormatPr defaultRowHeight="14.5"/>
  <cols>
    <col min="1" max="1" width="46.26953125" bestFit="1" customWidth="1"/>
    <col min="2" max="5" width="14.81640625" customWidth="1"/>
    <col min="6" max="6" width="23.81640625" style="2" customWidth="1"/>
    <col min="7" max="7" width="31.453125" style="2" customWidth="1"/>
    <col min="8" max="8" width="9.453125" style="2" customWidth="1"/>
    <col min="9" max="9" width="10.54296875" customWidth="1"/>
  </cols>
  <sheetData>
    <row r="1" spans="1:10" ht="18.5">
      <c r="A1" s="1" t="s">
        <v>7</v>
      </c>
      <c r="B1" s="21">
        <f>'Summary 2020'!D4</f>
        <v>2020</v>
      </c>
      <c r="I1" s="105">
        <v>0.22891243465155542</v>
      </c>
      <c r="J1" s="32" t="s">
        <v>95</v>
      </c>
    </row>
    <row r="2" spans="1:10" ht="30">
      <c r="A2" s="1"/>
      <c r="B2" s="5" t="s">
        <v>27</v>
      </c>
      <c r="C2" s="103" t="s">
        <v>109</v>
      </c>
      <c r="D2" s="5">
        <f>B1</f>
        <v>2020</v>
      </c>
      <c r="E2" s="5" t="s">
        <v>3</v>
      </c>
      <c r="G2" s="107" t="s">
        <v>111</v>
      </c>
      <c r="H2" s="107"/>
      <c r="I2" s="106">
        <v>0.22377867191912754</v>
      </c>
      <c r="J2" s="29" t="s">
        <v>94</v>
      </c>
    </row>
    <row r="3" spans="1:10" ht="19" thickBot="1">
      <c r="A3" s="3" t="s">
        <v>0</v>
      </c>
      <c r="B3" s="6">
        <f>B1</f>
        <v>2020</v>
      </c>
      <c r="C3" s="104">
        <f>3.503%</f>
        <v>3.5029999999999999E-2</v>
      </c>
      <c r="D3" s="6" t="s">
        <v>110</v>
      </c>
      <c r="E3" s="6" t="s">
        <v>5</v>
      </c>
      <c r="F3" s="4"/>
      <c r="G3" s="2" t="s">
        <v>106</v>
      </c>
      <c r="H3" s="2" t="s">
        <v>97</v>
      </c>
      <c r="I3" s="89">
        <v>1</v>
      </c>
      <c r="J3" s="90" t="s">
        <v>96</v>
      </c>
    </row>
    <row r="4" spans="1:10">
      <c r="A4" s="54" t="s">
        <v>44</v>
      </c>
      <c r="B4" s="55">
        <f>G4*$I$1</f>
        <v>85338.532421879921</v>
      </c>
      <c r="C4" s="55">
        <f>B4*(1+$C$3)</f>
        <v>88327.94121261836</v>
      </c>
      <c r="D4" s="55">
        <v>2317.0631329164471</v>
      </c>
      <c r="E4" s="62">
        <f>(+C4*D4)/2000</f>
        <v>102330.70809508464</v>
      </c>
      <c r="F4" s="2" t="s">
        <v>78</v>
      </c>
      <c r="G4" s="108">
        <v>372799.89858034591</v>
      </c>
      <c r="H4" s="108"/>
      <c r="I4" s="93"/>
    </row>
    <row r="5" spans="1:10">
      <c r="A5" s="54" t="s">
        <v>43</v>
      </c>
      <c r="B5" s="55">
        <f>G5*$I$1</f>
        <v>1598318.4191302087</v>
      </c>
      <c r="C5" s="55">
        <f t="shared" ref="C5:C7" si="0">B5*(1+$C$3)</f>
        <v>1654307.5133523396</v>
      </c>
      <c r="D5" s="55">
        <v>2365.9263631708982</v>
      </c>
      <c r="E5" s="62">
        <f t="shared" ref="E5:E7" si="1">(+C5*D5)/2000</f>
        <v>1956984.8793159963</v>
      </c>
      <c r="F5" s="2" t="s">
        <v>78</v>
      </c>
      <c r="G5" s="108">
        <v>6982226.2891184902</v>
      </c>
      <c r="H5" s="108">
        <v>4947.2492954460004</v>
      </c>
      <c r="I5" s="93"/>
    </row>
    <row r="6" spans="1:10">
      <c r="A6" s="54" t="s">
        <v>42</v>
      </c>
      <c r="B6" s="55">
        <f>G6*$I$1</f>
        <v>551111.035759878</v>
      </c>
      <c r="C6" s="55">
        <f t="shared" si="0"/>
        <v>570416.45534254645</v>
      </c>
      <c r="D6" s="55">
        <v>882.20316009645114</v>
      </c>
      <c r="E6" s="62">
        <f t="shared" si="1"/>
        <v>251611.59973710534</v>
      </c>
      <c r="F6" s="2" t="s">
        <v>79</v>
      </c>
      <c r="G6" s="108">
        <v>2407519</v>
      </c>
      <c r="H6" s="108">
        <v>101770.03908560323</v>
      </c>
      <c r="I6" s="93"/>
    </row>
    <row r="7" spans="1:10">
      <c r="A7" s="54" t="s">
        <v>93</v>
      </c>
      <c r="B7" s="55">
        <f t="shared" ref="B7" si="2">G7*$I$1</f>
        <v>332728.57310229418</v>
      </c>
      <c r="C7" s="55">
        <f t="shared" si="0"/>
        <v>344384.05501806753</v>
      </c>
      <c r="D7" s="55">
        <v>883.59722361650574</v>
      </c>
      <c r="E7" s="62">
        <f t="shared" si="1"/>
        <v>152148.39743587922</v>
      </c>
      <c r="F7" s="2" t="s">
        <v>79</v>
      </c>
      <c r="G7" s="108">
        <v>1453519</v>
      </c>
      <c r="H7" s="108">
        <v>38945.532395324713</v>
      </c>
      <c r="I7" s="93"/>
    </row>
    <row r="8" spans="1:10">
      <c r="A8" s="54" t="s">
        <v>40</v>
      </c>
      <c r="B8" s="55">
        <f>G8*$I$2</f>
        <v>73138.030900672296</v>
      </c>
      <c r="C8" s="55"/>
      <c r="D8" s="55">
        <v>0</v>
      </c>
      <c r="E8" s="62">
        <f t="shared" ref="E8:E40" si="3">(+B8*D8)/2000</f>
        <v>0</v>
      </c>
      <c r="F8" s="2" t="s">
        <v>80</v>
      </c>
      <c r="G8" s="108">
        <v>326832</v>
      </c>
      <c r="H8" s="108"/>
      <c r="I8" s="93"/>
    </row>
    <row r="9" spans="1:10">
      <c r="A9" s="54" t="s">
        <v>41</v>
      </c>
      <c r="B9" s="55">
        <f t="shared" ref="B9:B34" si="4">G9*$I$2</f>
        <v>70796.410877710543</v>
      </c>
      <c r="C9" s="55"/>
      <c r="D9" s="55">
        <v>0</v>
      </c>
      <c r="E9" s="62">
        <f t="shared" si="3"/>
        <v>0</v>
      </c>
      <c r="F9" s="2" t="s">
        <v>80</v>
      </c>
      <c r="G9" s="108">
        <v>316368</v>
      </c>
      <c r="H9" s="108"/>
      <c r="I9" s="93"/>
    </row>
    <row r="10" spans="1:10">
      <c r="A10" s="54" t="s">
        <v>45</v>
      </c>
      <c r="B10" s="55">
        <f t="shared" si="4"/>
        <v>145194.31570128753</v>
      </c>
      <c r="C10" s="55"/>
      <c r="D10" s="55">
        <v>0</v>
      </c>
      <c r="E10" s="62">
        <f t="shared" si="3"/>
        <v>0</v>
      </c>
      <c r="F10" s="2" t="s">
        <v>80</v>
      </c>
      <c r="G10" s="108">
        <v>648830</v>
      </c>
      <c r="H10" s="108"/>
      <c r="I10" s="93"/>
    </row>
    <row r="11" spans="1:10">
      <c r="A11" s="54" t="s">
        <v>50</v>
      </c>
      <c r="B11" s="55">
        <f t="shared" si="4"/>
        <v>70.490281654525177</v>
      </c>
      <c r="C11" s="55"/>
      <c r="D11" s="55">
        <v>0</v>
      </c>
      <c r="E11" s="62">
        <f t="shared" si="3"/>
        <v>0</v>
      </c>
      <c r="F11" s="2" t="s">
        <v>81</v>
      </c>
      <c r="G11" s="108">
        <v>315</v>
      </c>
      <c r="H11" s="108"/>
      <c r="I11" s="93"/>
    </row>
    <row r="12" spans="1:10">
      <c r="A12" s="54" t="s">
        <v>51</v>
      </c>
      <c r="B12" s="55">
        <f t="shared" si="4"/>
        <v>5277.1486411968654</v>
      </c>
      <c r="C12" s="55"/>
      <c r="D12" s="55">
        <v>0</v>
      </c>
      <c r="E12" s="62">
        <f t="shared" si="3"/>
        <v>0</v>
      </c>
      <c r="F12" s="2" t="s">
        <v>81</v>
      </c>
      <c r="G12" s="108">
        <v>23582</v>
      </c>
      <c r="H12" s="108"/>
      <c r="I12" s="93"/>
    </row>
    <row r="13" spans="1:10">
      <c r="A13" s="54" t="s">
        <v>52</v>
      </c>
      <c r="B13" s="55">
        <f t="shared" si="4"/>
        <v>4965.6487298854399</v>
      </c>
      <c r="C13" s="55"/>
      <c r="D13" s="55">
        <v>0</v>
      </c>
      <c r="E13" s="62">
        <f t="shared" si="3"/>
        <v>0</v>
      </c>
      <c r="F13" s="2" t="s">
        <v>81</v>
      </c>
      <c r="G13" s="108">
        <v>22190</v>
      </c>
      <c r="H13" s="108"/>
      <c r="I13" s="93"/>
    </row>
    <row r="14" spans="1:10">
      <c r="A14" s="54" t="s">
        <v>53</v>
      </c>
      <c r="B14" s="55">
        <f>G14*$I$2</f>
        <v>15713.738342161136</v>
      </c>
      <c r="C14" s="55"/>
      <c r="D14" s="55">
        <v>0</v>
      </c>
      <c r="E14" s="62">
        <f t="shared" si="3"/>
        <v>0</v>
      </c>
      <c r="F14" s="2" t="s">
        <v>81</v>
      </c>
      <c r="G14" s="108">
        <v>70220</v>
      </c>
      <c r="H14" s="108"/>
      <c r="I14" s="93"/>
    </row>
    <row r="15" spans="1:10">
      <c r="A15" s="54" t="s">
        <v>54</v>
      </c>
      <c r="B15" s="55">
        <f t="shared" si="4"/>
        <v>19379.232988196443</v>
      </c>
      <c r="C15" s="55"/>
      <c r="D15" s="55">
        <v>0</v>
      </c>
      <c r="E15" s="62">
        <f t="shared" si="3"/>
        <v>0</v>
      </c>
      <c r="F15" s="2" t="s">
        <v>81</v>
      </c>
      <c r="G15" s="108">
        <v>86600</v>
      </c>
      <c r="H15" s="108"/>
      <c r="I15" s="93"/>
    </row>
    <row r="16" spans="1:10">
      <c r="A16" s="54" t="s">
        <v>55</v>
      </c>
      <c r="B16" s="55">
        <f t="shared" si="4"/>
        <v>3580.2349720341213</v>
      </c>
      <c r="C16" s="55"/>
      <c r="D16" s="55">
        <v>0</v>
      </c>
      <c r="E16" s="62">
        <f t="shared" si="3"/>
        <v>0</v>
      </c>
      <c r="F16" s="2" t="s">
        <v>81</v>
      </c>
      <c r="G16" s="108">
        <v>15999</v>
      </c>
      <c r="H16" s="108"/>
      <c r="I16" s="93"/>
    </row>
    <row r="17" spans="1:9">
      <c r="A17" s="54" t="s">
        <v>56</v>
      </c>
      <c r="B17" s="55">
        <f t="shared" si="4"/>
        <v>1860.9434356794645</v>
      </c>
      <c r="C17" s="55"/>
      <c r="D17" s="55">
        <v>0</v>
      </c>
      <c r="E17" s="62">
        <f t="shared" si="3"/>
        <v>0</v>
      </c>
      <c r="F17" s="2" t="s">
        <v>81</v>
      </c>
      <c r="G17" s="108">
        <v>8316</v>
      </c>
      <c r="H17" s="108"/>
      <c r="I17" s="93"/>
    </row>
    <row r="18" spans="1:9">
      <c r="A18" s="54" t="s">
        <v>57</v>
      </c>
      <c r="B18" s="55">
        <f t="shared" si="4"/>
        <v>4653.4774825582572</v>
      </c>
      <c r="C18" s="55"/>
      <c r="D18" s="55">
        <v>0</v>
      </c>
      <c r="E18" s="62">
        <f t="shared" si="3"/>
        <v>0</v>
      </c>
      <c r="F18" s="2" t="s">
        <v>81</v>
      </c>
      <c r="G18" s="108">
        <v>20795</v>
      </c>
      <c r="H18" s="108"/>
      <c r="I18" s="93"/>
    </row>
    <row r="19" spans="1:9">
      <c r="A19" s="54" t="s">
        <v>58</v>
      </c>
      <c r="B19" s="55">
        <f t="shared" si="4"/>
        <v>18433.320541994293</v>
      </c>
      <c r="C19" s="55"/>
      <c r="D19" s="55">
        <v>0</v>
      </c>
      <c r="E19" s="62">
        <f t="shared" si="3"/>
        <v>0</v>
      </c>
      <c r="F19" s="2" t="s">
        <v>81</v>
      </c>
      <c r="G19" s="108">
        <v>82373</v>
      </c>
      <c r="H19" s="108"/>
      <c r="I19" s="93"/>
    </row>
    <row r="20" spans="1:9">
      <c r="A20" s="54" t="s">
        <v>59</v>
      </c>
      <c r="B20" s="55">
        <f t="shared" si="4"/>
        <v>39740.630567445944</v>
      </c>
      <c r="C20" s="55"/>
      <c r="D20" s="55">
        <v>0</v>
      </c>
      <c r="E20" s="62">
        <f t="shared" si="3"/>
        <v>0</v>
      </c>
      <c r="F20" s="2" t="s">
        <v>81</v>
      </c>
      <c r="G20" s="108">
        <v>177589</v>
      </c>
      <c r="H20" s="108"/>
      <c r="I20" s="93"/>
    </row>
    <row r="21" spans="1:9">
      <c r="A21" s="54" t="s">
        <v>60</v>
      </c>
      <c r="B21" s="55">
        <f>G21*$I$2</f>
        <v>18526.636248184568</v>
      </c>
      <c r="C21" s="55"/>
      <c r="D21" s="55">
        <v>0</v>
      </c>
      <c r="E21" s="62">
        <f t="shared" si="3"/>
        <v>0</v>
      </c>
      <c r="F21" s="2" t="s">
        <v>81</v>
      </c>
      <c r="G21" s="108">
        <v>82790</v>
      </c>
      <c r="H21" s="108"/>
      <c r="I21" s="93"/>
    </row>
    <row r="22" spans="1:9">
      <c r="A22" s="54" t="s">
        <v>61</v>
      </c>
      <c r="B22" s="55">
        <f t="shared" si="4"/>
        <v>21348.485301084766</v>
      </c>
      <c r="C22" s="55"/>
      <c r="D22" s="55">
        <v>0</v>
      </c>
      <c r="E22" s="62">
        <f t="shared" si="3"/>
        <v>0</v>
      </c>
      <c r="F22" s="2" t="s">
        <v>81</v>
      </c>
      <c r="G22" s="108">
        <v>95400</v>
      </c>
      <c r="H22" s="108"/>
      <c r="I22" s="93"/>
    </row>
    <row r="23" spans="1:9">
      <c r="A23" s="54" t="s">
        <v>62</v>
      </c>
      <c r="B23" s="55">
        <f t="shared" si="4"/>
        <v>105560.427560347</v>
      </c>
      <c r="C23" s="55"/>
      <c r="D23" s="55">
        <v>0</v>
      </c>
      <c r="E23" s="62">
        <f t="shared" si="3"/>
        <v>0</v>
      </c>
      <c r="F23" s="2" t="s">
        <v>81</v>
      </c>
      <c r="G23" s="108">
        <v>471718</v>
      </c>
      <c r="H23" s="108"/>
      <c r="I23" s="93"/>
    </row>
    <row r="24" spans="1:9">
      <c r="A24" s="54" t="s">
        <v>63</v>
      </c>
      <c r="B24" s="55">
        <f t="shared" si="4"/>
        <v>2889.2064331478555</v>
      </c>
      <c r="C24" s="55"/>
      <c r="D24" s="55">
        <v>0</v>
      </c>
      <c r="E24" s="62">
        <f t="shared" si="3"/>
        <v>0</v>
      </c>
      <c r="F24" s="2" t="s">
        <v>81</v>
      </c>
      <c r="G24" s="108">
        <v>12911</v>
      </c>
      <c r="H24" s="108"/>
      <c r="I24" s="93"/>
    </row>
    <row r="25" spans="1:9">
      <c r="A25" s="54" t="s">
        <v>73</v>
      </c>
      <c r="B25" s="55">
        <f t="shared" si="4"/>
        <v>39360.43060385534</v>
      </c>
      <c r="C25" s="55"/>
      <c r="D25" s="55">
        <v>0</v>
      </c>
      <c r="E25" s="62">
        <f t="shared" si="3"/>
        <v>0</v>
      </c>
      <c r="F25" s="2" t="s">
        <v>81</v>
      </c>
      <c r="G25" s="108">
        <v>175890</v>
      </c>
      <c r="H25" s="108"/>
      <c r="I25" s="93"/>
    </row>
    <row r="26" spans="1:9">
      <c r="A26" s="54" t="s">
        <v>72</v>
      </c>
      <c r="B26" s="55">
        <f t="shared" si="4"/>
        <v>3808.93677473547</v>
      </c>
      <c r="C26" s="55"/>
      <c r="D26" s="55">
        <v>0</v>
      </c>
      <c r="E26" s="62">
        <f t="shared" si="3"/>
        <v>0</v>
      </c>
      <c r="F26" s="2" t="s">
        <v>81</v>
      </c>
      <c r="G26" s="108">
        <v>17021</v>
      </c>
      <c r="H26" s="108"/>
      <c r="I26" s="93"/>
    </row>
    <row r="27" spans="1:9">
      <c r="A27" s="54" t="s">
        <v>71</v>
      </c>
      <c r="B27" s="55">
        <f t="shared" si="4"/>
        <v>602.85974215012959</v>
      </c>
      <c r="C27" s="55"/>
      <c r="D27" s="55">
        <v>0</v>
      </c>
      <c r="E27" s="62">
        <f t="shared" si="3"/>
        <v>0</v>
      </c>
      <c r="F27" s="2" t="s">
        <v>81</v>
      </c>
      <c r="G27" s="108">
        <v>2694</v>
      </c>
      <c r="H27" s="108"/>
      <c r="I27" s="93"/>
    </row>
    <row r="28" spans="1:9">
      <c r="A28" s="54" t="s">
        <v>70</v>
      </c>
      <c r="B28" s="55">
        <f>G28*$I$2</f>
        <v>10736.005563992063</v>
      </c>
      <c r="C28" s="55"/>
      <c r="D28" s="55">
        <v>0</v>
      </c>
      <c r="E28" s="62">
        <f t="shared" si="3"/>
        <v>0</v>
      </c>
      <c r="F28" s="2" t="s">
        <v>81</v>
      </c>
      <c r="G28" s="108">
        <v>47976</v>
      </c>
      <c r="H28" s="108"/>
      <c r="I28" s="93"/>
    </row>
    <row r="29" spans="1:9">
      <c r="A29" s="54" t="s">
        <v>69</v>
      </c>
      <c r="B29" s="55">
        <f t="shared" si="4"/>
        <v>8408.9311547050547</v>
      </c>
      <c r="C29" s="55"/>
      <c r="D29" s="55">
        <v>0</v>
      </c>
      <c r="E29" s="62">
        <f t="shared" si="3"/>
        <v>0</v>
      </c>
      <c r="F29" s="2" t="s">
        <v>81</v>
      </c>
      <c r="G29" s="108">
        <v>37577</v>
      </c>
      <c r="H29" s="108"/>
      <c r="I29" s="93"/>
    </row>
    <row r="30" spans="1:9">
      <c r="A30" s="54" t="s">
        <v>68</v>
      </c>
      <c r="B30" s="55">
        <f>G30*$I$2</f>
        <v>127482.01004021666</v>
      </c>
      <c r="C30" s="55"/>
      <c r="D30" s="55">
        <v>0</v>
      </c>
      <c r="E30" s="62">
        <f t="shared" si="3"/>
        <v>0</v>
      </c>
      <c r="F30" s="2" t="s">
        <v>81</v>
      </c>
      <c r="G30" s="108">
        <v>569679</v>
      </c>
      <c r="H30" s="108">
        <v>160633.84078477637</v>
      </c>
      <c r="I30" s="93"/>
    </row>
    <row r="31" spans="1:9">
      <c r="A31" s="54" t="s">
        <v>67</v>
      </c>
      <c r="B31" s="55">
        <f t="shared" si="4"/>
        <v>35038.145555737392</v>
      </c>
      <c r="C31" s="55"/>
      <c r="D31" s="55">
        <v>0</v>
      </c>
      <c r="E31" s="62">
        <f t="shared" si="3"/>
        <v>0</v>
      </c>
      <c r="F31" s="2" t="s">
        <v>81</v>
      </c>
      <c r="G31" s="108">
        <v>156575</v>
      </c>
      <c r="H31" s="108"/>
      <c r="I31" s="93"/>
    </row>
    <row r="32" spans="1:9">
      <c r="A32" s="54" t="s">
        <v>66</v>
      </c>
      <c r="B32" s="55">
        <f t="shared" si="4"/>
        <v>1136.3480960053296</v>
      </c>
      <c r="C32" s="55"/>
      <c r="D32" s="55">
        <v>0</v>
      </c>
      <c r="E32" s="62">
        <f t="shared" si="3"/>
        <v>0</v>
      </c>
      <c r="F32" s="2" t="s">
        <v>81</v>
      </c>
      <c r="G32" s="108">
        <v>5078</v>
      </c>
      <c r="H32" s="108"/>
      <c r="I32" s="93"/>
    </row>
    <row r="33" spans="1:9">
      <c r="A33" s="54" t="s">
        <v>65</v>
      </c>
      <c r="B33" s="55">
        <f t="shared" ref="B33" si="5">G33*$I$2</f>
        <v>-11.860269611713759</v>
      </c>
      <c r="C33" s="55"/>
      <c r="D33" s="55">
        <v>0</v>
      </c>
      <c r="E33" s="62">
        <f t="shared" ref="E33" si="6">(+B33*D33)/2000</f>
        <v>0</v>
      </c>
      <c r="F33" s="2" t="s">
        <v>81</v>
      </c>
      <c r="G33" s="108">
        <v>-53</v>
      </c>
      <c r="H33" s="108"/>
      <c r="I33" s="93"/>
    </row>
    <row r="34" spans="1:9">
      <c r="A34" s="54" t="s">
        <v>64</v>
      </c>
      <c r="B34" s="55">
        <f t="shared" si="4"/>
        <v>112604.08503767346</v>
      </c>
      <c r="C34" s="55"/>
      <c r="D34" s="55">
        <v>0</v>
      </c>
      <c r="E34" s="62">
        <f t="shared" si="3"/>
        <v>0</v>
      </c>
      <c r="F34" s="2" t="s">
        <v>81</v>
      </c>
      <c r="G34" s="108">
        <v>503194</v>
      </c>
      <c r="H34" s="108">
        <v>75219.096596987205</v>
      </c>
      <c r="I34" s="93"/>
    </row>
    <row r="35" spans="1:9">
      <c r="A35" s="54" t="s">
        <v>77</v>
      </c>
      <c r="B35" s="55">
        <f>G35</f>
        <v>6759.2470000000012</v>
      </c>
      <c r="C35" s="55"/>
      <c r="D35" s="55">
        <v>0</v>
      </c>
      <c r="E35" s="62">
        <f t="shared" si="3"/>
        <v>0</v>
      </c>
      <c r="F35" s="2" t="s">
        <v>81</v>
      </c>
      <c r="G35" s="108">
        <v>6759.2470000000012</v>
      </c>
      <c r="H35" s="108"/>
      <c r="I35" s="93"/>
    </row>
    <row r="36" spans="1:9">
      <c r="A36" s="54" t="s">
        <v>74</v>
      </c>
      <c r="B36" s="55">
        <f>(G36*$I$1*0.7)+(G36*$I$2*0.3)</f>
        <v>0</v>
      </c>
      <c r="C36" s="55"/>
      <c r="D36" s="55">
        <v>0</v>
      </c>
      <c r="E36" s="62">
        <f t="shared" si="3"/>
        <v>0</v>
      </c>
      <c r="F36" s="2" t="s">
        <v>81</v>
      </c>
      <c r="G36" s="108">
        <v>0</v>
      </c>
      <c r="H36" s="108"/>
      <c r="I36" s="93"/>
    </row>
    <row r="37" spans="1:9">
      <c r="A37" s="54" t="s">
        <v>75</v>
      </c>
      <c r="B37" s="55">
        <f>(G37*$I$1*0.7)+(G37*$I$2*0.3)</f>
        <v>23094.418833306154</v>
      </c>
      <c r="C37" s="55"/>
      <c r="D37" s="55">
        <v>0</v>
      </c>
      <c r="E37" s="62">
        <f t="shared" si="3"/>
        <v>0</v>
      </c>
      <c r="F37" s="2" t="s">
        <v>81</v>
      </c>
      <c r="G37" s="108">
        <v>101570.93999999999</v>
      </c>
      <c r="H37" s="108">
        <v>70114.798331389844</v>
      </c>
      <c r="I37" s="93"/>
    </row>
    <row r="38" spans="1:9">
      <c r="A38" s="54" t="s">
        <v>76</v>
      </c>
      <c r="B38" s="55">
        <f t="shared" ref="B38" si="7">(G38*$I$1*0.7)+(G38*$I$2*0.3)</f>
        <v>0</v>
      </c>
      <c r="C38" s="55"/>
      <c r="D38" s="55">
        <v>0</v>
      </c>
      <c r="E38" s="62">
        <f t="shared" si="3"/>
        <v>0</v>
      </c>
      <c r="F38" s="2" t="s">
        <v>81</v>
      </c>
      <c r="G38" s="108">
        <v>0</v>
      </c>
      <c r="H38" s="108"/>
      <c r="I38" s="93"/>
    </row>
    <row r="39" spans="1:9">
      <c r="A39" s="54" t="s">
        <v>47</v>
      </c>
      <c r="B39" s="55">
        <f>G39*I2</f>
        <v>27130.892169116887</v>
      </c>
      <c r="C39" s="55"/>
      <c r="D39" s="55">
        <v>0</v>
      </c>
      <c r="E39" s="62">
        <f t="shared" si="3"/>
        <v>0</v>
      </c>
      <c r="F39" s="2" t="s">
        <v>80</v>
      </c>
      <c r="G39" s="108">
        <v>121239.84799999998</v>
      </c>
      <c r="H39" s="108"/>
      <c r="I39" s="93"/>
    </row>
    <row r="40" spans="1:9">
      <c r="A40" s="54" t="s">
        <v>48</v>
      </c>
      <c r="B40" s="55">
        <f>G40*I2</f>
        <v>0</v>
      </c>
      <c r="C40" s="55"/>
      <c r="D40" s="55">
        <v>0</v>
      </c>
      <c r="E40" s="62">
        <f t="shared" si="3"/>
        <v>0</v>
      </c>
      <c r="F40" s="2" t="s">
        <v>82</v>
      </c>
      <c r="G40" s="108">
        <v>0</v>
      </c>
      <c r="H40" s="108"/>
      <c r="I40" s="93"/>
    </row>
    <row r="41" spans="1:9">
      <c r="A41" s="54" t="s">
        <v>49</v>
      </c>
      <c r="B41" s="55">
        <f>(G41*I1*79.264%)+(G41*I2*20.736%)</f>
        <v>2740.1899558332502</v>
      </c>
      <c r="C41" s="55"/>
      <c r="D41" s="55">
        <v>0</v>
      </c>
      <c r="E41" s="62">
        <f>(+B41*D41)/2000</f>
        <v>0</v>
      </c>
      <c r="F41" s="2" t="s">
        <v>81</v>
      </c>
      <c r="G41" s="108">
        <v>12026.400000000001</v>
      </c>
      <c r="H41" s="108"/>
      <c r="I41" s="93"/>
    </row>
    <row r="42" spans="1:9">
      <c r="A42" s="54" t="s">
        <v>100</v>
      </c>
      <c r="B42" s="55">
        <f>G42*I2</f>
        <v>-5407.6116069257168</v>
      </c>
      <c r="C42" s="55"/>
      <c r="D42" s="55"/>
      <c r="E42" s="62"/>
      <c r="F42" s="2" t="s">
        <v>81</v>
      </c>
      <c r="G42" s="108">
        <v>-24165</v>
      </c>
      <c r="H42" s="108"/>
      <c r="I42" s="93"/>
    </row>
    <row r="43" spans="1:9" ht="15" thickBot="1">
      <c r="A43" s="54" t="s">
        <v>101</v>
      </c>
      <c r="B43" s="55">
        <f>G43*I2</f>
        <v>7440.3820946024825</v>
      </c>
      <c r="C43" s="55"/>
      <c r="D43" s="55"/>
      <c r="E43" s="62"/>
      <c r="F43" s="2" t="s">
        <v>80</v>
      </c>
      <c r="G43" s="108">
        <v>33248.843738296018</v>
      </c>
      <c r="H43" s="108"/>
      <c r="I43" s="93"/>
    </row>
    <row r="44" spans="1:9" ht="15.5" thickTop="1" thickBot="1">
      <c r="B44" s="61">
        <f>SUM(B4:B43)</f>
        <v>3519548.350164894</v>
      </c>
      <c r="E44" s="61">
        <f>SUM(E4:E43)</f>
        <v>2463075.5845840657</v>
      </c>
      <c r="F44"/>
      <c r="G44" s="80">
        <f>SUM(G4:G43)</f>
        <v>15445203.466437131</v>
      </c>
      <c r="H44" s="80">
        <f>SUM(H4:H43)</f>
        <v>451630.5564895274</v>
      </c>
      <c r="I44" s="52"/>
    </row>
    <row r="45" spans="1:9">
      <c r="F45"/>
      <c r="G45"/>
      <c r="H45"/>
    </row>
    <row r="46" spans="1:9">
      <c r="A46" t="s">
        <v>112</v>
      </c>
      <c r="B46" s="88">
        <f>0.75*I1+0.25*I2</f>
        <v>0.22762899396844843</v>
      </c>
      <c r="F46"/>
      <c r="G46"/>
      <c r="H46"/>
    </row>
    <row r="47" spans="1:9">
      <c r="F47" s="56"/>
      <c r="G47" s="56"/>
      <c r="H47" s="56"/>
    </row>
    <row r="48" spans="1:9">
      <c r="A48" s="52"/>
      <c r="G48" s="56"/>
      <c r="H48" s="56"/>
    </row>
  </sheetData>
  <pageMargins left="0.7" right="0.7" top="0.75" bottom="0.75" header="0.3" footer="0.3"/>
  <pageSetup scale="4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2"/>
  <sheetViews>
    <sheetView zoomScale="70" zoomScaleNormal="7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5.26953125" customWidth="1"/>
    <col min="7" max="7" width="11.54296875" bestFit="1" customWidth="1"/>
    <col min="8" max="8" width="9" bestFit="1" customWidth="1"/>
    <col min="9" max="9" width="22" bestFit="1" customWidth="1"/>
    <col min="10" max="10" width="9.7265625" bestFit="1" customWidth="1"/>
    <col min="11" max="11" width="10.1796875" bestFit="1" customWidth="1"/>
    <col min="14" max="14" width="14" bestFit="1" customWidth="1"/>
  </cols>
  <sheetData>
    <row r="1" spans="1:14" ht="18.5">
      <c r="A1" s="1" t="s">
        <v>28</v>
      </c>
      <c r="B1" s="1">
        <f>'Summary 2020'!D4</f>
        <v>2020</v>
      </c>
      <c r="D1" s="100" t="s">
        <v>104</v>
      </c>
      <c r="H1" s="101">
        <f>M1*M2</f>
        <v>963.41893999999991</v>
      </c>
      <c r="I1" t="s">
        <v>4</v>
      </c>
      <c r="K1" s="95">
        <f>'Known Resources'!I1</f>
        <v>0.22891243465155542</v>
      </c>
      <c r="L1" s="32" t="s">
        <v>95</v>
      </c>
      <c r="M1">
        <v>0.437</v>
      </c>
      <c r="N1" s="52" t="s">
        <v>103</v>
      </c>
    </row>
    <row r="2" spans="1:14" ht="18.5">
      <c r="A2" s="1"/>
      <c r="B2" s="5" t="s">
        <v>27</v>
      </c>
      <c r="C2" s="5" t="s">
        <v>1</v>
      </c>
      <c r="D2" s="5" t="s">
        <v>3</v>
      </c>
      <c r="E2" s="2"/>
      <c r="F2" s="23" t="s">
        <v>6</v>
      </c>
      <c r="G2" s="22">
        <f>'Known Resources'!B1</f>
        <v>2020</v>
      </c>
      <c r="H2" s="24"/>
      <c r="K2" s="95">
        <f>'Known Resources'!I2</f>
        <v>0.22377867191912754</v>
      </c>
      <c r="L2" s="29" t="s">
        <v>94</v>
      </c>
      <c r="M2">
        <v>2204.62</v>
      </c>
      <c r="N2" s="52" t="s">
        <v>102</v>
      </c>
    </row>
    <row r="3" spans="1:14" ht="44" thickBot="1">
      <c r="A3" s="63" t="s">
        <v>0</v>
      </c>
      <c r="B3" s="64">
        <f>'Known Resources'!B1</f>
        <v>2020</v>
      </c>
      <c r="C3" s="64" t="s">
        <v>88</v>
      </c>
      <c r="D3" s="64" t="s">
        <v>89</v>
      </c>
      <c r="E3" s="65"/>
      <c r="F3" s="94" t="s">
        <v>106</v>
      </c>
      <c r="H3" s="86"/>
      <c r="I3" s="82"/>
      <c r="K3" s="89">
        <v>1</v>
      </c>
      <c r="L3" s="90" t="s">
        <v>96</v>
      </c>
    </row>
    <row r="4" spans="1:14">
      <c r="A4" s="54" t="s">
        <v>86</v>
      </c>
      <c r="B4" s="57">
        <f>F4*$K$2</f>
        <v>15038.827185242852</v>
      </c>
      <c r="C4" s="68">
        <f>IF(B4&lt;&gt;0,$H$1,0)</f>
        <v>963.41893999999991</v>
      </c>
      <c r="D4" s="67">
        <f>(+B4*C4)/2000</f>
        <v>7244.3454728249253</v>
      </c>
      <c r="E4" s="66"/>
      <c r="F4" s="109">
        <v>67204.023762719473</v>
      </c>
      <c r="J4" s="52"/>
    </row>
    <row r="5" spans="1:14">
      <c r="A5" s="54" t="s">
        <v>84</v>
      </c>
      <c r="B5" s="57">
        <f t="shared" ref="B5:B6" si="0">F5*$K$2</f>
        <v>5636.0896309551463</v>
      </c>
      <c r="C5" s="68">
        <f t="shared" ref="C5:C12" si="1">IF(B5&lt;&gt;0,$H$1,0)</f>
        <v>963.41893999999991</v>
      </c>
      <c r="D5" s="67">
        <f t="shared" ref="D5:D15" si="2">(+B5*C5)/2000</f>
        <v>2714.9577489998987</v>
      </c>
      <c r="E5" s="66"/>
      <c r="F5" s="109">
        <v>25186</v>
      </c>
    </row>
    <row r="6" spans="1:14">
      <c r="A6" s="54" t="s">
        <v>85</v>
      </c>
      <c r="B6" s="57">
        <f t="shared" si="0"/>
        <v>830480.78789623582</v>
      </c>
      <c r="C6" s="68">
        <f t="shared" si="1"/>
        <v>963.41893999999991</v>
      </c>
      <c r="D6" s="67">
        <f t="shared" si="2"/>
        <v>400050.46018267819</v>
      </c>
      <c r="E6" s="66"/>
      <c r="F6" s="109">
        <v>3711170.4201925341</v>
      </c>
    </row>
    <row r="7" spans="1:14">
      <c r="A7" s="54" t="s">
        <v>90</v>
      </c>
      <c r="B7" s="57">
        <f>F7*$K$2</f>
        <v>0</v>
      </c>
      <c r="C7" s="68">
        <f t="shared" si="1"/>
        <v>0</v>
      </c>
      <c r="D7" s="67">
        <f t="shared" si="2"/>
        <v>0</v>
      </c>
      <c r="E7" s="66"/>
      <c r="F7" s="109">
        <v>0</v>
      </c>
      <c r="H7" s="82"/>
      <c r="J7" s="52"/>
      <c r="N7" s="52"/>
    </row>
    <row r="8" spans="1:14">
      <c r="A8" s="54" t="s">
        <v>87</v>
      </c>
      <c r="B8" s="57">
        <f>F8*$K$2</f>
        <v>23318.969144545892</v>
      </c>
      <c r="C8" s="68">
        <f t="shared" si="1"/>
        <v>963.41893999999991</v>
      </c>
      <c r="D8" s="67">
        <f t="shared" si="2"/>
        <v>11232.968267565553</v>
      </c>
      <c r="E8" s="66"/>
      <c r="F8" s="109">
        <v>104205.50334203988</v>
      </c>
      <c r="J8" s="52"/>
      <c r="N8" s="52"/>
    </row>
    <row r="9" spans="1:14">
      <c r="A9" s="54" t="s">
        <v>91</v>
      </c>
      <c r="B9" s="57">
        <f>F9*$K$2</f>
        <v>64659.493191889065</v>
      </c>
      <c r="C9" s="68">
        <f t="shared" si="1"/>
        <v>963.41893999999991</v>
      </c>
      <c r="D9" s="67">
        <f t="shared" si="2"/>
        <v>31147.090195933488</v>
      </c>
      <c r="E9" s="66"/>
      <c r="F9" s="109">
        <v>288943.94911440299</v>
      </c>
      <c r="J9" s="52"/>
      <c r="N9" s="52"/>
    </row>
    <row r="10" spans="1:14">
      <c r="A10" s="54" t="s">
        <v>46</v>
      </c>
      <c r="B10" s="57">
        <f>F10*$K$2</f>
        <v>-314480.79780810379</v>
      </c>
      <c r="C10" s="68">
        <f t="shared" si="1"/>
        <v>963.41893999999991</v>
      </c>
      <c r="D10" s="67">
        <f t="shared" si="2"/>
        <v>-151488.37843731884</v>
      </c>
      <c r="E10" s="66"/>
      <c r="F10" s="109">
        <v>-1405320.6908018272</v>
      </c>
      <c r="J10" s="52"/>
      <c r="N10" s="52"/>
    </row>
    <row r="11" spans="1:14">
      <c r="A11" s="54" t="s">
        <v>83</v>
      </c>
      <c r="B11" s="57"/>
      <c r="C11" s="68">
        <f t="shared" si="1"/>
        <v>0</v>
      </c>
      <c r="D11" s="67">
        <f t="shared" si="2"/>
        <v>0</v>
      </c>
      <c r="E11" s="66"/>
      <c r="F11" s="109">
        <v>0</v>
      </c>
    </row>
    <row r="12" spans="1:14">
      <c r="A12" s="54" t="s">
        <v>99</v>
      </c>
      <c r="B12" s="57">
        <f>F12*K2</f>
        <v>67568.71924968675</v>
      </c>
      <c r="C12" s="68">
        <f t="shared" si="1"/>
        <v>963.41893999999991</v>
      </c>
      <c r="D12" s="67">
        <f t="shared" si="2"/>
        <v>32548.4919383454</v>
      </c>
      <c r="E12" s="66"/>
      <c r="F12" s="109">
        <v>301944.41083333333</v>
      </c>
      <c r="J12" s="52"/>
      <c r="N12" s="91"/>
    </row>
    <row r="13" spans="1:14">
      <c r="A13" s="54" t="s">
        <v>98</v>
      </c>
      <c r="B13" s="57">
        <f>F13*$K$2</f>
        <v>209279.30919326094</v>
      </c>
      <c r="C13" s="68">
        <f>IF(B13&lt;&gt;0,$H$1,0)</f>
        <v>963.41893999999991</v>
      </c>
      <c r="D13" s="67">
        <f>(+B13*C13)/2000</f>
        <v>100811.82511345184</v>
      </c>
      <c r="E13" s="66"/>
      <c r="F13" s="109">
        <v>935206.68166666664</v>
      </c>
      <c r="J13" s="52"/>
    </row>
    <row r="14" spans="1:14">
      <c r="A14" s="54"/>
      <c r="B14" s="57"/>
      <c r="C14" s="68"/>
      <c r="D14" s="67"/>
      <c r="E14" s="66"/>
      <c r="F14" s="57"/>
      <c r="J14" s="52"/>
    </row>
    <row r="15" spans="1:14" ht="15" thickBot="1">
      <c r="A15" s="20"/>
      <c r="B15" s="57">
        <f t="shared" ref="B15" si="3">F15*$K$2</f>
        <v>0</v>
      </c>
      <c r="C15" s="58">
        <v>0</v>
      </c>
      <c r="D15" s="67">
        <f t="shared" si="2"/>
        <v>0</v>
      </c>
      <c r="F15" s="81"/>
      <c r="J15" s="52"/>
      <c r="N15" s="82"/>
    </row>
    <row r="16" spans="1:14" ht="15.5" thickTop="1" thickBot="1">
      <c r="A16" s="53"/>
      <c r="B16" s="59">
        <f>SUM(B4:B15)</f>
        <v>901501.39768371265</v>
      </c>
      <c r="C16" s="60"/>
      <c r="D16" s="61">
        <f>SUM(D4:D15)</f>
        <v>434261.7604824804</v>
      </c>
      <c r="F16" s="61">
        <f>SUM(F4:F15)</f>
        <v>4028540.298109869</v>
      </c>
      <c r="J16" s="52"/>
    </row>
    <row r="18" spans="1:10">
      <c r="A18" t="str">
        <f>'Known Resources'!A46</f>
        <v>2020 Washington - WCA Allocation Factor</v>
      </c>
      <c r="B18" s="96">
        <f>'Known Resources'!B46</f>
        <v>0.22762899396844843</v>
      </c>
      <c r="D18" s="87"/>
      <c r="F18" s="82"/>
      <c r="J18" s="92"/>
    </row>
    <row r="19" spans="1:10">
      <c r="F19" s="82"/>
    </row>
    <row r="20" spans="1:10">
      <c r="B20" s="84"/>
      <c r="D20" s="97"/>
      <c r="E20" s="52"/>
      <c r="F20" s="91"/>
    </row>
    <row r="21" spans="1:10">
      <c r="F21" s="82"/>
    </row>
    <row r="22" spans="1:10">
      <c r="A22" t="s">
        <v>92</v>
      </c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3D9453-6711-45FA-A2D4-EEEB5DC085C0}"/>
</file>

<file path=customXml/itemProps2.xml><?xml version="1.0" encoding="utf-8"?>
<ds:datastoreItem xmlns:ds="http://schemas.openxmlformats.org/officeDocument/2006/customXml" ds:itemID="{342C8273-D6E2-4D49-A2D0-B3293CECCA1A}"/>
</file>

<file path=customXml/itemProps3.xml><?xml version="1.0" encoding="utf-8"?>
<ds:datastoreItem xmlns:ds="http://schemas.openxmlformats.org/officeDocument/2006/customXml" ds:itemID="{81C4BD8D-438E-4410-9468-917A597CF6AA}"/>
</file>

<file path=customXml/itemProps4.xml><?xml version="1.0" encoding="utf-8"?>
<ds:datastoreItem xmlns:ds="http://schemas.openxmlformats.org/officeDocument/2006/customXml" ds:itemID="{984D76B3-2D51-409C-9C10-55DDDACD6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2020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