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9.xml" ContentType="application/vnd.openxmlformats-officedocument.drawing+xml"/>
  <Override PartName="/xl/drawings/drawing6.xml" ContentType="application/vnd.openxmlformats-officedocument.drawing+xml"/>
  <Override PartName="/xl/worksheets/sheet1.xml" ContentType="application/vnd.openxmlformats-officedocument.spreadsheetml.worksheet+xml"/>
  <Override PartName="/xl/drawings/drawing8.xml" ContentType="application/vnd.openxmlformats-officedocument.drawing+xml"/>
  <Override PartName="/xl/drawings/drawing5.xml" ContentType="application/vnd.openxmlformats-officedocument.drawing+xml"/>
  <Override PartName="/xl/drawings/drawing7.xml" ContentType="application/vnd.openxmlformats-officedocument.drawing+xml"/>
  <Override PartName="/xl/drawings/drawing1.xml" ContentType="application/vnd.openxmlformats-officedocument.drawing+xml"/>
  <Override PartName="/xl/worksheets/sheet13.xml" ContentType="application/vnd.openxmlformats-officedocument.spreadsheetml.worksheet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printerSettings/printerSettings5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printerSettings/printerSettings3.bin" ContentType="application/vnd.openxmlformats-officedocument.spreadsheetml.printerSettings"/>
  <Override PartName="/xl/printerSettings/printerSettings8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printerSettings/printerSettings9.bin" ContentType="application/vnd.openxmlformats-officedocument.spreadsheetml.printerSettings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printerSettings/printerSettings10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240" yWindow="120" windowWidth="18192" windowHeight="11496" tabRatio="792" firstSheet="1" activeTab="1"/>
  </bookViews>
  <sheets>
    <sheet name="_com.sap.ip.bi.xl.hiddensheet" sheetId="40" state="veryHidden" r:id="rId1"/>
    <sheet name="Lead 3.05 " sheetId="1" r:id="rId2"/>
    <sheet name="SOG 2023" sheetId="66" r:id="rId3"/>
    <sheet name="22GRC CF" sheetId="65" r:id="rId4"/>
    <sheet name="Schedule 129" sheetId="49" r:id="rId5"/>
    <sheet name="Schedule 120" sheetId="50" r:id="rId6"/>
    <sheet name="Schedule 140" sheetId="51" r:id="rId7"/>
    <sheet name="Schedule 106" sheetId="48" r:id="rId8"/>
    <sheet name="SC 142 Decoup" sheetId="35" r:id="rId9"/>
    <sheet name="SC 137 Carbon " sheetId="56" r:id="rId10"/>
    <sheet name="Sch 129D Bill Discount" sheetId="67" r:id="rId11"/>
    <sheet name="Sch 137 Carbon Offset " sheetId="60" r:id="rId12"/>
    <sheet name="Sch 138 RNC Rev" sheetId="64" r:id="rId13"/>
    <sheet name="Sch 138 RNG" sheetId="63" r:id="rId14"/>
    <sheet name="SOEG Muni Tax " sheetId="58" r:id="rId15"/>
    <sheet name="SOEG Mu Tx Wtr Htr " sheetId="59" r:id="rId16"/>
  </sheets>
  <externalReferences>
    <externalReference r:id="rId17"/>
  </externalReferences>
  <definedNames>
    <definedName name="_xlnm.Print_Area" localSheetId="2">'SOG 2023'!$A$1:$W$81</definedName>
    <definedName name="SAPCrosstab1" localSheetId="15">'SOEG Mu Tx Wtr Htr '!$B$4:$S$11</definedName>
    <definedName name="SAPCrosstab1">'Sch 138 RNC Rev'!$B$2:$E$9</definedName>
    <definedName name="wrn.Customer._.Counts._.Electric." localSheetId="1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1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62913" concurrentManualCount="8"/>
</workbook>
</file>

<file path=xl/calcChain.xml><?xml version="1.0" encoding="utf-8"?>
<calcChain xmlns="http://schemas.openxmlformats.org/spreadsheetml/2006/main">
  <c r="D15" i="1" l="1"/>
  <c r="D16" i="1"/>
  <c r="D32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B18" i="35"/>
  <c r="C39" i="1"/>
  <c r="C38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C40" i="1"/>
  <c r="D31" i="1"/>
  <c r="D23" i="1"/>
  <c r="C6" i="67"/>
  <c r="E9" i="64"/>
  <c r="Q10" i="59"/>
  <c r="P10" i="59"/>
  <c r="O10" i="59"/>
  <c r="N10" i="59"/>
  <c r="M10" i="59"/>
  <c r="L10" i="59"/>
  <c r="K10" i="59"/>
  <c r="J10" i="59"/>
  <c r="I10" i="59"/>
  <c r="H10" i="59"/>
  <c r="G10" i="59"/>
  <c r="F10" i="59"/>
  <c r="R10" i="59"/>
  <c r="R9" i="59"/>
  <c r="R8" i="59"/>
  <c r="S27" i="58"/>
  <c r="S26" i="58"/>
  <c r="S25" i="58"/>
  <c r="S24" i="58"/>
  <c r="S23" i="58"/>
  <c r="S22" i="58"/>
  <c r="S21" i="58"/>
  <c r="S20" i="58"/>
  <c r="S19" i="58"/>
  <c r="S18" i="58"/>
  <c r="S17" i="58"/>
  <c r="S16" i="58"/>
  <c r="S15" i="58"/>
  <c r="S14" i="58"/>
  <c r="S13" i="58"/>
  <c r="S12" i="58"/>
  <c r="S11" i="58"/>
  <c r="S10" i="58"/>
  <c r="S9" i="58"/>
  <c r="S8" i="58"/>
  <c r="S7" i="58"/>
  <c r="J18" i="56"/>
  <c r="I18" i="56"/>
  <c r="H18" i="56"/>
  <c r="G18" i="56"/>
  <c r="F18" i="56"/>
  <c r="E18" i="56"/>
  <c r="D20" i="1"/>
  <c r="J17" i="56"/>
  <c r="J16" i="56"/>
  <c r="J15" i="56"/>
  <c r="J14" i="56"/>
  <c r="J13" i="56"/>
  <c r="J12" i="56"/>
  <c r="J11" i="56"/>
  <c r="J10" i="56"/>
  <c r="J9" i="56"/>
  <c r="J8" i="56"/>
  <c r="J7" i="56"/>
  <c r="J6" i="56"/>
  <c r="D18" i="1"/>
  <c r="D17" i="1"/>
  <c r="D14" i="1"/>
  <c r="E77" i="66"/>
  <c r="M77" i="66"/>
  <c r="I75" i="66"/>
  <c r="K75" i="66"/>
  <c r="O74" i="66"/>
  <c r="Q74" i="66"/>
  <c r="I74" i="66"/>
  <c r="K74" i="66"/>
  <c r="G77" i="66"/>
  <c r="M69" i="66"/>
  <c r="I67" i="66"/>
  <c r="K67" i="66"/>
  <c r="E69" i="66"/>
  <c r="Q66" i="66"/>
  <c r="O66" i="66"/>
  <c r="G69" i="66"/>
  <c r="G63" i="66"/>
  <c r="G71" i="66"/>
  <c r="E63" i="66"/>
  <c r="O63" i="66"/>
  <c r="O61" i="66"/>
  <c r="M63" i="66"/>
  <c r="K60" i="66"/>
  <c r="I60" i="66"/>
  <c r="O59" i="66"/>
  <c r="Q59" i="66"/>
  <c r="I59" i="66"/>
  <c r="K59" i="66"/>
  <c r="O33" i="66"/>
  <c r="Q33" i="66"/>
  <c r="Q32" i="66"/>
  <c r="O32" i="66"/>
  <c r="I32" i="66"/>
  <c r="K32" i="66"/>
  <c r="I28" i="66"/>
  <c r="K28" i="66"/>
  <c r="G28" i="66"/>
  <c r="E28" i="66"/>
  <c r="S26" i="66"/>
  <c r="W26" i="66"/>
  <c r="I26" i="66"/>
  <c r="K26" i="66"/>
  <c r="W25" i="66"/>
  <c r="S25" i="66"/>
  <c r="Q25" i="66"/>
  <c r="O25" i="66"/>
  <c r="M28" i="66"/>
  <c r="I20" i="66"/>
  <c r="K20" i="66"/>
  <c r="G20" i="66"/>
  <c r="E20" i="66"/>
  <c r="S18" i="66"/>
  <c r="O18" i="66"/>
  <c r="I18" i="66"/>
  <c r="K18" i="66"/>
  <c r="W17" i="66"/>
  <c r="S17" i="66"/>
  <c r="Q17" i="66"/>
  <c r="O17" i="66"/>
  <c r="M20" i="66"/>
  <c r="K17" i="66"/>
  <c r="I17" i="66"/>
  <c r="U14" i="66"/>
  <c r="G14" i="66"/>
  <c r="G22" i="66"/>
  <c r="E14" i="66"/>
  <c r="O14" i="66"/>
  <c r="W12" i="66"/>
  <c r="O12" i="66"/>
  <c r="Q12" i="66"/>
  <c r="I12" i="66"/>
  <c r="K12" i="66"/>
  <c r="U12" i="66"/>
  <c r="S11" i="66"/>
  <c r="W11" i="66"/>
  <c r="I11" i="66"/>
  <c r="K11" i="66"/>
  <c r="W10" i="66"/>
  <c r="S10" i="66"/>
  <c r="Q10" i="66"/>
  <c r="O10" i="66"/>
  <c r="M14" i="66"/>
  <c r="Q61" i="66"/>
  <c r="Q14" i="66"/>
  <c r="M22" i="66"/>
  <c r="G79" i="66"/>
  <c r="U22" i="66"/>
  <c r="S20" i="66"/>
  <c r="O69" i="66"/>
  <c r="I69" i="66"/>
  <c r="G30" i="66"/>
  <c r="O20" i="66"/>
  <c r="Q20" i="66"/>
  <c r="W20" i="66"/>
  <c r="O28" i="66"/>
  <c r="Q28" i="66"/>
  <c r="U20" i="66"/>
  <c r="K69" i="66"/>
  <c r="Q69" i="66"/>
  <c r="Q77" i="66"/>
  <c r="W28" i="66"/>
  <c r="U28" i="66"/>
  <c r="Q63" i="66"/>
  <c r="W14" i="66"/>
  <c r="M71" i="66"/>
  <c r="O77" i="66"/>
  <c r="E22" i="66"/>
  <c r="S14" i="66"/>
  <c r="O60" i="66"/>
  <c r="Q60" i="66"/>
  <c r="O75" i="66"/>
  <c r="Q75" i="66"/>
  <c r="O26" i="66"/>
  <c r="I66" i="66"/>
  <c r="U10" i="66"/>
  <c r="Q11" i="66"/>
  <c r="I14" i="66"/>
  <c r="K14" i="66"/>
  <c r="U17" i="66"/>
  <c r="Q18" i="66"/>
  <c r="U25" i="66"/>
  <c r="Q26" i="66"/>
  <c r="I63" i="66"/>
  <c r="K66" i="66"/>
  <c r="I33" i="66"/>
  <c r="K33" i="66"/>
  <c r="I61" i="66"/>
  <c r="K61" i="66"/>
  <c r="K63" i="66"/>
  <c r="O67" i="66"/>
  <c r="Q67" i="66"/>
  <c r="I77" i="66"/>
  <c r="K77" i="66"/>
  <c r="I10" i="66"/>
  <c r="K10" i="66"/>
  <c r="U11" i="66"/>
  <c r="U18" i="66"/>
  <c r="I25" i="66"/>
  <c r="K25" i="66"/>
  <c r="U26" i="66"/>
  <c r="E71" i="66"/>
  <c r="O11" i="66"/>
  <c r="S12" i="66"/>
  <c r="W18" i="66"/>
  <c r="S28" i="66"/>
  <c r="U30" i="66"/>
  <c r="M79" i="66"/>
  <c r="W22" i="66"/>
  <c r="G35" i="66"/>
  <c r="Q22" i="66"/>
  <c r="M30" i="66"/>
  <c r="O22" i="66"/>
  <c r="I22" i="66"/>
  <c r="K22" i="66"/>
  <c r="E30" i="66"/>
  <c r="I71" i="66"/>
  <c r="K71" i="66"/>
  <c r="E79" i="66"/>
  <c r="O71" i="66"/>
  <c r="Q71" i="66"/>
  <c r="S22" i="66"/>
  <c r="O79" i="66"/>
  <c r="I79" i="66"/>
  <c r="K79" i="66"/>
  <c r="S30" i="66"/>
  <c r="Q79" i="66"/>
  <c r="W30" i="66"/>
  <c r="E35" i="66"/>
  <c r="O30" i="66"/>
  <c r="Q30" i="66"/>
  <c r="I30" i="66"/>
  <c r="K30" i="66"/>
  <c r="M35" i="66"/>
  <c r="Q35" i="66"/>
  <c r="O35" i="66"/>
  <c r="I35" i="66"/>
  <c r="K35" i="66"/>
  <c r="D11" i="48"/>
  <c r="D47" i="1"/>
  <c r="B6" i="51"/>
  <c r="C11" i="63"/>
  <c r="C13" i="60"/>
  <c r="C12" i="60"/>
  <c r="E15" i="65"/>
  <c r="E17" i="65"/>
  <c r="E19" i="65" s="1"/>
  <c r="D53" i="1"/>
  <c r="D54" i="1"/>
  <c r="C14" i="63"/>
  <c r="D55" i="1"/>
  <c r="D29" i="1"/>
  <c r="D21" i="1"/>
  <c r="D30" i="1"/>
  <c r="D56" i="1"/>
  <c r="D48" i="1"/>
  <c r="D49" i="1"/>
  <c r="D50" i="1"/>
  <c r="D51" i="1"/>
  <c r="D28" i="1"/>
  <c r="B17" i="35"/>
  <c r="D46" i="1"/>
  <c r="D45" i="1"/>
  <c r="D44" i="1"/>
  <c r="D52" i="1"/>
  <c r="D33" i="1"/>
  <c r="B15" i="65"/>
  <c r="D57" i="1"/>
  <c r="E20" i="65" l="1"/>
  <c r="E21" i="65" s="1"/>
  <c r="C19" i="1"/>
  <c r="D19" i="1" s="1"/>
  <c r="C22" i="1"/>
  <c r="B20" i="35" l="1"/>
  <c r="B22" i="35" s="1"/>
  <c r="D22" i="1"/>
  <c r="D25" i="1" s="1"/>
  <c r="D35" i="1" s="1"/>
  <c r="D39" i="1"/>
  <c r="D40" i="1"/>
  <c r="D38" i="1"/>
  <c r="D41" i="1" l="1"/>
  <c r="D59" i="1" s="1"/>
  <c r="D60" i="1" l="1"/>
  <c r="D61" i="1" s="1"/>
</calcChain>
</file>

<file path=xl/sharedStrings.xml><?xml version="1.0" encoding="utf-8"?>
<sst xmlns="http://schemas.openxmlformats.org/spreadsheetml/2006/main" count="455" uniqueCount="250">
  <si>
    <t>PUGET SOUND ENERGY</t>
  </si>
  <si>
    <t>PASS THROUGH REVENUE AND EXPENSE - GAS</t>
  </si>
  <si>
    <t>LINE</t>
  </si>
  <si>
    <t>ORIGINAL</t>
  </si>
  <si>
    <t>NO.</t>
  </si>
  <si>
    <t>DESCRIPTION</t>
  </si>
  <si>
    <t>ADJUSTMENT</t>
  </si>
  <si>
    <t>REMOVE REVENUES ASSOCIATED WITH RIDERS:</t>
  </si>
  <si>
    <t>REMOVE LOW INCOME RIDER - SCHEDULE 129</t>
  </si>
  <si>
    <t>REMOVE CONSERVATION TRACKER - SCHEDULE 120</t>
  </si>
  <si>
    <t>REMOVE PROPERTY TAX TRACKER - SCHEDULE 140</t>
  </si>
  <si>
    <t>REMOVE REVENUE ASSOC WITH PGA AMORTIZATION - SCHEDULE 106</t>
  </si>
  <si>
    <t>REMOVE CARBON OFFSET - SCHEDULE 137</t>
  </si>
  <si>
    <t>REMOVE OTHER ASSOC WITH CARBON OFFSET - SCHEDULE 137</t>
  </si>
  <si>
    <t>REMOVE DECOUPLING SCH 142 SURCHARGE AMORT EXPENSE</t>
  </si>
  <si>
    <t>REMOVE MUNICIPAL TAXES ASSOC WITH SALES TO CUSTOMERS</t>
  </si>
  <si>
    <t>REMOVE MUNICIPAL TAXES ASSOC WITH OTHER OPRTG REV</t>
  </si>
  <si>
    <t>TOTAL (INCREASE) DECREASE REVENUES</t>
  </si>
  <si>
    <t>DECREASE REVENUE SENSITIVE ITEMS FOR DECREASE IN REVENUES:</t>
  </si>
  <si>
    <t>UNCOLLECTIBLES @</t>
  </si>
  <si>
    <t>ANNUAL FILING FEE</t>
  </si>
  <si>
    <t xml:space="preserve">STATE UTILITY TAX </t>
  </si>
  <si>
    <t xml:space="preserve">TOTAL </t>
  </si>
  <si>
    <t>REMOVE EXPENSES ASSOCIATED WITH RIDERS</t>
  </si>
  <si>
    <t>REMOVE LOW INCOME AMORTIZATION - SCHEDULE 129</t>
  </si>
  <si>
    <t>REMOVE CONSERVATION AMORTIZATION - SCHEDULE 120</t>
  </si>
  <si>
    <t>REMOVE PROPERTY TAX AMORTIZATION EXP - SCHEDULE 140</t>
  </si>
  <si>
    <t>REMOVE PGA DEFERRAL AMORTIZATION EXP - SCHEDULE 106</t>
  </si>
  <si>
    <t>REMOVE CARBON OFFSET AMORTIZATION EXP - SCHEDULE 137</t>
  </si>
  <si>
    <t>TOTAL INCREASE (DECREASE) EXPENSE</t>
  </si>
  <si>
    <t>INCREASE (DECREASE) OPERATING INCOME BEFORE FIT</t>
  </si>
  <si>
    <t>INCREASE (DECREASE) NOI</t>
  </si>
  <si>
    <t/>
  </si>
  <si>
    <t>Overall Result</t>
  </si>
  <si>
    <t>Fiscal year/period</t>
  </si>
  <si>
    <t>Total Billed Amount Incl Tax</t>
  </si>
  <si>
    <t>Division</t>
  </si>
  <si>
    <t>Statistical Rate</t>
  </si>
  <si>
    <t>Result</t>
  </si>
  <si>
    <t>GSC_137</t>
  </si>
  <si>
    <t>GSR_137</t>
  </si>
  <si>
    <t>Rate Category</t>
  </si>
  <si>
    <t>GSU_FFSTAT</t>
  </si>
  <si>
    <t>GSR_FFSTAT</t>
  </si>
  <si>
    <t>GSC_FFSTAT</t>
  </si>
  <si>
    <t>GST_FFSTAT</t>
  </si>
  <si>
    <t>COMMISSION BASIS REPORT</t>
  </si>
  <si>
    <t>90800407  4400-Cust Asst Exp-Consr Trckr Amort-Gas</t>
  </si>
  <si>
    <t>40810304  Property Taxes-Washington-Gas</t>
  </si>
  <si>
    <t>40810307  Prop Tax Sch140 Tracker Amort Defer -Gas</t>
  </si>
  <si>
    <t>90800350  4465 - Low Income Program  - Gas</t>
  </si>
  <si>
    <t>Act. Costs</t>
  </si>
  <si>
    <t>Decoupling Revenue</t>
  </si>
  <si>
    <t>Orders</t>
  </si>
  <si>
    <t>Conversion Factor Before FIT</t>
  </si>
  <si>
    <t>SUMMARY OF GAS OPERATING REVENUE &amp; THERM SALES</t>
  </si>
  <si>
    <t>INCREASE (DECREASE)</t>
  </si>
  <si>
    <t>VARIANCE FROM BUDGET</t>
  </si>
  <si>
    <t>REVENUE PER THERM</t>
  </si>
  <si>
    <t>ACTUAL</t>
  </si>
  <si>
    <t>SALE OF GAS - REVENUE</t>
  </si>
  <si>
    <t>BUDGET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</si>
  <si>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</si>
  <si>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</si>
  <si>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</si>
  <si>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</si>
  <si>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</si>
  <si>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</si>
  <si>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</si>
  <si>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</si>
  <si>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</si>
  <si>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</si>
  <si>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</si>
  <si>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</si>
  <si>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</si>
  <si>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</si>
  <si>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</si>
  <si>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</si>
  <si>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</si>
  <si>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Other Operating Revenues</t>
  </si>
  <si>
    <t xml:space="preserve">    Total operating revenues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</si>
  <si>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</si>
  <si>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</si>
  <si>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</si>
  <si>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</si>
  <si>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</si>
  <si>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</si>
  <si>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</si>
  <si>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$</t>
  </si>
  <si>
    <t xml:space="preserve">     49500063  G Decoup Rev Schedule 31 &amp; 31T</t>
  </si>
  <si>
    <t xml:space="preserve">     49500064  G Decoup Rev 41, 41T, 86 &amp; 86T</t>
  </si>
  <si>
    <t xml:space="preserve">     49500066  G Decoup Amort Sch 142 - Sch 31 &amp; 31T in</t>
  </si>
  <si>
    <t xml:space="preserve">     49500067  G Decoup Amort Sch 142-Sch 41,41T,86,86T</t>
  </si>
  <si>
    <t xml:space="preserve">     49500102  9900-Gas Residential Decoupling Revenue</t>
  </si>
  <si>
    <t xml:space="preserve">     49500122  9900- Amort Sch 142 Gas Resid in Rates</t>
  </si>
  <si>
    <t>**** Total</t>
  </si>
  <si>
    <t>Amount</t>
  </si>
  <si>
    <t>PGA Deferral - Demand - Purch Gas Cost</t>
  </si>
  <si>
    <t>PGA Deferral - Commodity -Purch Gas Cos</t>
  </si>
  <si>
    <t>PGA Deferral - PGA Amort -Purch Gas Cos</t>
  </si>
  <si>
    <t>PGA Deferral - PGA Amort (Demand)</t>
  </si>
  <si>
    <t>PGA Deferral - PGA Amort (Commodity)</t>
  </si>
  <si>
    <t>PGA Deferral - PGA Amort Nov19-Oct21</t>
  </si>
  <si>
    <t>Gas</t>
  </si>
  <si>
    <t>SCH_031GC</t>
  </si>
  <si>
    <t>Natural Gas Commercial General Service</t>
  </si>
  <si>
    <t>SCH_041GC</t>
  </si>
  <si>
    <t>Natural Gas Large Vol. High Load Factor</t>
  </si>
  <si>
    <t>SCH_085GC</t>
  </si>
  <si>
    <t>Natural Gas Inter Service w/ Firm Option</t>
  </si>
  <si>
    <t>SCH_086GC</t>
  </si>
  <si>
    <t>Nat Gas Limit Inter Serv w/ Firm Option</t>
  </si>
  <si>
    <t>SCH_087GC</t>
  </si>
  <si>
    <t>Nat Gas Non-Ex Inter Serv w/ Firm Option</t>
  </si>
  <si>
    <t>SCH_041GTC</t>
  </si>
  <si>
    <t>NGDS Transportation Service Firm LVHLF</t>
  </si>
  <si>
    <t>SCH_085GTC</t>
  </si>
  <si>
    <t>NGDS Trans Service Inter. w/ Firm Option</t>
  </si>
  <si>
    <t>SCH_086GTC</t>
  </si>
  <si>
    <t>NGDS Trans Service Limited Inter w/ Firm</t>
  </si>
  <si>
    <t>SCH_087GTC</t>
  </si>
  <si>
    <t>NGDS Trans Serv Non-Excl Inter w/ Firm</t>
  </si>
  <si>
    <t>SCH_031GI</t>
  </si>
  <si>
    <t>Natural Gas Industrial General Service</t>
  </si>
  <si>
    <t>SCH_041GI</t>
  </si>
  <si>
    <t>SCH_085GI</t>
  </si>
  <si>
    <t>SCH_086GI</t>
  </si>
  <si>
    <t>SCH_041GTI</t>
  </si>
  <si>
    <t>SCH_085GTI</t>
  </si>
  <si>
    <t>SCH_086GTI</t>
  </si>
  <si>
    <t>SCH_087GTI</t>
  </si>
  <si>
    <t>SCH_099GT</t>
  </si>
  <si>
    <t>NGDS Transportation Service Special</t>
  </si>
  <si>
    <t>SCH_023G</t>
  </si>
  <si>
    <t>Natural Gas Residential General Service</t>
  </si>
  <si>
    <t>SCH_072G</t>
  </si>
  <si>
    <t>Natural Gas Large Vol H2O Heater Rental</t>
  </si>
  <si>
    <t>SCH_074G</t>
  </si>
  <si>
    <t>Natural Gas Conv. Burner Rental Service</t>
  </si>
  <si>
    <t>ZRW_ZO12</t>
  </si>
  <si>
    <t>Order Group 8051</t>
  </si>
  <si>
    <t>PGA Deferral – PGA Amort May19-May20</t>
  </si>
  <si>
    <t>SALES TO CUSTOMERS:</t>
  </si>
  <si>
    <t>OTHER OPERATING REVENUES:</t>
  </si>
  <si>
    <t>TOTAL INCREASE (DECREASE) SALES TO CUSTOMERS</t>
  </si>
  <si>
    <t>TOTAL INCREASE (DECREASE) OTHER OPERATING REVENUES</t>
  </si>
  <si>
    <t xml:space="preserve"> PURCHASED GAS</t>
  </si>
  <si>
    <t>CONSERVATION AMORTIZATION</t>
  </si>
  <si>
    <t>CUSTOMER SERVICE EXPENSES</t>
  </si>
  <si>
    <t>TAXES OTHER THAN F.I.T.</t>
  </si>
  <si>
    <t>ADMIN &amp; GENERAL EXPENSE</t>
  </si>
  <si>
    <t>90800313 PTAX</t>
  </si>
  <si>
    <t>90800313 CUST SERV</t>
  </si>
  <si>
    <t>90800313  9810-Cust Assist-Carbon Offset Sch-137-G</t>
  </si>
  <si>
    <t>90900313  9810 -Cust Promo-Carbon Offset Sch-137-G</t>
  </si>
  <si>
    <t>80500022  9810 - Carbon Offset Gas</t>
  </si>
  <si>
    <t>49500012  4430-Other Gas Reven-Carbon Offset Progm</t>
  </si>
  <si>
    <t>INCREASE (DECREASE) FIT  (LINE 47 * 21%)</t>
  </si>
  <si>
    <t>PUGET SOUND ENERGY-GAS</t>
  </si>
  <si>
    <t>CONVERSION FACTOR</t>
  </si>
  <si>
    <t>%'s</t>
  </si>
  <si>
    <t>RATE</t>
  </si>
  <si>
    <t>BAD DEBTS</t>
  </si>
  <si>
    <t>SUM OF TAXES OTHER</t>
  </si>
  <si>
    <t>CONVERSION FACTOR EXCLUDING FEDERAL INCOME TAX ( 1 - LINE 5)</t>
  </si>
  <si>
    <t xml:space="preserve">FEDERAL INCOME TAX </t>
  </si>
  <si>
    <t xml:space="preserve">CONVERSION FACTOR INCL FEDERAL INCOME TAX ( LINE 5 + LINE 8 ) </t>
  </si>
  <si>
    <t>90800313 A&amp;G</t>
  </si>
  <si>
    <t>90900313 CUST SERV</t>
  </si>
  <si>
    <t>PGA</t>
  </si>
  <si>
    <t>OOR</t>
  </si>
  <si>
    <t>Order</t>
  </si>
  <si>
    <t>ZRW_Zo12</t>
  </si>
  <si>
    <t>Order Group: 908CA</t>
  </si>
  <si>
    <t>Order Group: 4081</t>
  </si>
  <si>
    <t>Order Group:  DECOUP_GAS.3</t>
  </si>
  <si>
    <t>Order Group: 908G</t>
  </si>
  <si>
    <t>ECI_137</t>
  </si>
  <si>
    <t>ERES_137</t>
  </si>
  <si>
    <t>GST_137</t>
  </si>
  <si>
    <t>20</t>
  </si>
  <si>
    <t xml:space="preserve"> </t>
  </si>
  <si>
    <t>SCH_031GTI</t>
  </si>
  <si>
    <t>NGDS Transportation Service Firm Ind</t>
  </si>
  <si>
    <t>Filtered out water heater activity</t>
  </si>
  <si>
    <t>Sch. 137 (provided by Revenue Acctng)</t>
  </si>
  <si>
    <t>Municipal Taxes (data provided by Revenue Acctng group)</t>
  </si>
  <si>
    <t>Order Group: 90800313, 909</t>
  </si>
  <si>
    <t>Amounts</t>
  </si>
  <si>
    <t>Order Group:  4081</t>
  </si>
  <si>
    <t>Municipal Taxes</t>
  </si>
  <si>
    <t>Description</t>
  </si>
  <si>
    <t>SCH.  81 (UtilityTax &amp; FranFee) in above</t>
  </si>
  <si>
    <t>SCH. 101 (PGA) in above</t>
  </si>
  <si>
    <t>SCH. 106 (PGA Amor 12-Mo) in above</t>
  </si>
  <si>
    <t>SCH.106B (PGA Suppl Amort 24-Mo) in abov</t>
  </si>
  <si>
    <t>SCH. 120 (Cons. Trk Rev) in above</t>
  </si>
  <si>
    <t>Low Income Surcharge in above</t>
  </si>
  <si>
    <t>SCH. 140 (Prop Tax in BillEngy) in above</t>
  </si>
  <si>
    <t>SCH. 142 (Decup in BillEngy) in above</t>
  </si>
  <si>
    <t>SCH. 149 (Pipeline Replacement) in above</t>
  </si>
  <si>
    <t>SCH. 141X (Protected-Plus EDIT) in above</t>
  </si>
  <si>
    <t>SCH. 141Z (Unprotected EDIT) in above</t>
  </si>
  <si>
    <t>Sch 142 (Decoupling) Don't use sales of Elec/Gas Report because Sch 142 has more than the amortization that need to be remove.  Take the Amortization and gross it up to revenue</t>
  </si>
  <si>
    <t xml:space="preserve">NOTES: Internal </t>
  </si>
  <si>
    <t>KOb1</t>
  </si>
  <si>
    <t>Payroll Taxes</t>
  </si>
  <si>
    <t>Benefits OH</t>
  </si>
  <si>
    <t>Other Gas Exp _ Vol RNG Offset Prg</t>
  </si>
  <si>
    <t>Vol RNG Promo</t>
  </si>
  <si>
    <t>Order: 90900307, 80400013, 90800306, 49500144</t>
  </si>
  <si>
    <t>Other Gas Rev - Vol RNG Program</t>
  </si>
  <si>
    <t>GSC_RNG</t>
  </si>
  <si>
    <t>GSR_RNG</t>
  </si>
  <si>
    <t>REMOVE RENEWABLE NATURAL GAS - SCHEDULE 138 (RNG)</t>
  </si>
  <si>
    <t>REMOVE OTHER GAS REVENUE RENEWABLE NATURAL GAS - SCHEDULE 138 (RNG)</t>
  </si>
  <si>
    <t>REMOVE OTHER GAS EXPENSE RNG OFFSET PROGRAM- SCHEDULE 138</t>
  </si>
  <si>
    <t>Customer Service</t>
  </si>
  <si>
    <t>FOR THE TWELVE MONTHS ENDED JUNE 30, 2021</t>
  </si>
  <si>
    <t>2022 GENERAL RATE CASE</t>
  </si>
  <si>
    <t xml:space="preserve"> FOR THE TWELVE MONTHS ENDED DECEMBER 31, 2023</t>
  </si>
  <si>
    <t>PGA Deferral - Suppl 106B Amort</t>
  </si>
  <si>
    <t>TWELVE MONTHS ENDED DECEMBER, 2023</t>
  </si>
  <si>
    <t>VARIANCE FROM 2022</t>
  </si>
  <si>
    <t>BDRGAS Bill Discount Rate- Discounts</t>
  </si>
  <si>
    <t>SCH. 111CHG Cap &amp; Invest Adjust Charge</t>
  </si>
  <si>
    <t>SCH. 111CRG Cap &amp; Invest Adjust Credit</t>
  </si>
  <si>
    <t>SCH. 129DG Bill Discount Rate Rider</t>
  </si>
  <si>
    <t>SCH. 141D (Distr Pipe Prov Rec Adj)</t>
  </si>
  <si>
    <t>SCH. 141N_G (Rates Not Subj to Ref Adj)</t>
  </si>
  <si>
    <t>SCH. 141RA_G (Rates Subject to Ref Adj)</t>
  </si>
  <si>
    <t>SCH. 141RB_E Rates Subj Ref Adj Refun El</t>
  </si>
  <si>
    <t>001/2023</t>
  </si>
  <si>
    <t>002/2023</t>
  </si>
  <si>
    <t>003/2023</t>
  </si>
  <si>
    <t>004/2023</t>
  </si>
  <si>
    <t>005/2023</t>
  </si>
  <si>
    <t>006/2023</t>
  </si>
  <si>
    <t>007/2023</t>
  </si>
  <si>
    <t>008/2023</t>
  </si>
  <si>
    <t>009/2023</t>
  </si>
  <si>
    <t>010/2023</t>
  </si>
  <si>
    <t>011/2023</t>
  </si>
  <si>
    <t>012/2023</t>
  </si>
  <si>
    <t>Sch. 138 (12 ME Dec 2023)</t>
  </si>
  <si>
    <t>Gas Sch. 129D Deferral</t>
  </si>
  <si>
    <t>Order:  49500029</t>
  </si>
  <si>
    <t>REMOVE GAS  - SCHEDULE 129D DEFERRAL(new)</t>
  </si>
  <si>
    <t xml:space="preserve">REMOVE BILL DISCOUNT RATE RIDER - SCHEDULE 129DG </t>
  </si>
  <si>
    <r>
      <t xml:space="preserve">REMOVE DECOUPLING SCH 142 REVENUE </t>
    </r>
    <r>
      <rPr>
        <i/>
        <sz val="10"/>
        <color rgb="FF0000FF"/>
        <rFont val="Times New Roman"/>
        <family val="1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</si>
</sst>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#,##0;\(#,##0\)"/>
    <numFmt numFmtId="167" formatCode="0.000000%"/>
    <numFmt numFmtId="168" formatCode="_(* #,##0_);_(* \(#,##0\);_(* &quot;-&quot;??_);_(@_)"/>
    <numFmt numFmtId="169" formatCode="_-* #,##0.00\ _D_M_-;\-* #,##0.00\ _D_M_-;_-* &quot;-&quot;??\ _D_M_-;_-@_-"/>
    <numFmt numFmtId="170" formatCode="###,000"/>
    <numFmt numFmtId="171" formatCode="0.00000%"/>
    <numFmt numFmtId="172" formatCode="_(* #,##0.000_);_(* \(#,##0.000\);_(* &quot;-&quot;???_);_(@_)"/>
    <numFmt numFmtId="173" formatCode="_(&quot;$&quot;* #,##0.000_);_(&quot;$&quot;* \(#,##0.000\);_(&quot;$&quot;* &quot;-&quot;???_);_(@_)"/>
    <numFmt numFmtId="174" formatCode="#,##0.00_-;#,##0.00\-;&quot; &quot;"/>
    <numFmt numFmtId="175" formatCode="_(#,##0.0%_);\(#,##0.0%\);_(#,##0.0%_);_(@_)"/>
    <numFmt numFmtId="176" formatCode="0.0%;\(0.0%\)"/>
    <numFmt numFmtId="177" formatCode="0.000"/>
    <numFmt numFmtId="178" formatCode="_(#,##0_);\(#,##0\);_(#,##0_);_(@_)"/>
    <numFmt numFmtId="179" formatCode="_-* #,##0\ _D_M_-;\-* #,##0\ _D_M_-;_-* &quot;-&quot;??\ _D_M_-;_-@_-"/>
    <numFmt numFmtId="180" formatCode="_(#,##0.00_);\(#,##0.00\);_(#,##0.00_);_(@_)"/>
    <numFmt numFmtId="181" formatCode="#,##0.00;\-#,##0.00;#,##0.00"/>
    <numFmt numFmtId="182" formatCode="0.0000%"/>
    <numFmt numFmtId="183" formatCode="_-* #,##0.00\ &quot;DM&quot;_-;\-* #,##0.00\ &quot;DM&quot;_-;_-* &quot;-&quot;??\ &quot;DM&quot;_-;_-@_-"/>
    <numFmt numFmtId="184" formatCode="0.00000000"/>
  </numFmts>
  <fonts count="4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b/>
      <sz val="10"/>
      <color rgb="FFFF0000"/>
      <name val="Times New Roman"/>
      <family val="1"/>
    </font>
    <font>
      <sz val="11"/>
      <color indexed="8"/>
      <name val="Calibri"/>
      <family val="2"/>
      <scheme val="minor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1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color rgb="FFDBE5F1"/>
      <name val="Verdana"/>
      <family val="2"/>
    </font>
    <font>
      <sz val="10"/>
      <name val="Courier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Courier"/>
      <family val="3"/>
    </font>
    <font>
      <b/>
      <sz val="11"/>
      <color rgb="FF0000FF"/>
      <name val="Calibri"/>
      <family val="2"/>
      <scheme val="minor"/>
    </font>
    <font>
      <b/>
      <sz val="10"/>
      <color rgb="FF0000FF"/>
      <name val="Courier"/>
    </font>
    <font>
      <sz val="11"/>
      <color theme="1"/>
      <name val="Arial"/>
      <family val="2"/>
    </font>
    <font>
      <sz val="11"/>
      <color theme="1"/>
      <name val="Times New Roman"/>
      <family val="2"/>
    </font>
    <font>
      <b/>
      <u/>
      <sz val="10"/>
      <name val="Times New Roman"/>
      <family val="1"/>
    </font>
    <font>
      <i/>
      <sz val="10"/>
      <color rgb="FF0000FF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i/>
      <u/>
      <sz val="11"/>
      <color rgb="FF0000FF"/>
      <name val="Calibri"/>
      <family val="2"/>
      <scheme val="minor"/>
    </font>
    <font>
      <i/>
      <sz val="11"/>
      <color rgb="FF0000FF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-0.24994659260841701"/>
      </bottom>
      <diagonal/>
    </border>
  </borders>
  <cellStyleXfs count="52">
    <xf numFmtId="0" fontId="0" fillId="0" borderId="0"/>
    <xf numFmtId="170" fontId="12" fillId="0" borderId="8" applyNumberFormat="0" applyFill="0" applyBorder="0" applyAlignment="0" applyProtection="0">
      <alignment horizontal="right" vertical="center"/>
    </xf>
    <xf numFmtId="170" fontId="28" fillId="16" borderId="9" applyNumberFormat="0" applyBorder="0">
      <alignment horizontal="right" vertical="center"/>
      <protection locked="0"/>
    </xf>
    <xf numFmtId="170" fontId="29" fillId="16" borderId="8" applyNumberFormat="0" applyBorder="0">
      <alignment horizontal="right" vertical="center"/>
      <protection locked="0"/>
    </xf>
    <xf numFmtId="170" fontId="28" fillId="17" borderId="9" applyNumberFormat="0" applyProtection="0">
      <alignment horizontal="right" vertical="center"/>
    </xf>
    <xf numFmtId="0" fontId="15" fillId="17" borderId="9" applyNumberFormat="0" applyAlignment="0" applyProtection="0">
      <alignment horizontal="left" vertical="center" indent="1"/>
    </xf>
    <xf numFmtId="0" fontId="15" fillId="3" borderId="9" applyNumberFormat="0" applyAlignment="0">
      <alignment horizontal="left" vertical="center" indent="1"/>
      <protection locked="0"/>
    </xf>
    <xf numFmtId="0" fontId="15" fillId="3" borderId="9" applyNumberFormat="0" applyAlignment="0">
      <alignment horizontal="left" vertical="center" indent="1"/>
      <protection locked="0"/>
    </xf>
    <xf numFmtId="0" fontId="16" fillId="0" borderId="10" applyNumberFormat="0" applyBorder="0" applyAlignment="0" applyProtection="0"/>
    <xf numFmtId="0" fontId="15" fillId="0" borderId="10" applyNumberFormat="0" applyFill="0" applyBorder="0" applyAlignment="0" applyProtection="0"/>
    <xf numFmtId="0" fontId="14" fillId="17" borderId="9" applyNumberFormat="0" applyAlignment="0" applyProtection="0">
      <alignment horizontal="left" vertical="center" indent="1"/>
    </xf>
    <xf numFmtId="0" fontId="14" fillId="16" borderId="7" applyNumberFormat="0" applyAlignment="0" applyProtection="0">
      <alignment horizontal="left" vertical="center" indent="1"/>
    </xf>
    <xf numFmtId="0" fontId="14" fillId="15" borderId="7" applyNumberFormat="0" applyAlignment="0" applyProtection="0">
      <alignment horizontal="left" vertical="center" indent="1"/>
    </xf>
    <xf numFmtId="0" fontId="14" fillId="14" borderId="7" applyNumberFormat="0" applyAlignment="0" applyProtection="0">
      <alignment horizontal="left" vertical="center" indent="1"/>
    </xf>
    <xf numFmtId="0" fontId="14" fillId="13" borderId="7" applyNumberFormat="0" applyAlignment="0" applyProtection="0">
      <alignment horizontal="left" vertical="center" indent="1"/>
    </xf>
    <xf numFmtId="0" fontId="13" fillId="2" borderId="9" applyNumberFormat="0" applyAlignment="0" applyProtection="0">
      <alignment horizontal="left" vertical="center" indent="1"/>
    </xf>
    <xf numFmtId="170" fontId="12" fillId="18" borderId="7" applyNumberFormat="0" applyAlignment="0" applyProtection="0">
      <alignment horizontal="left" vertical="center" indent="1"/>
    </xf>
    <xf numFmtId="170" fontId="12" fillId="0" borderId="8" applyNumberFormat="0" applyFill="0" applyBorder="0" applyAlignment="0" applyProtection="0">
      <alignment horizontal="right" vertical="center"/>
    </xf>
    <xf numFmtId="0" fontId="11" fillId="0" borderId="13" applyNumberFormat="0" applyFont="0" applyFill="0" applyAlignment="0" applyProtection="0"/>
    <xf numFmtId="170" fontId="26" fillId="18" borderId="0" applyNumberFormat="0" applyAlignment="0" applyProtection="0">
      <alignment horizontal="left" vertical="center" indent="1"/>
    </xf>
    <xf numFmtId="0" fontId="11" fillId="0" borderId="7" applyNumberFormat="0" applyFont="0" applyFill="0" applyAlignment="0" applyProtection="0"/>
    <xf numFmtId="170" fontId="20" fillId="12" borderId="11" applyNumberFormat="0" applyBorder="0" applyAlignment="0" applyProtection="0">
      <alignment horizontal="right" vertical="center" indent="1"/>
    </xf>
    <xf numFmtId="170" fontId="20" fillId="11" borderId="11" applyNumberFormat="0" applyBorder="0" applyAlignment="0" applyProtection="0">
      <alignment horizontal="right" vertical="center" indent="1"/>
    </xf>
    <xf numFmtId="170" fontId="20" fillId="10" borderId="11" applyNumberFormat="0" applyBorder="0" applyAlignment="0" applyProtection="0">
      <alignment horizontal="right" vertical="center" indent="1"/>
    </xf>
    <xf numFmtId="170" fontId="19" fillId="9" borderId="11" applyNumberFormat="0" applyBorder="0" applyAlignment="0" applyProtection="0">
      <alignment horizontal="right" vertical="center" indent="1"/>
    </xf>
    <xf numFmtId="170" fontId="19" fillId="8" borderId="11" applyNumberFormat="0" applyBorder="0" applyAlignment="0" applyProtection="0">
      <alignment horizontal="right" vertical="center" indent="1"/>
    </xf>
    <xf numFmtId="170" fontId="19" fillId="7" borderId="11" applyNumberFormat="0" applyBorder="0" applyAlignment="0" applyProtection="0">
      <alignment horizontal="right" vertical="center" indent="1"/>
    </xf>
    <xf numFmtId="170" fontId="18" fillId="6" borderId="11" applyNumberFormat="0" applyBorder="0" applyAlignment="0" applyProtection="0">
      <alignment horizontal="right" vertical="center" indent="1"/>
    </xf>
    <xf numFmtId="170" fontId="18" fillId="5" borderId="11" applyNumberFormat="0" applyBorder="0" applyAlignment="0" applyProtection="0">
      <alignment horizontal="right" vertical="center" indent="1"/>
    </xf>
    <xf numFmtId="170" fontId="17" fillId="4" borderId="11" applyNumberFormat="0" applyBorder="0" applyAlignment="0" applyProtection="0">
      <alignment horizontal="right" vertical="center" indent="1"/>
    </xf>
    <xf numFmtId="170" fontId="13" fillId="16" borderId="9" applyNumberFormat="0" applyBorder="0">
      <alignment horizontal="right" vertical="center"/>
      <protection locked="0"/>
    </xf>
    <xf numFmtId="170" fontId="13" fillId="17" borderId="9" applyNumberFormat="0" applyProtection="0">
      <alignment horizontal="right" vertical="center"/>
    </xf>
    <xf numFmtId="0" fontId="14" fillId="3" borderId="9" applyNumberFormat="0" applyAlignment="0">
      <alignment horizontal="left" vertical="center" indent="1"/>
      <protection locked="0"/>
    </xf>
    <xf numFmtId="170" fontId="12" fillId="16" borderId="8" applyNumberFormat="0" applyBorder="0">
      <alignment horizontal="right" vertical="center"/>
      <protection locked="0"/>
    </xf>
    <xf numFmtId="0" fontId="14" fillId="17" borderId="9" applyNumberFormat="0" applyAlignment="0" applyProtection="0">
      <alignment horizontal="left" vertical="center" indent="1"/>
    </xf>
    <xf numFmtId="0" fontId="14" fillId="3" borderId="9" applyNumberFormat="0" applyAlignment="0">
      <alignment horizontal="left" vertical="center" indent="1"/>
      <protection locked="0"/>
    </xf>
    <xf numFmtId="170" fontId="12" fillId="18" borderId="7" applyNumberFormat="0" applyAlignment="0" applyProtection="0">
      <alignment horizontal="left" vertical="center" indent="1"/>
    </xf>
    <xf numFmtId="170" fontId="13" fillId="0" borderId="9" applyNumberFormat="0" applyProtection="0">
      <alignment horizontal="right" vertical="center"/>
    </xf>
    <xf numFmtId="170" fontId="12" fillId="0" borderId="8" applyNumberFormat="0" applyProtection="0">
      <alignment horizontal="right" vertical="center"/>
    </xf>
    <xf numFmtId="0" fontId="13" fillId="2" borderId="7" applyNumberFormat="0" applyAlignment="0" applyProtection="0">
      <alignment horizontal="left" vertical="center" indent="1"/>
    </xf>
    <xf numFmtId="43" fontId="30" fillId="0" borderId="0" applyFont="0" applyFill="0" applyBorder="0" applyAlignment="0" applyProtection="0"/>
    <xf numFmtId="164" fontId="3" fillId="0" borderId="0">
      <alignment horizontal="left" wrapText="1"/>
    </xf>
    <xf numFmtId="0" fontId="3" fillId="0" borderId="0"/>
    <xf numFmtId="169" fontId="3" fillId="0" borderId="0" applyFont="0" applyFill="0" applyBorder="0" applyAlignment="0" applyProtection="0"/>
    <xf numFmtId="39" fontId="34" fillId="0" borderId="0"/>
    <xf numFmtId="18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0" fillId="0" borderId="0"/>
    <xf numFmtId="0" fontId="30" fillId="0" borderId="0"/>
    <xf numFmtId="0" fontId="38" fillId="0" borderId="0"/>
    <xf numFmtId="0" fontId="43" fillId="0" borderId="0"/>
  </cellStyleXfs>
  <cellXfs count="203">
    <xf numFmtId="0" fontId="0" fillId="0" borderId="0" xfId="0"/>
    <xf numFmtId="164" fontId="4" fillId="0" borderId="0" xfId="0" applyNumberFormat="1" applyFont="1" applyFill="1" applyAlignment="1" applyProtection="1">
      <alignment horizontal="left"/>
      <protection locked="0"/>
    </xf>
    <xf numFmtId="164" fontId="4" fillId="0" borderId="0" xfId="0" applyNumberFormat="1" applyFont="1" applyFill="1" applyAlignment="1" applyProtection="1">
      <protection locked="0"/>
    </xf>
    <xf numFmtId="0" fontId="0" fillId="0" borderId="0" xfId="0" applyAlignment="1">
      <alignment horizontal="left"/>
    </xf>
    <xf numFmtId="18" fontId="4" fillId="0" borderId="0" xfId="0" applyNumberFormat="1" applyFont="1" applyFill="1" applyAlignment="1">
      <alignment horizontal="left" wrapText="1"/>
    </xf>
    <xf numFmtId="164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left" wrapText="1"/>
    </xf>
    <xf numFmtId="164" fontId="4" fillId="0" borderId="0" xfId="0" applyNumberFormat="1" applyFont="1" applyFill="1" applyBorder="1" applyAlignment="1" applyProtection="1">
      <alignment horizontal="center"/>
      <protection locked="0"/>
    </xf>
    <xf numFmtId="164" fontId="4" fillId="0" borderId="2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left"/>
    </xf>
    <xf numFmtId="164" fontId="4" fillId="0" borderId="2" xfId="0" applyNumberFormat="1" applyFont="1" applyFill="1" applyBorder="1" applyAlignment="1">
      <alignment horizontal="left" wrapText="1"/>
    </xf>
    <xf numFmtId="1" fontId="5" fillId="0" borderId="0" xfId="0" applyNumberFormat="1" applyFont="1" applyFill="1" applyAlignment="1">
      <alignment horizontal="center"/>
    </xf>
    <xf numFmtId="9" fontId="5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Fill="1"/>
    <xf numFmtId="164" fontId="5" fillId="0" borderId="0" xfId="0" applyNumberFormat="1" applyFont="1" applyFill="1" applyBorder="1" applyAlignment="1"/>
    <xf numFmtId="166" fontId="5" fillId="0" borderId="0" xfId="0" applyNumberFormat="1" applyFont="1" applyFill="1" applyBorder="1" applyAlignment="1" applyProtection="1">
      <protection locked="0"/>
    </xf>
    <xf numFmtId="164" fontId="5" fillId="0" borderId="0" xfId="0" quotePrefix="1" applyNumberFormat="1" applyFont="1" applyFill="1" applyAlignment="1">
      <alignment horizontal="left"/>
    </xf>
    <xf numFmtId="164" fontId="5" fillId="0" borderId="0" xfId="0" quotePrefix="1" applyNumberFormat="1" applyFont="1" applyFill="1" applyBorder="1" applyAlignment="1">
      <alignment horizontal="left"/>
    </xf>
    <xf numFmtId="0" fontId="0" fillId="0" borderId="0" xfId="0" applyFill="1" applyBorder="1"/>
    <xf numFmtId="164" fontId="6" fillId="0" borderId="0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Alignment="1">
      <alignment horizontal="left" wrapText="1"/>
    </xf>
    <xf numFmtId="41" fontId="5" fillId="0" borderId="0" xfId="0" applyNumberFormat="1" applyFont="1" applyFill="1" applyBorder="1" applyAlignment="1"/>
    <xf numFmtId="165" fontId="5" fillId="0" borderId="0" xfId="0" applyNumberFormat="1" applyFont="1" applyFill="1" applyAlignment="1">
      <alignment horizontal="right" wrapText="1"/>
    </xf>
    <xf numFmtId="37" fontId="5" fillId="0" borderId="0" xfId="0" applyNumberFormat="1" applyFont="1" applyFill="1" applyAlignment="1">
      <alignment horizontal="right" wrapText="1"/>
    </xf>
    <xf numFmtId="167" fontId="5" fillId="0" borderId="0" xfId="0" applyNumberFormat="1" applyFont="1" applyFill="1" applyBorder="1" applyAlignment="1">
      <alignment horizontal="right" wrapText="1"/>
    </xf>
    <xf numFmtId="165" fontId="5" fillId="0" borderId="4" xfId="0" applyNumberFormat="1" applyFont="1" applyFill="1" applyBorder="1" applyAlignment="1">
      <alignment horizontal="right" wrapText="1"/>
    </xf>
    <xf numFmtId="164" fontId="5" fillId="0" borderId="0" xfId="0" applyNumberFormat="1" applyFont="1" applyFill="1" applyBorder="1" applyAlignment="1">
      <alignment horizontal="left" wrapText="1"/>
    </xf>
    <xf numFmtId="4" fontId="0" fillId="0" borderId="0" xfId="0" applyNumberFormat="1" applyFill="1"/>
    <xf numFmtId="165" fontId="5" fillId="0" borderId="0" xfId="0" applyNumberFormat="1" applyFont="1" applyFill="1" applyBorder="1" applyAlignment="1" applyProtection="1">
      <protection locked="0"/>
    </xf>
    <xf numFmtId="41" fontId="5" fillId="0" borderId="0" xfId="0" applyNumberFormat="1" applyFont="1" applyFill="1"/>
    <xf numFmtId="165" fontId="5" fillId="0" borderId="5" xfId="0" applyNumberFormat="1" applyFont="1" applyFill="1" applyBorder="1"/>
    <xf numFmtId="165" fontId="5" fillId="0" borderId="3" xfId="0" applyNumberFormat="1" applyFont="1" applyFill="1" applyBorder="1" applyAlignment="1">
      <alignment horizontal="right" wrapText="1"/>
    </xf>
    <xf numFmtId="0" fontId="2" fillId="0" borderId="0" xfId="0" applyFont="1"/>
    <xf numFmtId="0" fontId="23" fillId="0" borderId="0" xfId="0" applyFont="1"/>
    <xf numFmtId="164" fontId="5" fillId="0" borderId="0" xfId="0" applyNumberFormat="1" applyFont="1" applyFill="1" applyAlignment="1">
      <alignment horizontal="left"/>
    </xf>
    <xf numFmtId="164" fontId="4" fillId="0" borderId="0" xfId="0" applyNumberFormat="1" applyFont="1" applyFill="1" applyAlignment="1" applyProtection="1">
      <alignment horizontal="center"/>
      <protection locked="0"/>
    </xf>
    <xf numFmtId="0" fontId="27" fillId="0" borderId="0" xfId="0" applyFont="1" applyFill="1"/>
    <xf numFmtId="49" fontId="21" fillId="0" borderId="6" xfId="0" applyNumberFormat="1" applyFont="1" applyFill="1" applyBorder="1" applyAlignment="1">
      <alignment horizontal="left"/>
    </xf>
    <xf numFmtId="49" fontId="21" fillId="0" borderId="6" xfId="0" applyNumberFormat="1" applyFont="1" applyFill="1" applyBorder="1" applyAlignment="1">
      <alignment horizontal="center"/>
    </xf>
    <xf numFmtId="49" fontId="0" fillId="0" borderId="17" xfId="0" applyNumberFormat="1" applyFill="1" applyBorder="1" applyAlignment="1">
      <alignment horizontal="left"/>
    </xf>
    <xf numFmtId="174" fontId="0" fillId="0" borderId="17" xfId="0" applyNumberFormat="1" applyFill="1" applyBorder="1"/>
    <xf numFmtId="49" fontId="0" fillId="0" borderId="18" xfId="0" applyNumberFormat="1" applyFill="1" applyBorder="1" applyAlignment="1">
      <alignment horizontal="left"/>
    </xf>
    <xf numFmtId="49" fontId="7" fillId="0" borderId="6" xfId="0" applyNumberFormat="1" applyFont="1" applyFill="1" applyBorder="1" applyAlignment="1">
      <alignment horizontal="left"/>
    </xf>
    <xf numFmtId="174" fontId="7" fillId="0" borderId="6" xfId="0" applyNumberFormat="1" applyFont="1" applyFill="1" applyBorder="1"/>
    <xf numFmtId="164" fontId="9" fillId="0" borderId="0" xfId="0" applyNumberFormat="1" applyFont="1" applyFill="1" applyAlignment="1" applyProtection="1">
      <alignment horizontal="center"/>
      <protection locked="0"/>
    </xf>
    <xf numFmtId="4" fontId="0" fillId="0" borderId="0" xfId="0" applyNumberFormat="1"/>
    <xf numFmtId="168" fontId="0" fillId="0" borderId="0" xfId="0" applyNumberFormat="1" applyFont="1"/>
    <xf numFmtId="168" fontId="2" fillId="0" borderId="1" xfId="0" applyNumberFormat="1" applyFont="1" applyBorder="1"/>
    <xf numFmtId="0" fontId="2" fillId="0" borderId="0" xfId="0" applyNumberFormat="1" applyFont="1" applyAlignment="1">
      <alignment horizontal="center"/>
    </xf>
    <xf numFmtId="43" fontId="0" fillId="0" borderId="1" xfId="0" applyNumberFormat="1" applyFont="1" applyBorder="1"/>
    <xf numFmtId="9" fontId="5" fillId="0" borderId="0" xfId="0" applyNumberFormat="1" applyFont="1" applyFill="1" applyBorder="1" applyAlignment="1"/>
    <xf numFmtId="0" fontId="5" fillId="0" borderId="0" xfId="0" applyNumberFormat="1" applyFont="1" applyFill="1" applyAlignment="1">
      <alignment horizontal="left"/>
    </xf>
    <xf numFmtId="0" fontId="5" fillId="0" borderId="4" xfId="0" applyFont="1" applyFill="1" applyBorder="1" applyAlignment="1"/>
    <xf numFmtId="0" fontId="0" fillId="0" borderId="2" xfId="0" applyFill="1" applyBorder="1"/>
    <xf numFmtId="164" fontId="5" fillId="0" borderId="2" xfId="0" applyNumberFormat="1" applyFont="1" applyFill="1" applyBorder="1" applyAlignment="1"/>
    <xf numFmtId="164" fontId="5" fillId="0" borderId="0" xfId="0" applyNumberFormat="1" applyFont="1" applyFill="1" applyAlignment="1"/>
    <xf numFmtId="165" fontId="4" fillId="0" borderId="3" xfId="0" applyNumberFormat="1" applyFont="1" applyFill="1" applyBorder="1" applyAlignment="1"/>
    <xf numFmtId="181" fontId="12" fillId="0" borderId="8" xfId="38" applyNumberFormat="1">
      <alignment horizontal="right" vertical="center"/>
    </xf>
    <xf numFmtId="181" fontId="13" fillId="0" borderId="9" xfId="37" applyNumberFormat="1">
      <alignment horizontal="right" vertical="center"/>
    </xf>
    <xf numFmtId="0" fontId="13" fillId="2" borderId="7" xfId="39" applyNumberFormat="1" applyBorder="1" applyAlignment="1"/>
    <xf numFmtId="0" fontId="12" fillId="18" borderId="7" xfId="16" applyNumberFormat="1" applyBorder="1" applyAlignment="1"/>
    <xf numFmtId="181" fontId="13" fillId="0" borderId="15" xfId="37" applyNumberFormat="1" applyBorder="1">
      <alignment horizontal="right" vertical="center"/>
    </xf>
    <xf numFmtId="0" fontId="13" fillId="2" borderId="7" xfId="39" quotePrefix="1" applyNumberFormat="1" applyBorder="1" applyAlignment="1"/>
    <xf numFmtId="0" fontId="12" fillId="18" borderId="7" xfId="16" quotePrefix="1" applyNumberFormat="1" applyBorder="1" applyAlignment="1"/>
    <xf numFmtId="0" fontId="12" fillId="18" borderId="7" xfId="16" quotePrefix="1" applyNumberFormat="1" applyAlignment="1"/>
    <xf numFmtId="0" fontId="13" fillId="2" borderId="15" xfId="15" quotePrefix="1" applyNumberFormat="1" applyBorder="1" applyAlignment="1"/>
    <xf numFmtId="0" fontId="12" fillId="18" borderId="7" xfId="16" quotePrefix="1" applyNumberFormat="1" applyBorder="1" applyAlignment="1">
      <alignment horizontal="right"/>
    </xf>
    <xf numFmtId="0" fontId="13" fillId="2" borderId="16" xfId="15" quotePrefix="1" applyNumberFormat="1" applyBorder="1" applyAlignment="1">
      <alignment horizontal="right"/>
    </xf>
    <xf numFmtId="0" fontId="13" fillId="2" borderId="7" xfId="39" quotePrefix="1" applyNumberFormat="1" applyAlignment="1"/>
    <xf numFmtId="0" fontId="13" fillId="2" borderId="9" xfId="15" quotePrefix="1" applyNumberFormat="1" applyAlignment="1"/>
    <xf numFmtId="0" fontId="31" fillId="0" borderId="0" xfId="0" applyNumberFormat="1" applyFont="1" applyFill="1" applyAlignment="1"/>
    <xf numFmtId="0" fontId="32" fillId="0" borderId="0" xfId="0" applyNumberFormat="1" applyFont="1" applyFill="1" applyAlignment="1"/>
    <xf numFmtId="0" fontId="33" fillId="0" borderId="0" xfId="0" applyNumberFormat="1" applyFont="1" applyFill="1" applyAlignment="1"/>
    <xf numFmtId="164" fontId="32" fillId="0" borderId="0" xfId="0" applyNumberFormat="1" applyFont="1" applyFill="1" applyAlignment="1">
      <alignment horizontal="right"/>
    </xf>
    <xf numFmtId="0" fontId="32" fillId="0" borderId="0" xfId="0" applyNumberFormat="1" applyFont="1" applyFill="1" applyAlignment="1" applyProtection="1">
      <alignment horizontal="centerContinuous"/>
      <protection locked="0"/>
    </xf>
    <xf numFmtId="0" fontId="32" fillId="0" borderId="0" xfId="0" applyNumberFormat="1" applyFont="1" applyFill="1" applyAlignment="1">
      <alignment horizontal="centerContinuous"/>
    </xf>
    <xf numFmtId="0" fontId="32" fillId="0" borderId="0" xfId="0" applyNumberFormat="1" applyFont="1" applyFill="1" applyAlignment="1">
      <alignment horizontal="center"/>
    </xf>
    <xf numFmtId="0" fontId="32" fillId="0" borderId="2" xfId="0" applyNumberFormat="1" applyFont="1" applyFill="1" applyBorder="1" applyAlignment="1">
      <alignment horizontal="center"/>
    </xf>
    <xf numFmtId="0" fontId="32" fillId="0" borderId="2" xfId="0" applyNumberFormat="1" applyFont="1" applyFill="1" applyBorder="1" applyAlignment="1" applyProtection="1">
      <alignment horizontal="center"/>
      <protection locked="0"/>
    </xf>
    <xf numFmtId="0" fontId="33" fillId="0" borderId="0" xfId="0" applyNumberFormat="1" applyFont="1" applyFill="1" applyAlignment="1">
      <alignment horizontal="center"/>
    </xf>
    <xf numFmtId="0" fontId="33" fillId="0" borderId="0" xfId="0" applyNumberFormat="1" applyFont="1" applyFill="1" applyAlignment="1">
      <alignment horizontal="left"/>
    </xf>
    <xf numFmtId="164" fontId="33" fillId="0" borderId="0" xfId="0" applyNumberFormat="1" applyFont="1" applyFill="1" applyAlignment="1"/>
    <xf numFmtId="182" fontId="33" fillId="0" borderId="0" xfId="0" applyNumberFormat="1" applyFont="1" applyFill="1" applyAlignment="1">
      <alignment horizontal="center"/>
    </xf>
    <xf numFmtId="164" fontId="33" fillId="0" borderId="2" xfId="0" applyNumberFormat="1" applyFont="1" applyFill="1" applyBorder="1" applyAlignment="1"/>
    <xf numFmtId="164" fontId="33" fillId="0" borderId="0" xfId="0" applyNumberFormat="1" applyFont="1" applyFill="1" applyBorder="1" applyAlignment="1"/>
    <xf numFmtId="9" fontId="33" fillId="0" borderId="0" xfId="0" applyNumberFormat="1" applyFont="1" applyFill="1" applyAlignment="1">
      <alignment horizontal="center"/>
    </xf>
    <xf numFmtId="164" fontId="33" fillId="0" borderId="6" xfId="0" applyNumberFormat="1" applyFont="1" applyFill="1" applyBorder="1" applyAlignment="1" applyProtection="1">
      <protection locked="0"/>
    </xf>
    <xf numFmtId="164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left" wrapText="1"/>
    </xf>
    <xf numFmtId="0" fontId="35" fillId="0" borderId="0" xfId="0" applyFont="1"/>
    <xf numFmtId="43" fontId="0" fillId="0" borderId="0" xfId="40" applyFont="1"/>
    <xf numFmtId="0" fontId="36" fillId="0" borderId="0" xfId="0" applyFont="1" applyFill="1"/>
    <xf numFmtId="0" fontId="8" fillId="0" borderId="0" xfId="48" applyFont="1" applyAlignment="1">
      <alignment horizontal="left" vertical="top"/>
    </xf>
    <xf numFmtId="0" fontId="10" fillId="0" borderId="0" xfId="48"/>
    <xf numFmtId="0" fontId="12" fillId="18" borderId="7" xfId="16" applyNumberFormat="1" applyAlignment="1"/>
    <xf numFmtId="181" fontId="13" fillId="0" borderId="14" xfId="37" applyNumberFormat="1" applyBorder="1">
      <alignment horizontal="right" vertical="center"/>
    </xf>
    <xf numFmtId="181" fontId="13" fillId="0" borderId="15" xfId="37" applyNumberFormat="1" applyFill="1" applyBorder="1">
      <alignment horizontal="right" vertical="center"/>
    </xf>
    <xf numFmtId="0" fontId="13" fillId="2" borderId="14" xfId="15" applyNumberFormat="1" applyBorder="1" applyAlignment="1"/>
    <xf numFmtId="0" fontId="13" fillId="2" borderId="16" xfId="15" applyNumberFormat="1" applyBorder="1" applyAlignment="1"/>
    <xf numFmtId="0" fontId="2" fillId="0" borderId="0" xfId="48" applyFont="1"/>
    <xf numFmtId="0" fontId="35" fillId="0" borderId="0" xfId="48" applyFont="1"/>
    <xf numFmtId="0" fontId="22" fillId="0" borderId="0" xfId="48" applyFont="1"/>
    <xf numFmtId="0" fontId="30" fillId="0" borderId="0" xfId="49"/>
    <xf numFmtId="0" fontId="13" fillId="2" borderId="14" xfId="15" quotePrefix="1" applyNumberFormat="1" applyBorder="1" applyAlignment="1">
      <alignment horizontal="right"/>
    </xf>
    <xf numFmtId="0" fontId="0" fillId="0" borderId="2" xfId="0" applyBorder="1"/>
    <xf numFmtId="43" fontId="0" fillId="0" borderId="0" xfId="40" applyFont="1" applyFill="1"/>
    <xf numFmtId="43" fontId="0" fillId="0" borderId="2" xfId="40" applyFont="1" applyFill="1" applyBorder="1"/>
    <xf numFmtId="43" fontId="2" fillId="0" borderId="0" xfId="40" applyFont="1" applyFill="1"/>
    <xf numFmtId="0" fontId="22" fillId="0" borderId="2" xfId="48" applyFont="1" applyBorder="1" applyAlignment="1">
      <alignment horizontal="right"/>
    </xf>
    <xf numFmtId="41" fontId="2" fillId="0" borderId="0" xfId="0" applyNumberFormat="1" applyFont="1" applyFill="1"/>
    <xf numFmtId="168" fontId="1" fillId="0" borderId="0" xfId="40" applyNumberFormat="1" applyFont="1" applyFill="1"/>
    <xf numFmtId="0" fontId="38" fillId="0" borderId="0" xfId="50"/>
    <xf numFmtId="164" fontId="39" fillId="0" borderId="0" xfId="0" applyNumberFormat="1" applyFont="1" applyFill="1" applyAlignment="1">
      <alignment horizontal="left"/>
    </xf>
    <xf numFmtId="166" fontId="39" fillId="0" borderId="0" xfId="0" applyNumberFormat="1" applyFont="1" applyFill="1" applyBorder="1" applyAlignment="1" applyProtection="1">
      <protection locked="0"/>
    </xf>
    <xf numFmtId="164" fontId="39" fillId="0" borderId="0" xfId="0" applyNumberFormat="1" applyFont="1" applyFill="1" applyBorder="1" applyAlignment="1">
      <alignment horizontal="left"/>
    </xf>
    <xf numFmtId="0" fontId="39" fillId="0" borderId="0" xfId="0" applyFont="1" applyFill="1" applyAlignment="1"/>
    <xf numFmtId="0" fontId="39" fillId="0" borderId="0" xfId="0" applyNumberFormat="1" applyFont="1" applyFill="1" applyAlignment="1">
      <alignment horizontal="left"/>
    </xf>
    <xf numFmtId="0" fontId="0" fillId="20" borderId="0" xfId="0" applyFill="1"/>
    <xf numFmtId="168" fontId="0" fillId="20" borderId="0" xfId="0" applyNumberFormat="1" applyFont="1" applyFill="1"/>
    <xf numFmtId="0" fontId="2" fillId="0" borderId="2" xfId="0" applyFont="1" applyBorder="1"/>
    <xf numFmtId="181" fontId="12" fillId="0" borderId="19" xfId="38" applyNumberFormat="1" applyBorder="1">
      <alignment horizontal="right" vertical="center"/>
    </xf>
    <xf numFmtId="0" fontId="13" fillId="2" borderId="20" xfId="15" quotePrefix="1" applyNumberFormat="1" applyBorder="1" applyAlignment="1"/>
    <xf numFmtId="181" fontId="13" fillId="0" borderId="16" xfId="37" applyNumberFormat="1" applyBorder="1">
      <alignment horizontal="right" vertical="center"/>
    </xf>
    <xf numFmtId="43" fontId="30" fillId="0" borderId="0" xfId="40" applyFont="1" applyFill="1"/>
    <xf numFmtId="43" fontId="0" fillId="0" borderId="0" xfId="0" applyNumberFormat="1" applyFill="1"/>
    <xf numFmtId="43" fontId="2" fillId="0" borderId="0" xfId="0" applyNumberFormat="1" applyFont="1" applyFill="1"/>
    <xf numFmtId="0" fontId="41" fillId="0" borderId="0" xfId="0" applyNumberFormat="1" applyFont="1" applyFill="1" applyAlignment="1" applyProtection="1">
      <alignment horizontal="centerContinuous"/>
      <protection locked="0"/>
    </xf>
    <xf numFmtId="0" fontId="37" fillId="0" borderId="0" xfId="0" applyNumberFormat="1" applyFont="1" applyFill="1" applyAlignment="1">
      <alignment horizontal="centerContinuous"/>
    </xf>
    <xf numFmtId="0" fontId="41" fillId="0" borderId="0" xfId="0" applyNumberFormat="1" applyFont="1" applyFill="1" applyAlignment="1">
      <alignment horizontal="centerContinuous"/>
    </xf>
    <xf numFmtId="0" fontId="42" fillId="0" borderId="0" xfId="0" applyFont="1" applyFill="1" applyAlignment="1">
      <alignment horizontal="centerContinuous"/>
    </xf>
    <xf numFmtId="184" fontId="31" fillId="0" borderId="0" xfId="0" applyNumberFormat="1" applyFont="1" applyFill="1" applyAlignment="1"/>
    <xf numFmtId="43" fontId="10" fillId="0" borderId="0" xfId="40" applyFont="1" applyFill="1"/>
    <xf numFmtId="43" fontId="23" fillId="0" borderId="0" xfId="40" applyFont="1" applyFill="1"/>
    <xf numFmtId="43" fontId="23" fillId="0" borderId="0" xfId="40" applyFont="1" applyFill="1" applyBorder="1"/>
    <xf numFmtId="43" fontId="35" fillId="0" borderId="0" xfId="40" applyFont="1" applyFill="1" applyBorder="1"/>
    <xf numFmtId="0" fontId="0" fillId="0" borderId="0" xfId="0" applyBorder="1"/>
    <xf numFmtId="0" fontId="10" fillId="0" borderId="0" xfId="0" applyFont="1" applyFill="1"/>
    <xf numFmtId="49" fontId="0" fillId="19" borderId="17" xfId="0" applyNumberFormat="1" applyFill="1" applyBorder="1" applyAlignment="1">
      <alignment horizontal="left"/>
    </xf>
    <xf numFmtId="174" fontId="0" fillId="19" borderId="17" xfId="0" applyNumberFormat="1" applyFill="1" applyBorder="1"/>
    <xf numFmtId="4" fontId="2" fillId="19" borderId="0" xfId="0" applyNumberFormat="1" applyFont="1" applyFill="1"/>
    <xf numFmtId="0" fontId="0" fillId="19" borderId="0" xfId="0" applyFill="1"/>
    <xf numFmtId="43" fontId="2" fillId="19" borderId="1" xfId="0" applyNumberFormat="1" applyFont="1" applyFill="1" applyBorder="1"/>
    <xf numFmtId="0" fontId="21" fillId="0" borderId="0" xfId="51" applyFont="1" applyFill="1" applyProtection="1"/>
    <xf numFmtId="0" fontId="7" fillId="0" borderId="0" xfId="51" applyFont="1" applyFill="1" applyProtection="1"/>
    <xf numFmtId="0" fontId="24" fillId="0" borderId="0" xfId="51" applyFont="1" applyFill="1" applyProtection="1"/>
    <xf numFmtId="0" fontId="3" fillId="0" borderId="0" xfId="51" applyFont="1" applyFill="1" applyProtection="1"/>
    <xf numFmtId="0" fontId="3" fillId="0" borderId="0" xfId="51" applyFont="1" applyFill="1" applyAlignment="1" applyProtection="1">
      <alignment horizontal="center"/>
    </xf>
    <xf numFmtId="0" fontId="3" fillId="0" borderId="2" xfId="51" applyFont="1" applyFill="1" applyBorder="1" applyAlignment="1" applyProtection="1">
      <alignment horizontal="center"/>
    </xf>
    <xf numFmtId="0" fontId="25" fillId="0" borderId="0" xfId="51" applyFont="1" applyFill="1" applyProtection="1"/>
    <xf numFmtId="44" fontId="24" fillId="0" borderId="0" xfId="43" applyNumberFormat="1" applyFont="1" applyFill="1" applyAlignment="1" applyProtection="1">
      <alignment horizontal="right"/>
    </xf>
    <xf numFmtId="44" fontId="24" fillId="0" borderId="0" xfId="51" applyNumberFormat="1" applyFont="1" applyFill="1" applyProtection="1"/>
    <xf numFmtId="175" fontId="24" fillId="0" borderId="0" xfId="44" applyNumberFormat="1" applyFont="1" applyFill="1" applyAlignment="1" applyProtection="1">
      <alignment horizontal="right"/>
    </xf>
    <xf numFmtId="173" fontId="24" fillId="0" borderId="0" xfId="45" applyNumberFormat="1" applyFont="1" applyFill="1" applyAlignment="1" applyProtection="1">
      <alignment horizontal="right"/>
    </xf>
    <xf numFmtId="172" fontId="24" fillId="0" borderId="0" xfId="51" applyNumberFormat="1" applyFont="1" applyFill="1" applyProtection="1"/>
    <xf numFmtId="43" fontId="24" fillId="0" borderId="0" xfId="43" applyNumberFormat="1" applyFont="1" applyFill="1" applyAlignment="1" applyProtection="1">
      <alignment horizontal="right"/>
    </xf>
    <xf numFmtId="43" fontId="24" fillId="0" borderId="0" xfId="51" applyNumberFormat="1" applyFont="1" applyFill="1" applyProtection="1"/>
    <xf numFmtId="172" fontId="24" fillId="0" borderId="0" xfId="45" applyNumberFormat="1" applyFont="1" applyFill="1" applyAlignment="1" applyProtection="1">
      <alignment horizontal="right"/>
    </xf>
    <xf numFmtId="43" fontId="24" fillId="0" borderId="2" xfId="43" applyNumberFormat="1" applyFont="1" applyFill="1" applyBorder="1" applyAlignment="1" applyProtection="1">
      <alignment horizontal="right"/>
    </xf>
    <xf numFmtId="175" fontId="24" fillId="0" borderId="2" xfId="44" applyNumberFormat="1" applyFont="1" applyFill="1" applyBorder="1" applyAlignment="1" applyProtection="1">
      <alignment horizontal="right"/>
    </xf>
    <xf numFmtId="172" fontId="24" fillId="0" borderId="2" xfId="45" applyNumberFormat="1" applyFont="1" applyFill="1" applyBorder="1" applyAlignment="1" applyProtection="1">
      <alignment horizontal="right"/>
    </xf>
    <xf numFmtId="176" fontId="24" fillId="0" borderId="0" xfId="46" applyNumberFormat="1" applyFont="1" applyFill="1" applyProtection="1"/>
    <xf numFmtId="43" fontId="24" fillId="0" borderId="0" xfId="43" applyNumberFormat="1" applyFont="1" applyFill="1" applyBorder="1" applyAlignment="1" applyProtection="1">
      <alignment horizontal="right"/>
    </xf>
    <xf numFmtId="43" fontId="24" fillId="0" borderId="0" xfId="44" applyNumberFormat="1" applyFont="1" applyFill="1" applyBorder="1" applyAlignment="1" applyProtection="1">
      <alignment horizontal="right"/>
    </xf>
    <xf numFmtId="43" fontId="24" fillId="0" borderId="0" xfId="45" applyNumberFormat="1" applyFont="1" applyFill="1" applyBorder="1" applyAlignment="1" applyProtection="1">
      <alignment horizontal="right"/>
    </xf>
    <xf numFmtId="43" fontId="24" fillId="0" borderId="0" xfId="51" applyNumberFormat="1" applyFont="1" applyFill="1" applyBorder="1" applyProtection="1"/>
    <xf numFmtId="177" fontId="24" fillId="0" borderId="0" xfId="51" applyNumberFormat="1" applyFont="1" applyFill="1" applyProtection="1"/>
    <xf numFmtId="0" fontId="24" fillId="0" borderId="0" xfId="51" applyFont="1" applyFill="1" applyBorder="1" applyProtection="1"/>
    <xf numFmtId="176" fontId="24" fillId="0" borderId="0" xfId="46" applyNumberFormat="1" applyFont="1" applyFill="1" applyBorder="1" applyProtection="1"/>
    <xf numFmtId="44" fontId="24" fillId="0" borderId="12" xfId="43" applyNumberFormat="1" applyFont="1" applyFill="1" applyBorder="1" applyAlignment="1" applyProtection="1">
      <alignment horizontal="right"/>
    </xf>
    <xf numFmtId="44" fontId="24" fillId="0" borderId="0" xfId="51" applyNumberFormat="1" applyFont="1" applyFill="1" applyBorder="1" applyProtection="1"/>
    <xf numFmtId="175" fontId="24" fillId="0" borderId="12" xfId="44" applyNumberFormat="1" applyFont="1" applyFill="1" applyBorder="1" applyAlignment="1" applyProtection="1">
      <alignment horizontal="right"/>
    </xf>
    <xf numFmtId="165" fontId="24" fillId="0" borderId="0" xfId="43" applyNumberFormat="1" applyFont="1" applyFill="1" applyAlignment="1" applyProtection="1">
      <alignment horizontal="right"/>
    </xf>
    <xf numFmtId="165" fontId="24" fillId="0" borderId="0" xfId="51" applyNumberFormat="1" applyFont="1" applyFill="1" applyBorder="1" applyProtection="1"/>
    <xf numFmtId="165" fontId="24" fillId="0" borderId="0" xfId="51" applyNumberFormat="1" applyFont="1" applyFill="1" applyProtection="1"/>
    <xf numFmtId="49" fontId="24" fillId="0" borderId="0" xfId="51" applyNumberFormat="1" applyFont="1" applyFill="1" applyProtection="1"/>
    <xf numFmtId="180" fontId="24" fillId="0" borderId="0" xfId="43" applyNumberFormat="1" applyFont="1" applyFill="1" applyAlignment="1" applyProtection="1">
      <alignment horizontal="right"/>
    </xf>
    <xf numFmtId="169" fontId="24" fillId="0" borderId="0" xfId="43" applyFont="1" applyFill="1" applyAlignment="1" applyProtection="1"/>
    <xf numFmtId="178" fontId="24" fillId="0" borderId="0" xfId="43" applyNumberFormat="1" applyFont="1" applyFill="1" applyBorder="1" applyAlignment="1" applyProtection="1"/>
    <xf numFmtId="178" fontId="24" fillId="0" borderId="0" xfId="43" applyNumberFormat="1" applyFont="1" applyFill="1" applyAlignment="1" applyProtection="1"/>
    <xf numFmtId="179" fontId="24" fillId="0" borderId="0" xfId="43" applyNumberFormat="1" applyFont="1" applyFill="1" applyProtection="1"/>
    <xf numFmtId="178" fontId="24" fillId="0" borderId="2" xfId="43" applyNumberFormat="1" applyFont="1" applyFill="1" applyBorder="1" applyAlignment="1" applyProtection="1"/>
    <xf numFmtId="0" fontId="24" fillId="0" borderId="2" xfId="51" applyFont="1" applyFill="1" applyBorder="1" applyProtection="1"/>
    <xf numFmtId="179" fontId="24" fillId="0" borderId="2" xfId="43" applyNumberFormat="1" applyFont="1" applyFill="1" applyBorder="1" applyProtection="1"/>
    <xf numFmtId="178" fontId="24" fillId="0" borderId="12" xfId="43" applyNumberFormat="1" applyFont="1" applyFill="1" applyBorder="1" applyAlignment="1" applyProtection="1"/>
    <xf numFmtId="39" fontId="3" fillId="0" borderId="0" xfId="44" applyNumberFormat="1" applyFont="1" applyFill="1" applyAlignment="1" applyProtection="1">
      <alignment horizontal="centerContinuous" wrapText="1"/>
    </xf>
    <xf numFmtId="0" fontId="43" fillId="0" borderId="0" xfId="51" applyFill="1" applyAlignment="1">
      <alignment horizontal="centerContinuous" wrapText="1"/>
    </xf>
    <xf numFmtId="181" fontId="12" fillId="0" borderId="21" xfId="38" applyNumberFormat="1" applyBorder="1">
      <alignment horizontal="right" vertical="center"/>
    </xf>
    <xf numFmtId="43" fontId="0" fillId="0" borderId="2" xfId="40" applyFont="1" applyBorder="1"/>
    <xf numFmtId="41" fontId="5" fillId="0" borderId="0" xfId="0" applyNumberFormat="1" applyFont="1" applyFill="1" applyAlignment="1"/>
    <xf numFmtId="41" fontId="5" fillId="0" borderId="2" xfId="0" applyNumberFormat="1" applyFont="1" applyFill="1" applyBorder="1" applyAlignment="1"/>
    <xf numFmtId="171" fontId="5" fillId="0" borderId="0" xfId="0" applyNumberFormat="1" applyFont="1" applyFill="1" applyBorder="1" applyAlignment="1">
      <alignment horizontal="center"/>
    </xf>
    <xf numFmtId="168" fontId="5" fillId="0" borderId="0" xfId="0" applyNumberFormat="1" applyFont="1" applyFill="1" applyBorder="1" applyAlignment="1"/>
    <xf numFmtId="42" fontId="5" fillId="0" borderId="0" xfId="0" applyNumberFormat="1" applyFont="1" applyFill="1" applyAlignment="1"/>
    <xf numFmtId="0" fontId="0" fillId="21" borderId="0" xfId="0" applyFill="1"/>
    <xf numFmtId="168" fontId="0" fillId="21" borderId="0" xfId="0" applyNumberFormat="1" applyFont="1" applyFill="1"/>
    <xf numFmtId="0" fontId="44" fillId="0" borderId="0" xfId="0" applyFont="1" applyBorder="1"/>
    <xf numFmtId="0" fontId="45" fillId="0" borderId="0" xfId="0" applyFont="1"/>
    <xf numFmtId="0" fontId="0" fillId="0" borderId="0" xfId="0" applyFont="1"/>
    <xf numFmtId="43" fontId="22" fillId="0" borderId="0" xfId="40" applyFont="1" applyFill="1"/>
    <xf numFmtId="0" fontId="3" fillId="0" borderId="2" xfId="51" applyFont="1" applyFill="1" applyBorder="1" applyAlignment="1" applyProtection="1">
      <alignment horizontal="center"/>
    </xf>
    <xf numFmtId="0" fontId="21" fillId="0" borderId="0" xfId="51" applyFont="1" applyFill="1" applyAlignment="1" applyProtection="1">
      <alignment horizontal="center"/>
    </xf>
    <xf numFmtId="0" fontId="7" fillId="0" borderId="0" xfId="51" applyFont="1" applyFill="1" applyAlignment="1" applyProtection="1">
      <alignment horizontal="center"/>
    </xf>
  </cellXfs>
  <cellStyles count="52">
    <cellStyle name="Comma" xfId="40" builtinId="3"/>
    <cellStyle name="Comma 2" xfId="43"/>
    <cellStyle name="Currency 2" xfId="45"/>
    <cellStyle name="Normal" xfId="0" builtinId="0"/>
    <cellStyle name="Normal 13" xfId="47"/>
    <cellStyle name="Normal 2" xfId="42"/>
    <cellStyle name="Normal 2 2" xfId="49"/>
    <cellStyle name="Normal 3" xfId="48"/>
    <cellStyle name="Normal 4" xfId="51"/>
    <cellStyle name="Normal 9" xfId="50"/>
    <cellStyle name="Normal_Monthly" xfId="44"/>
    <cellStyle name="Percent 2" xfId="46"/>
    <cellStyle name="SAPBorder" xfId="20"/>
    <cellStyle name="SAPDataCell" xfId="38"/>
    <cellStyle name="SAPDataRemoved" xfId="19"/>
    <cellStyle name="SAPDataTotalCell" xfId="37"/>
    <cellStyle name="SAPDimensionCell" xfId="39"/>
    <cellStyle name="SAPEditableDataCell" xfId="35"/>
    <cellStyle name="SAPEditableDataTotalCell" xfId="32"/>
    <cellStyle name="SAPEmphasized" xfId="9"/>
    <cellStyle name="SAPEmphasizedEditableDataCell" xfId="7"/>
    <cellStyle name="SAPEmphasizedEditableDataTotalCell" xfId="6"/>
    <cellStyle name="SAPEmphasizedLockedDataCell" xfId="3"/>
    <cellStyle name="SAPEmphasizedLockedDataTotalCell" xfId="2"/>
    <cellStyle name="SAPEmphasizedReadonlyDataCell" xfId="5"/>
    <cellStyle name="SAPEmphasizedReadonlyDataTotalCell" xfId="4"/>
    <cellStyle name="SAPEmphasizedTotal" xfId="8"/>
    <cellStyle name="SAPError" xfId="18"/>
    <cellStyle name="SAPExceptionLevel1" xfId="29"/>
    <cellStyle name="SAPExceptionLevel2" xfId="28"/>
    <cellStyle name="SAPExceptionLevel3" xfId="27"/>
    <cellStyle name="SAPExceptionLevel4" xfId="26"/>
    <cellStyle name="SAPExceptionLevel5" xfId="25"/>
    <cellStyle name="SAPExceptionLevel6" xfId="24"/>
    <cellStyle name="SAPExceptionLevel7" xfId="23"/>
    <cellStyle name="SAPExceptionLevel8" xfId="22"/>
    <cellStyle name="SAPExceptionLevel9" xfId="21"/>
    <cellStyle name="SAPFormula" xfId="1"/>
    <cellStyle name="SAPGroupingFillCell" xfId="36"/>
    <cellStyle name="SAPHierarchyCell0" xfId="14"/>
    <cellStyle name="SAPHierarchyCell1" xfId="13"/>
    <cellStyle name="SAPHierarchyCell2" xfId="12"/>
    <cellStyle name="SAPHierarchyCell3" xfId="11"/>
    <cellStyle name="SAPHierarchyCell4" xfId="10"/>
    <cellStyle name="SAPLockedDataCell" xfId="33"/>
    <cellStyle name="SAPLockedDataTotalCell" xfId="30"/>
    <cellStyle name="SAPMemberCell" xfId="16"/>
    <cellStyle name="SAPMemberTotalCell" xfId="15"/>
    <cellStyle name="SAPMessageText" xfId="17"/>
    <cellStyle name="SAPReadonlyDataCell" xfId="34"/>
    <cellStyle name="SAPReadonlyDataTotalCell" xfId="31"/>
    <cellStyle name="Style 1" xfId="41"/>
  </cellStyles>
  <dxfs count="0"/>
  <tableStyles count="0" defaultTableStyle="TableStyleMedium2" defaultPivotStyle="PivotStyleLight16"/>
  <colors>
    <mruColors>
      <color rgb="FF0000FF"/>
      <color rgb="FF00FF00"/>
      <color rgb="FFFF66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cid:image002.png@01D95594.0200FC00" TargetMode="External"/><Relationship Id="rId1" Type="http://schemas.openxmlformats.org/officeDocument/2006/relationships/image" Target="../media/image9.png"/><Relationship Id="rId4" Type="http://schemas.openxmlformats.org/officeDocument/2006/relationships/image" Target="../media/image1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5</xdr:row>
      <xdr:rowOff>38100</xdr:rowOff>
    </xdr:from>
    <xdr:to>
      <xdr:col>4</xdr:col>
      <xdr:colOff>94590</xdr:colOff>
      <xdr:row>18</xdr:row>
      <xdr:rowOff>9219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009650"/>
          <a:ext cx="5276190" cy="24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5</xdr:row>
      <xdr:rowOff>0</xdr:rowOff>
    </xdr:from>
    <xdr:to>
      <xdr:col>3</xdr:col>
      <xdr:colOff>532756</xdr:colOff>
      <xdr:row>18</xdr:row>
      <xdr:rowOff>171119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971550"/>
          <a:ext cx="5152381" cy="26476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7</xdr:row>
      <xdr:rowOff>19050</xdr:rowOff>
    </xdr:from>
    <xdr:to>
      <xdr:col>4</xdr:col>
      <xdr:colOff>94590</xdr:colOff>
      <xdr:row>31</xdr:row>
      <xdr:rowOff>189907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371600"/>
          <a:ext cx="5276190" cy="47428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133350</xdr:rowOff>
    </xdr:from>
    <xdr:to>
      <xdr:col>4</xdr:col>
      <xdr:colOff>75536</xdr:colOff>
      <xdr:row>27</xdr:row>
      <xdr:rowOff>161540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47900"/>
          <a:ext cx="5314286" cy="30761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23</xdr:row>
      <xdr:rowOff>0</xdr:rowOff>
    </xdr:from>
    <xdr:to>
      <xdr:col>1</xdr:col>
      <xdr:colOff>818504</xdr:colOff>
      <xdr:row>39</xdr:row>
      <xdr:rowOff>152000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400550"/>
          <a:ext cx="5171429" cy="320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6</xdr:row>
      <xdr:rowOff>171450</xdr:rowOff>
    </xdr:from>
    <xdr:to>
      <xdr:col>4</xdr:col>
      <xdr:colOff>227986</xdr:colOff>
      <xdr:row>18</xdr:row>
      <xdr:rowOff>56879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314450"/>
          <a:ext cx="4914286" cy="21714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14</xdr:row>
      <xdr:rowOff>38100</xdr:rowOff>
    </xdr:from>
    <xdr:to>
      <xdr:col>2</xdr:col>
      <xdr:colOff>837556</xdr:colOff>
      <xdr:row>27</xdr:row>
      <xdr:rowOff>161600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2705100"/>
          <a:ext cx="5152381" cy="26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28</xdr:row>
      <xdr:rowOff>57150</xdr:rowOff>
    </xdr:from>
    <xdr:to>
      <xdr:col>6</xdr:col>
      <xdr:colOff>341919</xdr:colOff>
      <xdr:row>47</xdr:row>
      <xdr:rowOff>190031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" y="5391150"/>
          <a:ext cx="7847619" cy="37523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95249</xdr:rowOff>
    </xdr:from>
    <xdr:to>
      <xdr:col>19</xdr:col>
      <xdr:colOff>438150</xdr:colOff>
      <xdr:row>85</xdr:row>
      <xdr:rowOff>80387</xdr:rowOff>
    </xdr:to>
    <xdr:pic>
      <xdr:nvPicPr>
        <xdr:cNvPr id="3" name="Picture 1" descr="cid:image002.png@01D95594.0200FC0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63749"/>
          <a:ext cx="16154400" cy="3795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15</xdr:row>
      <xdr:rowOff>47625</xdr:rowOff>
    </xdr:from>
    <xdr:to>
      <xdr:col>3</xdr:col>
      <xdr:colOff>475755</xdr:colOff>
      <xdr:row>28</xdr:row>
      <xdr:rowOff>47315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1450" y="2905125"/>
          <a:ext cx="3961905" cy="2476190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15</xdr:row>
      <xdr:rowOff>0</xdr:rowOff>
    </xdr:from>
    <xdr:to>
      <xdr:col>12</xdr:col>
      <xdr:colOff>618138</xdr:colOff>
      <xdr:row>38</xdr:row>
      <xdr:rowOff>151833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14825" y="2857500"/>
          <a:ext cx="7895238" cy="453333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32</xdr:row>
      <xdr:rowOff>0</xdr:rowOff>
    </xdr:from>
    <xdr:to>
      <xdr:col>5</xdr:col>
      <xdr:colOff>680264</xdr:colOff>
      <xdr:row>49</xdr:row>
      <xdr:rowOff>104357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2075" y="6096000"/>
          <a:ext cx="3947339" cy="3342857"/>
        </a:xfrm>
        <a:prstGeom prst="rect">
          <a:avLst/>
        </a:prstGeom>
      </xdr:spPr>
    </xdr:pic>
    <xdr:clientData/>
  </xdr:twoCellAnchor>
  <xdr:twoCellAnchor editAs="oneCell">
    <xdr:from>
      <xdr:col>6</xdr:col>
      <xdr:colOff>1590675</xdr:colOff>
      <xdr:row>37</xdr:row>
      <xdr:rowOff>123825</xdr:rowOff>
    </xdr:from>
    <xdr:to>
      <xdr:col>10</xdr:col>
      <xdr:colOff>761537</xdr:colOff>
      <xdr:row>62</xdr:row>
      <xdr:rowOff>123230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96150" y="7172325"/>
          <a:ext cx="3704762" cy="47619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%23GS%20Dec%202023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Rlfwd"/>
      <sheetName val="1.01 ROR ROE"/>
      <sheetName val="1.02 COC"/>
      <sheetName val="model"/>
      <sheetName val="Earnings Sharing-CBR to Adj CBR"/>
      <sheetName val="Inputs"/>
      <sheetName val="OOE"/>
      <sheetName val="OOR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>
        <row r="12">
          <cell r="CC12">
            <v>2.7460000000000002E-3</v>
          </cell>
        </row>
        <row r="13">
          <cell r="CC13">
            <v>4.0000000000000001E-3</v>
          </cell>
        </row>
        <row r="14">
          <cell r="CC14">
            <v>3.8413999999999997E-2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customProperty" Target="../customProperty1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workbookViewId="0">
      <selection activeCell="C19" sqref="C19"/>
    </sheetView>
  </sheetViews>
  <sheetFormatPr defaultColWidth="13.6640625" defaultRowHeight="14.4" x14ac:dyDescent="0.3"/>
  <cols>
    <col min="1" max="1" width="5.6640625" style="94" customWidth="1"/>
    <col min="2" max="2" width="8.44140625" style="94" bestFit="1" customWidth="1"/>
    <col min="3" max="3" width="13.6640625" style="94"/>
    <col min="4" max="5" width="17.88671875" style="94" customWidth="1"/>
    <col min="6" max="6" width="12.109375" style="94" bestFit="1" customWidth="1"/>
    <col min="7" max="7" width="11.33203125" style="94" bestFit="1" customWidth="1"/>
    <col min="8" max="8" width="13.109375" style="94" bestFit="1" customWidth="1"/>
    <col min="9" max="9" width="10.109375" style="94" bestFit="1" customWidth="1"/>
    <col min="10" max="16384" width="13.6640625" style="94"/>
  </cols>
  <sheetData>
    <row r="1" spans="1:10" x14ac:dyDescent="0.3">
      <c r="B1" s="93"/>
      <c r="C1" s="93" t="s">
        <v>32</v>
      </c>
      <c r="D1" s="101" t="s">
        <v>185</v>
      </c>
    </row>
    <row r="2" spans="1:10" x14ac:dyDescent="0.3">
      <c r="A2" s="94" t="s">
        <v>181</v>
      </c>
    </row>
    <row r="3" spans="1:10" x14ac:dyDescent="0.3">
      <c r="B3" s="62" t="s">
        <v>32</v>
      </c>
      <c r="C3" s="62" t="s">
        <v>32</v>
      </c>
      <c r="D3" s="62" t="s">
        <v>32</v>
      </c>
      <c r="E3" s="63" t="s">
        <v>35</v>
      </c>
      <c r="F3" s="60"/>
      <c r="G3" s="60"/>
      <c r="H3" s="60"/>
      <c r="I3" s="60"/>
      <c r="J3" s="60"/>
    </row>
    <row r="4" spans="1:10" x14ac:dyDescent="0.3">
      <c r="B4" s="62" t="s">
        <v>32</v>
      </c>
      <c r="C4" s="68" t="s">
        <v>32</v>
      </c>
      <c r="D4" s="62" t="s">
        <v>37</v>
      </c>
      <c r="E4" s="64" t="s">
        <v>177</v>
      </c>
      <c r="F4" s="64" t="s">
        <v>178</v>
      </c>
      <c r="G4" s="64" t="s">
        <v>39</v>
      </c>
      <c r="H4" s="64" t="s">
        <v>40</v>
      </c>
      <c r="I4" s="64" t="s">
        <v>179</v>
      </c>
      <c r="J4" s="65" t="s">
        <v>33</v>
      </c>
    </row>
    <row r="5" spans="1:10" x14ac:dyDescent="0.3">
      <c r="B5" s="62" t="s">
        <v>36</v>
      </c>
      <c r="C5" s="59"/>
      <c r="D5" s="62" t="s">
        <v>34</v>
      </c>
      <c r="E5" s="66" t="s">
        <v>88</v>
      </c>
      <c r="F5" s="66" t="s">
        <v>88</v>
      </c>
      <c r="G5" s="66" t="s">
        <v>88</v>
      </c>
      <c r="H5" s="66" t="s">
        <v>88</v>
      </c>
      <c r="I5" s="66" t="s">
        <v>88</v>
      </c>
      <c r="J5" s="67" t="s">
        <v>88</v>
      </c>
    </row>
    <row r="6" spans="1:10" x14ac:dyDescent="0.3">
      <c r="B6" s="63" t="s">
        <v>180</v>
      </c>
      <c r="C6" s="64" t="s">
        <v>103</v>
      </c>
      <c r="D6" s="63" t="s">
        <v>232</v>
      </c>
      <c r="E6" s="57"/>
      <c r="F6" s="57"/>
      <c r="G6" s="57">
        <v>11077.04</v>
      </c>
      <c r="H6" s="57">
        <v>122559.27</v>
      </c>
      <c r="I6" s="121">
        <v>825</v>
      </c>
      <c r="J6" s="97">
        <f t="shared" ref="J6:J17" si="0">SUM(E6:I6)</f>
        <v>134461.31</v>
      </c>
    </row>
    <row r="7" spans="1:10" x14ac:dyDescent="0.3">
      <c r="B7" s="60"/>
      <c r="C7" s="95"/>
      <c r="D7" s="63" t="s">
        <v>233</v>
      </c>
      <c r="E7" s="57"/>
      <c r="F7" s="57"/>
      <c r="G7" s="57">
        <v>12534.26</v>
      </c>
      <c r="H7" s="57">
        <v>148279.54</v>
      </c>
      <c r="I7" s="121">
        <v>2475</v>
      </c>
      <c r="J7" s="97">
        <f t="shared" si="0"/>
        <v>163288.80000000002</v>
      </c>
    </row>
    <row r="8" spans="1:10" x14ac:dyDescent="0.3">
      <c r="B8" s="60"/>
      <c r="C8" s="95"/>
      <c r="D8" s="63" t="s">
        <v>234</v>
      </c>
      <c r="E8" s="57"/>
      <c r="F8" s="57"/>
      <c r="G8" s="57">
        <v>12351.29</v>
      </c>
      <c r="H8" s="57">
        <v>148317.26999999999</v>
      </c>
      <c r="I8" s="121"/>
      <c r="J8" s="97">
        <f t="shared" si="0"/>
        <v>160668.56</v>
      </c>
    </row>
    <row r="9" spans="1:10" x14ac:dyDescent="0.3">
      <c r="B9" s="60"/>
      <c r="C9" s="95"/>
      <c r="D9" s="63" t="s">
        <v>235</v>
      </c>
      <c r="E9" s="57"/>
      <c r="F9" s="57"/>
      <c r="G9" s="57">
        <v>13183.94</v>
      </c>
      <c r="H9" s="57">
        <v>148132.29999999999</v>
      </c>
      <c r="I9" s="121">
        <v>2475</v>
      </c>
      <c r="J9" s="97">
        <f t="shared" si="0"/>
        <v>163791.24</v>
      </c>
    </row>
    <row r="10" spans="1:10" x14ac:dyDescent="0.3">
      <c r="B10" s="60"/>
      <c r="C10" s="95"/>
      <c r="D10" s="63" t="s">
        <v>236</v>
      </c>
      <c r="E10" s="57"/>
      <c r="F10" s="57"/>
      <c r="G10" s="57">
        <v>15014.42</v>
      </c>
      <c r="H10" s="57">
        <v>147708.48000000001</v>
      </c>
      <c r="I10" s="121"/>
      <c r="J10" s="97">
        <f t="shared" si="0"/>
        <v>162722.90000000002</v>
      </c>
    </row>
    <row r="11" spans="1:10" x14ac:dyDescent="0.3">
      <c r="B11" s="60"/>
      <c r="C11" s="95"/>
      <c r="D11" s="63" t="s">
        <v>237</v>
      </c>
      <c r="E11" s="57"/>
      <c r="F11" s="57"/>
      <c r="G11" s="57">
        <v>12178.45</v>
      </c>
      <c r="H11" s="57">
        <v>148759.35999999999</v>
      </c>
      <c r="I11" s="121">
        <v>1237.5</v>
      </c>
      <c r="J11" s="97">
        <f t="shared" si="0"/>
        <v>162175.31</v>
      </c>
    </row>
    <row r="12" spans="1:10" x14ac:dyDescent="0.3">
      <c r="B12" s="60"/>
      <c r="C12" s="95"/>
      <c r="D12" s="63" t="s">
        <v>238</v>
      </c>
      <c r="E12" s="57"/>
      <c r="F12" s="57"/>
      <c r="G12" s="57">
        <v>12173.4</v>
      </c>
      <c r="H12" s="57">
        <v>147268.69</v>
      </c>
      <c r="I12" s="121">
        <v>1237.5</v>
      </c>
      <c r="J12" s="97">
        <f t="shared" si="0"/>
        <v>160679.59</v>
      </c>
    </row>
    <row r="13" spans="1:10" x14ac:dyDescent="0.3">
      <c r="B13" s="60"/>
      <c r="C13" s="95"/>
      <c r="D13" s="63" t="s">
        <v>239</v>
      </c>
      <c r="E13" s="57"/>
      <c r="F13" s="57"/>
      <c r="G13" s="57">
        <v>14594.1</v>
      </c>
      <c r="H13" s="57">
        <v>146667.96</v>
      </c>
      <c r="I13" s="121">
        <v>1237.5</v>
      </c>
      <c r="J13" s="97">
        <f t="shared" si="0"/>
        <v>162499.56</v>
      </c>
    </row>
    <row r="14" spans="1:10" x14ac:dyDescent="0.3">
      <c r="B14" s="60"/>
      <c r="C14" s="95"/>
      <c r="D14" s="63" t="s">
        <v>240</v>
      </c>
      <c r="E14" s="57"/>
      <c r="F14" s="57"/>
      <c r="G14" s="57">
        <v>14598.69</v>
      </c>
      <c r="H14" s="57">
        <v>145635.43</v>
      </c>
      <c r="I14" s="121">
        <v>1237.5</v>
      </c>
      <c r="J14" s="97">
        <f t="shared" si="0"/>
        <v>161471.62</v>
      </c>
    </row>
    <row r="15" spans="1:10" x14ac:dyDescent="0.3">
      <c r="B15" s="60"/>
      <c r="C15" s="95"/>
      <c r="D15" s="63" t="s">
        <v>241</v>
      </c>
      <c r="E15" s="57"/>
      <c r="F15" s="57"/>
      <c r="G15" s="57">
        <v>13487.14</v>
      </c>
      <c r="H15" s="57">
        <v>144782.45000000001</v>
      </c>
      <c r="I15" s="121">
        <v>1237.5</v>
      </c>
      <c r="J15" s="97">
        <f t="shared" si="0"/>
        <v>159507.09000000003</v>
      </c>
    </row>
    <row r="16" spans="1:10" x14ac:dyDescent="0.3">
      <c r="B16" s="60"/>
      <c r="C16" s="95"/>
      <c r="D16" s="63" t="s">
        <v>242</v>
      </c>
      <c r="E16" s="57"/>
      <c r="F16" s="57"/>
      <c r="G16" s="57">
        <v>13253.21</v>
      </c>
      <c r="H16" s="57">
        <v>143891.01999999999</v>
      </c>
      <c r="I16" s="121">
        <v>1237.5</v>
      </c>
      <c r="J16" s="97">
        <f t="shared" si="0"/>
        <v>158381.72999999998</v>
      </c>
    </row>
    <row r="17" spans="2:10" x14ac:dyDescent="0.3">
      <c r="B17" s="60"/>
      <c r="C17" s="95"/>
      <c r="D17" s="63" t="s">
        <v>243</v>
      </c>
      <c r="E17" s="57"/>
      <c r="F17" s="57"/>
      <c r="G17" s="57">
        <v>13381.5</v>
      </c>
      <c r="H17" s="57">
        <v>143780.53</v>
      </c>
      <c r="I17" s="121">
        <v>1237.5</v>
      </c>
      <c r="J17" s="97">
        <f t="shared" si="0"/>
        <v>158399.53</v>
      </c>
    </row>
    <row r="18" spans="2:10" x14ac:dyDescent="0.3">
      <c r="B18" s="122" t="s">
        <v>33</v>
      </c>
      <c r="C18" s="98"/>
      <c r="D18" s="99"/>
      <c r="E18" s="96">
        <f>SUM(E6:E17)</f>
        <v>0</v>
      </c>
      <c r="F18" s="96">
        <f t="shared" ref="F18:I18" si="1">SUM(F6:F17)</f>
        <v>0</v>
      </c>
      <c r="G18" s="96">
        <f t="shared" si="1"/>
        <v>157827.44</v>
      </c>
      <c r="H18" s="96">
        <f t="shared" si="1"/>
        <v>1735782.2999999998</v>
      </c>
      <c r="I18" s="96">
        <f t="shared" si="1"/>
        <v>14437.5</v>
      </c>
      <c r="J18" s="97">
        <f>SUM(J6:J17)</f>
        <v>1908047.2400000002</v>
      </c>
    </row>
    <row r="19" spans="2:10" customFormat="1" x14ac:dyDescent="0.3"/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F28" sqref="F28"/>
    </sheetView>
  </sheetViews>
  <sheetFormatPr defaultRowHeight="14.4" x14ac:dyDescent="0.3"/>
  <cols>
    <col min="1" max="1" width="17.5546875" bestFit="1" customWidth="1"/>
    <col min="2" max="2" width="31.5546875" bestFit="1" customWidth="1"/>
    <col min="3" max="3" width="13.33203125" bestFit="1" customWidth="1"/>
  </cols>
  <sheetData>
    <row r="1" spans="1:3" x14ac:dyDescent="0.3">
      <c r="A1" s="33" t="s">
        <v>172</v>
      </c>
    </row>
    <row r="2" spans="1:3" x14ac:dyDescent="0.3">
      <c r="A2" s="33" t="s">
        <v>246</v>
      </c>
    </row>
    <row r="4" spans="1:3" x14ac:dyDescent="0.3">
      <c r="A4" s="3"/>
      <c r="C4" s="91"/>
    </row>
    <row r="5" spans="1:3" x14ac:dyDescent="0.3">
      <c r="A5" s="3">
        <v>49500029</v>
      </c>
      <c r="B5" t="s">
        <v>245</v>
      </c>
      <c r="C5" s="188">
        <v>3100172</v>
      </c>
    </row>
    <row r="6" spans="1:3" x14ac:dyDescent="0.3">
      <c r="C6" s="91">
        <f>SUM(C4:C5)</f>
        <v>3100172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10" workbookViewId="0">
      <selection activeCell="C8" sqref="C8"/>
    </sheetView>
  </sheetViews>
  <sheetFormatPr defaultRowHeight="14.4" x14ac:dyDescent="0.3"/>
  <cols>
    <col min="1" max="1" width="49.6640625" bestFit="1" customWidth="1"/>
    <col min="2" max="2" width="19" bestFit="1" customWidth="1"/>
    <col min="3" max="3" width="15.33203125" customWidth="1"/>
    <col min="5" max="5" width="13.33203125" bestFit="1" customWidth="1"/>
  </cols>
  <sheetData>
    <row r="1" spans="1:5" x14ac:dyDescent="0.3">
      <c r="A1" s="33" t="s">
        <v>172</v>
      </c>
    </row>
    <row r="2" spans="1:5" x14ac:dyDescent="0.3">
      <c r="A2" s="33" t="s">
        <v>187</v>
      </c>
    </row>
    <row r="4" spans="1:5" x14ac:dyDescent="0.3">
      <c r="A4" s="105" t="s">
        <v>53</v>
      </c>
      <c r="B4" s="105"/>
      <c r="C4" s="105" t="s">
        <v>188</v>
      </c>
    </row>
    <row r="5" spans="1:5" x14ac:dyDescent="0.3">
      <c r="A5" s="13" t="s">
        <v>156</v>
      </c>
      <c r="B5" s="13" t="s">
        <v>170</v>
      </c>
      <c r="C5" s="106">
        <v>220525.99</v>
      </c>
      <c r="E5" s="133"/>
    </row>
    <row r="6" spans="1:5" x14ac:dyDescent="0.3">
      <c r="A6" s="13"/>
      <c r="B6" s="13"/>
      <c r="C6" s="106"/>
      <c r="E6" s="133"/>
    </row>
    <row r="7" spans="1:5" x14ac:dyDescent="0.3">
      <c r="A7" s="13" t="s">
        <v>154</v>
      </c>
      <c r="B7" s="13" t="s">
        <v>168</v>
      </c>
      <c r="C7" s="106">
        <v>102180.07</v>
      </c>
      <c r="E7" s="133"/>
    </row>
    <row r="8" spans="1:5" x14ac:dyDescent="0.3">
      <c r="A8" s="13" t="s">
        <v>155</v>
      </c>
      <c r="B8" s="137" t="s">
        <v>169</v>
      </c>
      <c r="C8" s="132">
        <v>1414110</v>
      </c>
      <c r="E8" s="133"/>
    </row>
    <row r="9" spans="1:5" x14ac:dyDescent="0.3">
      <c r="A9" s="137"/>
      <c r="B9" s="137"/>
      <c r="C9" s="106"/>
      <c r="E9" s="133"/>
    </row>
    <row r="10" spans="1:5" x14ac:dyDescent="0.3">
      <c r="A10" s="13" t="s">
        <v>153</v>
      </c>
      <c r="B10" s="13" t="s">
        <v>167</v>
      </c>
      <c r="C10" s="106">
        <v>26043.08</v>
      </c>
      <c r="E10" s="134"/>
    </row>
    <row r="11" spans="1:5" x14ac:dyDescent="0.3">
      <c r="A11" s="13" t="s">
        <v>153</v>
      </c>
      <c r="B11" s="13" t="s">
        <v>151</v>
      </c>
      <c r="C11" s="106">
        <v>7726.09</v>
      </c>
      <c r="E11" s="134"/>
    </row>
    <row r="12" spans="1:5" x14ac:dyDescent="0.3">
      <c r="A12" s="13" t="s">
        <v>153</v>
      </c>
      <c r="B12" s="13" t="s">
        <v>152</v>
      </c>
      <c r="C12" s="107">
        <f>67740.86-C10-C11</f>
        <v>33971.69</v>
      </c>
      <c r="E12" s="134"/>
    </row>
    <row r="13" spans="1:5" x14ac:dyDescent="0.3">
      <c r="A13" s="13"/>
      <c r="B13" s="13"/>
      <c r="C13" s="108">
        <f>SUM(C5:C12)</f>
        <v>1804556.9200000002</v>
      </c>
      <c r="E13" s="135"/>
    </row>
    <row r="14" spans="1:5" x14ac:dyDescent="0.3">
      <c r="A14" s="13"/>
      <c r="B14" s="13"/>
      <c r="C14" s="13"/>
      <c r="E14" s="136"/>
    </row>
    <row r="15" spans="1:5" x14ac:dyDescent="0.3">
      <c r="E15" s="136"/>
    </row>
    <row r="16" spans="1:5" x14ac:dyDescent="0.3">
      <c r="E16" s="136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C8" sqref="C8"/>
    </sheetView>
  </sheetViews>
  <sheetFormatPr defaultRowHeight="14.4" x14ac:dyDescent="0.3"/>
  <cols>
    <col min="2" max="2" width="15.109375" bestFit="1" customWidth="1"/>
    <col min="3" max="3" width="14.33203125" bestFit="1" customWidth="1"/>
    <col min="4" max="4" width="35.5546875" bestFit="1" customWidth="1"/>
    <col min="5" max="16" width="24.44140625" bestFit="1" customWidth="1"/>
  </cols>
  <sheetData>
    <row r="1" spans="1:5" x14ac:dyDescent="0.3">
      <c r="A1" s="101" t="s">
        <v>244</v>
      </c>
    </row>
    <row r="2" spans="1:5" x14ac:dyDescent="0.3">
      <c r="B2" s="62" t="s">
        <v>32</v>
      </c>
      <c r="C2" s="62" t="s">
        <v>32</v>
      </c>
      <c r="D2" s="62" t="s">
        <v>32</v>
      </c>
      <c r="E2" s="63" t="s">
        <v>35</v>
      </c>
    </row>
    <row r="3" spans="1:5" x14ac:dyDescent="0.3">
      <c r="B3" s="62" t="s">
        <v>37</v>
      </c>
      <c r="C3" s="62" t="s">
        <v>41</v>
      </c>
      <c r="D3" s="62" t="s">
        <v>32</v>
      </c>
      <c r="E3" s="66" t="s">
        <v>88</v>
      </c>
    </row>
    <row r="4" spans="1:5" x14ac:dyDescent="0.3">
      <c r="B4" s="63" t="s">
        <v>212</v>
      </c>
      <c r="C4" s="64" t="s">
        <v>104</v>
      </c>
      <c r="D4" s="63" t="s">
        <v>105</v>
      </c>
      <c r="E4" s="121">
        <v>320299.46000000002</v>
      </c>
    </row>
    <row r="5" spans="1:5" x14ac:dyDescent="0.3">
      <c r="B5" s="60"/>
      <c r="C5" s="64" t="s">
        <v>122</v>
      </c>
      <c r="D5" s="63" t="s">
        <v>123</v>
      </c>
      <c r="E5" s="121">
        <v>6843.9</v>
      </c>
    </row>
    <row r="6" spans="1:5" x14ac:dyDescent="0.3">
      <c r="B6" s="60"/>
      <c r="C6" s="64" t="s">
        <v>106</v>
      </c>
      <c r="D6" s="63" t="s">
        <v>107</v>
      </c>
      <c r="E6" s="121">
        <v>135552.68</v>
      </c>
    </row>
    <row r="7" spans="1:5" x14ac:dyDescent="0.3">
      <c r="B7" s="60"/>
      <c r="C7" s="64" t="s">
        <v>110</v>
      </c>
      <c r="D7" s="63" t="s">
        <v>111</v>
      </c>
      <c r="E7" s="121">
        <v>14766.11</v>
      </c>
    </row>
    <row r="8" spans="1:5" x14ac:dyDescent="0.3">
      <c r="B8" s="63" t="s">
        <v>213</v>
      </c>
      <c r="C8" s="63" t="s">
        <v>133</v>
      </c>
      <c r="D8" s="63" t="s">
        <v>134</v>
      </c>
      <c r="E8" s="187">
        <v>463132.31</v>
      </c>
    </row>
    <row r="9" spans="1:5" x14ac:dyDescent="0.3">
      <c r="B9" s="122" t="s">
        <v>33</v>
      </c>
      <c r="C9" s="98"/>
      <c r="D9" s="99"/>
      <c r="E9" s="123">
        <f>SUM(E4:E8)</f>
        <v>940594.46</v>
      </c>
    </row>
  </sheetData>
  <pageMargins left="0.7" right="0.7" top="0.75" bottom="0.75" header="0.3" footer="0.3"/>
  <customProperties>
    <customPr name="_pios_id" r:id="rId1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opLeftCell="A4" workbookViewId="0">
      <selection activeCell="C8" sqref="C8"/>
    </sheetView>
  </sheetViews>
  <sheetFormatPr defaultRowHeight="14.4" x14ac:dyDescent="0.3"/>
  <cols>
    <col min="2" max="2" width="32.44140625" bestFit="1" customWidth="1"/>
    <col min="3" max="3" width="13.33203125" bestFit="1" customWidth="1"/>
    <col min="5" max="5" width="11.5546875" bestFit="1" customWidth="1"/>
    <col min="6" max="7" width="20.6640625" bestFit="1" customWidth="1"/>
    <col min="8" max="8" width="20.33203125" bestFit="1" customWidth="1"/>
    <col min="13" max="13" width="18.109375" bestFit="1" customWidth="1"/>
    <col min="15" max="15" width="19.109375" bestFit="1" customWidth="1"/>
    <col min="16" max="16" width="10.6640625" bestFit="1" customWidth="1"/>
  </cols>
  <sheetData>
    <row r="1" spans="1:17" x14ac:dyDescent="0.3">
      <c r="A1" s="33" t="s">
        <v>205</v>
      </c>
    </row>
    <row r="2" spans="1:17" x14ac:dyDescent="0.3">
      <c r="A2" s="33" t="s">
        <v>172</v>
      </c>
    </row>
    <row r="3" spans="1:17" s="32" customFormat="1" x14ac:dyDescent="0.3">
      <c r="A3" s="33" t="s">
        <v>210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5" spans="1:17" x14ac:dyDescent="0.3">
      <c r="A5" s="120" t="s">
        <v>53</v>
      </c>
      <c r="B5" s="105"/>
      <c r="C5" s="105" t="s">
        <v>96</v>
      </c>
    </row>
    <row r="6" spans="1:17" x14ac:dyDescent="0.3">
      <c r="A6" s="13">
        <v>49500144</v>
      </c>
      <c r="B6" s="13" t="s">
        <v>211</v>
      </c>
      <c r="C6" s="106">
        <v>41950.17</v>
      </c>
      <c r="D6" s="13"/>
    </row>
    <row r="7" spans="1:17" x14ac:dyDescent="0.3">
      <c r="A7" s="13"/>
      <c r="B7" s="13"/>
      <c r="C7" s="13"/>
      <c r="D7" s="13"/>
    </row>
    <row r="8" spans="1:17" x14ac:dyDescent="0.3">
      <c r="A8" s="13">
        <v>90900307</v>
      </c>
      <c r="B8" s="13" t="s">
        <v>209</v>
      </c>
      <c r="C8" s="108">
        <v>0</v>
      </c>
      <c r="D8" s="13"/>
    </row>
    <row r="9" spans="1:17" x14ac:dyDescent="0.3">
      <c r="A9" s="13">
        <v>80400013</v>
      </c>
      <c r="B9" s="13" t="s">
        <v>208</v>
      </c>
      <c r="C9" s="124">
        <v>1045793.74</v>
      </c>
      <c r="D9" s="13"/>
    </row>
    <row r="10" spans="1:17" x14ac:dyDescent="0.3">
      <c r="A10" s="13"/>
      <c r="B10" s="13"/>
      <c r="C10" s="124"/>
      <c r="D10" s="13"/>
    </row>
    <row r="11" spans="1:17" x14ac:dyDescent="0.3">
      <c r="A11" s="13">
        <v>90800306</v>
      </c>
      <c r="B11" s="13" t="s">
        <v>217</v>
      </c>
      <c r="C11" s="125">
        <f>350027.12-C12-C13</f>
        <v>341764.2</v>
      </c>
      <c r="D11" s="13"/>
    </row>
    <row r="12" spans="1:17" x14ac:dyDescent="0.3">
      <c r="A12" s="13">
        <v>90800306</v>
      </c>
      <c r="B12" s="13" t="s">
        <v>206</v>
      </c>
      <c r="C12" s="106">
        <v>1890.49</v>
      </c>
      <c r="D12" s="13"/>
    </row>
    <row r="13" spans="1:17" x14ac:dyDescent="0.3">
      <c r="A13" s="13">
        <v>90800306</v>
      </c>
      <c r="B13" s="13" t="s">
        <v>207</v>
      </c>
      <c r="C13" s="107">
        <v>6372.43</v>
      </c>
      <c r="D13" s="13"/>
    </row>
    <row r="14" spans="1:17" x14ac:dyDescent="0.3">
      <c r="A14" s="13"/>
      <c r="B14" s="13"/>
      <c r="C14" s="126">
        <f>SUM(C6:C13)</f>
        <v>1437771.0299999998</v>
      </c>
      <c r="D14" s="13"/>
    </row>
    <row r="15" spans="1:17" x14ac:dyDescent="0.3">
      <c r="A15" s="13"/>
      <c r="B15" s="13"/>
      <c r="C15" s="13"/>
      <c r="D15" s="13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topLeftCell="A13" zoomScaleNormal="100" workbookViewId="0">
      <selection activeCell="C8" sqref="C8"/>
    </sheetView>
  </sheetViews>
  <sheetFormatPr defaultColWidth="9.109375" defaultRowHeight="14.4" x14ac:dyDescent="0.3"/>
  <cols>
    <col min="1" max="1" width="9.109375" style="94"/>
    <col min="2" max="2" width="7.44140625" style="94" bestFit="1" customWidth="1"/>
    <col min="3" max="3" width="3.88671875" style="94" bestFit="1" customWidth="1"/>
    <col min="4" max="4" width="15.5546875" style="94" customWidth="1"/>
    <col min="5" max="5" width="33.44140625" style="94" bestFit="1" customWidth="1"/>
    <col min="6" max="6" width="16.109375" style="94" bestFit="1" customWidth="1"/>
    <col min="7" max="7" width="24.44140625" style="94" bestFit="1" customWidth="1"/>
    <col min="8" max="8" width="13.109375" style="94" bestFit="1" customWidth="1"/>
    <col min="9" max="9" width="16.109375" style="94" customWidth="1"/>
    <col min="10" max="10" width="14.33203125" style="94" bestFit="1" customWidth="1"/>
    <col min="11" max="18" width="13.109375" style="94" bestFit="1" customWidth="1"/>
    <col min="19" max="19" width="14.33203125" style="94" bestFit="1" customWidth="1"/>
    <col min="20" max="30" width="11.44140625" style="94" customWidth="1"/>
    <col min="31" max="31" width="12.44140625" style="94" customWidth="1"/>
    <col min="32" max="32" width="22.44140625" style="94" customWidth="1"/>
    <col min="33" max="33" width="9.88671875" style="94" customWidth="1"/>
    <col min="34" max="35" width="8.88671875" style="94" customWidth="1"/>
    <col min="36" max="36" width="9.88671875" style="94" customWidth="1"/>
    <col min="37" max="41" width="8.88671875" style="94" customWidth="1"/>
    <col min="42" max="42" width="9.88671875" style="94" customWidth="1"/>
    <col min="43" max="43" width="8.88671875" style="94" customWidth="1"/>
    <col min="44" max="44" width="11.44140625" style="94" customWidth="1"/>
    <col min="45" max="45" width="22.44140625" style="94" customWidth="1"/>
    <col min="46" max="56" width="7.88671875" style="94" customWidth="1"/>
    <col min="57" max="57" width="6.44140625" style="94" customWidth="1"/>
    <col min="58" max="58" width="23.44140625" style="94" customWidth="1"/>
    <col min="59" max="60" width="12.6640625" style="94" bestFit="1" customWidth="1"/>
    <col min="61" max="61" width="11.6640625" style="94" bestFit="1" customWidth="1"/>
    <col min="62" max="62" width="11.33203125" style="94" bestFit="1" customWidth="1"/>
    <col min="63" max="64" width="10.109375" style="94" bestFit="1" customWidth="1"/>
    <col min="65" max="65" width="10.88671875" style="94" bestFit="1" customWidth="1"/>
    <col min="66" max="70" width="11.44140625" style="94" bestFit="1" customWidth="1"/>
    <col min="71" max="71" width="10.44140625" style="94" bestFit="1" customWidth="1"/>
    <col min="72" max="77" width="11.33203125" style="94" bestFit="1" customWidth="1"/>
    <col min="78" max="80" width="10.33203125" style="94" bestFit="1" customWidth="1"/>
    <col min="81" max="81" width="11.6640625" style="94" bestFit="1" customWidth="1"/>
    <col min="82" max="82" width="10.88671875" style="94" bestFit="1" customWidth="1"/>
    <col min="83" max="84" width="11.6640625" style="94" bestFit="1" customWidth="1"/>
    <col min="85" max="89" width="11.5546875" style="94" bestFit="1" customWidth="1"/>
    <col min="90" max="90" width="10.5546875" style="94" bestFit="1" customWidth="1"/>
    <col min="91" max="91" width="11" style="94" bestFit="1" customWidth="1"/>
    <col min="92" max="92" width="11.44140625" style="94" bestFit="1" customWidth="1"/>
    <col min="93" max="93" width="11.6640625" style="94" bestFit="1" customWidth="1"/>
    <col min="94" max="95" width="11.5546875" style="94" bestFit="1" customWidth="1"/>
    <col min="96" max="99" width="11.44140625" style="94" bestFit="1" customWidth="1"/>
    <col min="100" max="100" width="11.5546875" style="94" bestFit="1" customWidth="1"/>
    <col min="101" max="101" width="10.6640625" style="94" bestFit="1" customWidth="1"/>
    <col min="102" max="104" width="11.5546875" style="94" bestFit="1" customWidth="1"/>
    <col min="105" max="110" width="11.44140625" style="94" bestFit="1" customWidth="1"/>
    <col min="111" max="112" width="10.44140625" style="94" bestFit="1" customWidth="1"/>
    <col min="113" max="113" width="11.5546875" style="94" bestFit="1" customWidth="1"/>
    <col min="114" max="114" width="10.44140625" style="94" bestFit="1" customWidth="1"/>
    <col min="115" max="120" width="11.109375" style="94" bestFit="1" customWidth="1"/>
    <col min="121" max="122" width="10.109375" style="94" bestFit="1" customWidth="1"/>
    <col min="123" max="124" width="11.6640625" style="94" bestFit="1" customWidth="1"/>
    <col min="125" max="126" width="9.33203125" style="94" bestFit="1" customWidth="1"/>
    <col min="127" max="127" width="10.109375" style="94" bestFit="1" customWidth="1"/>
    <col min="128" max="128" width="10.44140625" style="94" bestFit="1" customWidth="1"/>
    <col min="129" max="129" width="9.33203125" style="94" bestFit="1" customWidth="1"/>
    <col min="130" max="130" width="9.88671875" style="94" bestFit="1" customWidth="1"/>
    <col min="131" max="131" width="12.44140625" style="94" bestFit="1" customWidth="1"/>
    <col min="132" max="132" width="11.6640625" style="94" bestFit="1" customWidth="1"/>
    <col min="133" max="133" width="12.44140625" style="94" bestFit="1" customWidth="1"/>
    <col min="134" max="134" width="11.6640625" style="94" bestFit="1" customWidth="1"/>
    <col min="135" max="135" width="11" style="94" bestFit="1" customWidth="1"/>
    <col min="136" max="136" width="10.44140625" style="94" bestFit="1" customWidth="1"/>
    <col min="137" max="137" width="8.44140625" style="94" bestFit="1" customWidth="1"/>
    <col min="138" max="138" width="9.44140625" style="94" bestFit="1" customWidth="1"/>
    <col min="139" max="139" width="11.6640625" style="94" bestFit="1" customWidth="1"/>
    <col min="140" max="140" width="11.44140625" style="94" bestFit="1" customWidth="1"/>
    <col min="141" max="141" width="13.88671875" style="94" bestFit="1" customWidth="1"/>
    <col min="142" max="142" width="12" style="94" bestFit="1" customWidth="1"/>
    <col min="143" max="143" width="11.88671875" style="94" bestFit="1" customWidth="1"/>
    <col min="144" max="144" width="10.5546875" style="94" bestFit="1" customWidth="1"/>
    <col min="145" max="145" width="10.88671875" style="94" bestFit="1" customWidth="1"/>
    <col min="146" max="146" width="11.109375" style="94" bestFit="1" customWidth="1"/>
    <col min="147" max="148" width="9.109375" style="94" bestFit="1" customWidth="1"/>
    <col min="149" max="149" width="8.109375" style="94" bestFit="1" customWidth="1"/>
    <col min="150" max="150" width="9.33203125" style="94" bestFit="1" customWidth="1"/>
    <col min="151" max="151" width="11.44140625" style="94" bestFit="1" customWidth="1"/>
    <col min="152" max="152" width="9.6640625" style="94" bestFit="1" customWidth="1"/>
    <col min="153" max="153" width="12.6640625" style="94" bestFit="1" customWidth="1"/>
    <col min="154" max="155" width="11.6640625" style="94" bestFit="1" customWidth="1"/>
    <col min="156" max="156" width="10.109375" style="94" bestFit="1" customWidth="1"/>
    <col min="157" max="157" width="8.6640625" style="94" bestFit="1" customWidth="1"/>
    <col min="158" max="158" width="9.109375" style="94" bestFit="1" customWidth="1"/>
    <col min="159" max="159" width="12.33203125" style="94" bestFit="1" customWidth="1"/>
    <col min="160" max="160" width="11.6640625" style="94" bestFit="1" customWidth="1"/>
    <col min="161" max="161" width="12.33203125" style="94" bestFit="1" customWidth="1"/>
    <col min="162" max="162" width="10.5546875" style="94" bestFit="1" customWidth="1"/>
    <col min="163" max="163" width="12.5546875" style="94" bestFit="1" customWidth="1"/>
    <col min="164" max="165" width="12.6640625" style="94" bestFit="1" customWidth="1"/>
    <col min="166" max="166" width="12.5546875" style="94" bestFit="1" customWidth="1"/>
    <col min="167" max="167" width="11.6640625" style="94" bestFit="1" customWidth="1"/>
    <col min="168" max="168" width="12.88671875" style="94" bestFit="1" customWidth="1"/>
    <col min="169" max="169" width="12.109375" style="94" bestFit="1" customWidth="1"/>
    <col min="170" max="171" width="12" style="94" bestFit="1" customWidth="1"/>
    <col min="172" max="173" width="10.109375" style="94" bestFit="1" customWidth="1"/>
    <col min="174" max="174" width="9.33203125" style="94" bestFit="1" customWidth="1"/>
    <col min="175" max="175" width="11.5546875" style="94" bestFit="1" customWidth="1"/>
    <col min="176" max="176" width="12.6640625" style="94" bestFit="1" customWidth="1"/>
    <col min="177" max="177" width="8.88671875" style="94" bestFit="1" customWidth="1"/>
    <col min="178" max="178" width="9.33203125" style="94" bestFit="1" customWidth="1"/>
    <col min="179" max="179" width="11.5546875" style="94" bestFit="1" customWidth="1"/>
    <col min="180" max="180" width="12.44140625" style="94" bestFit="1" customWidth="1"/>
    <col min="181" max="181" width="12.6640625" style="94" bestFit="1" customWidth="1"/>
    <col min="182" max="183" width="11.6640625" style="94" bestFit="1" customWidth="1"/>
    <col min="184" max="184" width="10.109375" style="94" bestFit="1" customWidth="1"/>
    <col min="185" max="185" width="8.5546875" style="94" bestFit="1" customWidth="1"/>
    <col min="186" max="186" width="9.109375" style="94" bestFit="1" customWidth="1"/>
    <col min="187" max="187" width="11.6640625" style="94" bestFit="1" customWidth="1"/>
    <col min="188" max="188" width="10.44140625" style="94" bestFit="1" customWidth="1"/>
    <col min="189" max="189" width="12.6640625" style="94" bestFit="1" customWidth="1"/>
    <col min="190" max="190" width="11.6640625" style="94" bestFit="1" customWidth="1"/>
    <col min="191" max="192" width="9.109375" style="94" bestFit="1" customWidth="1"/>
    <col min="193" max="193" width="11.44140625" style="94" bestFit="1" customWidth="1"/>
    <col min="194" max="194" width="12.33203125" style="94" bestFit="1" customWidth="1"/>
    <col min="195" max="195" width="9.109375" style="94" bestFit="1" customWidth="1"/>
    <col min="196" max="197" width="8.44140625" style="94" bestFit="1" customWidth="1"/>
    <col min="198" max="199" width="11.88671875" style="94" bestFit="1" customWidth="1"/>
    <col min="200" max="200" width="12" style="94" bestFit="1" customWidth="1"/>
    <col min="201" max="201" width="12.109375" style="94" bestFit="1" customWidth="1"/>
    <col min="202" max="202" width="10.88671875" style="94" bestFit="1" customWidth="1"/>
    <col min="203" max="203" width="12.44140625" style="94" bestFit="1" customWidth="1"/>
    <col min="204" max="204" width="12.33203125" style="94" bestFit="1" customWidth="1"/>
    <col min="205" max="205" width="11.44140625" style="94" bestFit="1" customWidth="1"/>
    <col min="206" max="206" width="11.6640625" style="94" bestFit="1" customWidth="1"/>
    <col min="207" max="208" width="9.88671875" style="94" bestFit="1" customWidth="1"/>
    <col min="209" max="209" width="12.44140625" style="94" bestFit="1" customWidth="1"/>
    <col min="210" max="210" width="11.6640625" style="94" bestFit="1" customWidth="1"/>
    <col min="211" max="211" width="11.109375" style="94" bestFit="1" customWidth="1"/>
    <col min="212" max="212" width="12.33203125" style="94" bestFit="1" customWidth="1"/>
    <col min="213" max="213" width="13.33203125" style="94" bestFit="1" customWidth="1"/>
    <col min="214" max="214" width="11.5546875" style="94" bestFit="1" customWidth="1"/>
    <col min="215" max="215" width="10.5546875" style="94" bestFit="1" customWidth="1"/>
    <col min="216" max="216" width="12" style="94" bestFit="1" customWidth="1"/>
    <col min="217" max="217" width="9.44140625" style="94" bestFit="1" customWidth="1"/>
    <col min="218" max="218" width="9.109375" style="94" bestFit="1" customWidth="1"/>
    <col min="219" max="219" width="9.44140625" style="94" bestFit="1" customWidth="1"/>
    <col min="220" max="220" width="9.109375" style="94" bestFit="1" customWidth="1"/>
    <col min="221" max="221" width="9.44140625" style="94" bestFit="1" customWidth="1"/>
    <col min="222" max="223" width="9.109375" style="94" bestFit="1" customWidth="1"/>
    <col min="224" max="224" width="9.44140625" style="94" bestFit="1" customWidth="1"/>
    <col min="225" max="226" width="9.109375" style="94" bestFit="1" customWidth="1"/>
    <col min="227" max="227" width="9.44140625" style="94" bestFit="1" customWidth="1"/>
    <col min="228" max="228" width="9.109375" style="94" bestFit="1" customWidth="1"/>
    <col min="229" max="229" width="9.44140625" style="94" bestFit="1" customWidth="1"/>
    <col min="230" max="230" width="9.109375" style="94" bestFit="1" customWidth="1"/>
    <col min="231" max="231" width="9.44140625" style="94" bestFit="1" customWidth="1"/>
    <col min="232" max="233" width="9.109375" style="94" bestFit="1" customWidth="1"/>
    <col min="234" max="234" width="9.44140625" style="94" bestFit="1" customWidth="1"/>
    <col min="235" max="236" width="9.109375" style="94" bestFit="1" customWidth="1"/>
    <col min="237" max="237" width="9.44140625" style="94" bestFit="1" customWidth="1"/>
    <col min="238" max="238" width="9.109375" style="94" bestFit="1" customWidth="1"/>
    <col min="239" max="239" width="9.44140625" style="94" bestFit="1" customWidth="1"/>
    <col min="240" max="240" width="9.109375" style="94" bestFit="1" customWidth="1"/>
    <col min="241" max="241" width="9.44140625" style="94" bestFit="1" customWidth="1"/>
    <col min="242" max="243" width="9.109375" style="94" bestFit="1" customWidth="1"/>
    <col min="244" max="244" width="9.44140625" style="94" bestFit="1" customWidth="1"/>
    <col min="245" max="245" width="9.109375" style="94" bestFit="1" customWidth="1"/>
    <col min="246" max="247" width="9.44140625" style="94" bestFit="1" customWidth="1"/>
    <col min="248" max="248" width="9.109375" style="94" bestFit="1" customWidth="1"/>
    <col min="249" max="249" width="9.44140625" style="94" bestFit="1" customWidth="1"/>
    <col min="250" max="250" width="9.109375" style="94" bestFit="1" customWidth="1"/>
    <col min="251" max="251" width="9.44140625" style="94" bestFit="1" customWidth="1"/>
    <col min="252" max="252" width="9.109375" style="94" bestFit="1" customWidth="1"/>
    <col min="253" max="253" width="9.44140625" style="94" bestFit="1" customWidth="1"/>
    <col min="254" max="254" width="9.109375" style="94" bestFit="1" customWidth="1"/>
    <col min="255" max="255" width="9.44140625" style="94" bestFit="1" customWidth="1"/>
    <col min="256" max="257" width="9.109375" style="94" bestFit="1" customWidth="1"/>
    <col min="258" max="258" width="9.44140625" style="94" bestFit="1" customWidth="1"/>
    <col min="259" max="259" width="9.109375" style="94" bestFit="1" customWidth="1"/>
    <col min="260" max="261" width="9.44140625" style="94" bestFit="1" customWidth="1"/>
    <col min="262" max="267" width="9.109375" style="94" bestFit="1" customWidth="1"/>
    <col min="268" max="268" width="8.44140625" style="94" bestFit="1" customWidth="1"/>
    <col min="269" max="269" width="9.109375" style="94" bestFit="1" customWidth="1"/>
    <col min="270" max="270" width="8.44140625" style="94" bestFit="1" customWidth="1"/>
    <col min="271" max="271" width="9.109375" style="94" bestFit="1" customWidth="1"/>
    <col min="272" max="272" width="8.44140625" style="94" bestFit="1" customWidth="1"/>
    <col min="273" max="273" width="9.109375" style="94" bestFit="1" customWidth="1"/>
    <col min="274" max="274" width="8.44140625" style="94" bestFit="1" customWidth="1"/>
    <col min="275" max="275" width="8.109375" style="94" bestFit="1" customWidth="1"/>
    <col min="276" max="276" width="8.44140625" style="94" bestFit="1" customWidth="1"/>
    <col min="277" max="277" width="10.109375" style="94" bestFit="1" customWidth="1"/>
    <col min="278" max="278" width="8.44140625" style="94" bestFit="1" customWidth="1"/>
    <col min="279" max="280" width="8.109375" style="94" bestFit="1" customWidth="1"/>
    <col min="281" max="281" width="8.44140625" style="94" bestFit="1" customWidth="1"/>
    <col min="282" max="282" width="8.109375" style="94" bestFit="1" customWidth="1"/>
    <col min="283" max="283" width="8.44140625" style="94" bestFit="1" customWidth="1"/>
    <col min="284" max="284" width="9.109375" style="94" bestFit="1" customWidth="1"/>
    <col min="285" max="285" width="8.44140625" style="94" bestFit="1" customWidth="1"/>
    <col min="286" max="286" width="8.109375" style="94" bestFit="1" customWidth="1"/>
    <col min="287" max="287" width="8.44140625" style="94" bestFit="1" customWidth="1"/>
    <col min="288" max="288" width="8.109375" style="94" bestFit="1" customWidth="1"/>
    <col min="289" max="289" width="8.44140625" style="94" bestFit="1" customWidth="1"/>
    <col min="290" max="290" width="8.109375" style="94" bestFit="1" customWidth="1"/>
    <col min="291" max="291" width="8.44140625" style="94" bestFit="1" customWidth="1"/>
    <col min="292" max="292" width="8.109375" style="94" bestFit="1" customWidth="1"/>
    <col min="293" max="293" width="9.88671875" style="94" bestFit="1" customWidth="1"/>
    <col min="294" max="294" width="9.5546875" style="94" bestFit="1" customWidth="1"/>
    <col min="295" max="296" width="11.109375" style="94" bestFit="1" customWidth="1"/>
    <col min="297" max="298" width="10.109375" style="94" bestFit="1" customWidth="1"/>
    <col min="299" max="300" width="11.109375" style="94" bestFit="1" customWidth="1"/>
    <col min="301" max="302" width="10.109375" style="94" bestFit="1" customWidth="1"/>
    <col min="303" max="303" width="15.44140625" style="94" bestFit="1" customWidth="1"/>
    <col min="304" max="304" width="11.33203125" style="94" bestFit="1" customWidth="1"/>
    <col min="305" max="305" width="8" style="94" bestFit="1" customWidth="1"/>
    <col min="306" max="306" width="9.33203125" style="94" bestFit="1" customWidth="1"/>
    <col min="307" max="307" width="10.44140625" style="94" bestFit="1" customWidth="1"/>
    <col min="308" max="308" width="8" style="94" bestFit="1" customWidth="1"/>
    <col min="309" max="309" width="9.33203125" style="94" bestFit="1" customWidth="1"/>
    <col min="310" max="310" width="10.44140625" style="94" bestFit="1" customWidth="1"/>
    <col min="311" max="311" width="11.33203125" style="94" bestFit="1" customWidth="1"/>
    <col min="312" max="312" width="8" style="94" bestFit="1" customWidth="1"/>
    <col min="313" max="313" width="9.33203125" style="94" bestFit="1" customWidth="1"/>
    <col min="314" max="314" width="10.44140625" style="94" bestFit="1" customWidth="1"/>
    <col min="315" max="316" width="8" style="94" bestFit="1" customWidth="1"/>
    <col min="317" max="317" width="9.109375" style="94" bestFit="1" customWidth="1"/>
    <col min="318" max="321" width="8" style="94" bestFit="1" customWidth="1"/>
    <col min="322" max="322" width="11.109375" style="94" bestFit="1" customWidth="1"/>
    <col min="323" max="324" width="11.6640625" style="94" bestFit="1" customWidth="1"/>
    <col min="325" max="325" width="7" style="94" bestFit="1" customWidth="1"/>
    <col min="326" max="326" width="8.109375" style="94" bestFit="1" customWidth="1"/>
    <col min="327" max="331" width="9.5546875" style="94" bestFit="1" customWidth="1"/>
    <col min="332" max="332" width="11.6640625" style="94" bestFit="1" customWidth="1"/>
    <col min="333" max="333" width="12" style="94" bestFit="1" customWidth="1"/>
    <col min="334" max="334" width="10.44140625" style="94" bestFit="1" customWidth="1"/>
    <col min="335" max="335" width="9.109375" style="94" bestFit="1" customWidth="1"/>
    <col min="336" max="337" width="11" style="94" bestFit="1" customWidth="1"/>
    <col min="338" max="338" width="12.5546875" style="94" bestFit="1" customWidth="1"/>
    <col min="339" max="339" width="9.44140625" style="94" bestFit="1" customWidth="1"/>
    <col min="340" max="340" width="9.6640625" style="94" bestFit="1" customWidth="1"/>
    <col min="341" max="342" width="12" style="94" bestFit="1" customWidth="1"/>
    <col min="343" max="343" width="9.109375" style="94" bestFit="1" customWidth="1"/>
    <col min="344" max="344" width="11.5546875" style="94" bestFit="1" customWidth="1"/>
    <col min="345" max="346" width="12" style="94" bestFit="1" customWidth="1"/>
    <col min="347" max="347" width="11.88671875" style="94" bestFit="1" customWidth="1"/>
    <col min="348" max="348" width="10.88671875" style="94" bestFit="1" customWidth="1"/>
    <col min="349" max="349" width="11.109375" style="94" bestFit="1" customWidth="1"/>
    <col min="350" max="350" width="9.109375" style="94" bestFit="1" customWidth="1"/>
    <col min="351" max="351" width="9.88671875" style="94" bestFit="1" customWidth="1"/>
    <col min="352" max="352" width="10.33203125" style="94" bestFit="1" customWidth="1"/>
    <col min="353" max="353" width="10.88671875" style="94" bestFit="1" customWidth="1"/>
    <col min="354" max="354" width="10.6640625" style="94" bestFit="1" customWidth="1"/>
    <col min="355" max="355" width="10.109375" style="94" bestFit="1" customWidth="1"/>
    <col min="356" max="356" width="10.6640625" style="94" bestFit="1" customWidth="1"/>
    <col min="357" max="357" width="11.44140625" style="94" bestFit="1" customWidth="1"/>
    <col min="358" max="358" width="11.109375" style="94" bestFit="1" customWidth="1"/>
    <col min="359" max="360" width="11.6640625" style="94" bestFit="1" customWidth="1"/>
    <col min="361" max="361" width="11.33203125" style="94" bestFit="1" customWidth="1"/>
    <col min="362" max="362" width="9.88671875" style="94" bestFit="1" customWidth="1"/>
    <col min="363" max="363" width="9.6640625" style="94" bestFit="1" customWidth="1"/>
    <col min="364" max="364" width="10.88671875" style="94" bestFit="1" customWidth="1"/>
    <col min="365" max="369" width="11.44140625" style="94" bestFit="1" customWidth="1"/>
    <col min="370" max="370" width="10.44140625" style="94" bestFit="1" customWidth="1"/>
    <col min="371" max="376" width="11.33203125" style="94" bestFit="1" customWidth="1"/>
    <col min="377" max="379" width="10.33203125" style="94" bestFit="1" customWidth="1"/>
    <col min="380" max="380" width="11.6640625" style="94" bestFit="1" customWidth="1"/>
    <col min="381" max="381" width="10.88671875" style="94" bestFit="1" customWidth="1"/>
    <col min="382" max="383" width="11.6640625" style="94" bestFit="1" customWidth="1"/>
    <col min="384" max="388" width="11.5546875" style="94" bestFit="1" customWidth="1"/>
    <col min="389" max="389" width="10.5546875" style="94" bestFit="1" customWidth="1"/>
    <col min="390" max="390" width="11" style="94" bestFit="1" customWidth="1"/>
    <col min="391" max="391" width="11.44140625" style="94" bestFit="1" customWidth="1"/>
    <col min="392" max="392" width="11.6640625" style="94" bestFit="1" customWidth="1"/>
    <col min="393" max="394" width="11.5546875" style="94" bestFit="1" customWidth="1"/>
    <col min="395" max="398" width="11.44140625" style="94" bestFit="1" customWidth="1"/>
    <col min="399" max="399" width="11.5546875" style="94" bestFit="1" customWidth="1"/>
    <col min="400" max="400" width="10.6640625" style="94" bestFit="1" customWidth="1"/>
    <col min="401" max="403" width="11.5546875" style="94" bestFit="1" customWidth="1"/>
    <col min="404" max="409" width="11.44140625" style="94" bestFit="1" customWidth="1"/>
    <col min="410" max="411" width="10.44140625" style="94" bestFit="1" customWidth="1"/>
    <col min="412" max="412" width="11.5546875" style="94" bestFit="1" customWidth="1"/>
    <col min="413" max="413" width="10.44140625" style="94" bestFit="1" customWidth="1"/>
    <col min="414" max="419" width="11.109375" style="94" bestFit="1" customWidth="1"/>
    <col min="420" max="421" width="10.109375" style="94" bestFit="1" customWidth="1"/>
    <col min="422" max="426" width="9.33203125" style="94" bestFit="1" customWidth="1"/>
    <col min="427" max="427" width="10.44140625" style="94" bestFit="1" customWidth="1"/>
    <col min="428" max="430" width="9.33203125" style="94" bestFit="1" customWidth="1"/>
    <col min="431" max="431" width="8.33203125" style="94" bestFit="1" customWidth="1"/>
    <col min="432" max="432" width="9.44140625" style="94" bestFit="1" customWidth="1"/>
    <col min="433" max="433" width="11.6640625" style="94" bestFit="1" customWidth="1"/>
    <col min="434" max="434" width="11" style="94" bestFit="1" customWidth="1"/>
    <col min="435" max="435" width="10.44140625" style="94" bestFit="1" customWidth="1"/>
    <col min="436" max="436" width="8.44140625" style="94" bestFit="1" customWidth="1"/>
    <col min="437" max="437" width="9.44140625" style="94" bestFit="1" customWidth="1"/>
    <col min="438" max="438" width="11.5546875" style="94" bestFit="1" customWidth="1"/>
    <col min="439" max="439" width="11.44140625" style="94" bestFit="1" customWidth="1"/>
    <col min="440" max="440" width="12.6640625" style="94" bestFit="1" customWidth="1"/>
    <col min="441" max="441" width="12" style="94" bestFit="1" customWidth="1"/>
    <col min="442" max="442" width="11.88671875" style="94" bestFit="1" customWidth="1"/>
    <col min="443" max="443" width="10.5546875" style="94" bestFit="1" customWidth="1"/>
    <col min="444" max="444" width="10.88671875" style="94" bestFit="1" customWidth="1"/>
    <col min="445" max="445" width="11.109375" style="94" bestFit="1" customWidth="1"/>
    <col min="446" max="447" width="9.109375" style="94" bestFit="1" customWidth="1"/>
    <col min="448" max="448" width="8.109375" style="94" bestFit="1" customWidth="1"/>
    <col min="449" max="449" width="9.33203125" style="94" bestFit="1" customWidth="1"/>
    <col min="450" max="450" width="11.44140625" style="94" bestFit="1" customWidth="1"/>
    <col min="451" max="451" width="9.6640625" style="94" bestFit="1" customWidth="1"/>
    <col min="452" max="457" width="8.6640625" style="94" bestFit="1" customWidth="1"/>
    <col min="458" max="458" width="12.33203125" style="94" bestFit="1" customWidth="1"/>
    <col min="459" max="459" width="11.109375" style="94" bestFit="1" customWidth="1"/>
    <col min="460" max="460" width="12.33203125" style="94" bestFit="1" customWidth="1"/>
    <col min="461" max="461" width="10.5546875" style="94" bestFit="1" customWidth="1"/>
    <col min="462" max="462" width="12.5546875" style="94" bestFit="1" customWidth="1"/>
    <col min="463" max="463" width="12.6640625" style="94" bestFit="1" customWidth="1"/>
    <col min="464" max="464" width="10.6640625" style="94" bestFit="1" customWidth="1"/>
    <col min="465" max="465" width="12.5546875" style="94" bestFit="1" customWidth="1"/>
    <col min="466" max="466" width="11.6640625" style="94" bestFit="1" customWidth="1"/>
    <col min="467" max="467" width="12.88671875" style="94" bestFit="1" customWidth="1"/>
    <col min="468" max="468" width="12.109375" style="94" bestFit="1" customWidth="1"/>
    <col min="469" max="470" width="12" style="94" bestFit="1" customWidth="1"/>
    <col min="471" max="472" width="10.109375" style="94" bestFit="1" customWidth="1"/>
    <col min="473" max="473" width="9.33203125" style="94" bestFit="1" customWidth="1"/>
    <col min="474" max="474" width="11.5546875" style="94" bestFit="1" customWidth="1"/>
    <col min="475" max="475" width="12.6640625" style="94" bestFit="1" customWidth="1"/>
    <col min="476" max="476" width="8.88671875" style="94" bestFit="1" customWidth="1"/>
    <col min="477" max="477" width="9.33203125" style="94" bestFit="1" customWidth="1"/>
    <col min="478" max="478" width="11.5546875" style="94" bestFit="1" customWidth="1"/>
    <col min="479" max="479" width="12.44140625" style="94" bestFit="1" customWidth="1"/>
    <col min="480" max="485" width="8.5546875" style="94" bestFit="1" customWidth="1"/>
    <col min="486" max="486" width="11" style="94" bestFit="1" customWidth="1"/>
    <col min="487" max="487" width="10.44140625" style="94" bestFit="1" customWidth="1"/>
    <col min="488" max="488" width="10.5546875" style="94" bestFit="1" customWidth="1"/>
    <col min="489" max="489" width="11.5546875" style="94" bestFit="1" customWidth="1"/>
    <col min="490" max="491" width="9.109375" style="94" bestFit="1" customWidth="1"/>
    <col min="492" max="492" width="11.44140625" style="94" bestFit="1" customWidth="1"/>
    <col min="493" max="493" width="12.33203125" style="94" bestFit="1" customWidth="1"/>
    <col min="494" max="496" width="8.44140625" style="94" bestFit="1" customWidth="1"/>
    <col min="497" max="498" width="11.88671875" style="94" bestFit="1" customWidth="1"/>
    <col min="499" max="499" width="12" style="94" bestFit="1" customWidth="1"/>
    <col min="500" max="500" width="12.109375" style="94" bestFit="1" customWidth="1"/>
    <col min="501" max="501" width="10.88671875" style="94" bestFit="1" customWidth="1"/>
    <col min="502" max="502" width="12.44140625" style="94" bestFit="1" customWidth="1"/>
    <col min="503" max="503" width="12.33203125" style="94" bestFit="1" customWidth="1"/>
    <col min="504" max="504" width="11.44140625" style="94" bestFit="1" customWidth="1"/>
    <col min="505" max="505" width="11.6640625" style="94" bestFit="1" customWidth="1"/>
    <col min="506" max="507" width="9.88671875" style="94" bestFit="1" customWidth="1"/>
    <col min="508" max="508" width="12.44140625" style="94" bestFit="1" customWidth="1"/>
    <col min="509" max="509" width="10" style="94" bestFit="1" customWidth="1"/>
    <col min="510" max="510" width="11.109375" style="94" bestFit="1" customWidth="1"/>
    <col min="511" max="511" width="12.33203125" style="94" bestFit="1" customWidth="1"/>
    <col min="512" max="512" width="13.33203125" style="94" bestFit="1" customWidth="1"/>
    <col min="513" max="513" width="11.5546875" style="94" bestFit="1" customWidth="1"/>
    <col min="514" max="514" width="10.5546875" style="94" bestFit="1" customWidth="1"/>
    <col min="515" max="515" width="12" style="94" bestFit="1" customWidth="1"/>
    <col min="516" max="516" width="9.44140625" style="94" bestFit="1" customWidth="1"/>
    <col min="517" max="517" width="9.109375" style="94" bestFit="1" customWidth="1"/>
    <col min="518" max="518" width="9.44140625" style="94" bestFit="1" customWidth="1"/>
    <col min="519" max="519" width="9.109375" style="94" bestFit="1" customWidth="1"/>
    <col min="520" max="520" width="9.44140625" style="94" bestFit="1" customWidth="1"/>
    <col min="521" max="522" width="9.109375" style="94" bestFit="1" customWidth="1"/>
    <col min="523" max="523" width="9.44140625" style="94" bestFit="1" customWidth="1"/>
    <col min="524" max="525" width="9.109375" style="94" bestFit="1" customWidth="1"/>
    <col min="526" max="526" width="9.44140625" style="94" bestFit="1" customWidth="1"/>
    <col min="527" max="527" width="9.109375" style="94" bestFit="1" customWidth="1"/>
    <col min="528" max="528" width="9.44140625" style="94" bestFit="1" customWidth="1"/>
    <col min="529" max="529" width="9.109375" style="94" bestFit="1" customWidth="1"/>
    <col min="530" max="530" width="9.44140625" style="94" bestFit="1" customWidth="1"/>
    <col min="531" max="532" width="9.109375" style="94" bestFit="1" customWidth="1"/>
    <col min="533" max="533" width="9.44140625" style="94" bestFit="1" customWidth="1"/>
    <col min="534" max="535" width="9.109375" style="94" bestFit="1" customWidth="1"/>
    <col min="536" max="536" width="9.44140625" style="94" bestFit="1" customWidth="1"/>
    <col min="537" max="537" width="9.109375" style="94" bestFit="1" customWidth="1"/>
    <col min="538" max="538" width="9.44140625" style="94" bestFit="1" customWidth="1"/>
    <col min="539" max="539" width="9.109375" style="94" bestFit="1" customWidth="1"/>
    <col min="540" max="540" width="9.44140625" style="94" bestFit="1" customWidth="1"/>
    <col min="541" max="542" width="9.109375" style="94" bestFit="1" customWidth="1"/>
    <col min="543" max="543" width="9.44140625" style="94" bestFit="1" customWidth="1"/>
    <col min="544" max="544" width="9.109375" style="94" bestFit="1" customWidth="1"/>
    <col min="545" max="546" width="9.44140625" style="94" bestFit="1" customWidth="1"/>
    <col min="547" max="547" width="9.109375" style="94" bestFit="1" customWidth="1"/>
    <col min="548" max="548" width="9.44140625" style="94" bestFit="1" customWidth="1"/>
    <col min="549" max="549" width="9.109375" style="94" bestFit="1" customWidth="1"/>
    <col min="550" max="550" width="9.44140625" style="94" bestFit="1" customWidth="1"/>
    <col min="551" max="551" width="9.109375" style="94" bestFit="1" customWidth="1"/>
    <col min="552" max="552" width="9.44140625" style="94" bestFit="1" customWidth="1"/>
    <col min="553" max="553" width="9.109375" style="94" bestFit="1" customWidth="1"/>
    <col min="554" max="554" width="9.44140625" style="94" bestFit="1" customWidth="1"/>
    <col min="555" max="556" width="9.109375" style="94" bestFit="1" customWidth="1"/>
    <col min="557" max="557" width="9.44140625" style="94" bestFit="1" customWidth="1"/>
    <col min="558" max="558" width="9.109375" style="94" bestFit="1" customWidth="1"/>
    <col min="559" max="560" width="9.44140625" style="94" bestFit="1" customWidth="1"/>
    <col min="561" max="566" width="9.109375" style="94" bestFit="1" customWidth="1"/>
    <col min="567" max="567" width="8.44140625" style="94" bestFit="1" customWidth="1"/>
    <col min="568" max="568" width="8.109375" style="94" bestFit="1" customWidth="1"/>
    <col min="569" max="569" width="8.44140625" style="94" bestFit="1" customWidth="1"/>
    <col min="570" max="570" width="8.109375" style="94" bestFit="1" customWidth="1"/>
    <col min="571" max="571" width="8.44140625" style="94" bestFit="1" customWidth="1"/>
    <col min="572" max="572" width="8.109375" style="94" bestFit="1" customWidth="1"/>
    <col min="573" max="573" width="8.44140625" style="94" bestFit="1" customWidth="1"/>
    <col min="574" max="574" width="8.109375" style="94" bestFit="1" customWidth="1"/>
    <col min="575" max="575" width="8.44140625" style="94" bestFit="1" customWidth="1"/>
    <col min="576" max="576" width="8.109375" style="94" bestFit="1" customWidth="1"/>
    <col min="577" max="577" width="8.44140625" style="94" bestFit="1" customWidth="1"/>
    <col min="578" max="579" width="8.109375" style="94" bestFit="1" customWidth="1"/>
    <col min="580" max="580" width="8.44140625" style="94" bestFit="1" customWidth="1"/>
    <col min="581" max="581" width="8.109375" style="94" bestFit="1" customWidth="1"/>
    <col min="582" max="582" width="8.44140625" style="94" bestFit="1" customWidth="1"/>
    <col min="583" max="583" width="8.109375" style="94" bestFit="1" customWidth="1"/>
    <col min="584" max="584" width="8.44140625" style="94" bestFit="1" customWidth="1"/>
    <col min="585" max="585" width="8.109375" style="94" bestFit="1" customWidth="1"/>
    <col min="586" max="586" width="8.44140625" style="94" bestFit="1" customWidth="1"/>
    <col min="587" max="587" width="8.109375" style="94" bestFit="1" customWidth="1"/>
    <col min="588" max="588" width="8.44140625" style="94" bestFit="1" customWidth="1"/>
    <col min="589" max="589" width="8.109375" style="94" bestFit="1" customWidth="1"/>
    <col min="590" max="590" width="8.44140625" style="94" bestFit="1" customWidth="1"/>
    <col min="591" max="591" width="8.109375" style="94" bestFit="1" customWidth="1"/>
    <col min="592" max="592" width="9.88671875" style="94" bestFit="1" customWidth="1"/>
    <col min="593" max="593" width="9.5546875" style="94" bestFit="1" customWidth="1"/>
    <col min="594" max="595" width="11.109375" style="94" bestFit="1" customWidth="1"/>
    <col min="596" max="597" width="10.109375" style="94" bestFit="1" customWidth="1"/>
    <col min="598" max="599" width="11.109375" style="94" bestFit="1" customWidth="1"/>
    <col min="600" max="601" width="10.109375" style="94" bestFit="1" customWidth="1"/>
    <col min="602" max="602" width="14.33203125" style="94" bestFit="1" customWidth="1"/>
    <col min="603" max="603" width="12.109375" style="94" bestFit="1" customWidth="1"/>
    <col min="604" max="604" width="8" style="94" bestFit="1" customWidth="1"/>
    <col min="605" max="605" width="9.33203125" style="94" bestFit="1" customWidth="1"/>
    <col min="606" max="606" width="10.44140625" style="94" bestFit="1" customWidth="1"/>
    <col min="607" max="607" width="8" style="94" bestFit="1" customWidth="1"/>
    <col min="608" max="608" width="9.33203125" style="94" bestFit="1" customWidth="1"/>
    <col min="609" max="609" width="10.44140625" style="94" bestFit="1" customWidth="1"/>
    <col min="610" max="610" width="11.33203125" style="94" bestFit="1" customWidth="1"/>
    <col min="611" max="611" width="8" style="94" bestFit="1" customWidth="1"/>
    <col min="612" max="612" width="9.33203125" style="94" bestFit="1" customWidth="1"/>
    <col min="613" max="613" width="10.44140625" style="94" bestFit="1" customWidth="1"/>
    <col min="614" max="615" width="8" style="94" bestFit="1" customWidth="1"/>
    <col min="616" max="616" width="9.109375" style="94" bestFit="1" customWidth="1"/>
    <col min="617" max="620" width="8" style="94" bestFit="1" customWidth="1"/>
    <col min="621" max="621" width="8.6640625" style="94" bestFit="1" customWidth="1"/>
    <col min="622" max="623" width="11.6640625" style="94" bestFit="1" customWidth="1"/>
    <col min="624" max="624" width="7" style="94" bestFit="1" customWidth="1"/>
    <col min="625" max="625" width="8.109375" style="94" bestFit="1" customWidth="1"/>
    <col min="626" max="630" width="9.5546875" style="94" bestFit="1" customWidth="1"/>
    <col min="631" max="631" width="11.6640625" style="94" bestFit="1" customWidth="1"/>
    <col min="632" max="632" width="12" style="94" bestFit="1" customWidth="1"/>
    <col min="633" max="633" width="10.44140625" style="94" bestFit="1" customWidth="1"/>
    <col min="634" max="634" width="9" style="94" bestFit="1" customWidth="1"/>
    <col min="635" max="636" width="11" style="94" bestFit="1" customWidth="1"/>
    <col min="637" max="637" width="12.5546875" style="94" bestFit="1" customWidth="1"/>
    <col min="638" max="638" width="9.44140625" style="94" bestFit="1" customWidth="1"/>
    <col min="639" max="639" width="9.6640625" style="94" bestFit="1" customWidth="1"/>
    <col min="640" max="641" width="12" style="94" bestFit="1" customWidth="1"/>
    <col min="642" max="642" width="9.109375" style="94" bestFit="1" customWidth="1"/>
    <col min="643" max="643" width="11.5546875" style="94" bestFit="1" customWidth="1"/>
    <col min="644" max="645" width="12" style="94" bestFit="1" customWidth="1"/>
    <col min="646" max="646" width="11.88671875" style="94" bestFit="1" customWidth="1"/>
    <col min="647" max="647" width="10.88671875" style="94" bestFit="1" customWidth="1"/>
    <col min="648" max="648" width="11.109375" style="94" bestFit="1" customWidth="1"/>
    <col min="649" max="649" width="9.109375" style="94" bestFit="1" customWidth="1"/>
    <col min="650" max="650" width="9.88671875" style="94" bestFit="1" customWidth="1"/>
    <col min="651" max="651" width="10.33203125" style="94" bestFit="1" customWidth="1"/>
    <col min="652" max="652" width="10.88671875" style="94" bestFit="1" customWidth="1"/>
    <col min="653" max="653" width="10.6640625" style="94" bestFit="1" customWidth="1"/>
    <col min="654" max="654" width="10.109375" style="94" bestFit="1" customWidth="1"/>
    <col min="655" max="655" width="10.6640625" style="94" bestFit="1" customWidth="1"/>
    <col min="656" max="656" width="11.44140625" style="94" bestFit="1" customWidth="1"/>
    <col min="657" max="657" width="8.5546875" style="94" bestFit="1" customWidth="1"/>
    <col min="658" max="659" width="11.6640625" style="94" bestFit="1" customWidth="1"/>
    <col min="660" max="660" width="11.33203125" style="94" bestFit="1" customWidth="1"/>
    <col min="661" max="661" width="9.88671875" style="94" bestFit="1" customWidth="1"/>
    <col min="662" max="662" width="9.6640625" style="94" bestFit="1" customWidth="1"/>
    <col min="663" max="663" width="10.88671875" style="94" bestFit="1" customWidth="1"/>
    <col min="664" max="668" width="11.44140625" style="94" bestFit="1" customWidth="1"/>
    <col min="669" max="669" width="10.44140625" style="94" bestFit="1" customWidth="1"/>
    <col min="670" max="675" width="11.33203125" style="94" bestFit="1" customWidth="1"/>
    <col min="676" max="678" width="10.33203125" style="94" bestFit="1" customWidth="1"/>
    <col min="679" max="679" width="11.6640625" style="94" bestFit="1" customWidth="1"/>
    <col min="680" max="680" width="10.88671875" style="94" bestFit="1" customWidth="1"/>
    <col min="681" max="682" width="11.6640625" style="94" bestFit="1" customWidth="1"/>
    <col min="683" max="687" width="11.5546875" style="94" bestFit="1" customWidth="1"/>
    <col min="688" max="688" width="10.5546875" style="94" bestFit="1" customWidth="1"/>
    <col min="689" max="689" width="11" style="94" bestFit="1" customWidth="1"/>
    <col min="690" max="690" width="11.44140625" style="94" bestFit="1" customWidth="1"/>
    <col min="691" max="691" width="11.6640625" style="94" bestFit="1" customWidth="1"/>
    <col min="692" max="693" width="11.5546875" style="94" bestFit="1" customWidth="1"/>
    <col min="694" max="697" width="11.44140625" style="94" bestFit="1" customWidth="1"/>
    <col min="698" max="698" width="11.5546875" style="94" bestFit="1" customWidth="1"/>
    <col min="699" max="699" width="10.6640625" style="94" bestFit="1" customWidth="1"/>
    <col min="700" max="702" width="11.5546875" style="94" bestFit="1" customWidth="1"/>
    <col min="703" max="708" width="11.44140625" style="94" bestFit="1" customWidth="1"/>
    <col min="709" max="710" width="10.44140625" style="94" bestFit="1" customWidth="1"/>
    <col min="711" max="711" width="11.5546875" style="94" bestFit="1" customWidth="1"/>
    <col min="712" max="712" width="10.44140625" style="94" bestFit="1" customWidth="1"/>
    <col min="713" max="718" width="11.109375" style="94" bestFit="1" customWidth="1"/>
    <col min="719" max="720" width="10.109375" style="94" bestFit="1" customWidth="1"/>
    <col min="721" max="725" width="9.33203125" style="94" bestFit="1" customWidth="1"/>
    <col min="726" max="726" width="10.44140625" style="94" bestFit="1" customWidth="1"/>
    <col min="727" max="729" width="9.33203125" style="94" bestFit="1" customWidth="1"/>
    <col min="730" max="730" width="8.33203125" style="94" bestFit="1" customWidth="1"/>
    <col min="731" max="731" width="9.44140625" style="94" bestFit="1" customWidth="1"/>
    <col min="732" max="732" width="11.6640625" style="94" bestFit="1" customWidth="1"/>
    <col min="733" max="733" width="11" style="94" bestFit="1" customWidth="1"/>
    <col min="734" max="734" width="10.44140625" style="94" bestFit="1" customWidth="1"/>
    <col min="735" max="735" width="8.44140625" style="94" bestFit="1" customWidth="1"/>
    <col min="736" max="736" width="9.44140625" style="94" bestFit="1" customWidth="1"/>
    <col min="737" max="737" width="11.5546875" style="94" bestFit="1" customWidth="1"/>
    <col min="738" max="738" width="11.44140625" style="94" bestFit="1" customWidth="1"/>
    <col min="739" max="739" width="9.88671875" style="94" bestFit="1" customWidth="1"/>
    <col min="740" max="740" width="12" style="94" bestFit="1" customWidth="1"/>
    <col min="741" max="741" width="11.88671875" style="94" bestFit="1" customWidth="1"/>
    <col min="742" max="742" width="10.5546875" style="94" bestFit="1" customWidth="1"/>
    <col min="743" max="743" width="10.88671875" style="94" bestFit="1" customWidth="1"/>
    <col min="744" max="744" width="11.109375" style="94" bestFit="1" customWidth="1"/>
    <col min="745" max="746" width="9.109375" style="94" bestFit="1" customWidth="1"/>
    <col min="747" max="747" width="8.109375" style="94" bestFit="1" customWidth="1"/>
    <col min="748" max="748" width="9.33203125" style="94" bestFit="1" customWidth="1"/>
    <col min="749" max="749" width="11.44140625" style="94" bestFit="1" customWidth="1"/>
    <col min="750" max="750" width="9.6640625" style="94" bestFit="1" customWidth="1"/>
    <col min="751" max="756" width="8.6640625" style="94" bestFit="1" customWidth="1"/>
    <col min="757" max="757" width="12.33203125" style="94" bestFit="1" customWidth="1"/>
    <col min="758" max="758" width="11.109375" style="94" bestFit="1" customWidth="1"/>
    <col min="759" max="759" width="12.33203125" style="94" bestFit="1" customWidth="1"/>
    <col min="760" max="760" width="10.5546875" style="94" bestFit="1" customWidth="1"/>
    <col min="761" max="761" width="12.5546875" style="94" bestFit="1" customWidth="1"/>
    <col min="762" max="762" width="12.6640625" style="94" bestFit="1" customWidth="1"/>
    <col min="763" max="763" width="10.6640625" style="94" bestFit="1" customWidth="1"/>
    <col min="764" max="764" width="12.5546875" style="94" bestFit="1" customWidth="1"/>
    <col min="765" max="765" width="11.6640625" style="94" bestFit="1" customWidth="1"/>
    <col min="766" max="766" width="12.88671875" style="94" bestFit="1" customWidth="1"/>
    <col min="767" max="767" width="12.109375" style="94" bestFit="1" customWidth="1"/>
    <col min="768" max="769" width="12" style="94" bestFit="1" customWidth="1"/>
    <col min="770" max="771" width="10.109375" style="94" bestFit="1" customWidth="1"/>
    <col min="772" max="772" width="9.33203125" style="94" bestFit="1" customWidth="1"/>
    <col min="773" max="773" width="11.5546875" style="94" bestFit="1" customWidth="1"/>
    <col min="774" max="774" width="12.6640625" style="94" bestFit="1" customWidth="1"/>
    <col min="775" max="775" width="8.88671875" style="94" bestFit="1" customWidth="1"/>
    <col min="776" max="776" width="9.33203125" style="94" bestFit="1" customWidth="1"/>
    <col min="777" max="777" width="11.5546875" style="94" bestFit="1" customWidth="1"/>
    <col min="778" max="778" width="12.44140625" style="94" bestFit="1" customWidth="1"/>
    <col min="779" max="784" width="8.5546875" style="94" bestFit="1" customWidth="1"/>
    <col min="785" max="785" width="11" style="94" bestFit="1" customWidth="1"/>
    <col min="786" max="786" width="11.109375" style="94" bestFit="1" customWidth="1"/>
    <col min="787" max="787" width="10.5546875" style="94" bestFit="1" customWidth="1"/>
    <col min="788" max="788" width="11.5546875" style="94" bestFit="1" customWidth="1"/>
    <col min="789" max="790" width="9.109375" style="94" bestFit="1" customWidth="1"/>
    <col min="791" max="791" width="11.44140625" style="94" bestFit="1" customWidth="1"/>
    <col min="792" max="792" width="12.33203125" style="94" bestFit="1" customWidth="1"/>
    <col min="793" max="795" width="8.44140625" style="94" bestFit="1" customWidth="1"/>
    <col min="796" max="797" width="11.88671875" style="94" bestFit="1" customWidth="1"/>
    <col min="798" max="798" width="12" style="94" bestFit="1" customWidth="1"/>
    <col min="799" max="799" width="12.109375" style="94" bestFit="1" customWidth="1"/>
    <col min="800" max="800" width="10.88671875" style="94" bestFit="1" customWidth="1"/>
    <col min="801" max="801" width="12.44140625" style="94" bestFit="1" customWidth="1"/>
    <col min="802" max="802" width="12.33203125" style="94" bestFit="1" customWidth="1"/>
    <col min="803" max="803" width="11.44140625" style="94" bestFit="1" customWidth="1"/>
    <col min="804" max="804" width="11.6640625" style="94" bestFit="1" customWidth="1"/>
    <col min="805" max="806" width="9.88671875" style="94" bestFit="1" customWidth="1"/>
    <col min="807" max="807" width="12.44140625" style="94" bestFit="1" customWidth="1"/>
    <col min="808" max="808" width="10" style="94" bestFit="1" customWidth="1"/>
    <col min="809" max="809" width="11.109375" style="94" bestFit="1" customWidth="1"/>
    <col min="810" max="810" width="12.33203125" style="94" bestFit="1" customWidth="1"/>
    <col min="811" max="811" width="13.33203125" style="94" bestFit="1" customWidth="1"/>
    <col min="812" max="812" width="11.5546875" style="94" bestFit="1" customWidth="1"/>
    <col min="813" max="813" width="10.5546875" style="94" bestFit="1" customWidth="1"/>
    <col min="814" max="814" width="12" style="94" bestFit="1" customWidth="1"/>
    <col min="815" max="815" width="9.44140625" style="94" bestFit="1" customWidth="1"/>
    <col min="816" max="816" width="9.109375" style="94" bestFit="1" customWidth="1"/>
    <col min="817" max="817" width="9.44140625" style="94" bestFit="1" customWidth="1"/>
    <col min="818" max="818" width="9.109375" style="94" bestFit="1" customWidth="1"/>
    <col min="819" max="819" width="9.44140625" style="94" bestFit="1" customWidth="1"/>
    <col min="820" max="821" width="9.109375" style="94" bestFit="1" customWidth="1"/>
    <col min="822" max="822" width="9.44140625" style="94" bestFit="1" customWidth="1"/>
    <col min="823" max="824" width="9.109375" style="94" bestFit="1" customWidth="1"/>
    <col min="825" max="825" width="9.44140625" style="94" bestFit="1" customWidth="1"/>
    <col min="826" max="826" width="9.109375" style="94" bestFit="1" customWidth="1"/>
    <col min="827" max="827" width="9.44140625" style="94" bestFit="1" customWidth="1"/>
    <col min="828" max="828" width="9.109375" style="94" bestFit="1" customWidth="1"/>
    <col min="829" max="829" width="9.44140625" style="94" bestFit="1" customWidth="1"/>
    <col min="830" max="831" width="9.109375" style="94" bestFit="1" customWidth="1"/>
    <col min="832" max="832" width="9.44140625" style="94" bestFit="1" customWidth="1"/>
    <col min="833" max="834" width="9.109375" style="94" bestFit="1" customWidth="1"/>
    <col min="835" max="835" width="9.44140625" style="94" bestFit="1" customWidth="1"/>
    <col min="836" max="836" width="9.109375" style="94" bestFit="1" customWidth="1"/>
    <col min="837" max="837" width="9.44140625" style="94" bestFit="1" customWidth="1"/>
    <col min="838" max="838" width="9.109375" style="94" bestFit="1" customWidth="1"/>
    <col min="839" max="839" width="9.44140625" style="94" bestFit="1" customWidth="1"/>
    <col min="840" max="841" width="9.109375" style="94" bestFit="1" customWidth="1"/>
    <col min="842" max="842" width="9.44140625" style="94" bestFit="1" customWidth="1"/>
    <col min="843" max="843" width="9.109375" style="94" bestFit="1" customWidth="1"/>
    <col min="844" max="845" width="9.44140625" style="94" bestFit="1" customWidth="1"/>
    <col min="846" max="846" width="9.109375" style="94" bestFit="1" customWidth="1"/>
    <col min="847" max="847" width="9.44140625" style="94" bestFit="1" customWidth="1"/>
    <col min="848" max="848" width="9.109375" style="94" bestFit="1" customWidth="1"/>
    <col min="849" max="849" width="9.44140625" style="94" bestFit="1" customWidth="1"/>
    <col min="850" max="850" width="9.109375" style="94" bestFit="1" customWidth="1"/>
    <col min="851" max="851" width="9.44140625" style="94" bestFit="1" customWidth="1"/>
    <col min="852" max="852" width="9.109375" style="94" bestFit="1" customWidth="1"/>
    <col min="853" max="853" width="9.44140625" style="94" bestFit="1" customWidth="1"/>
    <col min="854" max="855" width="9.109375" style="94" bestFit="1" customWidth="1"/>
    <col min="856" max="856" width="9.44140625" style="94" bestFit="1" customWidth="1"/>
    <col min="857" max="857" width="9.109375" style="94" bestFit="1" customWidth="1"/>
    <col min="858" max="859" width="9.44140625" style="94" bestFit="1" customWidth="1"/>
    <col min="860" max="865" width="9.109375" style="94" bestFit="1" customWidth="1"/>
    <col min="866" max="866" width="8.44140625" style="94" bestFit="1" customWidth="1"/>
    <col min="867" max="867" width="8.109375" style="94" bestFit="1" customWidth="1"/>
    <col min="868" max="868" width="8.44140625" style="94" bestFit="1" customWidth="1"/>
    <col min="869" max="869" width="8.109375" style="94" bestFit="1" customWidth="1"/>
    <col min="870" max="870" width="8.44140625" style="94" bestFit="1" customWidth="1"/>
    <col min="871" max="871" width="8.109375" style="94" bestFit="1" customWidth="1"/>
    <col min="872" max="872" width="8.44140625" style="94" bestFit="1" customWidth="1"/>
    <col min="873" max="873" width="8.109375" style="94" bestFit="1" customWidth="1"/>
    <col min="874" max="874" width="8.44140625" style="94" bestFit="1" customWidth="1"/>
    <col min="875" max="875" width="8.109375" style="94" bestFit="1" customWidth="1"/>
    <col min="876" max="876" width="8.44140625" style="94" bestFit="1" customWidth="1"/>
    <col min="877" max="878" width="8.109375" style="94" bestFit="1" customWidth="1"/>
    <col min="879" max="879" width="8.44140625" style="94" bestFit="1" customWidth="1"/>
    <col min="880" max="880" width="8.109375" style="94" bestFit="1" customWidth="1"/>
    <col min="881" max="881" width="8.44140625" style="94" bestFit="1" customWidth="1"/>
    <col min="882" max="882" width="8.109375" style="94" bestFit="1" customWidth="1"/>
    <col min="883" max="883" width="8.44140625" style="94" bestFit="1" customWidth="1"/>
    <col min="884" max="884" width="8.109375" style="94" bestFit="1" customWidth="1"/>
    <col min="885" max="885" width="8.44140625" style="94" bestFit="1" customWidth="1"/>
    <col min="886" max="886" width="8.109375" style="94" bestFit="1" customWidth="1"/>
    <col min="887" max="887" width="8.44140625" style="94" bestFit="1" customWidth="1"/>
    <col min="888" max="888" width="8.109375" style="94" bestFit="1" customWidth="1"/>
    <col min="889" max="889" width="8.44140625" style="94" bestFit="1" customWidth="1"/>
    <col min="890" max="890" width="8.109375" style="94" bestFit="1" customWidth="1"/>
    <col min="891" max="891" width="9.88671875" style="94" bestFit="1" customWidth="1"/>
    <col min="892" max="892" width="9.5546875" style="94" bestFit="1" customWidth="1"/>
    <col min="893" max="894" width="11.109375" style="94" bestFit="1" customWidth="1"/>
    <col min="895" max="896" width="10.109375" style="94" bestFit="1" customWidth="1"/>
    <col min="897" max="898" width="11.109375" style="94" bestFit="1" customWidth="1"/>
    <col min="899" max="900" width="10.109375" style="94" bestFit="1" customWidth="1"/>
    <col min="901" max="901" width="14.109375" style="94" bestFit="1" customWidth="1"/>
    <col min="902" max="902" width="18.33203125" style="94" bestFit="1" customWidth="1"/>
    <col min="903" max="903" width="8" style="94" bestFit="1" customWidth="1"/>
    <col min="904" max="904" width="9.33203125" style="94" bestFit="1" customWidth="1"/>
    <col min="905" max="905" width="10.44140625" style="94" bestFit="1" customWidth="1"/>
    <col min="906" max="906" width="8" style="94" bestFit="1" customWidth="1"/>
    <col min="907" max="907" width="9.33203125" style="94" bestFit="1" customWidth="1"/>
    <col min="908" max="908" width="10.44140625" style="94" bestFit="1" customWidth="1"/>
    <col min="909" max="909" width="11.33203125" style="94" bestFit="1" customWidth="1"/>
    <col min="910" max="910" width="8" style="94" bestFit="1" customWidth="1"/>
    <col min="911" max="911" width="9.33203125" style="94" bestFit="1" customWidth="1"/>
    <col min="912" max="912" width="10.44140625" style="94" bestFit="1" customWidth="1"/>
    <col min="913" max="914" width="8" style="94" bestFit="1" customWidth="1"/>
    <col min="915" max="915" width="9.109375" style="94" bestFit="1" customWidth="1"/>
    <col min="916" max="919" width="8" style="94" bestFit="1" customWidth="1"/>
    <col min="920" max="920" width="8.6640625" style="94" bestFit="1" customWidth="1"/>
    <col min="921" max="922" width="11.6640625" style="94" bestFit="1" customWidth="1"/>
    <col min="923" max="923" width="7" style="94" bestFit="1" customWidth="1"/>
    <col min="924" max="924" width="8.109375" style="94" bestFit="1" customWidth="1"/>
    <col min="925" max="929" width="9.5546875" style="94" bestFit="1" customWidth="1"/>
    <col min="930" max="930" width="11.6640625" style="94" bestFit="1" customWidth="1"/>
    <col min="931" max="931" width="12" style="94" bestFit="1" customWidth="1"/>
    <col min="932" max="932" width="10.44140625" style="94" bestFit="1" customWidth="1"/>
    <col min="933" max="933" width="9" style="94" bestFit="1" customWidth="1"/>
    <col min="934" max="935" width="11" style="94" bestFit="1" customWidth="1"/>
    <col min="936" max="936" width="12.5546875" style="94" bestFit="1" customWidth="1"/>
    <col min="937" max="937" width="9.44140625" style="94" bestFit="1" customWidth="1"/>
    <col min="938" max="938" width="9.6640625" style="94" bestFit="1" customWidth="1"/>
    <col min="939" max="940" width="12" style="94" bestFit="1" customWidth="1"/>
    <col min="941" max="941" width="9.109375" style="94" bestFit="1" customWidth="1"/>
    <col min="942" max="942" width="11.5546875" style="94" bestFit="1" customWidth="1"/>
    <col min="943" max="944" width="12" style="94" bestFit="1" customWidth="1"/>
    <col min="945" max="945" width="11.88671875" style="94" bestFit="1" customWidth="1"/>
    <col min="946" max="946" width="10.88671875" style="94" bestFit="1" customWidth="1"/>
    <col min="947" max="947" width="11.109375" style="94" bestFit="1" customWidth="1"/>
    <col min="948" max="948" width="9.109375" style="94" bestFit="1" customWidth="1"/>
    <col min="949" max="949" width="9.88671875" style="94" bestFit="1" customWidth="1"/>
    <col min="950" max="950" width="10.33203125" style="94" bestFit="1" customWidth="1"/>
    <col min="951" max="951" width="10.88671875" style="94" bestFit="1" customWidth="1"/>
    <col min="952" max="952" width="10.6640625" style="94" bestFit="1" customWidth="1"/>
    <col min="953" max="953" width="10.109375" style="94" bestFit="1" customWidth="1"/>
    <col min="954" max="954" width="10.6640625" style="94" bestFit="1" customWidth="1"/>
    <col min="955" max="955" width="11.44140625" style="94" bestFit="1" customWidth="1"/>
    <col min="956" max="956" width="8.5546875" style="94" bestFit="1" customWidth="1"/>
    <col min="957" max="958" width="11.6640625" style="94" bestFit="1" customWidth="1"/>
    <col min="959" max="959" width="11.33203125" style="94" bestFit="1" customWidth="1"/>
    <col min="960" max="960" width="9.88671875" style="94" bestFit="1" customWidth="1"/>
    <col min="961" max="961" width="9.6640625" style="94" bestFit="1" customWidth="1"/>
    <col min="962" max="962" width="10.88671875" style="94" bestFit="1" customWidth="1"/>
    <col min="963" max="967" width="11.44140625" style="94" bestFit="1" customWidth="1"/>
    <col min="968" max="968" width="10.44140625" style="94" bestFit="1" customWidth="1"/>
    <col min="969" max="974" width="11.33203125" style="94" bestFit="1" customWidth="1"/>
    <col min="975" max="977" width="10.33203125" style="94" bestFit="1" customWidth="1"/>
    <col min="978" max="978" width="11.6640625" style="94" bestFit="1" customWidth="1"/>
    <col min="979" max="979" width="10.88671875" style="94" bestFit="1" customWidth="1"/>
    <col min="980" max="981" width="11.6640625" style="94" bestFit="1" customWidth="1"/>
    <col min="982" max="986" width="11.5546875" style="94" bestFit="1" customWidth="1"/>
    <col min="987" max="987" width="10.5546875" style="94" bestFit="1" customWidth="1"/>
    <col min="988" max="988" width="11" style="94" bestFit="1" customWidth="1"/>
    <col min="989" max="989" width="11.44140625" style="94" bestFit="1" customWidth="1"/>
    <col min="990" max="990" width="11.6640625" style="94" bestFit="1" customWidth="1"/>
    <col min="991" max="992" width="11.5546875" style="94" bestFit="1" customWidth="1"/>
    <col min="993" max="996" width="11.44140625" style="94" bestFit="1" customWidth="1"/>
    <col min="997" max="997" width="11.5546875" style="94" bestFit="1" customWidth="1"/>
    <col min="998" max="998" width="10.6640625" style="94" bestFit="1" customWidth="1"/>
    <col min="999" max="1001" width="11.5546875" style="94" bestFit="1" customWidth="1"/>
    <col min="1002" max="1007" width="11.44140625" style="94" bestFit="1" customWidth="1"/>
    <col min="1008" max="1009" width="10.44140625" style="94" bestFit="1" customWidth="1"/>
    <col min="1010" max="1010" width="11.5546875" style="94" bestFit="1" customWidth="1"/>
    <col min="1011" max="1011" width="10.44140625" style="94" bestFit="1" customWidth="1"/>
    <col min="1012" max="1017" width="11.109375" style="94" bestFit="1" customWidth="1"/>
    <col min="1018" max="1019" width="10.109375" style="94" bestFit="1" customWidth="1"/>
    <col min="1020" max="1024" width="9.33203125" style="94" bestFit="1" customWidth="1"/>
    <col min="1025" max="1025" width="10.44140625" style="94" bestFit="1" customWidth="1"/>
    <col min="1026" max="1028" width="9.33203125" style="94" bestFit="1" customWidth="1"/>
    <col min="1029" max="1029" width="8.33203125" style="94" bestFit="1" customWidth="1"/>
    <col min="1030" max="1030" width="9.44140625" style="94" bestFit="1" customWidth="1"/>
    <col min="1031" max="1031" width="11.6640625" style="94" bestFit="1" customWidth="1"/>
    <col min="1032" max="1032" width="11" style="94" bestFit="1" customWidth="1"/>
    <col min="1033" max="1033" width="10.44140625" style="94" bestFit="1" customWidth="1"/>
    <col min="1034" max="1034" width="8.44140625" style="94" bestFit="1" customWidth="1"/>
    <col min="1035" max="1035" width="9.44140625" style="94" bestFit="1" customWidth="1"/>
    <col min="1036" max="1036" width="11.5546875" style="94" bestFit="1" customWidth="1"/>
    <col min="1037" max="1037" width="11.44140625" style="94" bestFit="1" customWidth="1"/>
    <col min="1038" max="1038" width="9.88671875" style="94" bestFit="1" customWidth="1"/>
    <col min="1039" max="1039" width="12" style="94" bestFit="1" customWidth="1"/>
    <col min="1040" max="1040" width="11.88671875" style="94" bestFit="1" customWidth="1"/>
    <col min="1041" max="1041" width="10.5546875" style="94" bestFit="1" customWidth="1"/>
    <col min="1042" max="1042" width="10.88671875" style="94" bestFit="1" customWidth="1"/>
    <col min="1043" max="1043" width="11.109375" style="94" bestFit="1" customWidth="1"/>
    <col min="1044" max="1045" width="9.109375" style="94" bestFit="1" customWidth="1"/>
    <col min="1046" max="1046" width="8.109375" style="94" bestFit="1" customWidth="1"/>
    <col min="1047" max="1047" width="9.33203125" style="94" bestFit="1" customWidth="1"/>
    <col min="1048" max="1048" width="11.44140625" style="94" bestFit="1" customWidth="1"/>
    <col min="1049" max="1049" width="9.6640625" style="94" bestFit="1" customWidth="1"/>
    <col min="1050" max="1050" width="10.109375" style="94" bestFit="1" customWidth="1"/>
    <col min="1051" max="1052" width="9.109375" style="94" bestFit="1" customWidth="1"/>
    <col min="1053" max="1055" width="8.6640625" style="94" bestFit="1" customWidth="1"/>
    <col min="1056" max="1056" width="12.33203125" style="94" bestFit="1" customWidth="1"/>
    <col min="1057" max="1057" width="11.109375" style="94" bestFit="1" customWidth="1"/>
    <col min="1058" max="1058" width="12.33203125" style="94" bestFit="1" customWidth="1"/>
    <col min="1059" max="1059" width="10.5546875" style="94" bestFit="1" customWidth="1"/>
    <col min="1060" max="1060" width="12.5546875" style="94" bestFit="1" customWidth="1"/>
    <col min="1061" max="1061" width="12.6640625" style="94" bestFit="1" customWidth="1"/>
    <col min="1062" max="1062" width="10.6640625" style="94" bestFit="1" customWidth="1"/>
    <col min="1063" max="1063" width="12.5546875" style="94" bestFit="1" customWidth="1"/>
    <col min="1064" max="1064" width="11.6640625" style="94" bestFit="1" customWidth="1"/>
    <col min="1065" max="1065" width="12.88671875" style="94" bestFit="1" customWidth="1"/>
    <col min="1066" max="1066" width="12.109375" style="94" bestFit="1" customWidth="1"/>
    <col min="1067" max="1068" width="12" style="94" bestFit="1" customWidth="1"/>
    <col min="1069" max="1070" width="10.109375" style="94" bestFit="1" customWidth="1"/>
    <col min="1071" max="1071" width="9.33203125" style="94" bestFit="1" customWidth="1"/>
    <col min="1072" max="1072" width="11.5546875" style="94" bestFit="1" customWidth="1"/>
    <col min="1073" max="1073" width="12.6640625" style="94" bestFit="1" customWidth="1"/>
    <col min="1074" max="1074" width="8.88671875" style="94" bestFit="1" customWidth="1"/>
    <col min="1075" max="1075" width="9.33203125" style="94" bestFit="1" customWidth="1"/>
    <col min="1076" max="1076" width="11.5546875" style="94" bestFit="1" customWidth="1"/>
    <col min="1077" max="1077" width="12.44140625" style="94" bestFit="1" customWidth="1"/>
    <col min="1078" max="1083" width="8.5546875" style="94" bestFit="1" customWidth="1"/>
    <col min="1084" max="1084" width="11" style="94" bestFit="1" customWidth="1"/>
    <col min="1085" max="1085" width="10.44140625" style="94" bestFit="1" customWidth="1"/>
    <col min="1086" max="1086" width="10.5546875" style="94" bestFit="1" customWidth="1"/>
    <col min="1087" max="1087" width="11.5546875" style="94" bestFit="1" customWidth="1"/>
    <col min="1088" max="1089" width="9.109375" style="94" bestFit="1" customWidth="1"/>
    <col min="1090" max="1090" width="11.44140625" style="94" bestFit="1" customWidth="1"/>
    <col min="1091" max="1091" width="12.33203125" style="94" bestFit="1" customWidth="1"/>
    <col min="1092" max="1094" width="8.44140625" style="94" bestFit="1" customWidth="1"/>
    <col min="1095" max="1096" width="11.88671875" style="94" bestFit="1" customWidth="1"/>
    <col min="1097" max="1097" width="12" style="94" bestFit="1" customWidth="1"/>
    <col min="1098" max="1098" width="12.109375" style="94" bestFit="1" customWidth="1"/>
    <col min="1099" max="1099" width="10.88671875" style="94" bestFit="1" customWidth="1"/>
    <col min="1100" max="1100" width="12.44140625" style="94" bestFit="1" customWidth="1"/>
    <col min="1101" max="1101" width="12.33203125" style="94" bestFit="1" customWidth="1"/>
    <col min="1102" max="1102" width="11.44140625" style="94" bestFit="1" customWidth="1"/>
    <col min="1103" max="1103" width="11.6640625" style="94" bestFit="1" customWidth="1"/>
    <col min="1104" max="1105" width="9.88671875" style="94" bestFit="1" customWidth="1"/>
    <col min="1106" max="1106" width="12.44140625" style="94" bestFit="1" customWidth="1"/>
    <col min="1107" max="1107" width="10.109375" style="94" bestFit="1" customWidth="1"/>
    <col min="1108" max="1108" width="11.109375" style="94" bestFit="1" customWidth="1"/>
    <col min="1109" max="1109" width="12.33203125" style="94" bestFit="1" customWidth="1"/>
    <col min="1110" max="1110" width="13.33203125" style="94" bestFit="1" customWidth="1"/>
    <col min="1111" max="1111" width="11.5546875" style="94" bestFit="1" customWidth="1"/>
    <col min="1112" max="1112" width="10.5546875" style="94" bestFit="1" customWidth="1"/>
    <col min="1113" max="1113" width="12" style="94" bestFit="1" customWidth="1"/>
    <col min="1114" max="1114" width="9.44140625" style="94" bestFit="1" customWidth="1"/>
    <col min="1115" max="1115" width="9.109375" style="94" bestFit="1" customWidth="1"/>
    <col min="1116" max="1116" width="9.44140625" style="94" bestFit="1" customWidth="1"/>
    <col min="1117" max="1117" width="9.109375" style="94" bestFit="1" customWidth="1"/>
    <col min="1118" max="1118" width="9.44140625" style="94" bestFit="1" customWidth="1"/>
    <col min="1119" max="1120" width="9.109375" style="94" bestFit="1" customWidth="1"/>
    <col min="1121" max="1121" width="9.44140625" style="94" bestFit="1" customWidth="1"/>
    <col min="1122" max="1123" width="9.109375" style="94" bestFit="1" customWidth="1"/>
    <col min="1124" max="1124" width="9.44140625" style="94" bestFit="1" customWidth="1"/>
    <col min="1125" max="1125" width="9.109375" style="94" bestFit="1" customWidth="1"/>
    <col min="1126" max="1126" width="9.44140625" style="94" bestFit="1" customWidth="1"/>
    <col min="1127" max="1127" width="9.109375" style="94" bestFit="1" customWidth="1"/>
    <col min="1128" max="1128" width="9.44140625" style="94" bestFit="1" customWidth="1"/>
    <col min="1129" max="1130" width="9.109375" style="94" bestFit="1" customWidth="1"/>
    <col min="1131" max="1131" width="9.44140625" style="94" bestFit="1" customWidth="1"/>
    <col min="1132" max="1133" width="9.109375" style="94" bestFit="1" customWidth="1"/>
    <col min="1134" max="1134" width="9.44140625" style="94" bestFit="1" customWidth="1"/>
    <col min="1135" max="1135" width="9.109375" style="94" bestFit="1" customWidth="1"/>
    <col min="1136" max="1136" width="9.44140625" style="94" bestFit="1" customWidth="1"/>
    <col min="1137" max="1137" width="9.109375" style="94" bestFit="1" customWidth="1"/>
    <col min="1138" max="1138" width="9.44140625" style="94" bestFit="1" customWidth="1"/>
    <col min="1139" max="1140" width="9.109375" style="94" bestFit="1" customWidth="1"/>
    <col min="1141" max="1141" width="9.44140625" style="94" bestFit="1" customWidth="1"/>
    <col min="1142" max="1142" width="9.109375" style="94" bestFit="1" customWidth="1"/>
    <col min="1143" max="1144" width="9.44140625" style="94" bestFit="1" customWidth="1"/>
    <col min="1145" max="1145" width="9.109375" style="94" bestFit="1" customWidth="1"/>
    <col min="1146" max="1146" width="9.44140625" style="94" bestFit="1" customWidth="1"/>
    <col min="1147" max="1147" width="9.109375" style="94" bestFit="1" customWidth="1"/>
    <col min="1148" max="1148" width="9.44140625" style="94" bestFit="1" customWidth="1"/>
    <col min="1149" max="1149" width="9.109375" style="94" bestFit="1" customWidth="1"/>
    <col min="1150" max="1150" width="9.44140625" style="94" bestFit="1" customWidth="1"/>
    <col min="1151" max="1151" width="9.109375" style="94" bestFit="1" customWidth="1"/>
    <col min="1152" max="1152" width="9.44140625" style="94" bestFit="1" customWidth="1"/>
    <col min="1153" max="1154" width="9.109375" style="94" bestFit="1" customWidth="1"/>
    <col min="1155" max="1155" width="9.44140625" style="94" bestFit="1" customWidth="1"/>
    <col min="1156" max="1156" width="9.109375" style="94" bestFit="1" customWidth="1"/>
    <col min="1157" max="1158" width="9.44140625" style="94" bestFit="1" customWidth="1"/>
    <col min="1159" max="1164" width="9.109375" style="94" bestFit="1" customWidth="1"/>
    <col min="1165" max="1165" width="8.44140625" style="94" bestFit="1" customWidth="1"/>
    <col min="1166" max="1166" width="8.109375" style="94" bestFit="1" customWidth="1"/>
    <col min="1167" max="1167" width="8.44140625" style="94" bestFit="1" customWidth="1"/>
    <col min="1168" max="1168" width="8.109375" style="94" bestFit="1" customWidth="1"/>
    <col min="1169" max="1169" width="8.44140625" style="94" bestFit="1" customWidth="1"/>
    <col min="1170" max="1170" width="8.109375" style="94" bestFit="1" customWidth="1"/>
    <col min="1171" max="1171" width="8.44140625" style="94" bestFit="1" customWidth="1"/>
    <col min="1172" max="1172" width="8.109375" style="94" bestFit="1" customWidth="1"/>
    <col min="1173" max="1173" width="8.44140625" style="94" bestFit="1" customWidth="1"/>
    <col min="1174" max="1174" width="8.109375" style="94" bestFit="1" customWidth="1"/>
    <col min="1175" max="1175" width="8.44140625" style="94" bestFit="1" customWidth="1"/>
    <col min="1176" max="1177" width="8.109375" style="94" bestFit="1" customWidth="1"/>
    <col min="1178" max="1178" width="8.44140625" style="94" bestFit="1" customWidth="1"/>
    <col min="1179" max="1179" width="8.109375" style="94" bestFit="1" customWidth="1"/>
    <col min="1180" max="1180" width="8.44140625" style="94" bestFit="1" customWidth="1"/>
    <col min="1181" max="1181" width="8.109375" style="94" bestFit="1" customWidth="1"/>
    <col min="1182" max="1182" width="8.44140625" style="94" bestFit="1" customWidth="1"/>
    <col min="1183" max="1183" width="8.109375" style="94" bestFit="1" customWidth="1"/>
    <col min="1184" max="1184" width="8.44140625" style="94" bestFit="1" customWidth="1"/>
    <col min="1185" max="1185" width="8.109375" style="94" bestFit="1" customWidth="1"/>
    <col min="1186" max="1186" width="8.44140625" style="94" bestFit="1" customWidth="1"/>
    <col min="1187" max="1187" width="8.109375" style="94" bestFit="1" customWidth="1"/>
    <col min="1188" max="1188" width="8.44140625" style="94" bestFit="1" customWidth="1"/>
    <col min="1189" max="1189" width="8.109375" style="94" bestFit="1" customWidth="1"/>
    <col min="1190" max="1190" width="9.88671875" style="94" bestFit="1" customWidth="1"/>
    <col min="1191" max="1191" width="9.5546875" style="94" bestFit="1" customWidth="1"/>
    <col min="1192" max="1193" width="11.109375" style="94" bestFit="1" customWidth="1"/>
    <col min="1194" max="1195" width="10.109375" style="94" bestFit="1" customWidth="1"/>
    <col min="1196" max="1197" width="11.109375" style="94" bestFit="1" customWidth="1"/>
    <col min="1198" max="1199" width="10.109375" style="94" bestFit="1" customWidth="1"/>
    <col min="1200" max="1200" width="14.109375" style="94" bestFit="1" customWidth="1"/>
    <col min="1201" max="1201" width="23.6640625" style="94" bestFit="1" customWidth="1"/>
    <col min="1202" max="1202" width="8" style="94" bestFit="1" customWidth="1"/>
    <col min="1203" max="1203" width="9.33203125" style="94" bestFit="1" customWidth="1"/>
    <col min="1204" max="1204" width="10.44140625" style="94" bestFit="1" customWidth="1"/>
    <col min="1205" max="1205" width="8" style="94" bestFit="1" customWidth="1"/>
    <col min="1206" max="1206" width="9.33203125" style="94" bestFit="1" customWidth="1"/>
    <col min="1207" max="1207" width="10.44140625" style="94" bestFit="1" customWidth="1"/>
    <col min="1208" max="1208" width="11.33203125" style="94" bestFit="1" customWidth="1"/>
    <col min="1209" max="1209" width="8" style="94" bestFit="1" customWidth="1"/>
    <col min="1210" max="1210" width="9.33203125" style="94" bestFit="1" customWidth="1"/>
    <col min="1211" max="1211" width="10.44140625" style="94" bestFit="1" customWidth="1"/>
    <col min="1212" max="1213" width="8" style="94" bestFit="1" customWidth="1"/>
    <col min="1214" max="1214" width="9.109375" style="94" bestFit="1" customWidth="1"/>
    <col min="1215" max="1218" width="8" style="94" bestFit="1" customWidth="1"/>
    <col min="1219" max="1219" width="8.6640625" style="94" bestFit="1" customWidth="1"/>
    <col min="1220" max="1221" width="11.6640625" style="94" bestFit="1" customWidth="1"/>
    <col min="1222" max="1222" width="7" style="94" bestFit="1" customWidth="1"/>
    <col min="1223" max="1223" width="8.109375" style="94" bestFit="1" customWidth="1"/>
    <col min="1224" max="1228" width="9.5546875" style="94" bestFit="1" customWidth="1"/>
    <col min="1229" max="1229" width="11.6640625" style="94" bestFit="1" customWidth="1"/>
    <col min="1230" max="1230" width="12" style="94" bestFit="1" customWidth="1"/>
    <col min="1231" max="1231" width="10.44140625" style="94" bestFit="1" customWidth="1"/>
    <col min="1232" max="1232" width="9" style="94" bestFit="1" customWidth="1"/>
    <col min="1233" max="1234" width="11" style="94" bestFit="1" customWidth="1"/>
    <col min="1235" max="1235" width="12.5546875" style="94" bestFit="1" customWidth="1"/>
    <col min="1236" max="1236" width="9.44140625" style="94" bestFit="1" customWidth="1"/>
    <col min="1237" max="1237" width="9.6640625" style="94" bestFit="1" customWidth="1"/>
    <col min="1238" max="1239" width="12" style="94" bestFit="1" customWidth="1"/>
    <col min="1240" max="1240" width="9.109375" style="94" bestFit="1" customWidth="1"/>
    <col min="1241" max="1241" width="11.5546875" style="94" bestFit="1" customWidth="1"/>
    <col min="1242" max="1243" width="12" style="94" bestFit="1" customWidth="1"/>
    <col min="1244" max="1244" width="11.88671875" style="94" bestFit="1" customWidth="1"/>
    <col min="1245" max="1245" width="10.88671875" style="94" bestFit="1" customWidth="1"/>
    <col min="1246" max="1246" width="11.109375" style="94" bestFit="1" customWidth="1"/>
    <col min="1247" max="1247" width="9.109375" style="94" bestFit="1" customWidth="1"/>
    <col min="1248" max="1248" width="9.88671875" style="94" bestFit="1" customWidth="1"/>
    <col min="1249" max="1249" width="10.33203125" style="94" bestFit="1" customWidth="1"/>
    <col min="1250" max="1250" width="10.88671875" style="94" bestFit="1" customWidth="1"/>
    <col min="1251" max="1251" width="10.6640625" style="94" bestFit="1" customWidth="1"/>
    <col min="1252" max="1252" width="10.109375" style="94" bestFit="1" customWidth="1"/>
    <col min="1253" max="1253" width="10.6640625" style="94" bestFit="1" customWidth="1"/>
    <col min="1254" max="1254" width="11.44140625" style="94" bestFit="1" customWidth="1"/>
    <col min="1255" max="1255" width="8.5546875" style="94" bestFit="1" customWidth="1"/>
    <col min="1256" max="1257" width="11.6640625" style="94" bestFit="1" customWidth="1"/>
    <col min="1258" max="1258" width="11.33203125" style="94" bestFit="1" customWidth="1"/>
    <col min="1259" max="1259" width="9.88671875" style="94" bestFit="1" customWidth="1"/>
    <col min="1260" max="1260" width="9.6640625" style="94" bestFit="1" customWidth="1"/>
    <col min="1261" max="1261" width="10.88671875" style="94" bestFit="1" customWidth="1"/>
    <col min="1262" max="1266" width="11.44140625" style="94" bestFit="1" customWidth="1"/>
    <col min="1267" max="1267" width="10.44140625" style="94" bestFit="1" customWidth="1"/>
    <col min="1268" max="1273" width="11.33203125" style="94" bestFit="1" customWidth="1"/>
    <col min="1274" max="1276" width="10.33203125" style="94" bestFit="1" customWidth="1"/>
    <col min="1277" max="1277" width="11.6640625" style="94" bestFit="1" customWidth="1"/>
    <col min="1278" max="1278" width="10.88671875" style="94" bestFit="1" customWidth="1"/>
    <col min="1279" max="1280" width="11.6640625" style="94" bestFit="1" customWidth="1"/>
    <col min="1281" max="1285" width="11.5546875" style="94" bestFit="1" customWidth="1"/>
    <col min="1286" max="1286" width="10.5546875" style="94" bestFit="1" customWidth="1"/>
    <col min="1287" max="1287" width="11" style="94" bestFit="1" customWidth="1"/>
    <col min="1288" max="1288" width="11.44140625" style="94" bestFit="1" customWidth="1"/>
    <col min="1289" max="1289" width="11.6640625" style="94" bestFit="1" customWidth="1"/>
    <col min="1290" max="1291" width="11.5546875" style="94" bestFit="1" customWidth="1"/>
    <col min="1292" max="1295" width="11.44140625" style="94" bestFit="1" customWidth="1"/>
    <col min="1296" max="1296" width="11.5546875" style="94" bestFit="1" customWidth="1"/>
    <col min="1297" max="1297" width="10.6640625" style="94" bestFit="1" customWidth="1"/>
    <col min="1298" max="1300" width="11.5546875" style="94" bestFit="1" customWidth="1"/>
    <col min="1301" max="1306" width="11.44140625" style="94" bestFit="1" customWidth="1"/>
    <col min="1307" max="1308" width="10.44140625" style="94" bestFit="1" customWidth="1"/>
    <col min="1309" max="1309" width="11.5546875" style="94" bestFit="1" customWidth="1"/>
    <col min="1310" max="1310" width="10.44140625" style="94" bestFit="1" customWidth="1"/>
    <col min="1311" max="1316" width="11.109375" style="94" bestFit="1" customWidth="1"/>
    <col min="1317" max="1318" width="10.109375" style="94" bestFit="1" customWidth="1"/>
    <col min="1319" max="1323" width="9.33203125" style="94" bestFit="1" customWidth="1"/>
    <col min="1324" max="1324" width="10.44140625" style="94" bestFit="1" customWidth="1"/>
    <col min="1325" max="1327" width="9.33203125" style="94" bestFit="1" customWidth="1"/>
    <col min="1328" max="1328" width="8.33203125" style="94" bestFit="1" customWidth="1"/>
    <col min="1329" max="1329" width="9.44140625" style="94" bestFit="1" customWidth="1"/>
    <col min="1330" max="1330" width="11.6640625" style="94" bestFit="1" customWidth="1"/>
    <col min="1331" max="1331" width="11" style="94" bestFit="1" customWidth="1"/>
    <col min="1332" max="1332" width="10.44140625" style="94" bestFit="1" customWidth="1"/>
    <col min="1333" max="1333" width="8.44140625" style="94" bestFit="1" customWidth="1"/>
    <col min="1334" max="1334" width="9.44140625" style="94" bestFit="1" customWidth="1"/>
    <col min="1335" max="1335" width="11.5546875" style="94" bestFit="1" customWidth="1"/>
    <col min="1336" max="1336" width="11.44140625" style="94" bestFit="1" customWidth="1"/>
    <col min="1337" max="1337" width="9.88671875" style="94" bestFit="1" customWidth="1"/>
    <col min="1338" max="1338" width="12" style="94" bestFit="1" customWidth="1"/>
    <col min="1339" max="1339" width="11.88671875" style="94" bestFit="1" customWidth="1"/>
    <col min="1340" max="1340" width="10.5546875" style="94" bestFit="1" customWidth="1"/>
    <col min="1341" max="1341" width="10.88671875" style="94" bestFit="1" customWidth="1"/>
    <col min="1342" max="1342" width="11.109375" style="94" bestFit="1" customWidth="1"/>
    <col min="1343" max="1344" width="9.109375" style="94" bestFit="1" customWidth="1"/>
    <col min="1345" max="1345" width="8.109375" style="94" bestFit="1" customWidth="1"/>
    <col min="1346" max="1346" width="9.33203125" style="94" bestFit="1" customWidth="1"/>
    <col min="1347" max="1347" width="11.44140625" style="94" bestFit="1" customWidth="1"/>
    <col min="1348" max="1348" width="9.6640625" style="94" bestFit="1" customWidth="1"/>
    <col min="1349" max="1354" width="8.6640625" style="94" bestFit="1" customWidth="1"/>
    <col min="1355" max="1355" width="12.33203125" style="94" bestFit="1" customWidth="1"/>
    <col min="1356" max="1356" width="11.109375" style="94" bestFit="1" customWidth="1"/>
    <col min="1357" max="1357" width="12.33203125" style="94" bestFit="1" customWidth="1"/>
    <col min="1358" max="1358" width="10.5546875" style="94" bestFit="1" customWidth="1"/>
    <col min="1359" max="1359" width="12.5546875" style="94" bestFit="1" customWidth="1"/>
    <col min="1360" max="1360" width="12.6640625" style="94" bestFit="1" customWidth="1"/>
    <col min="1361" max="1361" width="10.6640625" style="94" bestFit="1" customWidth="1"/>
    <col min="1362" max="1362" width="12.5546875" style="94" bestFit="1" customWidth="1"/>
    <col min="1363" max="1363" width="11.6640625" style="94" bestFit="1" customWidth="1"/>
    <col min="1364" max="1364" width="12.88671875" style="94" bestFit="1" customWidth="1"/>
    <col min="1365" max="1365" width="12.109375" style="94" bestFit="1" customWidth="1"/>
    <col min="1366" max="1367" width="12" style="94" bestFit="1" customWidth="1"/>
    <col min="1368" max="1369" width="10.109375" style="94" bestFit="1" customWidth="1"/>
    <col min="1370" max="1370" width="9.33203125" style="94" bestFit="1" customWidth="1"/>
    <col min="1371" max="1371" width="11.5546875" style="94" bestFit="1" customWidth="1"/>
    <col min="1372" max="1372" width="12.6640625" style="94" bestFit="1" customWidth="1"/>
    <col min="1373" max="1373" width="8.88671875" style="94" bestFit="1" customWidth="1"/>
    <col min="1374" max="1374" width="9.33203125" style="94" bestFit="1" customWidth="1"/>
    <col min="1375" max="1375" width="11.5546875" style="94" bestFit="1" customWidth="1"/>
    <col min="1376" max="1376" width="12.44140625" style="94" bestFit="1" customWidth="1"/>
    <col min="1377" max="1382" width="8.5546875" style="94" bestFit="1" customWidth="1"/>
    <col min="1383" max="1383" width="11" style="94" bestFit="1" customWidth="1"/>
    <col min="1384" max="1384" width="10.44140625" style="94" bestFit="1" customWidth="1"/>
    <col min="1385" max="1385" width="10.5546875" style="94" bestFit="1" customWidth="1"/>
    <col min="1386" max="1386" width="11.5546875" style="94" bestFit="1" customWidth="1"/>
    <col min="1387" max="1388" width="9.109375" style="94" bestFit="1" customWidth="1"/>
    <col min="1389" max="1389" width="11.44140625" style="94" bestFit="1" customWidth="1"/>
    <col min="1390" max="1390" width="12.33203125" style="94" bestFit="1" customWidth="1"/>
    <col min="1391" max="1393" width="8.44140625" style="94" bestFit="1" customWidth="1"/>
    <col min="1394" max="1395" width="11.88671875" style="94" bestFit="1" customWidth="1"/>
    <col min="1396" max="1396" width="12" style="94" bestFit="1" customWidth="1"/>
    <col min="1397" max="1397" width="12.109375" style="94" bestFit="1" customWidth="1"/>
    <col min="1398" max="1398" width="10.88671875" style="94" bestFit="1" customWidth="1"/>
    <col min="1399" max="1399" width="12.44140625" style="94" bestFit="1" customWidth="1"/>
    <col min="1400" max="1400" width="12.33203125" style="94" bestFit="1" customWidth="1"/>
    <col min="1401" max="1401" width="11.44140625" style="94" bestFit="1" customWidth="1"/>
    <col min="1402" max="1402" width="11.6640625" style="94" bestFit="1" customWidth="1"/>
    <col min="1403" max="1404" width="9.88671875" style="94" bestFit="1" customWidth="1"/>
    <col min="1405" max="1405" width="12.44140625" style="94" bestFit="1" customWidth="1"/>
    <col min="1406" max="1406" width="10" style="94" bestFit="1" customWidth="1"/>
    <col min="1407" max="1407" width="11.109375" style="94" bestFit="1" customWidth="1"/>
    <col min="1408" max="1408" width="12.33203125" style="94" bestFit="1" customWidth="1"/>
    <col min="1409" max="1409" width="13.33203125" style="94" bestFit="1" customWidth="1"/>
    <col min="1410" max="1410" width="11.5546875" style="94" bestFit="1" customWidth="1"/>
    <col min="1411" max="1411" width="10.5546875" style="94" bestFit="1" customWidth="1"/>
    <col min="1412" max="1412" width="12" style="94" bestFit="1" customWidth="1"/>
    <col min="1413" max="1413" width="9.44140625" style="94" bestFit="1" customWidth="1"/>
    <col min="1414" max="1414" width="9.109375" style="94" bestFit="1" customWidth="1"/>
    <col min="1415" max="1415" width="9.44140625" style="94" bestFit="1" customWidth="1"/>
    <col min="1416" max="1416" width="9.109375" style="94" bestFit="1" customWidth="1"/>
    <col min="1417" max="1417" width="9.44140625" style="94" bestFit="1" customWidth="1"/>
    <col min="1418" max="1419" width="9.109375" style="94" bestFit="1" customWidth="1"/>
    <col min="1420" max="1420" width="9.44140625" style="94" bestFit="1" customWidth="1"/>
    <col min="1421" max="1422" width="9.109375" style="94" bestFit="1" customWidth="1"/>
    <col min="1423" max="1423" width="9.44140625" style="94" bestFit="1" customWidth="1"/>
    <col min="1424" max="1424" width="9.109375" style="94" bestFit="1" customWidth="1"/>
    <col min="1425" max="1425" width="9.44140625" style="94" bestFit="1" customWidth="1"/>
    <col min="1426" max="1426" width="9.109375" style="94" bestFit="1" customWidth="1"/>
    <col min="1427" max="1427" width="9.44140625" style="94" bestFit="1" customWidth="1"/>
    <col min="1428" max="1429" width="9.109375" style="94" bestFit="1" customWidth="1"/>
    <col min="1430" max="1430" width="9.44140625" style="94" bestFit="1" customWidth="1"/>
    <col min="1431" max="1432" width="9.109375" style="94" bestFit="1" customWidth="1"/>
    <col min="1433" max="1433" width="9.44140625" style="94" bestFit="1" customWidth="1"/>
    <col min="1434" max="1434" width="9.109375" style="94" bestFit="1" customWidth="1"/>
    <col min="1435" max="1435" width="9.44140625" style="94" bestFit="1" customWidth="1"/>
    <col min="1436" max="1436" width="9.109375" style="94" bestFit="1" customWidth="1"/>
    <col min="1437" max="1437" width="9.44140625" style="94" bestFit="1" customWidth="1"/>
    <col min="1438" max="1439" width="9.109375" style="94" bestFit="1" customWidth="1"/>
    <col min="1440" max="1440" width="9.44140625" style="94" bestFit="1" customWidth="1"/>
    <col min="1441" max="1441" width="9.109375" style="94" bestFit="1" customWidth="1"/>
    <col min="1442" max="1443" width="9.44140625" style="94" bestFit="1" customWidth="1"/>
    <col min="1444" max="1444" width="9.109375" style="94" bestFit="1" customWidth="1"/>
    <col min="1445" max="1445" width="9.44140625" style="94" bestFit="1" customWidth="1"/>
    <col min="1446" max="1446" width="9.109375" style="94" bestFit="1" customWidth="1"/>
    <col min="1447" max="1447" width="9.44140625" style="94" bestFit="1" customWidth="1"/>
    <col min="1448" max="1448" width="9.109375" style="94" bestFit="1" customWidth="1"/>
    <col min="1449" max="1449" width="9.44140625" style="94" bestFit="1" customWidth="1"/>
    <col min="1450" max="1450" width="9.109375" style="94" bestFit="1" customWidth="1"/>
    <col min="1451" max="1451" width="9.44140625" style="94" bestFit="1" customWidth="1"/>
    <col min="1452" max="1453" width="9.109375" style="94" bestFit="1" customWidth="1"/>
    <col min="1454" max="1454" width="9.44140625" style="94" bestFit="1" customWidth="1"/>
    <col min="1455" max="1455" width="9.109375" style="94" bestFit="1" customWidth="1"/>
    <col min="1456" max="1457" width="9.44140625" style="94" bestFit="1" customWidth="1"/>
    <col min="1458" max="1463" width="9.109375" style="94" bestFit="1" customWidth="1"/>
    <col min="1464" max="1464" width="8.44140625" style="94" bestFit="1" customWidth="1"/>
    <col min="1465" max="1465" width="8.109375" style="94" bestFit="1" customWidth="1"/>
    <col min="1466" max="1466" width="8.44140625" style="94" bestFit="1" customWidth="1"/>
    <col min="1467" max="1467" width="8.109375" style="94" bestFit="1" customWidth="1"/>
    <col min="1468" max="1468" width="8.44140625" style="94" bestFit="1" customWidth="1"/>
    <col min="1469" max="1469" width="8.109375" style="94" bestFit="1" customWidth="1"/>
    <col min="1470" max="1470" width="8.44140625" style="94" bestFit="1" customWidth="1"/>
    <col min="1471" max="1471" width="8.109375" style="94" bestFit="1" customWidth="1"/>
    <col min="1472" max="1472" width="8.44140625" style="94" bestFit="1" customWidth="1"/>
    <col min="1473" max="1473" width="8.109375" style="94" bestFit="1" customWidth="1"/>
    <col min="1474" max="1474" width="8.44140625" style="94" bestFit="1" customWidth="1"/>
    <col min="1475" max="1476" width="8.109375" style="94" bestFit="1" customWidth="1"/>
    <col min="1477" max="1477" width="8.44140625" style="94" bestFit="1" customWidth="1"/>
    <col min="1478" max="1478" width="8.109375" style="94" bestFit="1" customWidth="1"/>
    <col min="1479" max="1479" width="8.44140625" style="94" bestFit="1" customWidth="1"/>
    <col min="1480" max="1480" width="8.109375" style="94" bestFit="1" customWidth="1"/>
    <col min="1481" max="1481" width="8.44140625" style="94" bestFit="1" customWidth="1"/>
    <col min="1482" max="1482" width="8.109375" style="94" bestFit="1" customWidth="1"/>
    <col min="1483" max="1483" width="8.44140625" style="94" bestFit="1" customWidth="1"/>
    <col min="1484" max="1484" width="8.109375" style="94" bestFit="1" customWidth="1"/>
    <col min="1485" max="1485" width="8.44140625" style="94" bestFit="1" customWidth="1"/>
    <col min="1486" max="1486" width="8.109375" style="94" bestFit="1" customWidth="1"/>
    <col min="1487" max="1487" width="8.44140625" style="94" bestFit="1" customWidth="1"/>
    <col min="1488" max="1488" width="8.109375" style="94" bestFit="1" customWidth="1"/>
    <col min="1489" max="1489" width="9.88671875" style="94" bestFit="1" customWidth="1"/>
    <col min="1490" max="1490" width="9.5546875" style="94" bestFit="1" customWidth="1"/>
    <col min="1491" max="1492" width="11.109375" style="94" bestFit="1" customWidth="1"/>
    <col min="1493" max="1494" width="10.109375" style="94" bestFit="1" customWidth="1"/>
    <col min="1495" max="1496" width="11.109375" style="94" bestFit="1" customWidth="1"/>
    <col min="1497" max="1498" width="10.109375" style="94" bestFit="1" customWidth="1"/>
    <col min="1499" max="1499" width="14.109375" style="94" bestFit="1" customWidth="1"/>
    <col min="1500" max="1500" width="25" style="94" bestFit="1" customWidth="1"/>
    <col min="1501" max="1501" width="8" style="94" bestFit="1" customWidth="1"/>
    <col min="1502" max="1502" width="9.33203125" style="94" bestFit="1" customWidth="1"/>
    <col min="1503" max="1503" width="10.44140625" style="94" bestFit="1" customWidth="1"/>
    <col min="1504" max="1504" width="8" style="94" bestFit="1" customWidth="1"/>
    <col min="1505" max="1505" width="9.33203125" style="94" bestFit="1" customWidth="1"/>
    <col min="1506" max="1506" width="10.44140625" style="94" bestFit="1" customWidth="1"/>
    <col min="1507" max="1507" width="11.33203125" style="94" bestFit="1" customWidth="1"/>
    <col min="1508" max="1508" width="8" style="94" bestFit="1" customWidth="1"/>
    <col min="1509" max="1509" width="9.33203125" style="94" bestFit="1" customWidth="1"/>
    <col min="1510" max="1510" width="10.44140625" style="94" bestFit="1" customWidth="1"/>
    <col min="1511" max="1512" width="8" style="94" bestFit="1" customWidth="1"/>
    <col min="1513" max="1513" width="9.109375" style="94" bestFit="1" customWidth="1"/>
    <col min="1514" max="1517" width="8" style="94" bestFit="1" customWidth="1"/>
    <col min="1518" max="1518" width="8.6640625" style="94" bestFit="1" customWidth="1"/>
    <col min="1519" max="1520" width="11.6640625" style="94" bestFit="1" customWidth="1"/>
    <col min="1521" max="1521" width="7" style="94" bestFit="1" customWidth="1"/>
    <col min="1522" max="1522" width="8.109375" style="94" bestFit="1" customWidth="1"/>
    <col min="1523" max="1527" width="9.5546875" style="94" bestFit="1" customWidth="1"/>
    <col min="1528" max="1528" width="11.6640625" style="94" bestFit="1" customWidth="1"/>
    <col min="1529" max="1529" width="12" style="94" bestFit="1" customWidth="1"/>
    <col min="1530" max="1530" width="10.44140625" style="94" bestFit="1" customWidth="1"/>
    <col min="1531" max="1531" width="9" style="94" bestFit="1" customWidth="1"/>
    <col min="1532" max="1533" width="11" style="94" bestFit="1" customWidth="1"/>
    <col min="1534" max="1534" width="12.5546875" style="94" bestFit="1" customWidth="1"/>
    <col min="1535" max="1535" width="9.44140625" style="94" bestFit="1" customWidth="1"/>
    <col min="1536" max="1536" width="9.6640625" style="94" bestFit="1" customWidth="1"/>
    <col min="1537" max="1538" width="12" style="94" bestFit="1" customWidth="1"/>
    <col min="1539" max="1539" width="9.109375" style="94" bestFit="1" customWidth="1"/>
    <col min="1540" max="1540" width="11.5546875" style="94" bestFit="1" customWidth="1"/>
    <col min="1541" max="1542" width="12" style="94" bestFit="1" customWidth="1"/>
    <col min="1543" max="1543" width="11.88671875" style="94" bestFit="1" customWidth="1"/>
    <col min="1544" max="1544" width="10.88671875" style="94" bestFit="1" customWidth="1"/>
    <col min="1545" max="1545" width="11.109375" style="94" bestFit="1" customWidth="1"/>
    <col min="1546" max="1546" width="9.109375" style="94" bestFit="1" customWidth="1"/>
    <col min="1547" max="1547" width="9.88671875" style="94" bestFit="1" customWidth="1"/>
    <col min="1548" max="1548" width="10.33203125" style="94" bestFit="1" customWidth="1"/>
    <col min="1549" max="1549" width="10.88671875" style="94" bestFit="1" customWidth="1"/>
    <col min="1550" max="1550" width="10.6640625" style="94" bestFit="1" customWidth="1"/>
    <col min="1551" max="1551" width="10.109375" style="94" bestFit="1" customWidth="1"/>
    <col min="1552" max="1552" width="10.6640625" style="94" bestFit="1" customWidth="1"/>
    <col min="1553" max="1553" width="11.44140625" style="94" bestFit="1" customWidth="1"/>
    <col min="1554" max="1554" width="8.5546875" style="94" bestFit="1" customWidth="1"/>
    <col min="1555" max="1556" width="11.6640625" style="94" bestFit="1" customWidth="1"/>
    <col min="1557" max="1557" width="11.33203125" style="94" bestFit="1" customWidth="1"/>
    <col min="1558" max="1558" width="9.88671875" style="94" bestFit="1" customWidth="1"/>
    <col min="1559" max="1559" width="9.6640625" style="94" bestFit="1" customWidth="1"/>
    <col min="1560" max="1560" width="10.88671875" style="94" bestFit="1" customWidth="1"/>
    <col min="1561" max="1565" width="11.44140625" style="94" bestFit="1" customWidth="1"/>
    <col min="1566" max="1566" width="10.44140625" style="94" bestFit="1" customWidth="1"/>
    <col min="1567" max="1572" width="11.33203125" style="94" bestFit="1" customWidth="1"/>
    <col min="1573" max="1575" width="10.33203125" style="94" bestFit="1" customWidth="1"/>
    <col min="1576" max="1576" width="11.6640625" style="94" bestFit="1" customWidth="1"/>
    <col min="1577" max="1577" width="10.88671875" style="94" bestFit="1" customWidth="1"/>
    <col min="1578" max="1579" width="11.6640625" style="94" bestFit="1" customWidth="1"/>
    <col min="1580" max="1584" width="11.5546875" style="94" bestFit="1" customWidth="1"/>
    <col min="1585" max="1585" width="10.5546875" style="94" bestFit="1" customWidth="1"/>
    <col min="1586" max="1586" width="11" style="94" bestFit="1" customWidth="1"/>
    <col min="1587" max="1587" width="11.44140625" style="94" bestFit="1" customWidth="1"/>
    <col min="1588" max="1588" width="11.6640625" style="94" bestFit="1" customWidth="1"/>
    <col min="1589" max="1590" width="11.5546875" style="94" bestFit="1" customWidth="1"/>
    <col min="1591" max="1594" width="11.44140625" style="94" bestFit="1" customWidth="1"/>
    <col min="1595" max="1595" width="11.5546875" style="94" bestFit="1" customWidth="1"/>
    <col min="1596" max="1596" width="10.6640625" style="94" bestFit="1" customWidth="1"/>
    <col min="1597" max="1599" width="11.5546875" style="94" bestFit="1" customWidth="1"/>
    <col min="1600" max="1605" width="11.44140625" style="94" bestFit="1" customWidth="1"/>
    <col min="1606" max="1607" width="10.44140625" style="94" bestFit="1" customWidth="1"/>
    <col min="1608" max="1608" width="11.5546875" style="94" bestFit="1" customWidth="1"/>
    <col min="1609" max="1609" width="10.44140625" style="94" bestFit="1" customWidth="1"/>
    <col min="1610" max="1615" width="11.109375" style="94" bestFit="1" customWidth="1"/>
    <col min="1616" max="1617" width="10.109375" style="94" bestFit="1" customWidth="1"/>
    <col min="1618" max="1622" width="9.33203125" style="94" bestFit="1" customWidth="1"/>
    <col min="1623" max="1623" width="10.44140625" style="94" bestFit="1" customWidth="1"/>
    <col min="1624" max="1626" width="9.33203125" style="94" bestFit="1" customWidth="1"/>
    <col min="1627" max="1627" width="8.33203125" style="94" bestFit="1" customWidth="1"/>
    <col min="1628" max="1628" width="9.44140625" style="94" bestFit="1" customWidth="1"/>
    <col min="1629" max="1629" width="11.6640625" style="94" bestFit="1" customWidth="1"/>
    <col min="1630" max="1630" width="11" style="94" bestFit="1" customWidth="1"/>
    <col min="1631" max="1631" width="10.44140625" style="94" bestFit="1" customWidth="1"/>
    <col min="1632" max="1632" width="8.44140625" style="94" bestFit="1" customWidth="1"/>
    <col min="1633" max="1633" width="9.44140625" style="94" bestFit="1" customWidth="1"/>
    <col min="1634" max="1634" width="11.5546875" style="94" bestFit="1" customWidth="1"/>
    <col min="1635" max="1635" width="11.44140625" style="94" bestFit="1" customWidth="1"/>
    <col min="1636" max="1636" width="9.88671875" style="94" bestFit="1" customWidth="1"/>
    <col min="1637" max="1637" width="12" style="94" bestFit="1" customWidth="1"/>
    <col min="1638" max="1638" width="11.88671875" style="94" bestFit="1" customWidth="1"/>
    <col min="1639" max="1639" width="10.5546875" style="94" bestFit="1" customWidth="1"/>
    <col min="1640" max="1640" width="10.88671875" style="94" bestFit="1" customWidth="1"/>
    <col min="1641" max="1641" width="11.109375" style="94" bestFit="1" customWidth="1"/>
    <col min="1642" max="1643" width="9.109375" style="94" bestFit="1" customWidth="1"/>
    <col min="1644" max="1644" width="8.109375" style="94" bestFit="1" customWidth="1"/>
    <col min="1645" max="1645" width="9.33203125" style="94" bestFit="1" customWidth="1"/>
    <col min="1646" max="1646" width="11.44140625" style="94" bestFit="1" customWidth="1"/>
    <col min="1647" max="1647" width="9.6640625" style="94" bestFit="1" customWidth="1"/>
    <col min="1648" max="1648" width="11.6640625" style="94" bestFit="1" customWidth="1"/>
    <col min="1649" max="1650" width="10.109375" style="94" bestFit="1" customWidth="1"/>
    <col min="1651" max="1653" width="8.6640625" style="94" bestFit="1" customWidth="1"/>
    <col min="1654" max="1654" width="12.33203125" style="94" bestFit="1" customWidth="1"/>
    <col min="1655" max="1655" width="11.109375" style="94" bestFit="1" customWidth="1"/>
    <col min="1656" max="1656" width="12.33203125" style="94" bestFit="1" customWidth="1"/>
    <col min="1657" max="1657" width="10.5546875" style="94" bestFit="1" customWidth="1"/>
    <col min="1658" max="1658" width="12.5546875" style="94" bestFit="1" customWidth="1"/>
    <col min="1659" max="1659" width="12.6640625" style="94" bestFit="1" customWidth="1"/>
    <col min="1660" max="1660" width="10.6640625" style="94" bestFit="1" customWidth="1"/>
    <col min="1661" max="1661" width="12.5546875" style="94" bestFit="1" customWidth="1"/>
    <col min="1662" max="1662" width="11.6640625" style="94" bestFit="1" customWidth="1"/>
    <col min="1663" max="1663" width="12.88671875" style="94" bestFit="1" customWidth="1"/>
    <col min="1664" max="1664" width="12.109375" style="94" bestFit="1" customWidth="1"/>
    <col min="1665" max="1666" width="12" style="94" bestFit="1" customWidth="1"/>
    <col min="1667" max="1668" width="10.109375" style="94" bestFit="1" customWidth="1"/>
    <col min="1669" max="1669" width="9.33203125" style="94" bestFit="1" customWidth="1"/>
    <col min="1670" max="1670" width="11.5546875" style="94" bestFit="1" customWidth="1"/>
    <col min="1671" max="1671" width="12.6640625" style="94" bestFit="1" customWidth="1"/>
    <col min="1672" max="1672" width="8.88671875" style="94" bestFit="1" customWidth="1"/>
    <col min="1673" max="1673" width="9.33203125" style="94" bestFit="1" customWidth="1"/>
    <col min="1674" max="1674" width="11.5546875" style="94" bestFit="1" customWidth="1"/>
    <col min="1675" max="1675" width="12.44140625" style="94" bestFit="1" customWidth="1"/>
    <col min="1676" max="1681" width="8.5546875" style="94" bestFit="1" customWidth="1"/>
    <col min="1682" max="1682" width="11" style="94" bestFit="1" customWidth="1"/>
    <col min="1683" max="1683" width="10.44140625" style="94" bestFit="1" customWidth="1"/>
    <col min="1684" max="1684" width="10.5546875" style="94" bestFit="1" customWidth="1"/>
    <col min="1685" max="1685" width="11.5546875" style="94" bestFit="1" customWidth="1"/>
    <col min="1686" max="1687" width="9.109375" style="94" bestFit="1" customWidth="1"/>
    <col min="1688" max="1688" width="11.44140625" style="94" bestFit="1" customWidth="1"/>
    <col min="1689" max="1689" width="12.33203125" style="94" bestFit="1" customWidth="1"/>
    <col min="1690" max="1692" width="8.44140625" style="94" bestFit="1" customWidth="1"/>
    <col min="1693" max="1694" width="11.88671875" style="94" bestFit="1" customWidth="1"/>
    <col min="1695" max="1695" width="12" style="94" bestFit="1" customWidth="1"/>
    <col min="1696" max="1696" width="12.109375" style="94" bestFit="1" customWidth="1"/>
    <col min="1697" max="1697" width="10.88671875" style="94" bestFit="1" customWidth="1"/>
    <col min="1698" max="1698" width="12.44140625" style="94" bestFit="1" customWidth="1"/>
    <col min="1699" max="1699" width="12.33203125" style="94" bestFit="1" customWidth="1"/>
    <col min="1700" max="1700" width="11.44140625" style="94" bestFit="1" customWidth="1"/>
    <col min="1701" max="1701" width="11.6640625" style="94" bestFit="1" customWidth="1"/>
    <col min="1702" max="1703" width="9.88671875" style="94" bestFit="1" customWidth="1"/>
    <col min="1704" max="1704" width="12.44140625" style="94" bestFit="1" customWidth="1"/>
    <col min="1705" max="1705" width="11.6640625" style="94" bestFit="1" customWidth="1"/>
    <col min="1706" max="1706" width="11.109375" style="94" bestFit="1" customWidth="1"/>
    <col min="1707" max="1707" width="12.33203125" style="94" bestFit="1" customWidth="1"/>
    <col min="1708" max="1708" width="13.33203125" style="94" bestFit="1" customWidth="1"/>
    <col min="1709" max="1709" width="11.5546875" style="94" bestFit="1" customWidth="1"/>
    <col min="1710" max="1710" width="10.5546875" style="94" bestFit="1" customWidth="1"/>
    <col min="1711" max="1711" width="12" style="94" bestFit="1" customWidth="1"/>
    <col min="1712" max="1712" width="9.44140625" style="94" bestFit="1" customWidth="1"/>
    <col min="1713" max="1713" width="9.109375" style="94" bestFit="1" customWidth="1"/>
    <col min="1714" max="1714" width="9.44140625" style="94" bestFit="1" customWidth="1"/>
    <col min="1715" max="1715" width="9.109375" style="94" bestFit="1" customWidth="1"/>
    <col min="1716" max="1716" width="9.44140625" style="94" bestFit="1" customWidth="1"/>
    <col min="1717" max="1718" width="9.109375" style="94" bestFit="1" customWidth="1"/>
    <col min="1719" max="1719" width="9.44140625" style="94" bestFit="1" customWidth="1"/>
    <col min="1720" max="1721" width="9.109375" style="94" bestFit="1" customWidth="1"/>
    <col min="1722" max="1722" width="9.44140625" style="94" bestFit="1" customWidth="1"/>
    <col min="1723" max="1723" width="9.109375" style="94" bestFit="1" customWidth="1"/>
    <col min="1724" max="1724" width="9.44140625" style="94" bestFit="1" customWidth="1"/>
    <col min="1725" max="1725" width="9.109375" style="94" bestFit="1" customWidth="1"/>
    <col min="1726" max="1726" width="9.44140625" style="94" bestFit="1" customWidth="1"/>
    <col min="1727" max="1728" width="9.109375" style="94" bestFit="1" customWidth="1"/>
    <col min="1729" max="1729" width="9.44140625" style="94" bestFit="1" customWidth="1"/>
    <col min="1730" max="1731" width="9.109375" style="94" bestFit="1" customWidth="1"/>
    <col min="1732" max="1732" width="9.44140625" style="94" bestFit="1" customWidth="1"/>
    <col min="1733" max="1733" width="9.109375" style="94" bestFit="1" customWidth="1"/>
    <col min="1734" max="1734" width="9.44140625" style="94" bestFit="1" customWidth="1"/>
    <col min="1735" max="1735" width="9.109375" style="94" bestFit="1" customWidth="1"/>
    <col min="1736" max="1736" width="9.44140625" style="94" bestFit="1" customWidth="1"/>
    <col min="1737" max="1738" width="9.109375" style="94" bestFit="1" customWidth="1"/>
    <col min="1739" max="1739" width="9.44140625" style="94" bestFit="1" customWidth="1"/>
    <col min="1740" max="1740" width="9.109375" style="94" bestFit="1" customWidth="1"/>
    <col min="1741" max="1742" width="9.44140625" style="94" bestFit="1" customWidth="1"/>
    <col min="1743" max="1743" width="9.109375" style="94" bestFit="1" customWidth="1"/>
    <col min="1744" max="1744" width="9.44140625" style="94" bestFit="1" customWidth="1"/>
    <col min="1745" max="1745" width="9.109375" style="94" bestFit="1" customWidth="1"/>
    <col min="1746" max="1746" width="9.44140625" style="94" bestFit="1" customWidth="1"/>
    <col min="1747" max="1747" width="9.109375" style="94" bestFit="1" customWidth="1"/>
    <col min="1748" max="1748" width="9.44140625" style="94" bestFit="1" customWidth="1"/>
    <col min="1749" max="1749" width="9.109375" style="94" bestFit="1" customWidth="1"/>
    <col min="1750" max="1750" width="9.44140625" style="94" bestFit="1" customWidth="1"/>
    <col min="1751" max="1752" width="9.109375" style="94" bestFit="1" customWidth="1"/>
    <col min="1753" max="1753" width="9.44140625" style="94" bestFit="1" customWidth="1"/>
    <col min="1754" max="1754" width="9.109375" style="94" bestFit="1" customWidth="1"/>
    <col min="1755" max="1756" width="9.44140625" style="94" bestFit="1" customWidth="1"/>
    <col min="1757" max="1762" width="9.109375" style="94" bestFit="1" customWidth="1"/>
    <col min="1763" max="1763" width="8.44140625" style="94" bestFit="1" customWidth="1"/>
    <col min="1764" max="1764" width="8.109375" style="94" bestFit="1" customWidth="1"/>
    <col min="1765" max="1765" width="8.44140625" style="94" bestFit="1" customWidth="1"/>
    <col min="1766" max="1766" width="8.109375" style="94" bestFit="1" customWidth="1"/>
    <col min="1767" max="1767" width="8.44140625" style="94" bestFit="1" customWidth="1"/>
    <col min="1768" max="1768" width="8.109375" style="94" bestFit="1" customWidth="1"/>
    <col min="1769" max="1769" width="8.44140625" style="94" bestFit="1" customWidth="1"/>
    <col min="1770" max="1770" width="8.109375" style="94" bestFit="1" customWidth="1"/>
    <col min="1771" max="1771" width="8.44140625" style="94" bestFit="1" customWidth="1"/>
    <col min="1772" max="1772" width="8.109375" style="94" bestFit="1" customWidth="1"/>
    <col min="1773" max="1773" width="8.44140625" style="94" bestFit="1" customWidth="1"/>
    <col min="1774" max="1775" width="8.109375" style="94" bestFit="1" customWidth="1"/>
    <col min="1776" max="1776" width="8.44140625" style="94" bestFit="1" customWidth="1"/>
    <col min="1777" max="1777" width="8.109375" style="94" bestFit="1" customWidth="1"/>
    <col min="1778" max="1778" width="8.44140625" style="94" bestFit="1" customWidth="1"/>
    <col min="1779" max="1779" width="8.109375" style="94" bestFit="1" customWidth="1"/>
    <col min="1780" max="1780" width="8.44140625" style="94" bestFit="1" customWidth="1"/>
    <col min="1781" max="1781" width="8.109375" style="94" bestFit="1" customWidth="1"/>
    <col min="1782" max="1782" width="8.44140625" style="94" bestFit="1" customWidth="1"/>
    <col min="1783" max="1783" width="8.109375" style="94" bestFit="1" customWidth="1"/>
    <col min="1784" max="1784" width="8.44140625" style="94" bestFit="1" customWidth="1"/>
    <col min="1785" max="1785" width="8.109375" style="94" bestFit="1" customWidth="1"/>
    <col min="1786" max="1786" width="8.44140625" style="94" bestFit="1" customWidth="1"/>
    <col min="1787" max="1787" width="8.109375" style="94" bestFit="1" customWidth="1"/>
    <col min="1788" max="1788" width="9.88671875" style="94" bestFit="1" customWidth="1"/>
    <col min="1789" max="1789" width="9.5546875" style="94" bestFit="1" customWidth="1"/>
    <col min="1790" max="1791" width="11.109375" style="94" bestFit="1" customWidth="1"/>
    <col min="1792" max="1793" width="10.109375" style="94" bestFit="1" customWidth="1"/>
    <col min="1794" max="1795" width="11.109375" style="94" bestFit="1" customWidth="1"/>
    <col min="1796" max="1797" width="10.109375" style="94" bestFit="1" customWidth="1"/>
    <col min="1798" max="1798" width="14.109375" style="94" bestFit="1" customWidth="1"/>
    <col min="1799" max="1799" width="30.5546875" style="94" bestFit="1" customWidth="1"/>
    <col min="1800" max="1800" width="8" style="94" bestFit="1" customWidth="1"/>
    <col min="1801" max="1801" width="9.33203125" style="94" bestFit="1" customWidth="1"/>
    <col min="1802" max="1802" width="10.44140625" style="94" bestFit="1" customWidth="1"/>
    <col min="1803" max="1803" width="8" style="94" bestFit="1" customWidth="1"/>
    <col min="1804" max="1804" width="9.33203125" style="94" bestFit="1" customWidth="1"/>
    <col min="1805" max="1805" width="10.44140625" style="94" bestFit="1" customWidth="1"/>
    <col min="1806" max="1806" width="11.33203125" style="94" bestFit="1" customWidth="1"/>
    <col min="1807" max="1807" width="8" style="94" bestFit="1" customWidth="1"/>
    <col min="1808" max="1808" width="9.33203125" style="94" bestFit="1" customWidth="1"/>
    <col min="1809" max="1809" width="10.44140625" style="94" bestFit="1" customWidth="1"/>
    <col min="1810" max="1811" width="8" style="94" bestFit="1" customWidth="1"/>
    <col min="1812" max="1812" width="9.109375" style="94" bestFit="1" customWidth="1"/>
    <col min="1813" max="1816" width="8" style="94" bestFit="1" customWidth="1"/>
    <col min="1817" max="1817" width="8.6640625" style="94" bestFit="1" customWidth="1"/>
    <col min="1818" max="1819" width="11.6640625" style="94" bestFit="1" customWidth="1"/>
    <col min="1820" max="1820" width="7" style="94" bestFit="1" customWidth="1"/>
    <col min="1821" max="1821" width="8.109375" style="94" bestFit="1" customWidth="1"/>
    <col min="1822" max="1826" width="9.5546875" style="94" bestFit="1" customWidth="1"/>
    <col min="1827" max="1827" width="11.6640625" style="94" bestFit="1" customWidth="1"/>
    <col min="1828" max="1828" width="12" style="94" bestFit="1" customWidth="1"/>
    <col min="1829" max="1829" width="10.44140625" style="94" bestFit="1" customWidth="1"/>
    <col min="1830" max="1830" width="9" style="94" bestFit="1" customWidth="1"/>
    <col min="1831" max="1832" width="11" style="94" bestFit="1" customWidth="1"/>
    <col min="1833" max="1833" width="12.5546875" style="94" bestFit="1" customWidth="1"/>
    <col min="1834" max="1834" width="9.44140625" style="94" bestFit="1" customWidth="1"/>
    <col min="1835" max="1835" width="9.6640625" style="94" bestFit="1" customWidth="1"/>
    <col min="1836" max="1837" width="12" style="94" bestFit="1" customWidth="1"/>
    <col min="1838" max="1838" width="9.109375" style="94" bestFit="1" customWidth="1"/>
    <col min="1839" max="1839" width="11.5546875" style="94" bestFit="1" customWidth="1"/>
    <col min="1840" max="1841" width="12" style="94" bestFit="1" customWidth="1"/>
    <col min="1842" max="1842" width="11.88671875" style="94" bestFit="1" customWidth="1"/>
    <col min="1843" max="1843" width="10.88671875" style="94" bestFit="1" customWidth="1"/>
    <col min="1844" max="1844" width="11.109375" style="94" bestFit="1" customWidth="1"/>
    <col min="1845" max="1845" width="9.109375" style="94" bestFit="1" customWidth="1"/>
    <col min="1846" max="1846" width="9.88671875" style="94" bestFit="1" customWidth="1"/>
    <col min="1847" max="1847" width="10.33203125" style="94" bestFit="1" customWidth="1"/>
    <col min="1848" max="1848" width="10.88671875" style="94" bestFit="1" customWidth="1"/>
    <col min="1849" max="1849" width="10.6640625" style="94" bestFit="1" customWidth="1"/>
    <col min="1850" max="1850" width="10.109375" style="94" bestFit="1" customWidth="1"/>
    <col min="1851" max="1851" width="10.6640625" style="94" bestFit="1" customWidth="1"/>
    <col min="1852" max="1852" width="11.44140625" style="94" bestFit="1" customWidth="1"/>
    <col min="1853" max="1853" width="8.5546875" style="94" bestFit="1" customWidth="1"/>
    <col min="1854" max="1855" width="11.6640625" style="94" bestFit="1" customWidth="1"/>
    <col min="1856" max="1856" width="11.33203125" style="94" bestFit="1" customWidth="1"/>
    <col min="1857" max="1857" width="9.88671875" style="94" bestFit="1" customWidth="1"/>
    <col min="1858" max="1858" width="9.6640625" style="94" bestFit="1" customWidth="1"/>
    <col min="1859" max="1859" width="10.88671875" style="94" bestFit="1" customWidth="1"/>
    <col min="1860" max="1864" width="11.44140625" style="94" bestFit="1" customWidth="1"/>
    <col min="1865" max="1865" width="10.44140625" style="94" bestFit="1" customWidth="1"/>
    <col min="1866" max="1871" width="11.33203125" style="94" bestFit="1" customWidth="1"/>
    <col min="1872" max="1874" width="10.33203125" style="94" bestFit="1" customWidth="1"/>
    <col min="1875" max="1875" width="11.6640625" style="94" bestFit="1" customWidth="1"/>
    <col min="1876" max="1876" width="10.88671875" style="94" bestFit="1" customWidth="1"/>
    <col min="1877" max="1878" width="11.6640625" style="94" bestFit="1" customWidth="1"/>
    <col min="1879" max="1883" width="11.5546875" style="94" bestFit="1" customWidth="1"/>
    <col min="1884" max="1884" width="10.5546875" style="94" bestFit="1" customWidth="1"/>
    <col min="1885" max="1885" width="11" style="94" bestFit="1" customWidth="1"/>
    <col min="1886" max="1886" width="11.44140625" style="94" bestFit="1" customWidth="1"/>
    <col min="1887" max="1887" width="11.6640625" style="94" bestFit="1" customWidth="1"/>
    <col min="1888" max="1889" width="11.5546875" style="94" bestFit="1" customWidth="1"/>
    <col min="1890" max="1893" width="11.44140625" style="94" bestFit="1" customWidth="1"/>
    <col min="1894" max="1894" width="11.5546875" style="94" bestFit="1" customWidth="1"/>
    <col min="1895" max="1895" width="10.6640625" style="94" bestFit="1" customWidth="1"/>
    <col min="1896" max="1898" width="11.5546875" style="94" bestFit="1" customWidth="1"/>
    <col min="1899" max="1904" width="11.44140625" style="94" bestFit="1" customWidth="1"/>
    <col min="1905" max="1906" width="10.44140625" style="94" bestFit="1" customWidth="1"/>
    <col min="1907" max="1907" width="11.5546875" style="94" bestFit="1" customWidth="1"/>
    <col min="1908" max="1908" width="10.44140625" style="94" bestFit="1" customWidth="1"/>
    <col min="1909" max="1914" width="11.109375" style="94" bestFit="1" customWidth="1"/>
    <col min="1915" max="1916" width="10.109375" style="94" bestFit="1" customWidth="1"/>
    <col min="1917" max="1921" width="9.33203125" style="94" bestFit="1" customWidth="1"/>
    <col min="1922" max="1922" width="10.44140625" style="94" bestFit="1" customWidth="1"/>
    <col min="1923" max="1925" width="9.33203125" style="94" bestFit="1" customWidth="1"/>
    <col min="1926" max="1926" width="8.33203125" style="94" bestFit="1" customWidth="1"/>
    <col min="1927" max="1927" width="9.44140625" style="94" bestFit="1" customWidth="1"/>
    <col min="1928" max="1928" width="11.6640625" style="94" bestFit="1" customWidth="1"/>
    <col min="1929" max="1929" width="11" style="94" bestFit="1" customWidth="1"/>
    <col min="1930" max="1930" width="10.44140625" style="94" bestFit="1" customWidth="1"/>
    <col min="1931" max="1931" width="8.44140625" style="94" bestFit="1" customWidth="1"/>
    <col min="1932" max="1932" width="9.44140625" style="94" bestFit="1" customWidth="1"/>
    <col min="1933" max="1933" width="11.5546875" style="94" bestFit="1" customWidth="1"/>
    <col min="1934" max="1934" width="11.44140625" style="94" bestFit="1" customWidth="1"/>
    <col min="1935" max="1935" width="9.88671875" style="94" bestFit="1" customWidth="1"/>
    <col min="1936" max="1936" width="12" style="94" bestFit="1" customWidth="1"/>
    <col min="1937" max="1937" width="11.88671875" style="94" bestFit="1" customWidth="1"/>
    <col min="1938" max="1938" width="10.5546875" style="94" bestFit="1" customWidth="1"/>
    <col min="1939" max="1939" width="10.88671875" style="94" bestFit="1" customWidth="1"/>
    <col min="1940" max="1940" width="11.109375" style="94" bestFit="1" customWidth="1"/>
    <col min="1941" max="1942" width="9.109375" style="94" bestFit="1" customWidth="1"/>
    <col min="1943" max="1943" width="8.109375" style="94" bestFit="1" customWidth="1"/>
    <col min="1944" max="1944" width="9.33203125" style="94" bestFit="1" customWidth="1"/>
    <col min="1945" max="1945" width="11.44140625" style="94" bestFit="1" customWidth="1"/>
    <col min="1946" max="1946" width="9.6640625" style="94" bestFit="1" customWidth="1"/>
    <col min="1947" max="1952" width="8.6640625" style="94" bestFit="1" customWidth="1"/>
    <col min="1953" max="1953" width="12.33203125" style="94" bestFit="1" customWidth="1"/>
    <col min="1954" max="1954" width="11.109375" style="94" bestFit="1" customWidth="1"/>
    <col min="1955" max="1955" width="12.33203125" style="94" bestFit="1" customWidth="1"/>
    <col min="1956" max="1956" width="10.5546875" style="94" bestFit="1" customWidth="1"/>
    <col min="1957" max="1957" width="12.5546875" style="94" bestFit="1" customWidth="1"/>
    <col min="1958" max="1958" width="12.6640625" style="94" bestFit="1" customWidth="1"/>
    <col min="1959" max="1959" width="10.6640625" style="94" bestFit="1" customWidth="1"/>
    <col min="1960" max="1960" width="12.5546875" style="94" bestFit="1" customWidth="1"/>
    <col min="1961" max="1961" width="11.6640625" style="94" bestFit="1" customWidth="1"/>
    <col min="1962" max="1962" width="12.88671875" style="94" bestFit="1" customWidth="1"/>
    <col min="1963" max="1963" width="12.109375" style="94" bestFit="1" customWidth="1"/>
    <col min="1964" max="1965" width="12" style="94" bestFit="1" customWidth="1"/>
    <col min="1966" max="1967" width="10.109375" style="94" bestFit="1" customWidth="1"/>
    <col min="1968" max="1968" width="9.33203125" style="94" bestFit="1" customWidth="1"/>
    <col min="1969" max="1969" width="11.5546875" style="94" bestFit="1" customWidth="1"/>
    <col min="1970" max="1970" width="12.6640625" style="94" bestFit="1" customWidth="1"/>
    <col min="1971" max="1971" width="8.88671875" style="94" bestFit="1" customWidth="1"/>
    <col min="1972" max="1972" width="9.33203125" style="94" bestFit="1" customWidth="1"/>
    <col min="1973" max="1973" width="11.5546875" style="94" bestFit="1" customWidth="1"/>
    <col min="1974" max="1974" width="12.44140625" style="94" bestFit="1" customWidth="1"/>
    <col min="1975" max="1980" width="8.5546875" style="94" bestFit="1" customWidth="1"/>
    <col min="1981" max="1981" width="11" style="94" bestFit="1" customWidth="1"/>
    <col min="1982" max="1982" width="10.44140625" style="94" bestFit="1" customWidth="1"/>
    <col min="1983" max="1983" width="10.5546875" style="94" bestFit="1" customWidth="1"/>
    <col min="1984" max="1984" width="11.5546875" style="94" bestFit="1" customWidth="1"/>
    <col min="1985" max="1986" width="9.109375" style="94" bestFit="1" customWidth="1"/>
    <col min="1987" max="1987" width="11.44140625" style="94" bestFit="1" customWidth="1"/>
    <col min="1988" max="1988" width="12.33203125" style="94" bestFit="1" customWidth="1"/>
    <col min="1989" max="1991" width="8.44140625" style="94" bestFit="1" customWidth="1"/>
    <col min="1992" max="1993" width="11.88671875" style="94" bestFit="1" customWidth="1"/>
    <col min="1994" max="1994" width="12" style="94" bestFit="1" customWidth="1"/>
    <col min="1995" max="1995" width="12.109375" style="94" bestFit="1" customWidth="1"/>
    <col min="1996" max="1996" width="10.88671875" style="94" bestFit="1" customWidth="1"/>
    <col min="1997" max="1997" width="12.44140625" style="94" bestFit="1" customWidth="1"/>
    <col min="1998" max="1998" width="12.33203125" style="94" bestFit="1" customWidth="1"/>
    <col min="1999" max="1999" width="11.44140625" style="94" bestFit="1" customWidth="1"/>
    <col min="2000" max="2000" width="11.6640625" style="94" bestFit="1" customWidth="1"/>
    <col min="2001" max="2002" width="9.88671875" style="94" bestFit="1" customWidth="1"/>
    <col min="2003" max="2003" width="12.44140625" style="94" bestFit="1" customWidth="1"/>
    <col min="2004" max="2004" width="10" style="94" bestFit="1" customWidth="1"/>
    <col min="2005" max="2005" width="11.109375" style="94" bestFit="1" customWidth="1"/>
    <col min="2006" max="2006" width="12.33203125" style="94" bestFit="1" customWidth="1"/>
    <col min="2007" max="2007" width="13.33203125" style="94" bestFit="1" customWidth="1"/>
    <col min="2008" max="2008" width="11.5546875" style="94" bestFit="1" customWidth="1"/>
    <col min="2009" max="2009" width="10.5546875" style="94" bestFit="1" customWidth="1"/>
    <col min="2010" max="2010" width="12" style="94" bestFit="1" customWidth="1"/>
    <col min="2011" max="2011" width="9.44140625" style="94" bestFit="1" customWidth="1"/>
    <col min="2012" max="2012" width="9.109375" style="94" bestFit="1" customWidth="1"/>
    <col min="2013" max="2013" width="9.44140625" style="94" bestFit="1" customWidth="1"/>
    <col min="2014" max="2014" width="9.109375" style="94" bestFit="1" customWidth="1"/>
    <col min="2015" max="2015" width="9.44140625" style="94" bestFit="1" customWidth="1"/>
    <col min="2016" max="2017" width="9.109375" style="94" bestFit="1" customWidth="1"/>
    <col min="2018" max="2018" width="9.44140625" style="94" bestFit="1" customWidth="1"/>
    <col min="2019" max="2020" width="9.109375" style="94" bestFit="1" customWidth="1"/>
    <col min="2021" max="2021" width="9.44140625" style="94" bestFit="1" customWidth="1"/>
    <col min="2022" max="2022" width="9.109375" style="94" bestFit="1" customWidth="1"/>
    <col min="2023" max="2023" width="9.44140625" style="94" bestFit="1" customWidth="1"/>
    <col min="2024" max="2024" width="9.109375" style="94" bestFit="1" customWidth="1"/>
    <col min="2025" max="2025" width="9.44140625" style="94" bestFit="1" customWidth="1"/>
    <col min="2026" max="2027" width="9.109375" style="94" bestFit="1" customWidth="1"/>
    <col min="2028" max="2028" width="9.44140625" style="94" bestFit="1" customWidth="1"/>
    <col min="2029" max="2030" width="9.109375" style="94" bestFit="1" customWidth="1"/>
    <col min="2031" max="2031" width="9.44140625" style="94" bestFit="1" customWidth="1"/>
    <col min="2032" max="2032" width="9.109375" style="94" bestFit="1" customWidth="1"/>
    <col min="2033" max="2033" width="9.44140625" style="94" bestFit="1" customWidth="1"/>
    <col min="2034" max="2034" width="9.109375" style="94" bestFit="1" customWidth="1"/>
    <col min="2035" max="2035" width="9.44140625" style="94" bestFit="1" customWidth="1"/>
    <col min="2036" max="2037" width="9.109375" style="94" bestFit="1" customWidth="1"/>
    <col min="2038" max="2038" width="9.44140625" style="94" bestFit="1" customWidth="1"/>
    <col min="2039" max="2039" width="9.109375" style="94" bestFit="1" customWidth="1"/>
    <col min="2040" max="2041" width="9.44140625" style="94" bestFit="1" customWidth="1"/>
    <col min="2042" max="2042" width="9.109375" style="94" bestFit="1" customWidth="1"/>
    <col min="2043" max="2043" width="9.44140625" style="94" bestFit="1" customWidth="1"/>
    <col min="2044" max="2044" width="9.109375" style="94" bestFit="1" customWidth="1"/>
    <col min="2045" max="2045" width="9.44140625" style="94" bestFit="1" customWidth="1"/>
    <col min="2046" max="2046" width="9.109375" style="94" bestFit="1" customWidth="1"/>
    <col min="2047" max="2047" width="9.44140625" style="94" bestFit="1" customWidth="1"/>
    <col min="2048" max="2048" width="9.109375" style="94" bestFit="1" customWidth="1"/>
    <col min="2049" max="2049" width="9.44140625" style="94" bestFit="1" customWidth="1"/>
    <col min="2050" max="2051" width="9.109375" style="94" bestFit="1" customWidth="1"/>
    <col min="2052" max="2052" width="9.44140625" style="94" bestFit="1" customWidth="1"/>
    <col min="2053" max="2053" width="9.109375" style="94" bestFit="1" customWidth="1"/>
    <col min="2054" max="2055" width="9.44140625" style="94" bestFit="1" customWidth="1"/>
    <col min="2056" max="2061" width="9.109375" style="94" bestFit="1" customWidth="1"/>
    <col min="2062" max="2062" width="8.44140625" style="94" bestFit="1" customWidth="1"/>
    <col min="2063" max="2063" width="8.109375" style="94" bestFit="1" customWidth="1"/>
    <col min="2064" max="2064" width="8.44140625" style="94" bestFit="1" customWidth="1"/>
    <col min="2065" max="2065" width="8.109375" style="94" bestFit="1" customWidth="1"/>
    <col min="2066" max="2066" width="8.44140625" style="94" bestFit="1" customWidth="1"/>
    <col min="2067" max="2067" width="8.109375" style="94" bestFit="1" customWidth="1"/>
    <col min="2068" max="2068" width="8.44140625" style="94" bestFit="1" customWidth="1"/>
    <col min="2069" max="2069" width="8.109375" style="94" bestFit="1" customWidth="1"/>
    <col min="2070" max="2070" width="8.44140625" style="94" bestFit="1" customWidth="1"/>
    <col min="2071" max="2071" width="8.109375" style="94" bestFit="1" customWidth="1"/>
    <col min="2072" max="2072" width="8.44140625" style="94" bestFit="1" customWidth="1"/>
    <col min="2073" max="2074" width="8.109375" style="94" bestFit="1" customWidth="1"/>
    <col min="2075" max="2075" width="8.44140625" style="94" bestFit="1" customWidth="1"/>
    <col min="2076" max="2076" width="8.109375" style="94" bestFit="1" customWidth="1"/>
    <col min="2077" max="2077" width="8.44140625" style="94" bestFit="1" customWidth="1"/>
    <col min="2078" max="2078" width="8.109375" style="94" bestFit="1" customWidth="1"/>
    <col min="2079" max="2079" width="8.44140625" style="94" bestFit="1" customWidth="1"/>
    <col min="2080" max="2080" width="8.109375" style="94" bestFit="1" customWidth="1"/>
    <col min="2081" max="2081" width="8.44140625" style="94" bestFit="1" customWidth="1"/>
    <col min="2082" max="2082" width="8.109375" style="94" bestFit="1" customWidth="1"/>
    <col min="2083" max="2083" width="8.44140625" style="94" bestFit="1" customWidth="1"/>
    <col min="2084" max="2084" width="8.109375" style="94" bestFit="1" customWidth="1"/>
    <col min="2085" max="2085" width="8.44140625" style="94" bestFit="1" customWidth="1"/>
    <col min="2086" max="2086" width="8.109375" style="94" bestFit="1" customWidth="1"/>
    <col min="2087" max="2087" width="9.88671875" style="94" bestFit="1" customWidth="1"/>
    <col min="2088" max="2088" width="9.5546875" style="94" bestFit="1" customWidth="1"/>
    <col min="2089" max="2090" width="11.109375" style="94" bestFit="1" customWidth="1"/>
    <col min="2091" max="2092" width="10.109375" style="94" bestFit="1" customWidth="1"/>
    <col min="2093" max="2094" width="11.109375" style="94" bestFit="1" customWidth="1"/>
    <col min="2095" max="2096" width="10.109375" style="94" bestFit="1" customWidth="1"/>
    <col min="2097" max="2097" width="14.109375" style="94" bestFit="1" customWidth="1"/>
    <col min="2098" max="16384" width="9.109375" style="94"/>
  </cols>
  <sheetData>
    <row r="1" spans="2:19" x14ac:dyDescent="0.3">
      <c r="B1" s="101" t="s">
        <v>186</v>
      </c>
    </row>
    <row r="4" spans="2:19" x14ac:dyDescent="0.3">
      <c r="B4" s="62" t="s">
        <v>32</v>
      </c>
      <c r="C4" s="62" t="s">
        <v>32</v>
      </c>
      <c r="D4" s="62" t="s">
        <v>32</v>
      </c>
      <c r="E4" s="62" t="s">
        <v>32</v>
      </c>
      <c r="F4" s="62" t="s">
        <v>32</v>
      </c>
      <c r="G4" s="63" t="s">
        <v>35</v>
      </c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2:19" x14ac:dyDescent="0.3">
      <c r="B5" s="62" t="s">
        <v>32</v>
      </c>
      <c r="C5" s="68" t="s">
        <v>32</v>
      </c>
      <c r="D5" s="68" t="s">
        <v>32</v>
      </c>
      <c r="E5" s="68" t="s">
        <v>32</v>
      </c>
      <c r="F5" s="62" t="s">
        <v>34</v>
      </c>
      <c r="G5" s="64" t="s">
        <v>232</v>
      </c>
      <c r="H5" s="64" t="s">
        <v>233</v>
      </c>
      <c r="I5" s="64" t="s">
        <v>234</v>
      </c>
      <c r="J5" s="64" t="s">
        <v>235</v>
      </c>
      <c r="K5" s="64" t="s">
        <v>236</v>
      </c>
      <c r="L5" s="64" t="s">
        <v>237</v>
      </c>
      <c r="M5" s="64" t="s">
        <v>238</v>
      </c>
      <c r="N5" s="64" t="s">
        <v>239</v>
      </c>
      <c r="O5" s="64" t="s">
        <v>240</v>
      </c>
      <c r="P5" s="64" t="s">
        <v>241</v>
      </c>
      <c r="Q5" s="64" t="s">
        <v>242</v>
      </c>
      <c r="R5" s="63" t="s">
        <v>243</v>
      </c>
      <c r="S5" s="65" t="s">
        <v>33</v>
      </c>
    </row>
    <row r="6" spans="2:19" x14ac:dyDescent="0.3">
      <c r="B6" s="62" t="s">
        <v>36</v>
      </c>
      <c r="C6" s="59"/>
      <c r="D6" s="62" t="s">
        <v>41</v>
      </c>
      <c r="E6" s="59"/>
      <c r="F6" s="62" t="s">
        <v>37</v>
      </c>
      <c r="G6" s="66" t="s">
        <v>88</v>
      </c>
      <c r="H6" s="66" t="s">
        <v>88</v>
      </c>
      <c r="I6" s="66" t="s">
        <v>88</v>
      </c>
      <c r="J6" s="66" t="s">
        <v>88</v>
      </c>
      <c r="K6" s="66" t="s">
        <v>88</v>
      </c>
      <c r="L6" s="66" t="s">
        <v>88</v>
      </c>
      <c r="M6" s="66" t="s">
        <v>88</v>
      </c>
      <c r="N6" s="66" t="s">
        <v>88</v>
      </c>
      <c r="O6" s="66" t="s">
        <v>88</v>
      </c>
      <c r="P6" s="66" t="s">
        <v>88</v>
      </c>
      <c r="Q6" s="66" t="s">
        <v>88</v>
      </c>
      <c r="R6" s="66" t="s">
        <v>88</v>
      </c>
      <c r="S6" s="67" t="s">
        <v>88</v>
      </c>
    </row>
    <row r="7" spans="2:19" x14ac:dyDescent="0.3">
      <c r="B7" s="63" t="s">
        <v>180</v>
      </c>
      <c r="C7" s="64" t="s">
        <v>103</v>
      </c>
      <c r="D7" s="64" t="s">
        <v>133</v>
      </c>
      <c r="E7" s="64" t="s">
        <v>134</v>
      </c>
      <c r="F7" s="63" t="s">
        <v>43</v>
      </c>
      <c r="G7" s="57">
        <v>5371743.2999999998</v>
      </c>
      <c r="H7" s="57">
        <v>5161060.78</v>
      </c>
      <c r="I7" s="57">
        <v>5335934.45</v>
      </c>
      <c r="J7" s="57">
        <v>4411471.1500000004</v>
      </c>
      <c r="K7" s="57">
        <v>2596223.79</v>
      </c>
      <c r="L7" s="57">
        <v>1677400.35</v>
      </c>
      <c r="M7" s="57">
        <v>1402482.52</v>
      </c>
      <c r="N7" s="57">
        <v>1229738.57</v>
      </c>
      <c r="O7" s="57">
        <v>1338661.31</v>
      </c>
      <c r="P7" s="57">
        <v>1938026.33</v>
      </c>
      <c r="Q7" s="57">
        <v>3444643.72</v>
      </c>
      <c r="R7" s="121">
        <v>4211410.7</v>
      </c>
      <c r="S7" s="61">
        <f>SUM(G7:R7)</f>
        <v>38118796.969999999</v>
      </c>
    </row>
    <row r="8" spans="2:19" x14ac:dyDescent="0.3">
      <c r="B8" s="60"/>
      <c r="C8" s="95"/>
      <c r="D8" s="64" t="s">
        <v>104</v>
      </c>
      <c r="E8" s="64" t="s">
        <v>105</v>
      </c>
      <c r="F8" s="63" t="s">
        <v>44</v>
      </c>
      <c r="G8" s="57">
        <v>2222581.75</v>
      </c>
      <c r="H8" s="57">
        <v>2132696.92</v>
      </c>
      <c r="I8" s="57">
        <v>2215729.64</v>
      </c>
      <c r="J8" s="57">
        <v>1880669.19</v>
      </c>
      <c r="K8" s="57">
        <v>1159846.8500000001</v>
      </c>
      <c r="L8" s="57">
        <v>866155.12</v>
      </c>
      <c r="M8" s="57">
        <v>695655.97</v>
      </c>
      <c r="N8" s="57">
        <v>654768.74</v>
      </c>
      <c r="O8" s="57">
        <v>679067.29</v>
      </c>
      <c r="P8" s="57">
        <v>837519.5</v>
      </c>
      <c r="Q8" s="57">
        <v>1256021.96</v>
      </c>
      <c r="R8" s="121">
        <v>1610309.11</v>
      </c>
      <c r="S8" s="61">
        <f t="shared" ref="S8:S26" si="0">SUM(G8:R8)</f>
        <v>16211022.039999999</v>
      </c>
    </row>
    <row r="9" spans="2:19" x14ac:dyDescent="0.3">
      <c r="B9" s="60"/>
      <c r="C9" s="95"/>
      <c r="D9" s="64" t="s">
        <v>122</v>
      </c>
      <c r="E9" s="64" t="s">
        <v>123</v>
      </c>
      <c r="F9" s="63" t="s">
        <v>44</v>
      </c>
      <c r="G9" s="57">
        <v>141394.91</v>
      </c>
      <c r="H9" s="57">
        <v>138970.65</v>
      </c>
      <c r="I9" s="57">
        <v>150080.99</v>
      </c>
      <c r="J9" s="57">
        <v>116022.05</v>
      </c>
      <c r="K9" s="57">
        <v>65408.22</v>
      </c>
      <c r="L9" s="57">
        <v>37872.99</v>
      </c>
      <c r="M9" s="57">
        <v>20768.400000000001</v>
      </c>
      <c r="N9" s="57">
        <v>32259.14</v>
      </c>
      <c r="O9" s="57">
        <v>29431.7</v>
      </c>
      <c r="P9" s="57">
        <v>43744.61</v>
      </c>
      <c r="Q9" s="57">
        <v>74744.149999999994</v>
      </c>
      <c r="R9" s="121">
        <v>108059.2</v>
      </c>
      <c r="S9" s="61">
        <f t="shared" si="0"/>
        <v>958757.00999999989</v>
      </c>
    </row>
    <row r="10" spans="2:19" x14ac:dyDescent="0.3">
      <c r="B10" s="60"/>
      <c r="C10" s="95"/>
      <c r="D10" s="64" t="s">
        <v>182</v>
      </c>
      <c r="E10" s="64" t="s">
        <v>183</v>
      </c>
      <c r="F10" s="63" t="s">
        <v>45</v>
      </c>
      <c r="G10" s="57">
        <v>0</v>
      </c>
      <c r="H10" s="57">
        <v>0</v>
      </c>
      <c r="I10" s="57"/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121">
        <v>0</v>
      </c>
      <c r="S10" s="61">
        <f t="shared" si="0"/>
        <v>0</v>
      </c>
    </row>
    <row r="11" spans="2:19" x14ac:dyDescent="0.3">
      <c r="B11" s="60"/>
      <c r="C11" s="95"/>
      <c r="D11" s="64" t="s">
        <v>106</v>
      </c>
      <c r="E11" s="64" t="s">
        <v>107</v>
      </c>
      <c r="F11" s="63" t="s">
        <v>44</v>
      </c>
      <c r="G11" s="57">
        <v>374987.4</v>
      </c>
      <c r="H11" s="57">
        <v>357420.31</v>
      </c>
      <c r="I11" s="57">
        <v>385270.24</v>
      </c>
      <c r="J11" s="57">
        <v>325225.93</v>
      </c>
      <c r="K11" s="57">
        <v>249446.01</v>
      </c>
      <c r="L11" s="57">
        <v>229644.94</v>
      </c>
      <c r="M11" s="57">
        <v>166259.76</v>
      </c>
      <c r="N11" s="57">
        <v>163538.26999999999</v>
      </c>
      <c r="O11" s="57">
        <v>173499.22</v>
      </c>
      <c r="P11" s="57">
        <v>182066.78</v>
      </c>
      <c r="Q11" s="57">
        <v>244310.76</v>
      </c>
      <c r="R11" s="121">
        <v>302588.07</v>
      </c>
      <c r="S11" s="61">
        <f t="shared" si="0"/>
        <v>3154257.69</v>
      </c>
    </row>
    <row r="12" spans="2:19" x14ac:dyDescent="0.3">
      <c r="B12" s="60"/>
      <c r="C12" s="95"/>
      <c r="D12" s="64" t="s">
        <v>124</v>
      </c>
      <c r="E12" s="64" t="s">
        <v>107</v>
      </c>
      <c r="F12" s="63" t="s">
        <v>44</v>
      </c>
      <c r="G12" s="57">
        <v>42683.85</v>
      </c>
      <c r="H12" s="57">
        <v>50697.96</v>
      </c>
      <c r="I12" s="57">
        <v>42903.14</v>
      </c>
      <c r="J12" s="57">
        <v>41557.629999999997</v>
      </c>
      <c r="K12" s="57">
        <v>34882.44</v>
      </c>
      <c r="L12" s="57">
        <v>33028.47</v>
      </c>
      <c r="M12" s="57">
        <v>29712.799999999999</v>
      </c>
      <c r="N12" s="57">
        <v>27848.59</v>
      </c>
      <c r="O12" s="57">
        <v>33519.54</v>
      </c>
      <c r="P12" s="57">
        <v>30964.11</v>
      </c>
      <c r="Q12" s="57">
        <v>40871.879999999997</v>
      </c>
      <c r="R12" s="121">
        <v>43444.3</v>
      </c>
      <c r="S12" s="61">
        <f t="shared" si="0"/>
        <v>452114.71</v>
      </c>
    </row>
    <row r="13" spans="2:19" x14ac:dyDescent="0.3">
      <c r="B13" s="60"/>
      <c r="C13" s="95"/>
      <c r="D13" s="64" t="s">
        <v>114</v>
      </c>
      <c r="E13" s="64" t="s">
        <v>115</v>
      </c>
      <c r="F13" s="63" t="s">
        <v>45</v>
      </c>
      <c r="G13" s="57">
        <v>15057.33</v>
      </c>
      <c r="H13" s="57">
        <v>27752.42</v>
      </c>
      <c r="I13" s="57">
        <v>1661.32</v>
      </c>
      <c r="J13" s="57">
        <v>26364.799999999999</v>
      </c>
      <c r="K13" s="57">
        <v>2041.89</v>
      </c>
      <c r="L13" s="57">
        <v>12268.33</v>
      </c>
      <c r="M13" s="57">
        <v>12392.51</v>
      </c>
      <c r="N13" s="57">
        <v>11242.79</v>
      </c>
      <c r="O13" s="57">
        <v>11956.63</v>
      </c>
      <c r="P13" s="57">
        <v>12270.92</v>
      </c>
      <c r="Q13" s="57">
        <v>10929.27</v>
      </c>
      <c r="R13" s="121">
        <v>12846.12</v>
      </c>
      <c r="S13" s="61">
        <f t="shared" si="0"/>
        <v>156784.32999999999</v>
      </c>
    </row>
    <row r="14" spans="2:19" x14ac:dyDescent="0.3">
      <c r="B14" s="60"/>
      <c r="C14" s="95"/>
      <c r="D14" s="64" t="s">
        <v>127</v>
      </c>
      <c r="E14" s="64" t="s">
        <v>115</v>
      </c>
      <c r="F14" s="63" t="s">
        <v>45</v>
      </c>
      <c r="G14" s="57">
        <v>6818.74</v>
      </c>
      <c r="H14" s="57">
        <v>12283.03</v>
      </c>
      <c r="I14" s="57">
        <v>3664.02</v>
      </c>
      <c r="J14" s="57">
        <v>12653.67</v>
      </c>
      <c r="K14" s="57">
        <v>3699.5</v>
      </c>
      <c r="L14" s="57">
        <v>7800.7</v>
      </c>
      <c r="M14" s="57">
        <v>8007.13</v>
      </c>
      <c r="N14" s="57">
        <v>7815.69</v>
      </c>
      <c r="O14" s="57">
        <v>8075.31</v>
      </c>
      <c r="P14" s="57">
        <v>7694.46</v>
      </c>
      <c r="Q14" s="57">
        <v>13491.4</v>
      </c>
      <c r="R14" s="121">
        <v>15776.76</v>
      </c>
      <c r="S14" s="61">
        <f t="shared" si="0"/>
        <v>107780.40999999999</v>
      </c>
    </row>
    <row r="15" spans="2:19" x14ac:dyDescent="0.3">
      <c r="B15" s="60"/>
      <c r="C15" s="95"/>
      <c r="D15" s="64" t="s">
        <v>108</v>
      </c>
      <c r="E15" s="64" t="s">
        <v>109</v>
      </c>
      <c r="F15" s="63" t="s">
        <v>44</v>
      </c>
      <c r="G15" s="57">
        <v>75552.639999999999</v>
      </c>
      <c r="H15" s="57">
        <v>64619.85</v>
      </c>
      <c r="I15" s="57">
        <v>69311.360000000001</v>
      </c>
      <c r="J15" s="57">
        <v>69244.479999999996</v>
      </c>
      <c r="K15" s="57">
        <v>53790.400000000001</v>
      </c>
      <c r="L15" s="57">
        <v>44648.89</v>
      </c>
      <c r="M15" s="57">
        <v>29912.59</v>
      </c>
      <c r="N15" s="57">
        <v>45589.29</v>
      </c>
      <c r="O15" s="57">
        <v>50784.15</v>
      </c>
      <c r="P15" s="57">
        <v>45339.38</v>
      </c>
      <c r="Q15" s="57">
        <v>45144.15</v>
      </c>
      <c r="R15" s="121">
        <v>61101.63</v>
      </c>
      <c r="S15" s="61">
        <f t="shared" si="0"/>
        <v>655038.81000000006</v>
      </c>
    </row>
    <row r="16" spans="2:19" x14ac:dyDescent="0.3">
      <c r="B16" s="60"/>
      <c r="C16" s="95"/>
      <c r="D16" s="64" t="s">
        <v>125</v>
      </c>
      <c r="E16" s="64" t="s">
        <v>109</v>
      </c>
      <c r="F16" s="63" t="s">
        <v>44</v>
      </c>
      <c r="G16" s="57">
        <v>13535.84</v>
      </c>
      <c r="H16" s="57">
        <v>16832.45</v>
      </c>
      <c r="I16" s="57">
        <v>19486.7</v>
      </c>
      <c r="J16" s="57">
        <v>7887.06</v>
      </c>
      <c r="K16" s="57">
        <v>17680.22</v>
      </c>
      <c r="L16" s="57">
        <v>20482.93</v>
      </c>
      <c r="M16" s="57">
        <v>7925.01</v>
      </c>
      <c r="N16" s="57">
        <v>8539.8799999999992</v>
      </c>
      <c r="O16" s="57">
        <v>12158.36</v>
      </c>
      <c r="P16" s="57">
        <v>16128.85</v>
      </c>
      <c r="Q16" s="57">
        <v>15576.79</v>
      </c>
      <c r="R16" s="121">
        <v>8743.6</v>
      </c>
      <c r="S16" s="61">
        <f t="shared" si="0"/>
        <v>164977.69000000003</v>
      </c>
    </row>
    <row r="17" spans="2:19" x14ac:dyDescent="0.3">
      <c r="B17" s="60"/>
      <c r="C17" s="95"/>
      <c r="D17" s="64" t="s">
        <v>116</v>
      </c>
      <c r="E17" s="64" t="s">
        <v>117</v>
      </c>
      <c r="F17" s="63" t="s">
        <v>45</v>
      </c>
      <c r="G17" s="57">
        <v>11305.31</v>
      </c>
      <c r="H17" s="57">
        <v>22190.43</v>
      </c>
      <c r="I17" s="57">
        <v>2211.33</v>
      </c>
      <c r="J17" s="57">
        <v>21181.77</v>
      </c>
      <c r="K17" s="57">
        <v>2986.62</v>
      </c>
      <c r="L17" s="57">
        <v>11318.98</v>
      </c>
      <c r="M17" s="57">
        <v>11269.81</v>
      </c>
      <c r="N17" s="57">
        <v>10492.12</v>
      </c>
      <c r="O17" s="57">
        <v>10953.23</v>
      </c>
      <c r="P17" s="57">
        <v>10962.34</v>
      </c>
      <c r="Q17" s="57">
        <v>14262.58</v>
      </c>
      <c r="R17" s="121">
        <v>20259.63</v>
      </c>
      <c r="S17" s="61">
        <f t="shared" si="0"/>
        <v>149394.15</v>
      </c>
    </row>
    <row r="18" spans="2:19" x14ac:dyDescent="0.3">
      <c r="B18" s="60"/>
      <c r="C18" s="95"/>
      <c r="D18" s="64" t="s">
        <v>128</v>
      </c>
      <c r="E18" s="64" t="s">
        <v>117</v>
      </c>
      <c r="F18" s="63" t="s">
        <v>45</v>
      </c>
      <c r="G18" s="57">
        <v>25113.55</v>
      </c>
      <c r="H18" s="57">
        <v>44872.34</v>
      </c>
      <c r="I18" s="57">
        <v>9947.59</v>
      </c>
      <c r="J18" s="57">
        <v>51048.14</v>
      </c>
      <c r="K18" s="57">
        <v>8506.0400000000009</v>
      </c>
      <c r="L18" s="57">
        <v>28159.66</v>
      </c>
      <c r="M18" s="57">
        <v>26690.799999999999</v>
      </c>
      <c r="N18" s="57">
        <v>26397.22</v>
      </c>
      <c r="O18" s="57">
        <v>26882.38</v>
      </c>
      <c r="P18" s="57">
        <v>27254.18</v>
      </c>
      <c r="Q18" s="57">
        <v>44472.82</v>
      </c>
      <c r="R18" s="121">
        <v>49806.16</v>
      </c>
      <c r="S18" s="61">
        <f t="shared" si="0"/>
        <v>369150.88</v>
      </c>
    </row>
    <row r="19" spans="2:19" x14ac:dyDescent="0.3">
      <c r="B19" s="60"/>
      <c r="C19" s="95"/>
      <c r="D19" s="64" t="s">
        <v>110</v>
      </c>
      <c r="E19" s="64" t="s">
        <v>111</v>
      </c>
      <c r="F19" s="63" t="s">
        <v>44</v>
      </c>
      <c r="G19" s="57">
        <v>40572.1</v>
      </c>
      <c r="H19" s="57">
        <v>33264.26</v>
      </c>
      <c r="I19" s="57">
        <v>36887.14</v>
      </c>
      <c r="J19" s="57">
        <v>34220.11</v>
      </c>
      <c r="K19" s="57">
        <v>27058.37</v>
      </c>
      <c r="L19" s="57">
        <v>13439.45</v>
      </c>
      <c r="M19" s="57">
        <v>9523.7099999999991</v>
      </c>
      <c r="N19" s="57">
        <v>7146.83</v>
      </c>
      <c r="O19" s="57">
        <v>9679.2000000000007</v>
      </c>
      <c r="P19" s="57">
        <v>11408.43</v>
      </c>
      <c r="Q19" s="57">
        <v>19166.53</v>
      </c>
      <c r="R19" s="121">
        <v>28148.19</v>
      </c>
      <c r="S19" s="61">
        <f t="shared" si="0"/>
        <v>270514.31999999995</v>
      </c>
    </row>
    <row r="20" spans="2:19" x14ac:dyDescent="0.3">
      <c r="B20" s="60"/>
      <c r="C20" s="95"/>
      <c r="D20" s="64" t="s">
        <v>126</v>
      </c>
      <c r="E20" s="64" t="s">
        <v>111</v>
      </c>
      <c r="F20" s="63" t="s">
        <v>44</v>
      </c>
      <c r="G20" s="57">
        <v>2341.58</v>
      </c>
      <c r="H20" s="57">
        <v>2622.32</v>
      </c>
      <c r="I20" s="57">
        <v>1955.15</v>
      </c>
      <c r="J20" s="57">
        <v>1506.23</v>
      </c>
      <c r="K20" s="57">
        <v>1331.77</v>
      </c>
      <c r="L20" s="57">
        <v>1145.8499999999999</v>
      </c>
      <c r="M20" s="57">
        <v>1034.69</v>
      </c>
      <c r="N20" s="57">
        <v>1017.63</v>
      </c>
      <c r="O20" s="57">
        <v>870.23</v>
      </c>
      <c r="P20" s="57">
        <v>981.86</v>
      </c>
      <c r="Q20" s="57">
        <v>1228.6099999999999</v>
      </c>
      <c r="R20" s="121">
        <v>1427.38</v>
      </c>
      <c r="S20" s="61">
        <f t="shared" si="0"/>
        <v>17463.3</v>
      </c>
    </row>
    <row r="21" spans="2:19" x14ac:dyDescent="0.3">
      <c r="B21" s="60"/>
      <c r="C21" s="95"/>
      <c r="D21" s="64" t="s">
        <v>118</v>
      </c>
      <c r="E21" s="64" t="s">
        <v>119</v>
      </c>
      <c r="F21" s="63" t="s">
        <v>45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  <c r="Q21" s="57">
        <v>0</v>
      </c>
      <c r="R21" s="121">
        <v>0</v>
      </c>
      <c r="S21" s="61">
        <f t="shared" si="0"/>
        <v>0</v>
      </c>
    </row>
    <row r="22" spans="2:19" x14ac:dyDescent="0.3">
      <c r="B22" s="60"/>
      <c r="C22" s="95"/>
      <c r="D22" s="64" t="s">
        <v>129</v>
      </c>
      <c r="E22" s="64" t="s">
        <v>119</v>
      </c>
      <c r="F22" s="63" t="s">
        <v>45</v>
      </c>
      <c r="G22" s="57">
        <v>708.88</v>
      </c>
      <c r="H22" s="57">
        <v>1288.1199999999999</v>
      </c>
      <c r="I22" s="57"/>
      <c r="J22" s="57">
        <v>1345.66</v>
      </c>
      <c r="K22" s="57">
        <v>269.98</v>
      </c>
      <c r="L22" s="57">
        <v>764.67</v>
      </c>
      <c r="M22" s="57">
        <v>599.44000000000005</v>
      </c>
      <c r="N22" s="57">
        <v>504.79</v>
      </c>
      <c r="O22" s="57">
        <v>760.9</v>
      </c>
      <c r="P22" s="57">
        <v>841.66</v>
      </c>
      <c r="Q22" s="57">
        <v>371.39</v>
      </c>
      <c r="R22" s="121">
        <v>286.98</v>
      </c>
      <c r="S22" s="61">
        <f t="shared" si="0"/>
        <v>7742.4699999999993</v>
      </c>
    </row>
    <row r="23" spans="2:19" x14ac:dyDescent="0.3">
      <c r="B23" s="60"/>
      <c r="C23" s="95"/>
      <c r="D23" s="64" t="s">
        <v>112</v>
      </c>
      <c r="E23" s="64" t="s">
        <v>113</v>
      </c>
      <c r="F23" s="63" t="s">
        <v>44</v>
      </c>
      <c r="G23" s="57">
        <v>91512.639999999999</v>
      </c>
      <c r="H23" s="57">
        <v>147665.10999999999</v>
      </c>
      <c r="I23" s="57">
        <v>10486.17</v>
      </c>
      <c r="J23" s="57">
        <v>135413.70000000001</v>
      </c>
      <c r="K23" s="57">
        <v>9046.68</v>
      </c>
      <c r="L23" s="57">
        <v>48779.27</v>
      </c>
      <c r="M23" s="57">
        <v>37400.74</v>
      </c>
      <c r="N23" s="57">
        <v>39829.06</v>
      </c>
      <c r="O23" s="57">
        <v>30475.38</v>
      </c>
      <c r="P23" s="57">
        <v>48050.52</v>
      </c>
      <c r="Q23" s="57">
        <v>51694.3</v>
      </c>
      <c r="R23" s="121">
        <v>46670.96</v>
      </c>
      <c r="S23" s="61">
        <f t="shared" si="0"/>
        <v>697024.53</v>
      </c>
    </row>
    <row r="24" spans="2:19" x14ac:dyDescent="0.3">
      <c r="B24" s="60"/>
      <c r="C24" s="95"/>
      <c r="D24" s="64" t="s">
        <v>120</v>
      </c>
      <c r="E24" s="64" t="s">
        <v>121</v>
      </c>
      <c r="F24" s="63" t="s">
        <v>45</v>
      </c>
      <c r="G24" s="57">
        <v>5151.68</v>
      </c>
      <c r="H24" s="57">
        <v>9728.8700000000008</v>
      </c>
      <c r="I24" s="57">
        <v>0</v>
      </c>
      <c r="J24" s="57">
        <v>9755.49</v>
      </c>
      <c r="K24" s="57">
        <v>0</v>
      </c>
      <c r="L24" s="57">
        <v>4185.2</v>
      </c>
      <c r="M24" s="57">
        <v>4032.97</v>
      </c>
      <c r="N24" s="57">
        <v>3944.24</v>
      </c>
      <c r="O24" s="57">
        <v>3917.9</v>
      </c>
      <c r="P24" s="57">
        <v>4008.26</v>
      </c>
      <c r="Q24" s="57">
        <v>2901.68</v>
      </c>
      <c r="R24" s="121">
        <v>-2554.65</v>
      </c>
      <c r="S24" s="61">
        <f t="shared" si="0"/>
        <v>45071.64</v>
      </c>
    </row>
    <row r="25" spans="2:19" x14ac:dyDescent="0.3">
      <c r="B25" s="60"/>
      <c r="C25" s="95"/>
      <c r="D25" s="64" t="s">
        <v>130</v>
      </c>
      <c r="E25" s="64" t="s">
        <v>121</v>
      </c>
      <c r="F25" s="63" t="s">
        <v>45</v>
      </c>
      <c r="G25" s="57">
        <v>29538.37</v>
      </c>
      <c r="H25" s="57">
        <v>42128.99</v>
      </c>
      <c r="I25" s="57">
        <v>-10655.67</v>
      </c>
      <c r="J25" s="57">
        <v>36533.01</v>
      </c>
      <c r="K25" s="57">
        <v>40065.9</v>
      </c>
      <c r="L25" s="57">
        <v>-2741.41</v>
      </c>
      <c r="M25" s="57">
        <v>41624.870000000003</v>
      </c>
      <c r="N25" s="57">
        <v>27256.78</v>
      </c>
      <c r="O25" s="57">
        <v>25895.86</v>
      </c>
      <c r="P25" s="57">
        <v>23037.26</v>
      </c>
      <c r="Q25" s="57">
        <v>24647.91</v>
      </c>
      <c r="R25" s="121">
        <v>15749.46</v>
      </c>
      <c r="S25" s="61">
        <f t="shared" si="0"/>
        <v>293081.33</v>
      </c>
    </row>
    <row r="26" spans="2:19" x14ac:dyDescent="0.3">
      <c r="B26" s="60"/>
      <c r="C26" s="95"/>
      <c r="D26" s="64" t="s">
        <v>131</v>
      </c>
      <c r="E26" s="64" t="s">
        <v>132</v>
      </c>
      <c r="F26" s="63" t="s">
        <v>45</v>
      </c>
      <c r="G26" s="57">
        <v>9537</v>
      </c>
      <c r="H26" s="57">
        <v>12068.73</v>
      </c>
      <c r="I26" s="57">
        <v>7069.42</v>
      </c>
      <c r="J26" s="57">
        <v>-541000.06999999995</v>
      </c>
      <c r="K26" s="57">
        <v>544379.62</v>
      </c>
      <c r="L26" s="57">
        <v>7651.53</v>
      </c>
      <c r="M26" s="57">
        <v>7534.17</v>
      </c>
      <c r="N26" s="57">
        <v>7318.68</v>
      </c>
      <c r="O26" s="57">
        <v>7327.52</v>
      </c>
      <c r="P26" s="57">
        <v>7628.87</v>
      </c>
      <c r="Q26" s="57">
        <v>10736.22</v>
      </c>
      <c r="R26" s="121">
        <v>-24915.55</v>
      </c>
      <c r="S26" s="61">
        <f t="shared" si="0"/>
        <v>55336.140000000058</v>
      </c>
    </row>
    <row r="27" spans="2:19" x14ac:dyDescent="0.3">
      <c r="B27" s="122" t="s">
        <v>33</v>
      </c>
      <c r="C27" s="98"/>
      <c r="D27" s="98"/>
      <c r="E27" s="98"/>
      <c r="F27" s="99"/>
      <c r="G27" s="96">
        <v>8480136.8699999992</v>
      </c>
      <c r="H27" s="96">
        <v>8278163.54</v>
      </c>
      <c r="I27" s="96">
        <v>8281942.9900000002</v>
      </c>
      <c r="J27" s="96">
        <v>6641100</v>
      </c>
      <c r="K27" s="96">
        <v>4816664.3</v>
      </c>
      <c r="L27" s="96">
        <v>3042005.92</v>
      </c>
      <c r="M27" s="96">
        <v>2512827.89</v>
      </c>
      <c r="N27" s="96">
        <v>2305248.31</v>
      </c>
      <c r="O27" s="96">
        <v>2453916.11</v>
      </c>
      <c r="P27" s="96">
        <v>3247928.32</v>
      </c>
      <c r="Q27" s="96">
        <v>5315216.12</v>
      </c>
      <c r="R27" s="123">
        <v>6509158.0499999998</v>
      </c>
      <c r="S27" s="61">
        <f>SUM(S7:S26)</f>
        <v>61884308.419999987</v>
      </c>
    </row>
    <row r="28" spans="2:19" customFormat="1" x14ac:dyDescent="0.3"/>
    <row r="29" spans="2:19" customFormat="1" x14ac:dyDescent="0.3"/>
    <row r="31" spans="2:19" x14ac:dyDescent="0.3">
      <c r="D31" s="100" t="s">
        <v>184</v>
      </c>
    </row>
    <row r="34" spans="8:10" x14ac:dyDescent="0.3">
      <c r="H34" s="101" t="s">
        <v>172</v>
      </c>
    </row>
    <row r="35" spans="8:10" x14ac:dyDescent="0.3">
      <c r="H35" s="101" t="s">
        <v>189</v>
      </c>
    </row>
    <row r="36" spans="8:10" x14ac:dyDescent="0.3">
      <c r="H36" s="109" t="s">
        <v>171</v>
      </c>
      <c r="I36" s="109" t="s">
        <v>191</v>
      </c>
      <c r="J36" s="109" t="s">
        <v>96</v>
      </c>
    </row>
    <row r="37" spans="8:10" x14ac:dyDescent="0.3">
      <c r="H37" s="94">
        <v>40810303</v>
      </c>
      <c r="I37" s="94" t="s">
        <v>190</v>
      </c>
      <c r="J37" s="199">
        <v>59161527.740000002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13"/>
  <sheetViews>
    <sheetView workbookViewId="0">
      <selection activeCell="C8" sqref="C8"/>
    </sheetView>
  </sheetViews>
  <sheetFormatPr defaultColWidth="8.6640625" defaultRowHeight="14.4" x14ac:dyDescent="0.3"/>
  <cols>
    <col min="1" max="1" width="8.6640625" style="103"/>
    <col min="2" max="2" width="6.88671875" style="103" customWidth="1"/>
    <col min="3" max="3" width="3.5546875" style="103" customWidth="1"/>
    <col min="4" max="4" width="12.44140625" style="103" customWidth="1"/>
    <col min="5" max="5" width="33.44140625" style="103" customWidth="1"/>
    <col min="6" max="6" width="22.44140625" style="103" customWidth="1"/>
    <col min="7" max="17" width="8.6640625" style="103" bestFit="1" customWidth="1"/>
    <col min="18" max="18" width="14" style="103" customWidth="1"/>
    <col min="19" max="19" width="23.44140625" customWidth="1"/>
    <col min="20" max="20" width="10.109375" style="103" customWidth="1"/>
    <col min="21" max="21" width="5.88671875" style="103" customWidth="1"/>
    <col min="22" max="22" width="10.109375" style="103" customWidth="1"/>
    <col min="23" max="23" width="5.88671875" style="103" customWidth="1"/>
    <col min="24" max="24" width="10.109375" style="103" customWidth="1"/>
    <col min="25" max="25" width="5.88671875" style="103" customWidth="1"/>
    <col min="26" max="26" width="10.109375" style="103" customWidth="1"/>
    <col min="27" max="27" width="5.88671875" style="103" customWidth="1"/>
    <col min="28" max="28" width="11.88671875" style="103" customWidth="1"/>
    <col min="29" max="29" width="23.6640625" style="103" bestFit="1" customWidth="1"/>
    <col min="30" max="30" width="9.33203125" style="103" bestFit="1" customWidth="1"/>
    <col min="31" max="31" width="8.6640625" style="103" bestFit="1" customWidth="1"/>
    <col min="32" max="32" width="8.5546875" style="103" bestFit="1" customWidth="1"/>
    <col min="33" max="33" width="8.44140625" style="103" bestFit="1" customWidth="1"/>
    <col min="34" max="34" width="14.109375" style="103" bestFit="1" customWidth="1"/>
    <col min="35" max="35" width="25" style="103" bestFit="1" customWidth="1"/>
    <col min="36" max="36" width="9.33203125" style="103" bestFit="1" customWidth="1"/>
    <col min="37" max="37" width="8.6640625" style="103" bestFit="1" customWidth="1"/>
    <col min="38" max="38" width="8.5546875" style="103" bestFit="1" customWidth="1"/>
    <col min="39" max="39" width="8.44140625" style="103" bestFit="1" customWidth="1"/>
    <col min="40" max="40" width="14.109375" style="103" bestFit="1" customWidth="1"/>
    <col min="41" max="41" width="30.5546875" style="103" bestFit="1" customWidth="1"/>
    <col min="42" max="42" width="9.33203125" style="103" bestFit="1" customWidth="1"/>
    <col min="43" max="43" width="8.6640625" style="103" bestFit="1" customWidth="1"/>
    <col min="44" max="44" width="8.5546875" style="103" bestFit="1" customWidth="1"/>
    <col min="45" max="45" width="8.44140625" style="103" bestFit="1" customWidth="1"/>
    <col min="46" max="46" width="14.109375" style="103" bestFit="1" customWidth="1"/>
    <col min="47" max="47" width="12" style="103" bestFit="1" customWidth="1"/>
    <col min="48" max="48" width="11.88671875" style="103" bestFit="1" customWidth="1"/>
    <col min="49" max="49" width="11.6640625" style="103" bestFit="1" customWidth="1"/>
    <col min="50" max="50" width="11.109375" style="103" bestFit="1" customWidth="1"/>
    <col min="51" max="51" width="9.109375" style="103" bestFit="1" customWidth="1"/>
    <col min="52" max="52" width="9.88671875" style="103" bestFit="1" customWidth="1"/>
    <col min="53" max="53" width="11.6640625" style="103" bestFit="1" customWidth="1"/>
    <col min="54" max="55" width="10.88671875" style="103" bestFit="1" customWidth="1"/>
    <col min="56" max="56" width="11.6640625" style="103" bestFit="1" customWidth="1"/>
    <col min="57" max="57" width="10.6640625" style="103" bestFit="1" customWidth="1"/>
    <col min="58" max="58" width="11.44140625" style="103" bestFit="1" customWidth="1"/>
    <col min="59" max="60" width="12.6640625" style="103" bestFit="1" customWidth="1"/>
    <col min="61" max="61" width="11.6640625" style="103" bestFit="1" customWidth="1"/>
    <col min="62" max="62" width="11.33203125" style="103" bestFit="1" customWidth="1"/>
    <col min="63" max="64" width="10.109375" style="103" bestFit="1" customWidth="1"/>
    <col min="65" max="65" width="10.88671875" style="103" bestFit="1" customWidth="1"/>
    <col min="66" max="70" width="11.44140625" style="103" bestFit="1" customWidth="1"/>
    <col min="71" max="71" width="10.44140625" style="103" bestFit="1" customWidth="1"/>
    <col min="72" max="77" width="11.33203125" style="103" bestFit="1" customWidth="1"/>
    <col min="78" max="80" width="10.33203125" style="103" bestFit="1" customWidth="1"/>
    <col min="81" max="81" width="11.6640625" style="103" bestFit="1" customWidth="1"/>
    <col min="82" max="82" width="10.88671875" style="103" bestFit="1" customWidth="1"/>
    <col min="83" max="84" width="11.6640625" style="103" bestFit="1" customWidth="1"/>
    <col min="85" max="89" width="11.5546875" style="103" bestFit="1" customWidth="1"/>
    <col min="90" max="90" width="10.5546875" style="103" bestFit="1" customWidth="1"/>
    <col min="91" max="91" width="11" style="103" bestFit="1" customWidth="1"/>
    <col min="92" max="92" width="11.44140625" style="103" bestFit="1" customWidth="1"/>
    <col min="93" max="93" width="11.6640625" style="103" bestFit="1" customWidth="1"/>
    <col min="94" max="95" width="11.5546875" style="103" bestFit="1" customWidth="1"/>
    <col min="96" max="99" width="11.44140625" style="103" bestFit="1" customWidth="1"/>
    <col min="100" max="100" width="11.5546875" style="103" bestFit="1" customWidth="1"/>
    <col min="101" max="101" width="10.6640625" style="103" bestFit="1" customWidth="1"/>
    <col min="102" max="104" width="11.5546875" style="103" bestFit="1" customWidth="1"/>
    <col min="105" max="110" width="11.44140625" style="103" bestFit="1" customWidth="1"/>
    <col min="111" max="112" width="10.44140625" style="103" bestFit="1" customWidth="1"/>
    <col min="113" max="113" width="11.5546875" style="103" bestFit="1" customWidth="1"/>
    <col min="114" max="114" width="10.44140625" style="103" bestFit="1" customWidth="1"/>
    <col min="115" max="120" width="11.109375" style="103" bestFit="1" customWidth="1"/>
    <col min="121" max="122" width="10.109375" style="103" bestFit="1" customWidth="1"/>
    <col min="123" max="124" width="11.6640625" style="103" bestFit="1" customWidth="1"/>
    <col min="125" max="126" width="9.33203125" style="103" bestFit="1" customWidth="1"/>
    <col min="127" max="127" width="10.109375" style="103" bestFit="1" customWidth="1"/>
    <col min="128" max="128" width="10.44140625" style="103" bestFit="1" customWidth="1"/>
    <col min="129" max="129" width="9.33203125" style="103" bestFit="1" customWidth="1"/>
    <col min="130" max="130" width="9.88671875" style="103" bestFit="1" customWidth="1"/>
    <col min="131" max="131" width="12.44140625" style="103" bestFit="1" customWidth="1"/>
    <col min="132" max="132" width="11.6640625" style="103" bestFit="1" customWidth="1"/>
    <col min="133" max="133" width="12.44140625" style="103" bestFit="1" customWidth="1"/>
    <col min="134" max="134" width="11.6640625" style="103" bestFit="1" customWidth="1"/>
    <col min="135" max="135" width="11" style="103" bestFit="1" customWidth="1"/>
    <col min="136" max="136" width="10.44140625" style="103" bestFit="1" customWidth="1"/>
    <col min="137" max="137" width="8.44140625" style="103" bestFit="1" customWidth="1"/>
    <col min="138" max="138" width="9.44140625" style="103" bestFit="1" customWidth="1"/>
    <col min="139" max="139" width="11.6640625" style="103" bestFit="1" customWidth="1"/>
    <col min="140" max="140" width="11.44140625" style="103" bestFit="1" customWidth="1"/>
    <col min="141" max="141" width="13.88671875" style="103" bestFit="1" customWidth="1"/>
    <col min="142" max="142" width="12" style="103" bestFit="1" customWidth="1"/>
    <col min="143" max="143" width="11.88671875" style="103" bestFit="1" customWidth="1"/>
    <col min="144" max="144" width="10.5546875" style="103" bestFit="1" customWidth="1"/>
    <col min="145" max="145" width="10.88671875" style="103" bestFit="1" customWidth="1"/>
    <col min="146" max="146" width="11.109375" style="103" bestFit="1" customWidth="1"/>
    <col min="147" max="148" width="9.109375" style="103" bestFit="1" customWidth="1"/>
    <col min="149" max="149" width="8.109375" style="103" bestFit="1" customWidth="1"/>
    <col min="150" max="150" width="9.33203125" style="103" bestFit="1" customWidth="1"/>
    <col min="151" max="151" width="11.44140625" style="103" bestFit="1" customWidth="1"/>
    <col min="152" max="152" width="9.6640625" style="103" bestFit="1" customWidth="1"/>
    <col min="153" max="153" width="12.6640625" style="103" bestFit="1" customWidth="1"/>
    <col min="154" max="155" width="11.6640625" style="103" bestFit="1" customWidth="1"/>
    <col min="156" max="156" width="10.109375" style="103" bestFit="1" customWidth="1"/>
    <col min="157" max="157" width="8.6640625" style="103" bestFit="1" customWidth="1"/>
    <col min="158" max="158" width="9.109375" style="103" bestFit="1" customWidth="1"/>
    <col min="159" max="159" width="12.33203125" style="103" bestFit="1" customWidth="1"/>
    <col min="160" max="160" width="11.6640625" style="103" bestFit="1" customWidth="1"/>
    <col min="161" max="161" width="12.33203125" style="103" bestFit="1" customWidth="1"/>
    <col min="162" max="162" width="10.5546875" style="103" bestFit="1" customWidth="1"/>
    <col min="163" max="163" width="12.5546875" style="103" bestFit="1" customWidth="1"/>
    <col min="164" max="165" width="12.6640625" style="103" bestFit="1" customWidth="1"/>
    <col min="166" max="166" width="12.5546875" style="103" bestFit="1" customWidth="1"/>
    <col min="167" max="167" width="11.6640625" style="103" bestFit="1" customWidth="1"/>
    <col min="168" max="168" width="12.88671875" style="103" bestFit="1" customWidth="1"/>
    <col min="169" max="169" width="12.109375" style="103" bestFit="1" customWidth="1"/>
    <col min="170" max="171" width="12" style="103" bestFit="1" customWidth="1"/>
    <col min="172" max="173" width="10.109375" style="103" bestFit="1" customWidth="1"/>
    <col min="174" max="174" width="9.33203125" style="103" bestFit="1" customWidth="1"/>
    <col min="175" max="175" width="11.5546875" style="103" bestFit="1" customWidth="1"/>
    <col min="176" max="176" width="12.6640625" style="103" bestFit="1" customWidth="1"/>
    <col min="177" max="177" width="8.88671875" style="103" bestFit="1" customWidth="1"/>
    <col min="178" max="178" width="9.33203125" style="103" bestFit="1" customWidth="1"/>
    <col min="179" max="179" width="11.5546875" style="103" bestFit="1" customWidth="1"/>
    <col min="180" max="180" width="12.44140625" style="103" bestFit="1" customWidth="1"/>
    <col min="181" max="181" width="12.6640625" style="103" bestFit="1" customWidth="1"/>
    <col min="182" max="183" width="11.6640625" style="103" bestFit="1" customWidth="1"/>
    <col min="184" max="184" width="10.109375" style="103" bestFit="1" customWidth="1"/>
    <col min="185" max="185" width="8.5546875" style="103" bestFit="1" customWidth="1"/>
    <col min="186" max="186" width="9.109375" style="103" bestFit="1" customWidth="1"/>
    <col min="187" max="187" width="11.6640625" style="103" bestFit="1" customWidth="1"/>
    <col min="188" max="188" width="10.44140625" style="103" bestFit="1" customWidth="1"/>
    <col min="189" max="189" width="12.6640625" style="103" bestFit="1" customWidth="1"/>
    <col min="190" max="190" width="11.6640625" style="103" bestFit="1" customWidth="1"/>
    <col min="191" max="192" width="9.109375" style="103" bestFit="1" customWidth="1"/>
    <col min="193" max="193" width="11.44140625" style="103" bestFit="1" customWidth="1"/>
    <col min="194" max="194" width="12.33203125" style="103" bestFit="1" customWidth="1"/>
    <col min="195" max="195" width="9.109375" style="103" bestFit="1" customWidth="1"/>
    <col min="196" max="197" width="8.44140625" style="103" bestFit="1" customWidth="1"/>
    <col min="198" max="199" width="11.88671875" style="103" bestFit="1" customWidth="1"/>
    <col min="200" max="200" width="12" style="103" bestFit="1" customWidth="1"/>
    <col min="201" max="201" width="12.109375" style="103" bestFit="1" customWidth="1"/>
    <col min="202" max="202" width="10.88671875" style="103" bestFit="1" customWidth="1"/>
    <col min="203" max="203" width="12.44140625" style="103" bestFit="1" customWidth="1"/>
    <col min="204" max="204" width="12.33203125" style="103" bestFit="1" customWidth="1"/>
    <col min="205" max="205" width="11.44140625" style="103" bestFit="1" customWidth="1"/>
    <col min="206" max="206" width="11.6640625" style="103" bestFit="1" customWidth="1"/>
    <col min="207" max="208" width="9.88671875" style="103" bestFit="1" customWidth="1"/>
    <col min="209" max="209" width="12.44140625" style="103" bestFit="1" customWidth="1"/>
    <col min="210" max="210" width="11.6640625" style="103" bestFit="1" customWidth="1"/>
    <col min="211" max="211" width="11.109375" style="103" bestFit="1" customWidth="1"/>
    <col min="212" max="212" width="12.33203125" style="103" bestFit="1" customWidth="1"/>
    <col min="213" max="213" width="13.33203125" style="103" bestFit="1" customWidth="1"/>
    <col min="214" max="214" width="11.5546875" style="103" bestFit="1" customWidth="1"/>
    <col min="215" max="215" width="10.5546875" style="103" bestFit="1" customWidth="1"/>
    <col min="216" max="216" width="12" style="103" bestFit="1" customWidth="1"/>
    <col min="217" max="217" width="9.44140625" style="103" bestFit="1" customWidth="1"/>
    <col min="218" max="218" width="9.109375" style="103" bestFit="1" customWidth="1"/>
    <col min="219" max="219" width="9.44140625" style="103" bestFit="1" customWidth="1"/>
    <col min="220" max="220" width="9.109375" style="103" bestFit="1" customWidth="1"/>
    <col min="221" max="221" width="9.44140625" style="103" bestFit="1" customWidth="1"/>
    <col min="222" max="223" width="9.109375" style="103" bestFit="1" customWidth="1"/>
    <col min="224" max="224" width="9.44140625" style="103" bestFit="1" customWidth="1"/>
    <col min="225" max="226" width="9.109375" style="103" bestFit="1" customWidth="1"/>
    <col min="227" max="227" width="9.44140625" style="103" bestFit="1" customWidth="1"/>
    <col min="228" max="228" width="9.109375" style="103" bestFit="1" customWidth="1"/>
    <col min="229" max="229" width="9.44140625" style="103" bestFit="1" customWidth="1"/>
    <col min="230" max="230" width="9.109375" style="103" bestFit="1" customWidth="1"/>
    <col min="231" max="231" width="9.44140625" style="103" bestFit="1" customWidth="1"/>
    <col min="232" max="233" width="9.109375" style="103" bestFit="1" customWidth="1"/>
    <col min="234" max="234" width="9.44140625" style="103" bestFit="1" customWidth="1"/>
    <col min="235" max="236" width="9.109375" style="103" bestFit="1" customWidth="1"/>
    <col min="237" max="237" width="9.44140625" style="103" bestFit="1" customWidth="1"/>
    <col min="238" max="238" width="9.109375" style="103" bestFit="1" customWidth="1"/>
    <col min="239" max="239" width="9.44140625" style="103" bestFit="1" customWidth="1"/>
    <col min="240" max="240" width="9.109375" style="103" bestFit="1" customWidth="1"/>
    <col min="241" max="241" width="9.44140625" style="103" bestFit="1" customWidth="1"/>
    <col min="242" max="243" width="9.109375" style="103" bestFit="1" customWidth="1"/>
    <col min="244" max="244" width="9.44140625" style="103" bestFit="1" customWidth="1"/>
    <col min="245" max="245" width="9.109375" style="103" bestFit="1" customWidth="1"/>
    <col min="246" max="247" width="9.44140625" style="103" bestFit="1" customWidth="1"/>
    <col min="248" max="248" width="9.109375" style="103" bestFit="1" customWidth="1"/>
    <col min="249" max="249" width="9.44140625" style="103" bestFit="1" customWidth="1"/>
    <col min="250" max="250" width="9.109375" style="103" bestFit="1" customWidth="1"/>
    <col min="251" max="251" width="9.44140625" style="103" bestFit="1" customWidth="1"/>
    <col min="252" max="252" width="9.109375" style="103" bestFit="1" customWidth="1"/>
    <col min="253" max="253" width="9.44140625" style="103" bestFit="1" customWidth="1"/>
    <col min="254" max="254" width="9.109375" style="103" bestFit="1" customWidth="1"/>
    <col min="255" max="255" width="9.44140625" style="103" bestFit="1" customWidth="1"/>
    <col min="256" max="257" width="9.109375" style="103" bestFit="1" customWidth="1"/>
    <col min="258" max="258" width="9.44140625" style="103" bestFit="1" customWidth="1"/>
    <col min="259" max="259" width="9.109375" style="103" bestFit="1" customWidth="1"/>
    <col min="260" max="261" width="9.44140625" style="103" bestFit="1" customWidth="1"/>
    <col min="262" max="267" width="9.109375" style="103" bestFit="1" customWidth="1"/>
    <col min="268" max="268" width="8.44140625" style="103" bestFit="1" customWidth="1"/>
    <col min="269" max="269" width="9.109375" style="103" bestFit="1" customWidth="1"/>
    <col min="270" max="270" width="8.44140625" style="103" bestFit="1" customWidth="1"/>
    <col min="271" max="271" width="9.109375" style="103" bestFit="1" customWidth="1"/>
    <col min="272" max="272" width="8.44140625" style="103" bestFit="1" customWidth="1"/>
    <col min="273" max="273" width="9.109375" style="103" bestFit="1" customWidth="1"/>
    <col min="274" max="274" width="8.44140625" style="103" bestFit="1" customWidth="1"/>
    <col min="275" max="275" width="8.109375" style="103" bestFit="1" customWidth="1"/>
    <col min="276" max="276" width="8.44140625" style="103" bestFit="1" customWidth="1"/>
    <col min="277" max="277" width="10.109375" style="103" bestFit="1" customWidth="1"/>
    <col min="278" max="278" width="8.44140625" style="103" bestFit="1" customWidth="1"/>
    <col min="279" max="280" width="8.109375" style="103" bestFit="1" customWidth="1"/>
    <col min="281" max="281" width="8.44140625" style="103" bestFit="1" customWidth="1"/>
    <col min="282" max="282" width="8.109375" style="103" bestFit="1" customWidth="1"/>
    <col min="283" max="283" width="8.44140625" style="103" bestFit="1" customWidth="1"/>
    <col min="284" max="284" width="9.109375" style="103" bestFit="1" customWidth="1"/>
    <col min="285" max="285" width="8.44140625" style="103" bestFit="1" customWidth="1"/>
    <col min="286" max="286" width="8.109375" style="103" bestFit="1" customWidth="1"/>
    <col min="287" max="287" width="8.44140625" style="103" bestFit="1" customWidth="1"/>
    <col min="288" max="288" width="8.109375" style="103" bestFit="1" customWidth="1"/>
    <col min="289" max="289" width="8.44140625" style="103" bestFit="1" customWidth="1"/>
    <col min="290" max="290" width="8.109375" style="103" bestFit="1" customWidth="1"/>
    <col min="291" max="291" width="8.44140625" style="103" bestFit="1" customWidth="1"/>
    <col min="292" max="292" width="8.109375" style="103" bestFit="1" customWidth="1"/>
    <col min="293" max="293" width="9.88671875" style="103" bestFit="1" customWidth="1"/>
    <col min="294" max="294" width="9.5546875" style="103" bestFit="1" customWidth="1"/>
    <col min="295" max="296" width="11.109375" style="103" bestFit="1" customWidth="1"/>
    <col min="297" max="298" width="10.109375" style="103" bestFit="1" customWidth="1"/>
    <col min="299" max="300" width="11.109375" style="103" bestFit="1" customWidth="1"/>
    <col min="301" max="302" width="10.109375" style="103" bestFit="1" customWidth="1"/>
    <col min="303" max="303" width="15.44140625" style="103" bestFit="1" customWidth="1"/>
    <col min="304" max="304" width="11.33203125" style="103" bestFit="1" customWidth="1"/>
    <col min="305" max="305" width="8" style="103" bestFit="1" customWidth="1"/>
    <col min="306" max="306" width="9.33203125" style="103" bestFit="1" customWidth="1"/>
    <col min="307" max="307" width="10.44140625" style="103" bestFit="1" customWidth="1"/>
    <col min="308" max="308" width="8" style="103" bestFit="1" customWidth="1"/>
    <col min="309" max="309" width="9.33203125" style="103" bestFit="1" customWidth="1"/>
    <col min="310" max="310" width="10.44140625" style="103" bestFit="1" customWidth="1"/>
    <col min="311" max="311" width="11.33203125" style="103" bestFit="1" customWidth="1"/>
    <col min="312" max="312" width="8" style="103" bestFit="1" customWidth="1"/>
    <col min="313" max="313" width="9.33203125" style="103" bestFit="1" customWidth="1"/>
    <col min="314" max="314" width="10.44140625" style="103" bestFit="1" customWidth="1"/>
    <col min="315" max="316" width="8" style="103" bestFit="1" customWidth="1"/>
    <col min="317" max="317" width="9.109375" style="103" bestFit="1" customWidth="1"/>
    <col min="318" max="321" width="8" style="103" bestFit="1" customWidth="1"/>
    <col min="322" max="322" width="11.109375" style="103" bestFit="1" customWidth="1"/>
    <col min="323" max="324" width="11.6640625" style="103" bestFit="1" customWidth="1"/>
    <col min="325" max="325" width="7" style="103" bestFit="1" customWidth="1"/>
    <col min="326" max="326" width="8.109375" style="103" bestFit="1" customWidth="1"/>
    <col min="327" max="331" width="9.5546875" style="103" bestFit="1" customWidth="1"/>
    <col min="332" max="332" width="11.6640625" style="103" bestFit="1" customWidth="1"/>
    <col min="333" max="333" width="12" style="103" bestFit="1" customWidth="1"/>
    <col min="334" max="334" width="10.44140625" style="103" bestFit="1" customWidth="1"/>
    <col min="335" max="335" width="9.109375" style="103" bestFit="1" customWidth="1"/>
    <col min="336" max="337" width="11" style="103" bestFit="1" customWidth="1"/>
    <col min="338" max="338" width="12.5546875" style="103" bestFit="1" customWidth="1"/>
    <col min="339" max="339" width="9.44140625" style="103" bestFit="1" customWidth="1"/>
    <col min="340" max="340" width="9.6640625" style="103" bestFit="1" customWidth="1"/>
    <col min="341" max="342" width="12" style="103" bestFit="1" customWidth="1"/>
    <col min="343" max="343" width="9.109375" style="103" bestFit="1" customWidth="1"/>
    <col min="344" max="344" width="11.5546875" style="103" bestFit="1" customWidth="1"/>
    <col min="345" max="346" width="12" style="103" bestFit="1" customWidth="1"/>
    <col min="347" max="347" width="11.88671875" style="103" bestFit="1" customWidth="1"/>
    <col min="348" max="348" width="10.88671875" style="103" bestFit="1" customWidth="1"/>
    <col min="349" max="349" width="11.109375" style="103" bestFit="1" customWidth="1"/>
    <col min="350" max="350" width="9.109375" style="103" bestFit="1" customWidth="1"/>
    <col min="351" max="351" width="9.88671875" style="103" bestFit="1" customWidth="1"/>
    <col min="352" max="352" width="10.33203125" style="103" bestFit="1" customWidth="1"/>
    <col min="353" max="353" width="10.88671875" style="103" bestFit="1" customWidth="1"/>
    <col min="354" max="354" width="10.6640625" style="103" bestFit="1" customWidth="1"/>
    <col min="355" max="355" width="10.109375" style="103" bestFit="1" customWidth="1"/>
    <col min="356" max="356" width="10.6640625" style="103" bestFit="1" customWidth="1"/>
    <col min="357" max="357" width="11.44140625" style="103" bestFit="1" customWidth="1"/>
    <col min="358" max="358" width="11.109375" style="103" bestFit="1" customWidth="1"/>
    <col min="359" max="360" width="11.6640625" style="103" bestFit="1" customWidth="1"/>
    <col min="361" max="361" width="11.33203125" style="103" bestFit="1" customWidth="1"/>
    <col min="362" max="362" width="9.88671875" style="103" bestFit="1" customWidth="1"/>
    <col min="363" max="363" width="9.6640625" style="103" bestFit="1" customWidth="1"/>
    <col min="364" max="364" width="10.88671875" style="103" bestFit="1" customWidth="1"/>
    <col min="365" max="369" width="11.44140625" style="103" bestFit="1" customWidth="1"/>
    <col min="370" max="370" width="10.44140625" style="103" bestFit="1" customWidth="1"/>
    <col min="371" max="376" width="11.33203125" style="103" bestFit="1" customWidth="1"/>
    <col min="377" max="379" width="10.33203125" style="103" bestFit="1" customWidth="1"/>
    <col min="380" max="380" width="11.6640625" style="103" bestFit="1" customWidth="1"/>
    <col min="381" max="381" width="10.88671875" style="103" bestFit="1" customWidth="1"/>
    <col min="382" max="383" width="11.6640625" style="103" bestFit="1" customWidth="1"/>
    <col min="384" max="388" width="11.5546875" style="103" bestFit="1" customWidth="1"/>
    <col min="389" max="389" width="10.5546875" style="103" bestFit="1" customWidth="1"/>
    <col min="390" max="390" width="11" style="103" bestFit="1" customWidth="1"/>
    <col min="391" max="391" width="11.44140625" style="103" bestFit="1" customWidth="1"/>
    <col min="392" max="392" width="11.6640625" style="103" bestFit="1" customWidth="1"/>
    <col min="393" max="394" width="11.5546875" style="103" bestFit="1" customWidth="1"/>
    <col min="395" max="398" width="11.44140625" style="103" bestFit="1" customWidth="1"/>
    <col min="399" max="399" width="11.5546875" style="103" bestFit="1" customWidth="1"/>
    <col min="400" max="400" width="10.6640625" style="103" bestFit="1" customWidth="1"/>
    <col min="401" max="403" width="11.5546875" style="103" bestFit="1" customWidth="1"/>
    <col min="404" max="409" width="11.44140625" style="103" bestFit="1" customWidth="1"/>
    <col min="410" max="411" width="10.44140625" style="103" bestFit="1" customWidth="1"/>
    <col min="412" max="412" width="11.5546875" style="103" bestFit="1" customWidth="1"/>
    <col min="413" max="413" width="10.44140625" style="103" bestFit="1" customWidth="1"/>
    <col min="414" max="419" width="11.109375" style="103" bestFit="1" customWidth="1"/>
    <col min="420" max="421" width="10.109375" style="103" bestFit="1" customWidth="1"/>
    <col min="422" max="426" width="9.33203125" style="103" bestFit="1" customWidth="1"/>
    <col min="427" max="427" width="10.44140625" style="103" bestFit="1" customWidth="1"/>
    <col min="428" max="430" width="9.33203125" style="103" bestFit="1" customWidth="1"/>
    <col min="431" max="431" width="8.33203125" style="103" bestFit="1" customWidth="1"/>
    <col min="432" max="432" width="9.44140625" style="103" bestFit="1" customWidth="1"/>
    <col min="433" max="433" width="11.6640625" style="103" bestFit="1" customWidth="1"/>
    <col min="434" max="434" width="11" style="103" bestFit="1" customWidth="1"/>
    <col min="435" max="435" width="10.44140625" style="103" bestFit="1" customWidth="1"/>
    <col min="436" max="436" width="8.44140625" style="103" bestFit="1" customWidth="1"/>
    <col min="437" max="437" width="9.44140625" style="103" bestFit="1" customWidth="1"/>
    <col min="438" max="438" width="11.5546875" style="103" bestFit="1" customWidth="1"/>
    <col min="439" max="439" width="11.44140625" style="103" bestFit="1" customWidth="1"/>
    <col min="440" max="440" width="12.6640625" style="103" bestFit="1" customWidth="1"/>
    <col min="441" max="441" width="12" style="103" bestFit="1" customWidth="1"/>
    <col min="442" max="442" width="11.88671875" style="103" bestFit="1" customWidth="1"/>
    <col min="443" max="443" width="10.5546875" style="103" bestFit="1" customWidth="1"/>
    <col min="444" max="444" width="10.88671875" style="103" bestFit="1" customWidth="1"/>
    <col min="445" max="445" width="11.109375" style="103" bestFit="1" customWidth="1"/>
    <col min="446" max="447" width="9.109375" style="103" bestFit="1" customWidth="1"/>
    <col min="448" max="448" width="8.109375" style="103" bestFit="1" customWidth="1"/>
    <col min="449" max="449" width="9.33203125" style="103" bestFit="1" customWidth="1"/>
    <col min="450" max="450" width="11.44140625" style="103" bestFit="1" customWidth="1"/>
    <col min="451" max="451" width="9.6640625" style="103" bestFit="1" customWidth="1"/>
    <col min="452" max="457" width="8.6640625" style="103" bestFit="1" customWidth="1"/>
    <col min="458" max="458" width="12.33203125" style="103" bestFit="1" customWidth="1"/>
    <col min="459" max="459" width="11.109375" style="103" bestFit="1" customWidth="1"/>
    <col min="460" max="460" width="12.33203125" style="103" bestFit="1" customWidth="1"/>
    <col min="461" max="461" width="10.5546875" style="103" bestFit="1" customWidth="1"/>
    <col min="462" max="462" width="12.5546875" style="103" bestFit="1" customWidth="1"/>
    <col min="463" max="463" width="12.6640625" style="103" bestFit="1" customWidth="1"/>
    <col min="464" max="464" width="10.6640625" style="103" bestFit="1" customWidth="1"/>
    <col min="465" max="465" width="12.5546875" style="103" bestFit="1" customWidth="1"/>
    <col min="466" max="466" width="11.6640625" style="103" bestFit="1" customWidth="1"/>
    <col min="467" max="467" width="12.88671875" style="103" bestFit="1" customWidth="1"/>
    <col min="468" max="468" width="12.109375" style="103" bestFit="1" customWidth="1"/>
    <col min="469" max="470" width="12" style="103" bestFit="1" customWidth="1"/>
    <col min="471" max="472" width="10.109375" style="103" bestFit="1" customWidth="1"/>
    <col min="473" max="473" width="9.33203125" style="103" bestFit="1" customWidth="1"/>
    <col min="474" max="474" width="11.5546875" style="103" bestFit="1" customWidth="1"/>
    <col min="475" max="475" width="12.6640625" style="103" bestFit="1" customWidth="1"/>
    <col min="476" max="476" width="8.88671875" style="103" bestFit="1" customWidth="1"/>
    <col min="477" max="477" width="9.33203125" style="103" bestFit="1" customWidth="1"/>
    <col min="478" max="478" width="11.5546875" style="103" bestFit="1" customWidth="1"/>
    <col min="479" max="479" width="12.44140625" style="103" bestFit="1" customWidth="1"/>
    <col min="480" max="485" width="8.5546875" style="103" bestFit="1" customWidth="1"/>
    <col min="486" max="486" width="11" style="103" bestFit="1" customWidth="1"/>
    <col min="487" max="487" width="10.44140625" style="103" bestFit="1" customWidth="1"/>
    <col min="488" max="488" width="10.5546875" style="103" bestFit="1" customWidth="1"/>
    <col min="489" max="489" width="11.5546875" style="103" bestFit="1" customWidth="1"/>
    <col min="490" max="491" width="9.109375" style="103" bestFit="1" customWidth="1"/>
    <col min="492" max="492" width="11.44140625" style="103" bestFit="1" customWidth="1"/>
    <col min="493" max="493" width="12.33203125" style="103" bestFit="1" customWidth="1"/>
    <col min="494" max="496" width="8.44140625" style="103" bestFit="1" customWidth="1"/>
    <col min="497" max="498" width="11.88671875" style="103" bestFit="1" customWidth="1"/>
    <col min="499" max="499" width="12" style="103" bestFit="1" customWidth="1"/>
    <col min="500" max="500" width="12.109375" style="103" bestFit="1" customWidth="1"/>
    <col min="501" max="501" width="10.88671875" style="103" bestFit="1" customWidth="1"/>
    <col min="502" max="502" width="12.44140625" style="103" bestFit="1" customWidth="1"/>
    <col min="503" max="503" width="12.33203125" style="103" bestFit="1" customWidth="1"/>
    <col min="504" max="504" width="11.44140625" style="103" bestFit="1" customWidth="1"/>
    <col min="505" max="505" width="11.6640625" style="103" bestFit="1" customWidth="1"/>
    <col min="506" max="507" width="9.88671875" style="103" bestFit="1" customWidth="1"/>
    <col min="508" max="508" width="12.44140625" style="103" bestFit="1" customWidth="1"/>
    <col min="509" max="509" width="10" style="103" bestFit="1" customWidth="1"/>
    <col min="510" max="510" width="11.109375" style="103" bestFit="1" customWidth="1"/>
    <col min="511" max="511" width="12.33203125" style="103" bestFit="1" customWidth="1"/>
    <col min="512" max="512" width="13.33203125" style="103" bestFit="1" customWidth="1"/>
    <col min="513" max="513" width="11.5546875" style="103" bestFit="1" customWidth="1"/>
    <col min="514" max="514" width="10.5546875" style="103" bestFit="1" customWidth="1"/>
    <col min="515" max="515" width="12" style="103" bestFit="1" customWidth="1"/>
    <col min="516" max="516" width="9.44140625" style="103" bestFit="1" customWidth="1"/>
    <col min="517" max="517" width="9.109375" style="103" bestFit="1" customWidth="1"/>
    <col min="518" max="518" width="9.44140625" style="103" bestFit="1" customWidth="1"/>
    <col min="519" max="519" width="9.109375" style="103" bestFit="1" customWidth="1"/>
    <col min="520" max="520" width="9.44140625" style="103" bestFit="1" customWidth="1"/>
    <col min="521" max="522" width="9.109375" style="103" bestFit="1" customWidth="1"/>
    <col min="523" max="523" width="9.44140625" style="103" bestFit="1" customWidth="1"/>
    <col min="524" max="525" width="9.109375" style="103" bestFit="1" customWidth="1"/>
    <col min="526" max="526" width="9.44140625" style="103" bestFit="1" customWidth="1"/>
    <col min="527" max="527" width="9.109375" style="103" bestFit="1" customWidth="1"/>
    <col min="528" max="528" width="9.44140625" style="103" bestFit="1" customWidth="1"/>
    <col min="529" max="529" width="9.109375" style="103" bestFit="1" customWidth="1"/>
    <col min="530" max="530" width="9.44140625" style="103" bestFit="1" customWidth="1"/>
    <col min="531" max="532" width="9.109375" style="103" bestFit="1" customWidth="1"/>
    <col min="533" max="533" width="9.44140625" style="103" bestFit="1" customWidth="1"/>
    <col min="534" max="535" width="9.109375" style="103" bestFit="1" customWidth="1"/>
    <col min="536" max="536" width="9.44140625" style="103" bestFit="1" customWidth="1"/>
    <col min="537" max="537" width="9.109375" style="103" bestFit="1" customWidth="1"/>
    <col min="538" max="538" width="9.44140625" style="103" bestFit="1" customWidth="1"/>
    <col min="539" max="539" width="9.109375" style="103" bestFit="1" customWidth="1"/>
    <col min="540" max="540" width="9.44140625" style="103" bestFit="1" customWidth="1"/>
    <col min="541" max="542" width="9.109375" style="103" bestFit="1" customWidth="1"/>
    <col min="543" max="543" width="9.44140625" style="103" bestFit="1" customWidth="1"/>
    <col min="544" max="544" width="9.109375" style="103" bestFit="1" customWidth="1"/>
    <col min="545" max="546" width="9.44140625" style="103" bestFit="1" customWidth="1"/>
    <col min="547" max="547" width="9.109375" style="103" bestFit="1" customWidth="1"/>
    <col min="548" max="548" width="9.44140625" style="103" bestFit="1" customWidth="1"/>
    <col min="549" max="549" width="9.109375" style="103" bestFit="1" customWidth="1"/>
    <col min="550" max="550" width="9.44140625" style="103" bestFit="1" customWidth="1"/>
    <col min="551" max="551" width="9.109375" style="103" bestFit="1" customWidth="1"/>
    <col min="552" max="552" width="9.44140625" style="103" bestFit="1" customWidth="1"/>
    <col min="553" max="553" width="9.109375" style="103" bestFit="1" customWidth="1"/>
    <col min="554" max="554" width="9.44140625" style="103" bestFit="1" customWidth="1"/>
    <col min="555" max="556" width="9.109375" style="103" bestFit="1" customWidth="1"/>
    <col min="557" max="557" width="9.44140625" style="103" bestFit="1" customWidth="1"/>
    <col min="558" max="558" width="9.109375" style="103" bestFit="1" customWidth="1"/>
    <col min="559" max="560" width="9.44140625" style="103" bestFit="1" customWidth="1"/>
    <col min="561" max="566" width="9.109375" style="103" bestFit="1" customWidth="1"/>
    <col min="567" max="567" width="8.44140625" style="103" bestFit="1" customWidth="1"/>
    <col min="568" max="568" width="8.109375" style="103" bestFit="1" customWidth="1"/>
    <col min="569" max="569" width="8.44140625" style="103" bestFit="1" customWidth="1"/>
    <col min="570" max="570" width="8.109375" style="103" bestFit="1" customWidth="1"/>
    <col min="571" max="571" width="8.44140625" style="103" bestFit="1" customWidth="1"/>
    <col min="572" max="572" width="8.109375" style="103" bestFit="1" customWidth="1"/>
    <col min="573" max="573" width="8.44140625" style="103" bestFit="1" customWidth="1"/>
    <col min="574" max="574" width="8.109375" style="103" bestFit="1" customWidth="1"/>
    <col min="575" max="575" width="8.44140625" style="103" bestFit="1" customWidth="1"/>
    <col min="576" max="576" width="8.109375" style="103" bestFit="1" customWidth="1"/>
    <col min="577" max="577" width="8.44140625" style="103" bestFit="1" customWidth="1"/>
    <col min="578" max="579" width="8.109375" style="103" bestFit="1" customWidth="1"/>
    <col min="580" max="580" width="8.44140625" style="103" bestFit="1" customWidth="1"/>
    <col min="581" max="581" width="8.109375" style="103" bestFit="1" customWidth="1"/>
    <col min="582" max="582" width="8.44140625" style="103" bestFit="1" customWidth="1"/>
    <col min="583" max="583" width="8.109375" style="103" bestFit="1" customWidth="1"/>
    <col min="584" max="584" width="8.44140625" style="103" bestFit="1" customWidth="1"/>
    <col min="585" max="585" width="8.109375" style="103" bestFit="1" customWidth="1"/>
    <col min="586" max="586" width="8.44140625" style="103" bestFit="1" customWidth="1"/>
    <col min="587" max="587" width="8.109375" style="103" bestFit="1" customWidth="1"/>
    <col min="588" max="588" width="8.44140625" style="103" bestFit="1" customWidth="1"/>
    <col min="589" max="589" width="8.109375" style="103" bestFit="1" customWidth="1"/>
    <col min="590" max="590" width="8.44140625" style="103" bestFit="1" customWidth="1"/>
    <col min="591" max="591" width="8.109375" style="103" bestFit="1" customWidth="1"/>
    <col min="592" max="592" width="9.88671875" style="103" bestFit="1" customWidth="1"/>
    <col min="593" max="593" width="9.5546875" style="103" bestFit="1" customWidth="1"/>
    <col min="594" max="595" width="11.109375" style="103" bestFit="1" customWidth="1"/>
    <col min="596" max="597" width="10.109375" style="103" bestFit="1" customWidth="1"/>
    <col min="598" max="599" width="11.109375" style="103" bestFit="1" customWidth="1"/>
    <col min="600" max="601" width="10.109375" style="103" bestFit="1" customWidth="1"/>
    <col min="602" max="602" width="14.33203125" style="103" bestFit="1" customWidth="1"/>
    <col min="603" max="603" width="12.109375" style="103" bestFit="1" customWidth="1"/>
    <col min="604" max="604" width="8" style="103" bestFit="1" customWidth="1"/>
    <col min="605" max="605" width="9.33203125" style="103" bestFit="1" customWidth="1"/>
    <col min="606" max="606" width="10.44140625" style="103" bestFit="1" customWidth="1"/>
    <col min="607" max="607" width="8" style="103" bestFit="1" customWidth="1"/>
    <col min="608" max="608" width="9.33203125" style="103" bestFit="1" customWidth="1"/>
    <col min="609" max="609" width="10.44140625" style="103" bestFit="1" customWidth="1"/>
    <col min="610" max="610" width="11.33203125" style="103" bestFit="1" customWidth="1"/>
    <col min="611" max="611" width="8" style="103" bestFit="1" customWidth="1"/>
    <col min="612" max="612" width="9.33203125" style="103" bestFit="1" customWidth="1"/>
    <col min="613" max="613" width="10.44140625" style="103" bestFit="1" customWidth="1"/>
    <col min="614" max="615" width="8" style="103" bestFit="1" customWidth="1"/>
    <col min="616" max="616" width="9.109375" style="103" bestFit="1" customWidth="1"/>
    <col min="617" max="620" width="8" style="103" bestFit="1" customWidth="1"/>
    <col min="621" max="621" width="8.6640625" style="103" bestFit="1" customWidth="1"/>
    <col min="622" max="623" width="11.6640625" style="103" bestFit="1" customWidth="1"/>
    <col min="624" max="624" width="7" style="103" bestFit="1" customWidth="1"/>
    <col min="625" max="625" width="8.109375" style="103" bestFit="1" customWidth="1"/>
    <col min="626" max="630" width="9.5546875" style="103" bestFit="1" customWidth="1"/>
    <col min="631" max="631" width="11.6640625" style="103" bestFit="1" customWidth="1"/>
    <col min="632" max="632" width="12" style="103" bestFit="1" customWidth="1"/>
    <col min="633" max="633" width="10.44140625" style="103" bestFit="1" customWidth="1"/>
    <col min="634" max="634" width="9" style="103" bestFit="1" customWidth="1"/>
    <col min="635" max="636" width="11" style="103" bestFit="1" customWidth="1"/>
    <col min="637" max="637" width="12.5546875" style="103" bestFit="1" customWidth="1"/>
    <col min="638" max="638" width="9.44140625" style="103" bestFit="1" customWidth="1"/>
    <col min="639" max="639" width="9.6640625" style="103" bestFit="1" customWidth="1"/>
    <col min="640" max="641" width="12" style="103" bestFit="1" customWidth="1"/>
    <col min="642" max="642" width="9.109375" style="103" bestFit="1" customWidth="1"/>
    <col min="643" max="643" width="11.5546875" style="103" bestFit="1" customWidth="1"/>
    <col min="644" max="645" width="12" style="103" bestFit="1" customWidth="1"/>
    <col min="646" max="646" width="11.88671875" style="103" bestFit="1" customWidth="1"/>
    <col min="647" max="647" width="10.88671875" style="103" bestFit="1" customWidth="1"/>
    <col min="648" max="648" width="11.109375" style="103" bestFit="1" customWidth="1"/>
    <col min="649" max="649" width="9.109375" style="103" bestFit="1" customWidth="1"/>
    <col min="650" max="650" width="9.88671875" style="103" bestFit="1" customWidth="1"/>
    <col min="651" max="651" width="10.33203125" style="103" bestFit="1" customWidth="1"/>
    <col min="652" max="652" width="10.88671875" style="103" bestFit="1" customWidth="1"/>
    <col min="653" max="653" width="10.6640625" style="103" bestFit="1" customWidth="1"/>
    <col min="654" max="654" width="10.109375" style="103" bestFit="1" customWidth="1"/>
    <col min="655" max="655" width="10.6640625" style="103" bestFit="1" customWidth="1"/>
    <col min="656" max="656" width="11.44140625" style="103" bestFit="1" customWidth="1"/>
    <col min="657" max="657" width="8.5546875" style="103" bestFit="1" customWidth="1"/>
    <col min="658" max="659" width="11.6640625" style="103" bestFit="1" customWidth="1"/>
    <col min="660" max="660" width="11.33203125" style="103" bestFit="1" customWidth="1"/>
    <col min="661" max="661" width="9.88671875" style="103" bestFit="1" customWidth="1"/>
    <col min="662" max="662" width="9.6640625" style="103" bestFit="1" customWidth="1"/>
    <col min="663" max="663" width="10.88671875" style="103" bestFit="1" customWidth="1"/>
    <col min="664" max="668" width="11.44140625" style="103" bestFit="1" customWidth="1"/>
    <col min="669" max="669" width="10.44140625" style="103" bestFit="1" customWidth="1"/>
    <col min="670" max="675" width="11.33203125" style="103" bestFit="1" customWidth="1"/>
    <col min="676" max="678" width="10.33203125" style="103" bestFit="1" customWidth="1"/>
    <col min="679" max="679" width="11.6640625" style="103" bestFit="1" customWidth="1"/>
    <col min="680" max="680" width="10.88671875" style="103" bestFit="1" customWidth="1"/>
    <col min="681" max="682" width="11.6640625" style="103" bestFit="1" customWidth="1"/>
    <col min="683" max="687" width="11.5546875" style="103" bestFit="1" customWidth="1"/>
    <col min="688" max="688" width="10.5546875" style="103" bestFit="1" customWidth="1"/>
    <col min="689" max="689" width="11" style="103" bestFit="1" customWidth="1"/>
    <col min="690" max="690" width="11.44140625" style="103" bestFit="1" customWidth="1"/>
    <col min="691" max="691" width="11.6640625" style="103" bestFit="1" customWidth="1"/>
    <col min="692" max="693" width="11.5546875" style="103" bestFit="1" customWidth="1"/>
    <col min="694" max="697" width="11.44140625" style="103" bestFit="1" customWidth="1"/>
    <col min="698" max="698" width="11.5546875" style="103" bestFit="1" customWidth="1"/>
    <col min="699" max="699" width="10.6640625" style="103" bestFit="1" customWidth="1"/>
    <col min="700" max="702" width="11.5546875" style="103" bestFit="1" customWidth="1"/>
    <col min="703" max="708" width="11.44140625" style="103" bestFit="1" customWidth="1"/>
    <col min="709" max="710" width="10.44140625" style="103" bestFit="1" customWidth="1"/>
    <col min="711" max="711" width="11.5546875" style="103" bestFit="1" customWidth="1"/>
    <col min="712" max="712" width="10.44140625" style="103" bestFit="1" customWidth="1"/>
    <col min="713" max="718" width="11.109375" style="103" bestFit="1" customWidth="1"/>
    <col min="719" max="720" width="10.109375" style="103" bestFit="1" customWidth="1"/>
    <col min="721" max="725" width="9.33203125" style="103" bestFit="1" customWidth="1"/>
    <col min="726" max="726" width="10.44140625" style="103" bestFit="1" customWidth="1"/>
    <col min="727" max="729" width="9.33203125" style="103" bestFit="1" customWidth="1"/>
    <col min="730" max="730" width="8.33203125" style="103" bestFit="1" customWidth="1"/>
    <col min="731" max="731" width="9.44140625" style="103" bestFit="1" customWidth="1"/>
    <col min="732" max="732" width="11.6640625" style="103" bestFit="1" customWidth="1"/>
    <col min="733" max="733" width="11" style="103" bestFit="1" customWidth="1"/>
    <col min="734" max="734" width="10.44140625" style="103" bestFit="1" customWidth="1"/>
    <col min="735" max="735" width="8.44140625" style="103" bestFit="1" customWidth="1"/>
    <col min="736" max="736" width="9.44140625" style="103" bestFit="1" customWidth="1"/>
    <col min="737" max="737" width="11.5546875" style="103" bestFit="1" customWidth="1"/>
    <col min="738" max="738" width="11.44140625" style="103" bestFit="1" customWidth="1"/>
    <col min="739" max="739" width="9.88671875" style="103" bestFit="1" customWidth="1"/>
    <col min="740" max="740" width="12" style="103" bestFit="1" customWidth="1"/>
    <col min="741" max="741" width="11.88671875" style="103" bestFit="1" customWidth="1"/>
    <col min="742" max="742" width="10.5546875" style="103" bestFit="1" customWidth="1"/>
    <col min="743" max="743" width="10.88671875" style="103" bestFit="1" customWidth="1"/>
    <col min="744" max="744" width="11.109375" style="103" bestFit="1" customWidth="1"/>
    <col min="745" max="746" width="9.109375" style="103" bestFit="1" customWidth="1"/>
    <col min="747" max="747" width="8.109375" style="103" bestFit="1" customWidth="1"/>
    <col min="748" max="748" width="9.33203125" style="103" bestFit="1" customWidth="1"/>
    <col min="749" max="749" width="11.44140625" style="103" bestFit="1" customWidth="1"/>
    <col min="750" max="750" width="9.6640625" style="103" bestFit="1" customWidth="1"/>
    <col min="751" max="756" width="8.6640625" style="103" bestFit="1" customWidth="1"/>
    <col min="757" max="757" width="12.33203125" style="103" bestFit="1" customWidth="1"/>
    <col min="758" max="758" width="11.109375" style="103" bestFit="1" customWidth="1"/>
    <col min="759" max="759" width="12.33203125" style="103" bestFit="1" customWidth="1"/>
    <col min="760" max="760" width="10.5546875" style="103" bestFit="1" customWidth="1"/>
    <col min="761" max="761" width="12.5546875" style="103" bestFit="1" customWidth="1"/>
    <col min="762" max="762" width="12.6640625" style="103" bestFit="1" customWidth="1"/>
    <col min="763" max="763" width="10.6640625" style="103" bestFit="1" customWidth="1"/>
    <col min="764" max="764" width="12.5546875" style="103" bestFit="1" customWidth="1"/>
    <col min="765" max="765" width="11.6640625" style="103" bestFit="1" customWidth="1"/>
    <col min="766" max="766" width="12.88671875" style="103" bestFit="1" customWidth="1"/>
    <col min="767" max="767" width="12.109375" style="103" bestFit="1" customWidth="1"/>
    <col min="768" max="769" width="12" style="103" bestFit="1" customWidth="1"/>
    <col min="770" max="771" width="10.109375" style="103" bestFit="1" customWidth="1"/>
    <col min="772" max="772" width="9.33203125" style="103" bestFit="1" customWidth="1"/>
    <col min="773" max="773" width="11.5546875" style="103" bestFit="1" customWidth="1"/>
    <col min="774" max="774" width="12.6640625" style="103" bestFit="1" customWidth="1"/>
    <col min="775" max="775" width="8.88671875" style="103" bestFit="1" customWidth="1"/>
    <col min="776" max="776" width="9.33203125" style="103" bestFit="1" customWidth="1"/>
    <col min="777" max="777" width="11.5546875" style="103" bestFit="1" customWidth="1"/>
    <col min="778" max="778" width="12.44140625" style="103" bestFit="1" customWidth="1"/>
    <col min="779" max="784" width="8.5546875" style="103" bestFit="1" customWidth="1"/>
    <col min="785" max="785" width="11" style="103" bestFit="1" customWidth="1"/>
    <col min="786" max="786" width="11.109375" style="103" bestFit="1" customWidth="1"/>
    <col min="787" max="787" width="10.5546875" style="103" bestFit="1" customWidth="1"/>
    <col min="788" max="788" width="11.5546875" style="103" bestFit="1" customWidth="1"/>
    <col min="789" max="790" width="9.109375" style="103" bestFit="1" customWidth="1"/>
    <col min="791" max="791" width="11.44140625" style="103" bestFit="1" customWidth="1"/>
    <col min="792" max="792" width="12.33203125" style="103" bestFit="1" customWidth="1"/>
    <col min="793" max="795" width="8.44140625" style="103" bestFit="1" customWidth="1"/>
    <col min="796" max="797" width="11.88671875" style="103" bestFit="1" customWidth="1"/>
    <col min="798" max="798" width="12" style="103" bestFit="1" customWidth="1"/>
    <col min="799" max="799" width="12.109375" style="103" bestFit="1" customWidth="1"/>
    <col min="800" max="800" width="10.88671875" style="103" bestFit="1" customWidth="1"/>
    <col min="801" max="801" width="12.44140625" style="103" bestFit="1" customWidth="1"/>
    <col min="802" max="802" width="12.33203125" style="103" bestFit="1" customWidth="1"/>
    <col min="803" max="803" width="11.44140625" style="103" bestFit="1" customWidth="1"/>
    <col min="804" max="804" width="11.6640625" style="103" bestFit="1" customWidth="1"/>
    <col min="805" max="806" width="9.88671875" style="103" bestFit="1" customWidth="1"/>
    <col min="807" max="807" width="12.44140625" style="103" bestFit="1" customWidth="1"/>
    <col min="808" max="808" width="10" style="103" bestFit="1" customWidth="1"/>
    <col min="809" max="809" width="11.109375" style="103" bestFit="1" customWidth="1"/>
    <col min="810" max="810" width="12.33203125" style="103" bestFit="1" customWidth="1"/>
    <col min="811" max="811" width="13.33203125" style="103" bestFit="1" customWidth="1"/>
    <col min="812" max="812" width="11.5546875" style="103" bestFit="1" customWidth="1"/>
    <col min="813" max="813" width="10.5546875" style="103" bestFit="1" customWidth="1"/>
    <col min="814" max="814" width="12" style="103" bestFit="1" customWidth="1"/>
    <col min="815" max="815" width="9.44140625" style="103" bestFit="1" customWidth="1"/>
    <col min="816" max="816" width="9.109375" style="103" bestFit="1" customWidth="1"/>
    <col min="817" max="817" width="9.44140625" style="103" bestFit="1" customWidth="1"/>
    <col min="818" max="818" width="9.109375" style="103" bestFit="1" customWidth="1"/>
    <col min="819" max="819" width="9.44140625" style="103" bestFit="1" customWidth="1"/>
    <col min="820" max="821" width="9.109375" style="103" bestFit="1" customWidth="1"/>
    <col min="822" max="822" width="9.44140625" style="103" bestFit="1" customWidth="1"/>
    <col min="823" max="824" width="9.109375" style="103" bestFit="1" customWidth="1"/>
    <col min="825" max="825" width="9.44140625" style="103" bestFit="1" customWidth="1"/>
    <col min="826" max="826" width="9.109375" style="103" bestFit="1" customWidth="1"/>
    <col min="827" max="827" width="9.44140625" style="103" bestFit="1" customWidth="1"/>
    <col min="828" max="828" width="9.109375" style="103" bestFit="1" customWidth="1"/>
    <col min="829" max="829" width="9.44140625" style="103" bestFit="1" customWidth="1"/>
    <col min="830" max="831" width="9.109375" style="103" bestFit="1" customWidth="1"/>
    <col min="832" max="832" width="9.44140625" style="103" bestFit="1" customWidth="1"/>
    <col min="833" max="834" width="9.109375" style="103" bestFit="1" customWidth="1"/>
    <col min="835" max="835" width="9.44140625" style="103" bestFit="1" customWidth="1"/>
    <col min="836" max="836" width="9.109375" style="103" bestFit="1" customWidth="1"/>
    <col min="837" max="837" width="9.44140625" style="103" bestFit="1" customWidth="1"/>
    <col min="838" max="838" width="9.109375" style="103" bestFit="1" customWidth="1"/>
    <col min="839" max="839" width="9.44140625" style="103" bestFit="1" customWidth="1"/>
    <col min="840" max="841" width="9.109375" style="103" bestFit="1" customWidth="1"/>
    <col min="842" max="842" width="9.44140625" style="103" bestFit="1" customWidth="1"/>
    <col min="843" max="843" width="9.109375" style="103" bestFit="1" customWidth="1"/>
    <col min="844" max="845" width="9.44140625" style="103" bestFit="1" customWidth="1"/>
    <col min="846" max="846" width="9.109375" style="103" bestFit="1" customWidth="1"/>
    <col min="847" max="847" width="9.44140625" style="103" bestFit="1" customWidth="1"/>
    <col min="848" max="848" width="9.109375" style="103" bestFit="1" customWidth="1"/>
    <col min="849" max="849" width="9.44140625" style="103" bestFit="1" customWidth="1"/>
    <col min="850" max="850" width="9.109375" style="103" bestFit="1" customWidth="1"/>
    <col min="851" max="851" width="9.44140625" style="103" bestFit="1" customWidth="1"/>
    <col min="852" max="852" width="9.109375" style="103" bestFit="1" customWidth="1"/>
    <col min="853" max="853" width="9.44140625" style="103" bestFit="1" customWidth="1"/>
    <col min="854" max="855" width="9.109375" style="103" bestFit="1" customWidth="1"/>
    <col min="856" max="856" width="9.44140625" style="103" bestFit="1" customWidth="1"/>
    <col min="857" max="857" width="9.109375" style="103" bestFit="1" customWidth="1"/>
    <col min="858" max="859" width="9.44140625" style="103" bestFit="1" customWidth="1"/>
    <col min="860" max="865" width="9.109375" style="103" bestFit="1" customWidth="1"/>
    <col min="866" max="866" width="8.44140625" style="103" bestFit="1" customWidth="1"/>
    <col min="867" max="867" width="8.109375" style="103" bestFit="1" customWidth="1"/>
    <col min="868" max="868" width="8.44140625" style="103" bestFit="1" customWidth="1"/>
    <col min="869" max="869" width="8.109375" style="103" bestFit="1" customWidth="1"/>
    <col min="870" max="870" width="8.44140625" style="103" bestFit="1" customWidth="1"/>
    <col min="871" max="871" width="8.109375" style="103" bestFit="1" customWidth="1"/>
    <col min="872" max="872" width="8.44140625" style="103" bestFit="1" customWidth="1"/>
    <col min="873" max="873" width="8.109375" style="103" bestFit="1" customWidth="1"/>
    <col min="874" max="874" width="8.44140625" style="103" bestFit="1" customWidth="1"/>
    <col min="875" max="875" width="8.109375" style="103" bestFit="1" customWidth="1"/>
    <col min="876" max="876" width="8.44140625" style="103" bestFit="1" customWidth="1"/>
    <col min="877" max="878" width="8.109375" style="103" bestFit="1" customWidth="1"/>
    <col min="879" max="879" width="8.44140625" style="103" bestFit="1" customWidth="1"/>
    <col min="880" max="880" width="8.109375" style="103" bestFit="1" customWidth="1"/>
    <col min="881" max="881" width="8.44140625" style="103" bestFit="1" customWidth="1"/>
    <col min="882" max="882" width="8.109375" style="103" bestFit="1" customWidth="1"/>
    <col min="883" max="883" width="8.44140625" style="103" bestFit="1" customWidth="1"/>
    <col min="884" max="884" width="8.109375" style="103" bestFit="1" customWidth="1"/>
    <col min="885" max="885" width="8.44140625" style="103" bestFit="1" customWidth="1"/>
    <col min="886" max="886" width="8.109375" style="103" bestFit="1" customWidth="1"/>
    <col min="887" max="887" width="8.44140625" style="103" bestFit="1" customWidth="1"/>
    <col min="888" max="888" width="8.109375" style="103" bestFit="1" customWidth="1"/>
    <col min="889" max="889" width="8.44140625" style="103" bestFit="1" customWidth="1"/>
    <col min="890" max="890" width="8.109375" style="103" bestFit="1" customWidth="1"/>
    <col min="891" max="891" width="9.88671875" style="103" bestFit="1" customWidth="1"/>
    <col min="892" max="892" width="9.5546875" style="103" bestFit="1" customWidth="1"/>
    <col min="893" max="894" width="11.109375" style="103" bestFit="1" customWidth="1"/>
    <col min="895" max="896" width="10.109375" style="103" bestFit="1" customWidth="1"/>
    <col min="897" max="898" width="11.109375" style="103" bestFit="1" customWidth="1"/>
    <col min="899" max="900" width="10.109375" style="103" bestFit="1" customWidth="1"/>
    <col min="901" max="901" width="14.109375" style="103" bestFit="1" customWidth="1"/>
    <col min="902" max="902" width="18.33203125" style="103" bestFit="1" customWidth="1"/>
    <col min="903" max="903" width="8" style="103" bestFit="1" customWidth="1"/>
    <col min="904" max="904" width="9.33203125" style="103" bestFit="1" customWidth="1"/>
    <col min="905" max="905" width="10.44140625" style="103" bestFit="1" customWidth="1"/>
    <col min="906" max="906" width="8" style="103" bestFit="1" customWidth="1"/>
    <col min="907" max="907" width="9.33203125" style="103" bestFit="1" customWidth="1"/>
    <col min="908" max="908" width="10.44140625" style="103" bestFit="1" customWidth="1"/>
    <col min="909" max="909" width="11.33203125" style="103" bestFit="1" customWidth="1"/>
    <col min="910" max="910" width="8" style="103" bestFit="1" customWidth="1"/>
    <col min="911" max="911" width="9.33203125" style="103" bestFit="1" customWidth="1"/>
    <col min="912" max="912" width="10.44140625" style="103" bestFit="1" customWidth="1"/>
    <col min="913" max="914" width="8" style="103" bestFit="1" customWidth="1"/>
    <col min="915" max="915" width="9.109375" style="103" bestFit="1" customWidth="1"/>
    <col min="916" max="919" width="8" style="103" bestFit="1" customWidth="1"/>
    <col min="920" max="920" width="8.6640625" style="103" bestFit="1" customWidth="1"/>
    <col min="921" max="922" width="11.6640625" style="103" bestFit="1" customWidth="1"/>
    <col min="923" max="923" width="7" style="103" bestFit="1" customWidth="1"/>
    <col min="924" max="924" width="8.109375" style="103" bestFit="1" customWidth="1"/>
    <col min="925" max="929" width="9.5546875" style="103" bestFit="1" customWidth="1"/>
    <col min="930" max="930" width="11.6640625" style="103" bestFit="1" customWidth="1"/>
    <col min="931" max="931" width="12" style="103" bestFit="1" customWidth="1"/>
    <col min="932" max="932" width="10.44140625" style="103" bestFit="1" customWidth="1"/>
    <col min="933" max="933" width="9" style="103" bestFit="1" customWidth="1"/>
    <col min="934" max="935" width="11" style="103" bestFit="1" customWidth="1"/>
    <col min="936" max="936" width="12.5546875" style="103" bestFit="1" customWidth="1"/>
    <col min="937" max="937" width="9.44140625" style="103" bestFit="1" customWidth="1"/>
    <col min="938" max="938" width="9.6640625" style="103" bestFit="1" customWidth="1"/>
    <col min="939" max="940" width="12" style="103" bestFit="1" customWidth="1"/>
    <col min="941" max="941" width="9.109375" style="103" bestFit="1" customWidth="1"/>
    <col min="942" max="942" width="11.5546875" style="103" bestFit="1" customWidth="1"/>
    <col min="943" max="944" width="12" style="103" bestFit="1" customWidth="1"/>
    <col min="945" max="945" width="11.88671875" style="103" bestFit="1" customWidth="1"/>
    <col min="946" max="946" width="10.88671875" style="103" bestFit="1" customWidth="1"/>
    <col min="947" max="947" width="11.109375" style="103" bestFit="1" customWidth="1"/>
    <col min="948" max="948" width="9.109375" style="103" bestFit="1" customWidth="1"/>
    <col min="949" max="949" width="9.88671875" style="103" bestFit="1" customWidth="1"/>
    <col min="950" max="950" width="10.33203125" style="103" bestFit="1" customWidth="1"/>
    <col min="951" max="951" width="10.88671875" style="103" bestFit="1" customWidth="1"/>
    <col min="952" max="952" width="10.6640625" style="103" bestFit="1" customWidth="1"/>
    <col min="953" max="953" width="10.109375" style="103" bestFit="1" customWidth="1"/>
    <col min="954" max="954" width="10.6640625" style="103" bestFit="1" customWidth="1"/>
    <col min="955" max="955" width="11.44140625" style="103" bestFit="1" customWidth="1"/>
    <col min="956" max="956" width="8.5546875" style="103" bestFit="1" customWidth="1"/>
    <col min="957" max="958" width="11.6640625" style="103" bestFit="1" customWidth="1"/>
    <col min="959" max="959" width="11.33203125" style="103" bestFit="1" customWidth="1"/>
    <col min="960" max="960" width="9.88671875" style="103" bestFit="1" customWidth="1"/>
    <col min="961" max="961" width="9.6640625" style="103" bestFit="1" customWidth="1"/>
    <col min="962" max="962" width="10.88671875" style="103" bestFit="1" customWidth="1"/>
    <col min="963" max="967" width="11.44140625" style="103" bestFit="1" customWidth="1"/>
    <col min="968" max="968" width="10.44140625" style="103" bestFit="1" customWidth="1"/>
    <col min="969" max="974" width="11.33203125" style="103" bestFit="1" customWidth="1"/>
    <col min="975" max="977" width="10.33203125" style="103" bestFit="1" customWidth="1"/>
    <col min="978" max="978" width="11.6640625" style="103" bestFit="1" customWidth="1"/>
    <col min="979" max="979" width="10.88671875" style="103" bestFit="1" customWidth="1"/>
    <col min="980" max="981" width="11.6640625" style="103" bestFit="1" customWidth="1"/>
    <col min="982" max="986" width="11.5546875" style="103" bestFit="1" customWidth="1"/>
    <col min="987" max="987" width="10.5546875" style="103" bestFit="1" customWidth="1"/>
    <col min="988" max="988" width="11" style="103" bestFit="1" customWidth="1"/>
    <col min="989" max="989" width="11.44140625" style="103" bestFit="1" customWidth="1"/>
    <col min="990" max="990" width="11.6640625" style="103" bestFit="1" customWidth="1"/>
    <col min="991" max="992" width="11.5546875" style="103" bestFit="1" customWidth="1"/>
    <col min="993" max="996" width="11.44140625" style="103" bestFit="1" customWidth="1"/>
    <col min="997" max="997" width="11.5546875" style="103" bestFit="1" customWidth="1"/>
    <col min="998" max="998" width="10.6640625" style="103" bestFit="1" customWidth="1"/>
    <col min="999" max="1001" width="11.5546875" style="103" bestFit="1" customWidth="1"/>
    <col min="1002" max="1007" width="11.44140625" style="103" bestFit="1" customWidth="1"/>
    <col min="1008" max="1009" width="10.44140625" style="103" bestFit="1" customWidth="1"/>
    <col min="1010" max="1010" width="11.5546875" style="103" bestFit="1" customWidth="1"/>
    <col min="1011" max="1011" width="10.44140625" style="103" bestFit="1" customWidth="1"/>
    <col min="1012" max="1017" width="11.109375" style="103" bestFit="1" customWidth="1"/>
    <col min="1018" max="1019" width="10.109375" style="103" bestFit="1" customWidth="1"/>
    <col min="1020" max="1024" width="9.33203125" style="103" bestFit="1" customWidth="1"/>
    <col min="1025" max="1025" width="10.44140625" style="103" bestFit="1" customWidth="1"/>
    <col min="1026" max="1028" width="9.33203125" style="103" bestFit="1" customWidth="1"/>
    <col min="1029" max="1029" width="8.33203125" style="103" bestFit="1" customWidth="1"/>
    <col min="1030" max="1030" width="9.44140625" style="103" bestFit="1" customWidth="1"/>
    <col min="1031" max="1031" width="11.6640625" style="103" bestFit="1" customWidth="1"/>
    <col min="1032" max="1032" width="11" style="103" bestFit="1" customWidth="1"/>
    <col min="1033" max="1033" width="10.44140625" style="103" bestFit="1" customWidth="1"/>
    <col min="1034" max="1034" width="8.44140625" style="103" bestFit="1" customWidth="1"/>
    <col min="1035" max="1035" width="9.44140625" style="103" bestFit="1" customWidth="1"/>
    <col min="1036" max="1036" width="11.5546875" style="103" bestFit="1" customWidth="1"/>
    <col min="1037" max="1037" width="11.44140625" style="103" bestFit="1" customWidth="1"/>
    <col min="1038" max="1038" width="9.88671875" style="103" bestFit="1" customWidth="1"/>
    <col min="1039" max="1039" width="12" style="103" bestFit="1" customWidth="1"/>
    <col min="1040" max="1040" width="11.88671875" style="103" bestFit="1" customWidth="1"/>
    <col min="1041" max="1041" width="10.5546875" style="103" bestFit="1" customWidth="1"/>
    <col min="1042" max="1042" width="10.88671875" style="103" bestFit="1" customWidth="1"/>
    <col min="1043" max="1043" width="11.109375" style="103" bestFit="1" customWidth="1"/>
    <col min="1044" max="1045" width="9.109375" style="103" bestFit="1" customWidth="1"/>
    <col min="1046" max="1046" width="8.109375" style="103" bestFit="1" customWidth="1"/>
    <col min="1047" max="1047" width="9.33203125" style="103" bestFit="1" customWidth="1"/>
    <col min="1048" max="1048" width="11.44140625" style="103" bestFit="1" customWidth="1"/>
    <col min="1049" max="1049" width="9.6640625" style="103" bestFit="1" customWidth="1"/>
    <col min="1050" max="1050" width="10.109375" style="103" bestFit="1" customWidth="1"/>
    <col min="1051" max="1052" width="9.109375" style="103" bestFit="1" customWidth="1"/>
    <col min="1053" max="1055" width="8.6640625" style="103" bestFit="1" customWidth="1"/>
    <col min="1056" max="1056" width="12.33203125" style="103" bestFit="1" customWidth="1"/>
    <col min="1057" max="1057" width="11.109375" style="103" bestFit="1" customWidth="1"/>
    <col min="1058" max="1058" width="12.33203125" style="103" bestFit="1" customWidth="1"/>
    <col min="1059" max="1059" width="10.5546875" style="103" bestFit="1" customWidth="1"/>
    <col min="1060" max="1060" width="12.5546875" style="103" bestFit="1" customWidth="1"/>
    <col min="1061" max="1061" width="12.6640625" style="103" bestFit="1" customWidth="1"/>
    <col min="1062" max="1062" width="10.6640625" style="103" bestFit="1" customWidth="1"/>
    <col min="1063" max="1063" width="12.5546875" style="103" bestFit="1" customWidth="1"/>
    <col min="1064" max="1064" width="11.6640625" style="103" bestFit="1" customWidth="1"/>
    <col min="1065" max="1065" width="12.88671875" style="103" bestFit="1" customWidth="1"/>
    <col min="1066" max="1066" width="12.109375" style="103" bestFit="1" customWidth="1"/>
    <col min="1067" max="1068" width="12" style="103" bestFit="1" customWidth="1"/>
    <col min="1069" max="1070" width="10.109375" style="103" bestFit="1" customWidth="1"/>
    <col min="1071" max="1071" width="9.33203125" style="103" bestFit="1" customWidth="1"/>
    <col min="1072" max="1072" width="11.5546875" style="103" bestFit="1" customWidth="1"/>
    <col min="1073" max="1073" width="12.6640625" style="103" bestFit="1" customWidth="1"/>
    <col min="1074" max="1074" width="8.88671875" style="103" bestFit="1" customWidth="1"/>
    <col min="1075" max="1075" width="9.33203125" style="103" bestFit="1" customWidth="1"/>
    <col min="1076" max="1076" width="11.5546875" style="103" bestFit="1" customWidth="1"/>
    <col min="1077" max="1077" width="12.44140625" style="103" bestFit="1" customWidth="1"/>
    <col min="1078" max="1083" width="8.5546875" style="103" bestFit="1" customWidth="1"/>
    <col min="1084" max="1084" width="11" style="103" bestFit="1" customWidth="1"/>
    <col min="1085" max="1085" width="10.44140625" style="103" bestFit="1" customWidth="1"/>
    <col min="1086" max="1086" width="10.5546875" style="103" bestFit="1" customWidth="1"/>
    <col min="1087" max="1087" width="11.5546875" style="103" bestFit="1" customWidth="1"/>
    <col min="1088" max="1089" width="9.109375" style="103" bestFit="1" customWidth="1"/>
    <col min="1090" max="1090" width="11.44140625" style="103" bestFit="1" customWidth="1"/>
    <col min="1091" max="1091" width="12.33203125" style="103" bestFit="1" customWidth="1"/>
    <col min="1092" max="1094" width="8.44140625" style="103" bestFit="1" customWidth="1"/>
    <col min="1095" max="1096" width="11.88671875" style="103" bestFit="1" customWidth="1"/>
    <col min="1097" max="1097" width="12" style="103" bestFit="1" customWidth="1"/>
    <col min="1098" max="1098" width="12.109375" style="103" bestFit="1" customWidth="1"/>
    <col min="1099" max="1099" width="10.88671875" style="103" bestFit="1" customWidth="1"/>
    <col min="1100" max="1100" width="12.44140625" style="103" bestFit="1" customWidth="1"/>
    <col min="1101" max="1101" width="12.33203125" style="103" bestFit="1" customWidth="1"/>
    <col min="1102" max="1102" width="11.44140625" style="103" bestFit="1" customWidth="1"/>
    <col min="1103" max="1103" width="11.6640625" style="103" bestFit="1" customWidth="1"/>
    <col min="1104" max="1105" width="9.88671875" style="103" bestFit="1" customWidth="1"/>
    <col min="1106" max="1106" width="12.44140625" style="103" bestFit="1" customWidth="1"/>
    <col min="1107" max="1107" width="10.109375" style="103" bestFit="1" customWidth="1"/>
    <col min="1108" max="1108" width="11.109375" style="103" bestFit="1" customWidth="1"/>
    <col min="1109" max="1109" width="12.33203125" style="103" bestFit="1" customWidth="1"/>
    <col min="1110" max="1110" width="13.33203125" style="103" bestFit="1" customWidth="1"/>
    <col min="1111" max="1111" width="11.5546875" style="103" bestFit="1" customWidth="1"/>
    <col min="1112" max="1112" width="10.5546875" style="103" bestFit="1" customWidth="1"/>
    <col min="1113" max="1113" width="12" style="103" bestFit="1" customWidth="1"/>
    <col min="1114" max="1114" width="9.44140625" style="103" bestFit="1" customWidth="1"/>
    <col min="1115" max="1115" width="9.109375" style="103" bestFit="1" customWidth="1"/>
    <col min="1116" max="1116" width="9.44140625" style="103" bestFit="1" customWidth="1"/>
    <col min="1117" max="1117" width="9.109375" style="103" bestFit="1" customWidth="1"/>
    <col min="1118" max="1118" width="9.44140625" style="103" bestFit="1" customWidth="1"/>
    <col min="1119" max="1120" width="9.109375" style="103" bestFit="1" customWidth="1"/>
    <col min="1121" max="1121" width="9.44140625" style="103" bestFit="1" customWidth="1"/>
    <col min="1122" max="1123" width="9.109375" style="103" bestFit="1" customWidth="1"/>
    <col min="1124" max="1124" width="9.44140625" style="103" bestFit="1" customWidth="1"/>
    <col min="1125" max="1125" width="9.109375" style="103" bestFit="1" customWidth="1"/>
    <col min="1126" max="1126" width="9.44140625" style="103" bestFit="1" customWidth="1"/>
    <col min="1127" max="1127" width="9.109375" style="103" bestFit="1" customWidth="1"/>
    <col min="1128" max="1128" width="9.44140625" style="103" bestFit="1" customWidth="1"/>
    <col min="1129" max="1130" width="9.109375" style="103" bestFit="1" customWidth="1"/>
    <col min="1131" max="1131" width="9.44140625" style="103" bestFit="1" customWidth="1"/>
    <col min="1132" max="1133" width="9.109375" style="103" bestFit="1" customWidth="1"/>
    <col min="1134" max="1134" width="9.44140625" style="103" bestFit="1" customWidth="1"/>
    <col min="1135" max="1135" width="9.109375" style="103" bestFit="1" customWidth="1"/>
    <col min="1136" max="1136" width="9.44140625" style="103" bestFit="1" customWidth="1"/>
    <col min="1137" max="1137" width="9.109375" style="103" bestFit="1" customWidth="1"/>
    <col min="1138" max="1138" width="9.44140625" style="103" bestFit="1" customWidth="1"/>
    <col min="1139" max="1140" width="9.109375" style="103" bestFit="1" customWidth="1"/>
    <col min="1141" max="1141" width="9.44140625" style="103" bestFit="1" customWidth="1"/>
    <col min="1142" max="1142" width="9.109375" style="103" bestFit="1" customWidth="1"/>
    <col min="1143" max="1144" width="9.44140625" style="103" bestFit="1" customWidth="1"/>
    <col min="1145" max="1145" width="9.109375" style="103" bestFit="1" customWidth="1"/>
    <col min="1146" max="1146" width="9.44140625" style="103" bestFit="1" customWidth="1"/>
    <col min="1147" max="1147" width="9.109375" style="103" bestFit="1" customWidth="1"/>
    <col min="1148" max="1148" width="9.44140625" style="103" bestFit="1" customWidth="1"/>
    <col min="1149" max="1149" width="9.109375" style="103" bestFit="1" customWidth="1"/>
    <col min="1150" max="1150" width="9.44140625" style="103" bestFit="1" customWidth="1"/>
    <col min="1151" max="1151" width="9.109375" style="103" bestFit="1" customWidth="1"/>
    <col min="1152" max="1152" width="9.44140625" style="103" bestFit="1" customWidth="1"/>
    <col min="1153" max="1154" width="9.109375" style="103" bestFit="1" customWidth="1"/>
    <col min="1155" max="1155" width="9.44140625" style="103" bestFit="1" customWidth="1"/>
    <col min="1156" max="1156" width="9.109375" style="103" bestFit="1" customWidth="1"/>
    <col min="1157" max="1158" width="9.44140625" style="103" bestFit="1" customWidth="1"/>
    <col min="1159" max="1164" width="9.109375" style="103" bestFit="1" customWidth="1"/>
    <col min="1165" max="1165" width="8.44140625" style="103" bestFit="1" customWidth="1"/>
    <col min="1166" max="1166" width="8.109375" style="103" bestFit="1" customWidth="1"/>
    <col min="1167" max="1167" width="8.44140625" style="103" bestFit="1" customWidth="1"/>
    <col min="1168" max="1168" width="8.109375" style="103" bestFit="1" customWidth="1"/>
    <col min="1169" max="1169" width="8.44140625" style="103" bestFit="1" customWidth="1"/>
    <col min="1170" max="1170" width="8.109375" style="103" bestFit="1" customWidth="1"/>
    <col min="1171" max="1171" width="8.44140625" style="103" bestFit="1" customWidth="1"/>
    <col min="1172" max="1172" width="8.109375" style="103" bestFit="1" customWidth="1"/>
    <col min="1173" max="1173" width="8.44140625" style="103" bestFit="1" customWidth="1"/>
    <col min="1174" max="1174" width="8.109375" style="103" bestFit="1" customWidth="1"/>
    <col min="1175" max="1175" width="8.44140625" style="103" bestFit="1" customWidth="1"/>
    <col min="1176" max="1177" width="8.109375" style="103" bestFit="1" customWidth="1"/>
    <col min="1178" max="1178" width="8.44140625" style="103" bestFit="1" customWidth="1"/>
    <col min="1179" max="1179" width="8.109375" style="103" bestFit="1" customWidth="1"/>
    <col min="1180" max="1180" width="8.44140625" style="103" bestFit="1" customWidth="1"/>
    <col min="1181" max="1181" width="8.109375" style="103" bestFit="1" customWidth="1"/>
    <col min="1182" max="1182" width="8.44140625" style="103" bestFit="1" customWidth="1"/>
    <col min="1183" max="1183" width="8.109375" style="103" bestFit="1" customWidth="1"/>
    <col min="1184" max="1184" width="8.44140625" style="103" bestFit="1" customWidth="1"/>
    <col min="1185" max="1185" width="8.109375" style="103" bestFit="1" customWidth="1"/>
    <col min="1186" max="1186" width="8.44140625" style="103" bestFit="1" customWidth="1"/>
    <col min="1187" max="1187" width="8.109375" style="103" bestFit="1" customWidth="1"/>
    <col min="1188" max="1188" width="8.44140625" style="103" bestFit="1" customWidth="1"/>
    <col min="1189" max="1189" width="8.109375" style="103" bestFit="1" customWidth="1"/>
    <col min="1190" max="1190" width="9.88671875" style="103" bestFit="1" customWidth="1"/>
    <col min="1191" max="1191" width="9.5546875" style="103" bestFit="1" customWidth="1"/>
    <col min="1192" max="1193" width="11.109375" style="103" bestFit="1" customWidth="1"/>
    <col min="1194" max="1195" width="10.109375" style="103" bestFit="1" customWidth="1"/>
    <col min="1196" max="1197" width="11.109375" style="103" bestFit="1" customWidth="1"/>
    <col min="1198" max="1199" width="10.109375" style="103" bestFit="1" customWidth="1"/>
    <col min="1200" max="1200" width="14.109375" style="103" bestFit="1" customWidth="1"/>
    <col min="1201" max="1201" width="23.6640625" style="103" bestFit="1" customWidth="1"/>
    <col min="1202" max="1202" width="8" style="103" bestFit="1" customWidth="1"/>
    <col min="1203" max="1203" width="9.33203125" style="103" bestFit="1" customWidth="1"/>
    <col min="1204" max="1204" width="10.44140625" style="103" bestFit="1" customWidth="1"/>
    <col min="1205" max="1205" width="8" style="103" bestFit="1" customWidth="1"/>
    <col min="1206" max="1206" width="9.33203125" style="103" bestFit="1" customWidth="1"/>
    <col min="1207" max="1207" width="10.44140625" style="103" bestFit="1" customWidth="1"/>
    <col min="1208" max="1208" width="11.33203125" style="103" bestFit="1" customWidth="1"/>
    <col min="1209" max="1209" width="8" style="103" bestFit="1" customWidth="1"/>
    <col min="1210" max="1210" width="9.33203125" style="103" bestFit="1" customWidth="1"/>
    <col min="1211" max="1211" width="10.44140625" style="103" bestFit="1" customWidth="1"/>
    <col min="1212" max="1213" width="8" style="103" bestFit="1" customWidth="1"/>
    <col min="1214" max="1214" width="9.109375" style="103" bestFit="1" customWidth="1"/>
    <col min="1215" max="1218" width="8" style="103" bestFit="1" customWidth="1"/>
    <col min="1219" max="1219" width="8.6640625" style="103" bestFit="1" customWidth="1"/>
    <col min="1220" max="1221" width="11.6640625" style="103" bestFit="1" customWidth="1"/>
    <col min="1222" max="1222" width="7" style="103" bestFit="1" customWidth="1"/>
    <col min="1223" max="1223" width="8.109375" style="103" bestFit="1" customWidth="1"/>
    <col min="1224" max="1228" width="9.5546875" style="103" bestFit="1" customWidth="1"/>
    <col min="1229" max="1229" width="11.6640625" style="103" bestFit="1" customWidth="1"/>
    <col min="1230" max="1230" width="12" style="103" bestFit="1" customWidth="1"/>
    <col min="1231" max="1231" width="10.44140625" style="103" bestFit="1" customWidth="1"/>
    <col min="1232" max="1232" width="9" style="103" bestFit="1" customWidth="1"/>
    <col min="1233" max="1234" width="11" style="103" bestFit="1" customWidth="1"/>
    <col min="1235" max="1235" width="12.5546875" style="103" bestFit="1" customWidth="1"/>
    <col min="1236" max="1236" width="9.44140625" style="103" bestFit="1" customWidth="1"/>
    <col min="1237" max="1237" width="9.6640625" style="103" bestFit="1" customWidth="1"/>
    <col min="1238" max="1239" width="12" style="103" bestFit="1" customWidth="1"/>
    <col min="1240" max="1240" width="9.109375" style="103" bestFit="1" customWidth="1"/>
    <col min="1241" max="1241" width="11.5546875" style="103" bestFit="1" customWidth="1"/>
    <col min="1242" max="1243" width="12" style="103" bestFit="1" customWidth="1"/>
    <col min="1244" max="1244" width="11.88671875" style="103" bestFit="1" customWidth="1"/>
    <col min="1245" max="1245" width="10.88671875" style="103" bestFit="1" customWidth="1"/>
    <col min="1246" max="1246" width="11.109375" style="103" bestFit="1" customWidth="1"/>
    <col min="1247" max="1247" width="9.109375" style="103" bestFit="1" customWidth="1"/>
    <col min="1248" max="1248" width="9.88671875" style="103" bestFit="1" customWidth="1"/>
    <col min="1249" max="1249" width="10.33203125" style="103" bestFit="1" customWidth="1"/>
    <col min="1250" max="1250" width="10.88671875" style="103" bestFit="1" customWidth="1"/>
    <col min="1251" max="1251" width="10.6640625" style="103" bestFit="1" customWidth="1"/>
    <col min="1252" max="1252" width="10.109375" style="103" bestFit="1" customWidth="1"/>
    <col min="1253" max="1253" width="10.6640625" style="103" bestFit="1" customWidth="1"/>
    <col min="1254" max="1254" width="11.44140625" style="103" bestFit="1" customWidth="1"/>
    <col min="1255" max="1255" width="8.5546875" style="103" bestFit="1" customWidth="1"/>
    <col min="1256" max="1257" width="11.6640625" style="103" bestFit="1" customWidth="1"/>
    <col min="1258" max="1258" width="11.33203125" style="103" bestFit="1" customWidth="1"/>
    <col min="1259" max="1259" width="9.88671875" style="103" bestFit="1" customWidth="1"/>
    <col min="1260" max="1260" width="9.6640625" style="103" bestFit="1" customWidth="1"/>
    <col min="1261" max="1261" width="10.88671875" style="103" bestFit="1" customWidth="1"/>
    <col min="1262" max="1266" width="11.44140625" style="103" bestFit="1" customWidth="1"/>
    <col min="1267" max="1267" width="10.44140625" style="103" bestFit="1" customWidth="1"/>
    <col min="1268" max="1273" width="11.33203125" style="103" bestFit="1" customWidth="1"/>
    <col min="1274" max="1276" width="10.33203125" style="103" bestFit="1" customWidth="1"/>
    <col min="1277" max="1277" width="11.6640625" style="103" bestFit="1" customWidth="1"/>
    <col min="1278" max="1278" width="10.88671875" style="103" bestFit="1" customWidth="1"/>
    <col min="1279" max="1280" width="11.6640625" style="103" bestFit="1" customWidth="1"/>
    <col min="1281" max="1285" width="11.5546875" style="103" bestFit="1" customWidth="1"/>
    <col min="1286" max="1286" width="10.5546875" style="103" bestFit="1" customWidth="1"/>
    <col min="1287" max="1287" width="11" style="103" bestFit="1" customWidth="1"/>
    <col min="1288" max="1288" width="11.44140625" style="103" bestFit="1" customWidth="1"/>
    <col min="1289" max="1289" width="11.6640625" style="103" bestFit="1" customWidth="1"/>
    <col min="1290" max="1291" width="11.5546875" style="103" bestFit="1" customWidth="1"/>
    <col min="1292" max="1295" width="11.44140625" style="103" bestFit="1" customWidth="1"/>
    <col min="1296" max="1296" width="11.5546875" style="103" bestFit="1" customWidth="1"/>
    <col min="1297" max="1297" width="10.6640625" style="103" bestFit="1" customWidth="1"/>
    <col min="1298" max="1300" width="11.5546875" style="103" bestFit="1" customWidth="1"/>
    <col min="1301" max="1306" width="11.44140625" style="103" bestFit="1" customWidth="1"/>
    <col min="1307" max="1308" width="10.44140625" style="103" bestFit="1" customWidth="1"/>
    <col min="1309" max="1309" width="11.5546875" style="103" bestFit="1" customWidth="1"/>
    <col min="1310" max="1310" width="10.44140625" style="103" bestFit="1" customWidth="1"/>
    <col min="1311" max="1316" width="11.109375" style="103" bestFit="1" customWidth="1"/>
    <col min="1317" max="1318" width="10.109375" style="103" bestFit="1" customWidth="1"/>
    <col min="1319" max="1323" width="9.33203125" style="103" bestFit="1" customWidth="1"/>
    <col min="1324" max="1324" width="10.44140625" style="103" bestFit="1" customWidth="1"/>
    <col min="1325" max="1327" width="9.33203125" style="103" bestFit="1" customWidth="1"/>
    <col min="1328" max="1328" width="8.33203125" style="103" bestFit="1" customWidth="1"/>
    <col min="1329" max="1329" width="9.44140625" style="103" bestFit="1" customWidth="1"/>
    <col min="1330" max="1330" width="11.6640625" style="103" bestFit="1" customWidth="1"/>
    <col min="1331" max="1331" width="11" style="103" bestFit="1" customWidth="1"/>
    <col min="1332" max="1332" width="10.44140625" style="103" bestFit="1" customWidth="1"/>
    <col min="1333" max="1333" width="8.44140625" style="103" bestFit="1" customWidth="1"/>
    <col min="1334" max="1334" width="9.44140625" style="103" bestFit="1" customWidth="1"/>
    <col min="1335" max="1335" width="11.5546875" style="103" bestFit="1" customWidth="1"/>
    <col min="1336" max="1336" width="11.44140625" style="103" bestFit="1" customWidth="1"/>
    <col min="1337" max="1337" width="9.88671875" style="103" bestFit="1" customWidth="1"/>
    <col min="1338" max="1338" width="12" style="103" bestFit="1" customWidth="1"/>
    <col min="1339" max="1339" width="11.88671875" style="103" bestFit="1" customWidth="1"/>
    <col min="1340" max="1340" width="10.5546875" style="103" bestFit="1" customWidth="1"/>
    <col min="1341" max="1341" width="10.88671875" style="103" bestFit="1" customWidth="1"/>
    <col min="1342" max="1342" width="11.109375" style="103" bestFit="1" customWidth="1"/>
    <col min="1343" max="1344" width="9.109375" style="103" bestFit="1" customWidth="1"/>
    <col min="1345" max="1345" width="8.109375" style="103" bestFit="1" customWidth="1"/>
    <col min="1346" max="1346" width="9.33203125" style="103" bestFit="1" customWidth="1"/>
    <col min="1347" max="1347" width="11.44140625" style="103" bestFit="1" customWidth="1"/>
    <col min="1348" max="1348" width="9.6640625" style="103" bestFit="1" customWidth="1"/>
    <col min="1349" max="1354" width="8.6640625" style="103" bestFit="1" customWidth="1"/>
    <col min="1355" max="1355" width="12.33203125" style="103" bestFit="1" customWidth="1"/>
    <col min="1356" max="1356" width="11.109375" style="103" bestFit="1" customWidth="1"/>
    <col min="1357" max="1357" width="12.33203125" style="103" bestFit="1" customWidth="1"/>
    <col min="1358" max="1358" width="10.5546875" style="103" bestFit="1" customWidth="1"/>
    <col min="1359" max="1359" width="12.5546875" style="103" bestFit="1" customWidth="1"/>
    <col min="1360" max="1360" width="12.6640625" style="103" bestFit="1" customWidth="1"/>
    <col min="1361" max="1361" width="10.6640625" style="103" bestFit="1" customWidth="1"/>
    <col min="1362" max="1362" width="12.5546875" style="103" bestFit="1" customWidth="1"/>
    <col min="1363" max="1363" width="11.6640625" style="103" bestFit="1" customWidth="1"/>
    <col min="1364" max="1364" width="12.88671875" style="103" bestFit="1" customWidth="1"/>
    <col min="1365" max="1365" width="12.109375" style="103" bestFit="1" customWidth="1"/>
    <col min="1366" max="1367" width="12" style="103" bestFit="1" customWidth="1"/>
    <col min="1368" max="1369" width="10.109375" style="103" bestFit="1" customWidth="1"/>
    <col min="1370" max="1370" width="9.33203125" style="103" bestFit="1" customWidth="1"/>
    <col min="1371" max="1371" width="11.5546875" style="103" bestFit="1" customWidth="1"/>
    <col min="1372" max="1372" width="12.6640625" style="103" bestFit="1" customWidth="1"/>
    <col min="1373" max="1373" width="8.88671875" style="103" bestFit="1" customWidth="1"/>
    <col min="1374" max="1374" width="9.33203125" style="103" bestFit="1" customWidth="1"/>
    <col min="1375" max="1375" width="11.5546875" style="103" bestFit="1" customWidth="1"/>
    <col min="1376" max="1376" width="12.44140625" style="103" bestFit="1" customWidth="1"/>
    <col min="1377" max="1382" width="8.5546875" style="103" bestFit="1" customWidth="1"/>
    <col min="1383" max="1383" width="11" style="103" bestFit="1" customWidth="1"/>
    <col min="1384" max="1384" width="10.44140625" style="103" bestFit="1" customWidth="1"/>
    <col min="1385" max="1385" width="10.5546875" style="103" bestFit="1" customWidth="1"/>
    <col min="1386" max="1386" width="11.5546875" style="103" bestFit="1" customWidth="1"/>
    <col min="1387" max="1388" width="9.109375" style="103" bestFit="1" customWidth="1"/>
    <col min="1389" max="1389" width="11.44140625" style="103" bestFit="1" customWidth="1"/>
    <col min="1390" max="1390" width="12.33203125" style="103" bestFit="1" customWidth="1"/>
    <col min="1391" max="1393" width="8.44140625" style="103" bestFit="1" customWidth="1"/>
    <col min="1394" max="1395" width="11.88671875" style="103" bestFit="1" customWidth="1"/>
    <col min="1396" max="1396" width="12" style="103" bestFit="1" customWidth="1"/>
    <col min="1397" max="1397" width="12.109375" style="103" bestFit="1" customWidth="1"/>
    <col min="1398" max="1398" width="10.88671875" style="103" bestFit="1" customWidth="1"/>
    <col min="1399" max="1399" width="12.44140625" style="103" bestFit="1" customWidth="1"/>
    <col min="1400" max="1400" width="12.33203125" style="103" bestFit="1" customWidth="1"/>
    <col min="1401" max="1401" width="11.44140625" style="103" bestFit="1" customWidth="1"/>
    <col min="1402" max="1402" width="11.6640625" style="103" bestFit="1" customWidth="1"/>
    <col min="1403" max="1404" width="9.88671875" style="103" bestFit="1" customWidth="1"/>
    <col min="1405" max="1405" width="12.44140625" style="103" bestFit="1" customWidth="1"/>
    <col min="1406" max="1406" width="10" style="103" bestFit="1" customWidth="1"/>
    <col min="1407" max="1407" width="11.109375" style="103" bestFit="1" customWidth="1"/>
    <col min="1408" max="1408" width="12.33203125" style="103" bestFit="1" customWidth="1"/>
    <col min="1409" max="1409" width="13.33203125" style="103" bestFit="1" customWidth="1"/>
    <col min="1410" max="1410" width="11.5546875" style="103" bestFit="1" customWidth="1"/>
    <col min="1411" max="1411" width="10.5546875" style="103" bestFit="1" customWidth="1"/>
    <col min="1412" max="1412" width="12" style="103" bestFit="1" customWidth="1"/>
    <col min="1413" max="1413" width="9.44140625" style="103" bestFit="1" customWidth="1"/>
    <col min="1414" max="1414" width="9.109375" style="103" bestFit="1" customWidth="1"/>
    <col min="1415" max="1415" width="9.44140625" style="103" bestFit="1" customWidth="1"/>
    <col min="1416" max="1416" width="9.109375" style="103" bestFit="1" customWidth="1"/>
    <col min="1417" max="1417" width="9.44140625" style="103" bestFit="1" customWidth="1"/>
    <col min="1418" max="1419" width="9.109375" style="103" bestFit="1" customWidth="1"/>
    <col min="1420" max="1420" width="9.44140625" style="103" bestFit="1" customWidth="1"/>
    <col min="1421" max="1422" width="9.109375" style="103" bestFit="1" customWidth="1"/>
    <col min="1423" max="1423" width="9.44140625" style="103" bestFit="1" customWidth="1"/>
    <col min="1424" max="1424" width="9.109375" style="103" bestFit="1" customWidth="1"/>
    <col min="1425" max="1425" width="9.44140625" style="103" bestFit="1" customWidth="1"/>
    <col min="1426" max="1426" width="9.109375" style="103" bestFit="1" customWidth="1"/>
    <col min="1427" max="1427" width="9.44140625" style="103" bestFit="1" customWidth="1"/>
    <col min="1428" max="1429" width="9.109375" style="103" bestFit="1" customWidth="1"/>
    <col min="1430" max="1430" width="9.44140625" style="103" bestFit="1" customWidth="1"/>
    <col min="1431" max="1432" width="9.109375" style="103" bestFit="1" customWidth="1"/>
    <col min="1433" max="1433" width="9.44140625" style="103" bestFit="1" customWidth="1"/>
    <col min="1434" max="1434" width="9.109375" style="103" bestFit="1" customWidth="1"/>
    <col min="1435" max="1435" width="9.44140625" style="103" bestFit="1" customWidth="1"/>
    <col min="1436" max="1436" width="9.109375" style="103" bestFit="1" customWidth="1"/>
    <col min="1437" max="1437" width="9.44140625" style="103" bestFit="1" customWidth="1"/>
    <col min="1438" max="1439" width="9.109375" style="103" bestFit="1" customWidth="1"/>
    <col min="1440" max="1440" width="9.44140625" style="103" bestFit="1" customWidth="1"/>
    <col min="1441" max="1441" width="9.109375" style="103" bestFit="1" customWidth="1"/>
    <col min="1442" max="1443" width="9.44140625" style="103" bestFit="1" customWidth="1"/>
    <col min="1444" max="1444" width="9.109375" style="103" bestFit="1" customWidth="1"/>
    <col min="1445" max="1445" width="9.44140625" style="103" bestFit="1" customWidth="1"/>
    <col min="1446" max="1446" width="9.109375" style="103" bestFit="1" customWidth="1"/>
    <col min="1447" max="1447" width="9.44140625" style="103" bestFit="1" customWidth="1"/>
    <col min="1448" max="1448" width="9.109375" style="103" bestFit="1" customWidth="1"/>
    <col min="1449" max="1449" width="9.44140625" style="103" bestFit="1" customWidth="1"/>
    <col min="1450" max="1450" width="9.109375" style="103" bestFit="1" customWidth="1"/>
    <col min="1451" max="1451" width="9.44140625" style="103" bestFit="1" customWidth="1"/>
    <col min="1452" max="1453" width="9.109375" style="103" bestFit="1" customWidth="1"/>
    <col min="1454" max="1454" width="9.44140625" style="103" bestFit="1" customWidth="1"/>
    <col min="1455" max="1455" width="9.109375" style="103" bestFit="1" customWidth="1"/>
    <col min="1456" max="1457" width="9.44140625" style="103" bestFit="1" customWidth="1"/>
    <col min="1458" max="1463" width="9.109375" style="103" bestFit="1" customWidth="1"/>
    <col min="1464" max="1464" width="8.44140625" style="103" bestFit="1" customWidth="1"/>
    <col min="1465" max="1465" width="8.109375" style="103" bestFit="1" customWidth="1"/>
    <col min="1466" max="1466" width="8.44140625" style="103" bestFit="1" customWidth="1"/>
    <col min="1467" max="1467" width="8.109375" style="103" bestFit="1" customWidth="1"/>
    <col min="1468" max="1468" width="8.44140625" style="103" bestFit="1" customWidth="1"/>
    <col min="1469" max="1469" width="8.109375" style="103" bestFit="1" customWidth="1"/>
    <col min="1470" max="1470" width="8.44140625" style="103" bestFit="1" customWidth="1"/>
    <col min="1471" max="1471" width="8.109375" style="103" bestFit="1" customWidth="1"/>
    <col min="1472" max="1472" width="8.44140625" style="103" bestFit="1" customWidth="1"/>
    <col min="1473" max="1473" width="8.109375" style="103" bestFit="1" customWidth="1"/>
    <col min="1474" max="1474" width="8.44140625" style="103" bestFit="1" customWidth="1"/>
    <col min="1475" max="1476" width="8.109375" style="103" bestFit="1" customWidth="1"/>
    <col min="1477" max="1477" width="8.44140625" style="103" bestFit="1" customWidth="1"/>
    <col min="1478" max="1478" width="8.109375" style="103" bestFit="1" customWidth="1"/>
    <col min="1479" max="1479" width="8.44140625" style="103" bestFit="1" customWidth="1"/>
    <col min="1480" max="1480" width="8.109375" style="103" bestFit="1" customWidth="1"/>
    <col min="1481" max="1481" width="8.44140625" style="103" bestFit="1" customWidth="1"/>
    <col min="1482" max="1482" width="8.109375" style="103" bestFit="1" customWidth="1"/>
    <col min="1483" max="1483" width="8.44140625" style="103" bestFit="1" customWidth="1"/>
    <col min="1484" max="1484" width="8.109375" style="103" bestFit="1" customWidth="1"/>
    <col min="1485" max="1485" width="8.44140625" style="103" bestFit="1" customWidth="1"/>
    <col min="1486" max="1486" width="8.109375" style="103" bestFit="1" customWidth="1"/>
    <col min="1487" max="1487" width="8.44140625" style="103" bestFit="1" customWidth="1"/>
    <col min="1488" max="1488" width="8.109375" style="103" bestFit="1" customWidth="1"/>
    <col min="1489" max="1489" width="9.88671875" style="103" bestFit="1" customWidth="1"/>
    <col min="1490" max="1490" width="9.5546875" style="103" bestFit="1" customWidth="1"/>
    <col min="1491" max="1492" width="11.109375" style="103" bestFit="1" customWidth="1"/>
    <col min="1493" max="1494" width="10.109375" style="103" bestFit="1" customWidth="1"/>
    <col min="1495" max="1496" width="11.109375" style="103" bestFit="1" customWidth="1"/>
    <col min="1497" max="1498" width="10.109375" style="103" bestFit="1" customWidth="1"/>
    <col min="1499" max="1499" width="14.109375" style="103" bestFit="1" customWidth="1"/>
    <col min="1500" max="1500" width="25" style="103" bestFit="1" customWidth="1"/>
    <col min="1501" max="1501" width="8" style="103" bestFit="1" customWidth="1"/>
    <col min="1502" max="1502" width="9.33203125" style="103" bestFit="1" customWidth="1"/>
    <col min="1503" max="1503" width="10.44140625" style="103" bestFit="1" customWidth="1"/>
    <col min="1504" max="1504" width="8" style="103" bestFit="1" customWidth="1"/>
    <col min="1505" max="1505" width="9.33203125" style="103" bestFit="1" customWidth="1"/>
    <col min="1506" max="1506" width="10.44140625" style="103" bestFit="1" customWidth="1"/>
    <col min="1507" max="1507" width="11.33203125" style="103" bestFit="1" customWidth="1"/>
    <col min="1508" max="1508" width="8" style="103" bestFit="1" customWidth="1"/>
    <col min="1509" max="1509" width="9.33203125" style="103" bestFit="1" customWidth="1"/>
    <col min="1510" max="1510" width="10.44140625" style="103" bestFit="1" customWidth="1"/>
    <col min="1511" max="1512" width="8" style="103" bestFit="1" customWidth="1"/>
    <col min="1513" max="1513" width="9.109375" style="103" bestFit="1" customWidth="1"/>
    <col min="1514" max="1517" width="8" style="103" bestFit="1" customWidth="1"/>
    <col min="1518" max="1518" width="8.6640625" style="103" bestFit="1" customWidth="1"/>
    <col min="1519" max="1520" width="11.6640625" style="103" bestFit="1" customWidth="1"/>
    <col min="1521" max="1521" width="7" style="103" bestFit="1" customWidth="1"/>
    <col min="1522" max="1522" width="8.109375" style="103" bestFit="1" customWidth="1"/>
    <col min="1523" max="1527" width="9.5546875" style="103" bestFit="1" customWidth="1"/>
    <col min="1528" max="1528" width="11.6640625" style="103" bestFit="1" customWidth="1"/>
    <col min="1529" max="1529" width="12" style="103" bestFit="1" customWidth="1"/>
    <col min="1530" max="1530" width="10.44140625" style="103" bestFit="1" customWidth="1"/>
    <col min="1531" max="1531" width="9" style="103" bestFit="1" customWidth="1"/>
    <col min="1532" max="1533" width="11" style="103" bestFit="1" customWidth="1"/>
    <col min="1534" max="1534" width="12.5546875" style="103" bestFit="1" customWidth="1"/>
    <col min="1535" max="1535" width="9.44140625" style="103" bestFit="1" customWidth="1"/>
    <col min="1536" max="1536" width="9.6640625" style="103" bestFit="1" customWidth="1"/>
    <col min="1537" max="1538" width="12" style="103" bestFit="1" customWidth="1"/>
    <col min="1539" max="1539" width="9.109375" style="103" bestFit="1" customWidth="1"/>
    <col min="1540" max="1540" width="11.5546875" style="103" bestFit="1" customWidth="1"/>
    <col min="1541" max="1542" width="12" style="103" bestFit="1" customWidth="1"/>
    <col min="1543" max="1543" width="11.88671875" style="103" bestFit="1" customWidth="1"/>
    <col min="1544" max="1544" width="10.88671875" style="103" bestFit="1" customWidth="1"/>
    <col min="1545" max="1545" width="11.109375" style="103" bestFit="1" customWidth="1"/>
    <col min="1546" max="1546" width="9.109375" style="103" bestFit="1" customWidth="1"/>
    <col min="1547" max="1547" width="9.88671875" style="103" bestFit="1" customWidth="1"/>
    <col min="1548" max="1548" width="10.33203125" style="103" bestFit="1" customWidth="1"/>
    <col min="1549" max="1549" width="10.88671875" style="103" bestFit="1" customWidth="1"/>
    <col min="1550" max="1550" width="10.6640625" style="103" bestFit="1" customWidth="1"/>
    <col min="1551" max="1551" width="10.109375" style="103" bestFit="1" customWidth="1"/>
    <col min="1552" max="1552" width="10.6640625" style="103" bestFit="1" customWidth="1"/>
    <col min="1553" max="1553" width="11.44140625" style="103" bestFit="1" customWidth="1"/>
    <col min="1554" max="1554" width="8.5546875" style="103" bestFit="1" customWidth="1"/>
    <col min="1555" max="1556" width="11.6640625" style="103" bestFit="1" customWidth="1"/>
    <col min="1557" max="1557" width="11.33203125" style="103" bestFit="1" customWidth="1"/>
    <col min="1558" max="1558" width="9.88671875" style="103" bestFit="1" customWidth="1"/>
    <col min="1559" max="1559" width="9.6640625" style="103" bestFit="1" customWidth="1"/>
    <col min="1560" max="1560" width="10.88671875" style="103" bestFit="1" customWidth="1"/>
    <col min="1561" max="1565" width="11.44140625" style="103" bestFit="1" customWidth="1"/>
    <col min="1566" max="1566" width="10.44140625" style="103" bestFit="1" customWidth="1"/>
    <col min="1567" max="1572" width="11.33203125" style="103" bestFit="1" customWidth="1"/>
    <col min="1573" max="1575" width="10.33203125" style="103" bestFit="1" customWidth="1"/>
    <col min="1576" max="1576" width="11.6640625" style="103" bestFit="1" customWidth="1"/>
    <col min="1577" max="1577" width="10.88671875" style="103" bestFit="1" customWidth="1"/>
    <col min="1578" max="1579" width="11.6640625" style="103" bestFit="1" customWidth="1"/>
    <col min="1580" max="1584" width="11.5546875" style="103" bestFit="1" customWidth="1"/>
    <col min="1585" max="1585" width="10.5546875" style="103" bestFit="1" customWidth="1"/>
    <col min="1586" max="1586" width="11" style="103" bestFit="1" customWidth="1"/>
    <col min="1587" max="1587" width="11.44140625" style="103" bestFit="1" customWidth="1"/>
    <col min="1588" max="1588" width="11.6640625" style="103" bestFit="1" customWidth="1"/>
    <col min="1589" max="1590" width="11.5546875" style="103" bestFit="1" customWidth="1"/>
    <col min="1591" max="1594" width="11.44140625" style="103" bestFit="1" customWidth="1"/>
    <col min="1595" max="1595" width="11.5546875" style="103" bestFit="1" customWidth="1"/>
    <col min="1596" max="1596" width="10.6640625" style="103" bestFit="1" customWidth="1"/>
    <col min="1597" max="1599" width="11.5546875" style="103" bestFit="1" customWidth="1"/>
    <col min="1600" max="1605" width="11.44140625" style="103" bestFit="1" customWidth="1"/>
    <col min="1606" max="1607" width="10.44140625" style="103" bestFit="1" customWidth="1"/>
    <col min="1608" max="1608" width="11.5546875" style="103" bestFit="1" customWidth="1"/>
    <col min="1609" max="1609" width="10.44140625" style="103" bestFit="1" customWidth="1"/>
    <col min="1610" max="1615" width="11.109375" style="103" bestFit="1" customWidth="1"/>
    <col min="1616" max="1617" width="10.109375" style="103" bestFit="1" customWidth="1"/>
    <col min="1618" max="1622" width="9.33203125" style="103" bestFit="1" customWidth="1"/>
    <col min="1623" max="1623" width="10.44140625" style="103" bestFit="1" customWidth="1"/>
    <col min="1624" max="1626" width="9.33203125" style="103" bestFit="1" customWidth="1"/>
    <col min="1627" max="1627" width="8.33203125" style="103" bestFit="1" customWidth="1"/>
    <col min="1628" max="1628" width="9.44140625" style="103" bestFit="1" customWidth="1"/>
    <col min="1629" max="1629" width="11.6640625" style="103" bestFit="1" customWidth="1"/>
    <col min="1630" max="1630" width="11" style="103" bestFit="1" customWidth="1"/>
    <col min="1631" max="1631" width="10.44140625" style="103" bestFit="1" customWidth="1"/>
    <col min="1632" max="1632" width="8.44140625" style="103" bestFit="1" customWidth="1"/>
    <col min="1633" max="1633" width="9.44140625" style="103" bestFit="1" customWidth="1"/>
    <col min="1634" max="1634" width="11.5546875" style="103" bestFit="1" customWidth="1"/>
    <col min="1635" max="1635" width="11.44140625" style="103" bestFit="1" customWidth="1"/>
    <col min="1636" max="1636" width="9.88671875" style="103" bestFit="1" customWidth="1"/>
    <col min="1637" max="1637" width="12" style="103" bestFit="1" customWidth="1"/>
    <col min="1638" max="1638" width="11.88671875" style="103" bestFit="1" customWidth="1"/>
    <col min="1639" max="1639" width="10.5546875" style="103" bestFit="1" customWidth="1"/>
    <col min="1640" max="1640" width="10.88671875" style="103" bestFit="1" customWidth="1"/>
    <col min="1641" max="1641" width="11.109375" style="103" bestFit="1" customWidth="1"/>
    <col min="1642" max="1643" width="9.109375" style="103" bestFit="1" customWidth="1"/>
    <col min="1644" max="1644" width="8.109375" style="103" bestFit="1" customWidth="1"/>
    <col min="1645" max="1645" width="9.33203125" style="103" bestFit="1" customWidth="1"/>
    <col min="1646" max="1646" width="11.44140625" style="103" bestFit="1" customWidth="1"/>
    <col min="1647" max="1647" width="9.6640625" style="103" bestFit="1" customWidth="1"/>
    <col min="1648" max="1648" width="11.6640625" style="103" bestFit="1" customWidth="1"/>
    <col min="1649" max="1650" width="10.109375" style="103" bestFit="1" customWidth="1"/>
    <col min="1651" max="1653" width="8.6640625" style="103" bestFit="1" customWidth="1"/>
    <col min="1654" max="1654" width="12.33203125" style="103" bestFit="1" customWidth="1"/>
    <col min="1655" max="1655" width="11.109375" style="103" bestFit="1" customWidth="1"/>
    <col min="1656" max="1656" width="12.33203125" style="103" bestFit="1" customWidth="1"/>
    <col min="1657" max="1657" width="10.5546875" style="103" bestFit="1" customWidth="1"/>
    <col min="1658" max="1658" width="12.5546875" style="103" bestFit="1" customWidth="1"/>
    <col min="1659" max="1659" width="12.6640625" style="103" bestFit="1" customWidth="1"/>
    <col min="1660" max="1660" width="10.6640625" style="103" bestFit="1" customWidth="1"/>
    <col min="1661" max="1661" width="12.5546875" style="103" bestFit="1" customWidth="1"/>
    <col min="1662" max="1662" width="11.6640625" style="103" bestFit="1" customWidth="1"/>
    <col min="1663" max="1663" width="12.88671875" style="103" bestFit="1" customWidth="1"/>
    <col min="1664" max="1664" width="12.109375" style="103" bestFit="1" customWidth="1"/>
    <col min="1665" max="1666" width="12" style="103" bestFit="1" customWidth="1"/>
    <col min="1667" max="1668" width="10.109375" style="103" bestFit="1" customWidth="1"/>
    <col min="1669" max="1669" width="9.33203125" style="103" bestFit="1" customWidth="1"/>
    <col min="1670" max="1670" width="11.5546875" style="103" bestFit="1" customWidth="1"/>
    <col min="1671" max="1671" width="12.6640625" style="103" bestFit="1" customWidth="1"/>
    <col min="1672" max="1672" width="8.88671875" style="103" bestFit="1" customWidth="1"/>
    <col min="1673" max="1673" width="9.33203125" style="103" bestFit="1" customWidth="1"/>
    <col min="1674" max="1674" width="11.5546875" style="103" bestFit="1" customWidth="1"/>
    <col min="1675" max="1675" width="12.44140625" style="103" bestFit="1" customWidth="1"/>
    <col min="1676" max="1681" width="8.5546875" style="103" bestFit="1" customWidth="1"/>
    <col min="1682" max="1682" width="11" style="103" bestFit="1" customWidth="1"/>
    <col min="1683" max="1683" width="10.44140625" style="103" bestFit="1" customWidth="1"/>
    <col min="1684" max="1684" width="10.5546875" style="103" bestFit="1" customWidth="1"/>
    <col min="1685" max="1685" width="11.5546875" style="103" bestFit="1" customWidth="1"/>
    <col min="1686" max="1687" width="9.109375" style="103" bestFit="1" customWidth="1"/>
    <col min="1688" max="1688" width="11.44140625" style="103" bestFit="1" customWidth="1"/>
    <col min="1689" max="1689" width="12.33203125" style="103" bestFit="1" customWidth="1"/>
    <col min="1690" max="1692" width="8.44140625" style="103" bestFit="1" customWidth="1"/>
    <col min="1693" max="1694" width="11.88671875" style="103" bestFit="1" customWidth="1"/>
    <col min="1695" max="1695" width="12" style="103" bestFit="1" customWidth="1"/>
    <col min="1696" max="1696" width="12.109375" style="103" bestFit="1" customWidth="1"/>
    <col min="1697" max="1697" width="10.88671875" style="103" bestFit="1" customWidth="1"/>
    <col min="1698" max="1698" width="12.44140625" style="103" bestFit="1" customWidth="1"/>
    <col min="1699" max="1699" width="12.33203125" style="103" bestFit="1" customWidth="1"/>
    <col min="1700" max="1700" width="11.44140625" style="103" bestFit="1" customWidth="1"/>
    <col min="1701" max="1701" width="11.6640625" style="103" bestFit="1" customWidth="1"/>
    <col min="1702" max="1703" width="9.88671875" style="103" bestFit="1" customWidth="1"/>
    <col min="1704" max="1704" width="12.44140625" style="103" bestFit="1" customWidth="1"/>
    <col min="1705" max="1705" width="11.6640625" style="103" bestFit="1" customWidth="1"/>
    <col min="1706" max="1706" width="11.109375" style="103" bestFit="1" customWidth="1"/>
    <col min="1707" max="1707" width="12.33203125" style="103" bestFit="1" customWidth="1"/>
    <col min="1708" max="1708" width="13.33203125" style="103" bestFit="1" customWidth="1"/>
    <col min="1709" max="1709" width="11.5546875" style="103" bestFit="1" customWidth="1"/>
    <col min="1710" max="1710" width="10.5546875" style="103" bestFit="1" customWidth="1"/>
    <col min="1711" max="1711" width="12" style="103" bestFit="1" customWidth="1"/>
    <col min="1712" max="1712" width="9.44140625" style="103" bestFit="1" customWidth="1"/>
    <col min="1713" max="1713" width="9.109375" style="103" bestFit="1" customWidth="1"/>
    <col min="1714" max="1714" width="9.44140625" style="103" bestFit="1" customWidth="1"/>
    <col min="1715" max="1715" width="9.109375" style="103" bestFit="1" customWidth="1"/>
    <col min="1716" max="1716" width="9.44140625" style="103" bestFit="1" customWidth="1"/>
    <col min="1717" max="1718" width="9.109375" style="103" bestFit="1" customWidth="1"/>
    <col min="1719" max="1719" width="9.44140625" style="103" bestFit="1" customWidth="1"/>
    <col min="1720" max="1721" width="9.109375" style="103" bestFit="1" customWidth="1"/>
    <col min="1722" max="1722" width="9.44140625" style="103" bestFit="1" customWidth="1"/>
    <col min="1723" max="1723" width="9.109375" style="103" bestFit="1" customWidth="1"/>
    <col min="1724" max="1724" width="9.44140625" style="103" bestFit="1" customWidth="1"/>
    <col min="1725" max="1725" width="9.109375" style="103" bestFit="1" customWidth="1"/>
    <col min="1726" max="1726" width="9.44140625" style="103" bestFit="1" customWidth="1"/>
    <col min="1727" max="1728" width="9.109375" style="103" bestFit="1" customWidth="1"/>
    <col min="1729" max="1729" width="9.44140625" style="103" bestFit="1" customWidth="1"/>
    <col min="1730" max="1731" width="9.109375" style="103" bestFit="1" customWidth="1"/>
    <col min="1732" max="1732" width="9.44140625" style="103" bestFit="1" customWidth="1"/>
    <col min="1733" max="1733" width="9.109375" style="103" bestFit="1" customWidth="1"/>
    <col min="1734" max="1734" width="9.44140625" style="103" bestFit="1" customWidth="1"/>
    <col min="1735" max="1735" width="9.109375" style="103" bestFit="1" customWidth="1"/>
    <col min="1736" max="1736" width="9.44140625" style="103" bestFit="1" customWidth="1"/>
    <col min="1737" max="1738" width="9.109375" style="103" bestFit="1" customWidth="1"/>
    <col min="1739" max="1739" width="9.44140625" style="103" bestFit="1" customWidth="1"/>
    <col min="1740" max="1740" width="9.109375" style="103" bestFit="1" customWidth="1"/>
    <col min="1741" max="1742" width="9.44140625" style="103" bestFit="1" customWidth="1"/>
    <col min="1743" max="1743" width="9.109375" style="103" bestFit="1" customWidth="1"/>
    <col min="1744" max="1744" width="9.44140625" style="103" bestFit="1" customWidth="1"/>
    <col min="1745" max="1745" width="9.109375" style="103" bestFit="1" customWidth="1"/>
    <col min="1746" max="1746" width="9.44140625" style="103" bestFit="1" customWidth="1"/>
    <col min="1747" max="1747" width="9.109375" style="103" bestFit="1" customWidth="1"/>
    <col min="1748" max="1748" width="9.44140625" style="103" bestFit="1" customWidth="1"/>
    <col min="1749" max="1749" width="9.109375" style="103" bestFit="1" customWidth="1"/>
    <col min="1750" max="1750" width="9.44140625" style="103" bestFit="1" customWidth="1"/>
    <col min="1751" max="1752" width="9.109375" style="103" bestFit="1" customWidth="1"/>
    <col min="1753" max="1753" width="9.44140625" style="103" bestFit="1" customWidth="1"/>
    <col min="1754" max="1754" width="9.109375" style="103" bestFit="1" customWidth="1"/>
    <col min="1755" max="1756" width="9.44140625" style="103" bestFit="1" customWidth="1"/>
    <col min="1757" max="1762" width="9.109375" style="103" bestFit="1" customWidth="1"/>
    <col min="1763" max="1763" width="8.44140625" style="103" bestFit="1" customWidth="1"/>
    <col min="1764" max="1764" width="8.109375" style="103" bestFit="1" customWidth="1"/>
    <col min="1765" max="1765" width="8.44140625" style="103" bestFit="1" customWidth="1"/>
    <col min="1766" max="1766" width="8.109375" style="103" bestFit="1" customWidth="1"/>
    <col min="1767" max="1767" width="8.44140625" style="103" bestFit="1" customWidth="1"/>
    <col min="1768" max="1768" width="8.109375" style="103" bestFit="1" customWidth="1"/>
    <col min="1769" max="1769" width="8.44140625" style="103" bestFit="1" customWidth="1"/>
    <col min="1770" max="1770" width="8.109375" style="103" bestFit="1" customWidth="1"/>
    <col min="1771" max="1771" width="8.44140625" style="103" bestFit="1" customWidth="1"/>
    <col min="1772" max="1772" width="8.109375" style="103" bestFit="1" customWidth="1"/>
    <col min="1773" max="1773" width="8.44140625" style="103" bestFit="1" customWidth="1"/>
    <col min="1774" max="1775" width="8.109375" style="103" bestFit="1" customWidth="1"/>
    <col min="1776" max="1776" width="8.44140625" style="103" bestFit="1" customWidth="1"/>
    <col min="1777" max="1777" width="8.109375" style="103" bestFit="1" customWidth="1"/>
    <col min="1778" max="1778" width="8.44140625" style="103" bestFit="1" customWidth="1"/>
    <col min="1779" max="1779" width="8.109375" style="103" bestFit="1" customWidth="1"/>
    <col min="1780" max="1780" width="8.44140625" style="103" bestFit="1" customWidth="1"/>
    <col min="1781" max="1781" width="8.109375" style="103" bestFit="1" customWidth="1"/>
    <col min="1782" max="1782" width="8.44140625" style="103" bestFit="1" customWidth="1"/>
    <col min="1783" max="1783" width="8.109375" style="103" bestFit="1" customWidth="1"/>
    <col min="1784" max="1784" width="8.44140625" style="103" bestFit="1" customWidth="1"/>
    <col min="1785" max="1785" width="8.109375" style="103" bestFit="1" customWidth="1"/>
    <col min="1786" max="1786" width="8.44140625" style="103" bestFit="1" customWidth="1"/>
    <col min="1787" max="1787" width="8.109375" style="103" bestFit="1" customWidth="1"/>
    <col min="1788" max="1788" width="9.88671875" style="103" bestFit="1" customWidth="1"/>
    <col min="1789" max="1789" width="9.5546875" style="103" bestFit="1" customWidth="1"/>
    <col min="1790" max="1791" width="11.109375" style="103" bestFit="1" customWidth="1"/>
    <col min="1792" max="1793" width="10.109375" style="103" bestFit="1" customWidth="1"/>
    <col min="1794" max="1795" width="11.109375" style="103" bestFit="1" customWidth="1"/>
    <col min="1796" max="1797" width="10.109375" style="103" bestFit="1" customWidth="1"/>
    <col min="1798" max="1798" width="14.109375" style="103" bestFit="1" customWidth="1"/>
    <col min="1799" max="1799" width="30.5546875" style="103" bestFit="1" customWidth="1"/>
    <col min="1800" max="1800" width="8" style="103" bestFit="1" customWidth="1"/>
    <col min="1801" max="1801" width="9.33203125" style="103" bestFit="1" customWidth="1"/>
    <col min="1802" max="1802" width="10.44140625" style="103" bestFit="1" customWidth="1"/>
    <col min="1803" max="1803" width="8" style="103" bestFit="1" customWidth="1"/>
    <col min="1804" max="1804" width="9.33203125" style="103" bestFit="1" customWidth="1"/>
    <col min="1805" max="1805" width="10.44140625" style="103" bestFit="1" customWidth="1"/>
    <col min="1806" max="1806" width="11.33203125" style="103" bestFit="1" customWidth="1"/>
    <col min="1807" max="1807" width="8" style="103" bestFit="1" customWidth="1"/>
    <col min="1808" max="1808" width="9.33203125" style="103" bestFit="1" customWidth="1"/>
    <col min="1809" max="1809" width="10.44140625" style="103" bestFit="1" customWidth="1"/>
    <col min="1810" max="1811" width="8" style="103" bestFit="1" customWidth="1"/>
    <col min="1812" max="1812" width="9.109375" style="103" bestFit="1" customWidth="1"/>
    <col min="1813" max="1816" width="8" style="103" bestFit="1" customWidth="1"/>
    <col min="1817" max="1817" width="8.6640625" style="103" bestFit="1" customWidth="1"/>
    <col min="1818" max="1819" width="11.6640625" style="103" bestFit="1" customWidth="1"/>
    <col min="1820" max="1820" width="7" style="103" bestFit="1" customWidth="1"/>
    <col min="1821" max="1821" width="8.109375" style="103" bestFit="1" customWidth="1"/>
    <col min="1822" max="1826" width="9.5546875" style="103" bestFit="1" customWidth="1"/>
    <col min="1827" max="1827" width="11.6640625" style="103" bestFit="1" customWidth="1"/>
    <col min="1828" max="1828" width="12" style="103" bestFit="1" customWidth="1"/>
    <col min="1829" max="1829" width="10.44140625" style="103" bestFit="1" customWidth="1"/>
    <col min="1830" max="1830" width="9" style="103" bestFit="1" customWidth="1"/>
    <col min="1831" max="1832" width="11" style="103" bestFit="1" customWidth="1"/>
    <col min="1833" max="1833" width="12.5546875" style="103" bestFit="1" customWidth="1"/>
    <col min="1834" max="1834" width="9.44140625" style="103" bestFit="1" customWidth="1"/>
    <col min="1835" max="1835" width="9.6640625" style="103" bestFit="1" customWidth="1"/>
    <col min="1836" max="1837" width="12" style="103" bestFit="1" customWidth="1"/>
    <col min="1838" max="1838" width="9.109375" style="103" bestFit="1" customWidth="1"/>
    <col min="1839" max="1839" width="11.5546875" style="103" bestFit="1" customWidth="1"/>
    <col min="1840" max="1841" width="12" style="103" bestFit="1" customWidth="1"/>
    <col min="1842" max="1842" width="11.88671875" style="103" bestFit="1" customWidth="1"/>
    <col min="1843" max="1843" width="10.88671875" style="103" bestFit="1" customWidth="1"/>
    <col min="1844" max="1844" width="11.109375" style="103" bestFit="1" customWidth="1"/>
    <col min="1845" max="1845" width="9.109375" style="103" bestFit="1" customWidth="1"/>
    <col min="1846" max="1846" width="9.88671875" style="103" bestFit="1" customWidth="1"/>
    <col min="1847" max="1847" width="10.33203125" style="103" bestFit="1" customWidth="1"/>
    <col min="1848" max="1848" width="10.88671875" style="103" bestFit="1" customWidth="1"/>
    <col min="1849" max="1849" width="10.6640625" style="103" bestFit="1" customWidth="1"/>
    <col min="1850" max="1850" width="10.109375" style="103" bestFit="1" customWidth="1"/>
    <col min="1851" max="1851" width="10.6640625" style="103" bestFit="1" customWidth="1"/>
    <col min="1852" max="1852" width="11.44140625" style="103" bestFit="1" customWidth="1"/>
    <col min="1853" max="1853" width="8.5546875" style="103" bestFit="1" customWidth="1"/>
    <col min="1854" max="1855" width="11.6640625" style="103" bestFit="1" customWidth="1"/>
    <col min="1856" max="1856" width="11.33203125" style="103" bestFit="1" customWidth="1"/>
    <col min="1857" max="1857" width="9.88671875" style="103" bestFit="1" customWidth="1"/>
    <col min="1858" max="1858" width="9.6640625" style="103" bestFit="1" customWidth="1"/>
    <col min="1859" max="1859" width="10.88671875" style="103" bestFit="1" customWidth="1"/>
    <col min="1860" max="1864" width="11.44140625" style="103" bestFit="1" customWidth="1"/>
    <col min="1865" max="1865" width="10.44140625" style="103" bestFit="1" customWidth="1"/>
    <col min="1866" max="1871" width="11.33203125" style="103" bestFit="1" customWidth="1"/>
    <col min="1872" max="1874" width="10.33203125" style="103" bestFit="1" customWidth="1"/>
    <col min="1875" max="1875" width="11.6640625" style="103" bestFit="1" customWidth="1"/>
    <col min="1876" max="1876" width="10.88671875" style="103" bestFit="1" customWidth="1"/>
    <col min="1877" max="1878" width="11.6640625" style="103" bestFit="1" customWidth="1"/>
    <col min="1879" max="1883" width="11.5546875" style="103" bestFit="1" customWidth="1"/>
    <col min="1884" max="1884" width="10.5546875" style="103" bestFit="1" customWidth="1"/>
    <col min="1885" max="1885" width="11" style="103" bestFit="1" customWidth="1"/>
    <col min="1886" max="1886" width="11.44140625" style="103" bestFit="1" customWidth="1"/>
    <col min="1887" max="1887" width="11.6640625" style="103" bestFit="1" customWidth="1"/>
    <col min="1888" max="1889" width="11.5546875" style="103" bestFit="1" customWidth="1"/>
    <col min="1890" max="1893" width="11.44140625" style="103" bestFit="1" customWidth="1"/>
    <col min="1894" max="1894" width="11.5546875" style="103" bestFit="1" customWidth="1"/>
    <col min="1895" max="1895" width="10.6640625" style="103" bestFit="1" customWidth="1"/>
    <col min="1896" max="1898" width="11.5546875" style="103" bestFit="1" customWidth="1"/>
    <col min="1899" max="1904" width="11.44140625" style="103" bestFit="1" customWidth="1"/>
    <col min="1905" max="1906" width="10.44140625" style="103" bestFit="1" customWidth="1"/>
    <col min="1907" max="1907" width="11.5546875" style="103" bestFit="1" customWidth="1"/>
    <col min="1908" max="1908" width="10.44140625" style="103" bestFit="1" customWidth="1"/>
    <col min="1909" max="1914" width="11.109375" style="103" bestFit="1" customWidth="1"/>
    <col min="1915" max="1916" width="10.109375" style="103" bestFit="1" customWidth="1"/>
    <col min="1917" max="1921" width="9.33203125" style="103" bestFit="1" customWidth="1"/>
    <col min="1922" max="1922" width="10.44140625" style="103" bestFit="1" customWidth="1"/>
    <col min="1923" max="1925" width="9.33203125" style="103" bestFit="1" customWidth="1"/>
    <col min="1926" max="1926" width="8.33203125" style="103" bestFit="1" customWidth="1"/>
    <col min="1927" max="1927" width="9.44140625" style="103" bestFit="1" customWidth="1"/>
    <col min="1928" max="1928" width="11.6640625" style="103" bestFit="1" customWidth="1"/>
    <col min="1929" max="1929" width="11" style="103" bestFit="1" customWidth="1"/>
    <col min="1930" max="1930" width="10.44140625" style="103" bestFit="1" customWidth="1"/>
    <col min="1931" max="1931" width="8.44140625" style="103" bestFit="1" customWidth="1"/>
    <col min="1932" max="1932" width="9.44140625" style="103" bestFit="1" customWidth="1"/>
    <col min="1933" max="1933" width="11.5546875" style="103" bestFit="1" customWidth="1"/>
    <col min="1934" max="1934" width="11.44140625" style="103" bestFit="1" customWidth="1"/>
    <col min="1935" max="1935" width="9.88671875" style="103" bestFit="1" customWidth="1"/>
    <col min="1936" max="1936" width="12" style="103" bestFit="1" customWidth="1"/>
    <col min="1937" max="1937" width="11.88671875" style="103" bestFit="1" customWidth="1"/>
    <col min="1938" max="1938" width="10.5546875" style="103" bestFit="1" customWidth="1"/>
    <col min="1939" max="1939" width="10.88671875" style="103" bestFit="1" customWidth="1"/>
    <col min="1940" max="1940" width="11.109375" style="103" bestFit="1" customWidth="1"/>
    <col min="1941" max="1942" width="9.109375" style="103" bestFit="1" customWidth="1"/>
    <col min="1943" max="1943" width="8.109375" style="103" bestFit="1" customWidth="1"/>
    <col min="1944" max="1944" width="9.33203125" style="103" bestFit="1" customWidth="1"/>
    <col min="1945" max="1945" width="11.44140625" style="103" bestFit="1" customWidth="1"/>
    <col min="1946" max="1946" width="9.6640625" style="103" bestFit="1" customWidth="1"/>
    <col min="1947" max="1952" width="8.6640625" style="103" bestFit="1" customWidth="1"/>
    <col min="1953" max="1953" width="12.33203125" style="103" bestFit="1" customWidth="1"/>
    <col min="1954" max="1954" width="11.109375" style="103" bestFit="1" customWidth="1"/>
    <col min="1955" max="1955" width="12.33203125" style="103" bestFit="1" customWidth="1"/>
    <col min="1956" max="1956" width="10.5546875" style="103" bestFit="1" customWidth="1"/>
    <col min="1957" max="1957" width="12.5546875" style="103" bestFit="1" customWidth="1"/>
    <col min="1958" max="1958" width="12.6640625" style="103" bestFit="1" customWidth="1"/>
    <col min="1959" max="1959" width="10.6640625" style="103" bestFit="1" customWidth="1"/>
    <col min="1960" max="1960" width="12.5546875" style="103" bestFit="1" customWidth="1"/>
    <col min="1961" max="1961" width="11.6640625" style="103" bestFit="1" customWidth="1"/>
    <col min="1962" max="1962" width="12.88671875" style="103" bestFit="1" customWidth="1"/>
    <col min="1963" max="1963" width="12.109375" style="103" bestFit="1" customWidth="1"/>
    <col min="1964" max="1965" width="12" style="103" bestFit="1" customWidth="1"/>
    <col min="1966" max="1967" width="10.109375" style="103" bestFit="1" customWidth="1"/>
    <col min="1968" max="1968" width="9.33203125" style="103" bestFit="1" customWidth="1"/>
    <col min="1969" max="1969" width="11.5546875" style="103" bestFit="1" customWidth="1"/>
    <col min="1970" max="1970" width="12.6640625" style="103" bestFit="1" customWidth="1"/>
    <col min="1971" max="1971" width="8.88671875" style="103" bestFit="1" customWidth="1"/>
    <col min="1972" max="1972" width="9.33203125" style="103" bestFit="1" customWidth="1"/>
    <col min="1973" max="1973" width="11.5546875" style="103" bestFit="1" customWidth="1"/>
    <col min="1974" max="1974" width="12.44140625" style="103" bestFit="1" customWidth="1"/>
    <col min="1975" max="1980" width="8.5546875" style="103" bestFit="1" customWidth="1"/>
    <col min="1981" max="1981" width="11" style="103" bestFit="1" customWidth="1"/>
    <col min="1982" max="1982" width="10.44140625" style="103" bestFit="1" customWidth="1"/>
    <col min="1983" max="1983" width="10.5546875" style="103" bestFit="1" customWidth="1"/>
    <col min="1984" max="1984" width="11.5546875" style="103" bestFit="1" customWidth="1"/>
    <col min="1985" max="1986" width="9.109375" style="103" bestFit="1" customWidth="1"/>
    <col min="1987" max="1987" width="11.44140625" style="103" bestFit="1" customWidth="1"/>
    <col min="1988" max="1988" width="12.33203125" style="103" bestFit="1" customWidth="1"/>
    <col min="1989" max="1991" width="8.44140625" style="103" bestFit="1" customWidth="1"/>
    <col min="1992" max="1993" width="11.88671875" style="103" bestFit="1" customWidth="1"/>
    <col min="1994" max="1994" width="12" style="103" bestFit="1" customWidth="1"/>
    <col min="1995" max="1995" width="12.109375" style="103" bestFit="1" customWidth="1"/>
    <col min="1996" max="1996" width="10.88671875" style="103" bestFit="1" customWidth="1"/>
    <col min="1997" max="1997" width="12.44140625" style="103" bestFit="1" customWidth="1"/>
    <col min="1998" max="1998" width="12.33203125" style="103" bestFit="1" customWidth="1"/>
    <col min="1999" max="1999" width="11.44140625" style="103" bestFit="1" customWidth="1"/>
    <col min="2000" max="2000" width="11.6640625" style="103" bestFit="1" customWidth="1"/>
    <col min="2001" max="2002" width="9.88671875" style="103" bestFit="1" customWidth="1"/>
    <col min="2003" max="2003" width="12.44140625" style="103" bestFit="1" customWidth="1"/>
    <col min="2004" max="2004" width="10" style="103" bestFit="1" customWidth="1"/>
    <col min="2005" max="2005" width="11.109375" style="103" bestFit="1" customWidth="1"/>
    <col min="2006" max="2006" width="12.33203125" style="103" bestFit="1" customWidth="1"/>
    <col min="2007" max="2007" width="13.33203125" style="103" bestFit="1" customWidth="1"/>
    <col min="2008" max="2008" width="11.5546875" style="103" bestFit="1" customWidth="1"/>
    <col min="2009" max="2009" width="10.5546875" style="103" bestFit="1" customWidth="1"/>
    <col min="2010" max="2010" width="12" style="103" bestFit="1" customWidth="1"/>
    <col min="2011" max="2011" width="9.44140625" style="103" bestFit="1" customWidth="1"/>
    <col min="2012" max="2012" width="9.109375" style="103" bestFit="1" customWidth="1"/>
    <col min="2013" max="2013" width="9.44140625" style="103" bestFit="1" customWidth="1"/>
    <col min="2014" max="2014" width="9.109375" style="103" bestFit="1" customWidth="1"/>
    <col min="2015" max="2015" width="9.44140625" style="103" bestFit="1" customWidth="1"/>
    <col min="2016" max="2017" width="9.109375" style="103" bestFit="1" customWidth="1"/>
    <col min="2018" max="2018" width="9.44140625" style="103" bestFit="1" customWidth="1"/>
    <col min="2019" max="2020" width="9.109375" style="103" bestFit="1" customWidth="1"/>
    <col min="2021" max="2021" width="9.44140625" style="103" bestFit="1" customWidth="1"/>
    <col min="2022" max="2022" width="9.109375" style="103" bestFit="1" customWidth="1"/>
    <col min="2023" max="2023" width="9.44140625" style="103" bestFit="1" customWidth="1"/>
    <col min="2024" max="2024" width="9.109375" style="103" bestFit="1" customWidth="1"/>
    <col min="2025" max="2025" width="9.44140625" style="103" bestFit="1" customWidth="1"/>
    <col min="2026" max="2027" width="9.109375" style="103" bestFit="1" customWidth="1"/>
    <col min="2028" max="2028" width="9.44140625" style="103" bestFit="1" customWidth="1"/>
    <col min="2029" max="2030" width="9.109375" style="103" bestFit="1" customWidth="1"/>
    <col min="2031" max="2031" width="9.44140625" style="103" bestFit="1" customWidth="1"/>
    <col min="2032" max="2032" width="9.109375" style="103" bestFit="1" customWidth="1"/>
    <col min="2033" max="2033" width="9.44140625" style="103" bestFit="1" customWidth="1"/>
    <col min="2034" max="2034" width="9.109375" style="103" bestFit="1" customWidth="1"/>
    <col min="2035" max="2035" width="9.44140625" style="103" bestFit="1" customWidth="1"/>
    <col min="2036" max="2037" width="9.109375" style="103" bestFit="1" customWidth="1"/>
    <col min="2038" max="2038" width="9.44140625" style="103" bestFit="1" customWidth="1"/>
    <col min="2039" max="2039" width="9.109375" style="103" bestFit="1" customWidth="1"/>
    <col min="2040" max="2041" width="9.44140625" style="103" bestFit="1" customWidth="1"/>
    <col min="2042" max="2042" width="9.109375" style="103" bestFit="1" customWidth="1"/>
    <col min="2043" max="2043" width="9.44140625" style="103" bestFit="1" customWidth="1"/>
    <col min="2044" max="2044" width="9.109375" style="103" bestFit="1" customWidth="1"/>
    <col min="2045" max="2045" width="9.44140625" style="103" bestFit="1" customWidth="1"/>
    <col min="2046" max="2046" width="9.109375" style="103" bestFit="1" customWidth="1"/>
    <col min="2047" max="2047" width="9.44140625" style="103" bestFit="1" customWidth="1"/>
    <col min="2048" max="2048" width="9.109375" style="103" bestFit="1" customWidth="1"/>
    <col min="2049" max="2049" width="9.44140625" style="103" bestFit="1" customWidth="1"/>
    <col min="2050" max="2051" width="9.109375" style="103" bestFit="1" customWidth="1"/>
    <col min="2052" max="2052" width="9.44140625" style="103" bestFit="1" customWidth="1"/>
    <col min="2053" max="2053" width="9.109375" style="103" bestFit="1" customWidth="1"/>
    <col min="2054" max="2055" width="9.44140625" style="103" bestFit="1" customWidth="1"/>
    <col min="2056" max="2061" width="9.109375" style="103" bestFit="1" customWidth="1"/>
    <col min="2062" max="2062" width="8.44140625" style="103" bestFit="1" customWidth="1"/>
    <col min="2063" max="2063" width="8.109375" style="103" bestFit="1" customWidth="1"/>
    <col min="2064" max="2064" width="8.44140625" style="103" bestFit="1" customWidth="1"/>
    <col min="2065" max="2065" width="8.109375" style="103" bestFit="1" customWidth="1"/>
    <col min="2066" max="2066" width="8.44140625" style="103" bestFit="1" customWidth="1"/>
    <col min="2067" max="2067" width="8.109375" style="103" bestFit="1" customWidth="1"/>
    <col min="2068" max="2068" width="8.44140625" style="103" bestFit="1" customWidth="1"/>
    <col min="2069" max="2069" width="8.109375" style="103" bestFit="1" customWidth="1"/>
    <col min="2070" max="2070" width="8.44140625" style="103" bestFit="1" customWidth="1"/>
    <col min="2071" max="2071" width="8.109375" style="103" bestFit="1" customWidth="1"/>
    <col min="2072" max="2072" width="8.44140625" style="103" bestFit="1" customWidth="1"/>
    <col min="2073" max="2074" width="8.109375" style="103" bestFit="1" customWidth="1"/>
    <col min="2075" max="2075" width="8.44140625" style="103" bestFit="1" customWidth="1"/>
    <col min="2076" max="2076" width="8.109375" style="103" bestFit="1" customWidth="1"/>
    <col min="2077" max="2077" width="8.44140625" style="103" bestFit="1" customWidth="1"/>
    <col min="2078" max="2078" width="8.109375" style="103" bestFit="1" customWidth="1"/>
    <col min="2079" max="2079" width="8.44140625" style="103" bestFit="1" customWidth="1"/>
    <col min="2080" max="2080" width="8.109375" style="103" bestFit="1" customWidth="1"/>
    <col min="2081" max="2081" width="8.44140625" style="103" bestFit="1" customWidth="1"/>
    <col min="2082" max="2082" width="8.109375" style="103" bestFit="1" customWidth="1"/>
    <col min="2083" max="2083" width="8.44140625" style="103" bestFit="1" customWidth="1"/>
    <col min="2084" max="2084" width="8.109375" style="103" bestFit="1" customWidth="1"/>
    <col min="2085" max="2085" width="8.44140625" style="103" bestFit="1" customWidth="1"/>
    <col min="2086" max="2086" width="8.109375" style="103" bestFit="1" customWidth="1"/>
    <col min="2087" max="2087" width="9.88671875" style="103" bestFit="1" customWidth="1"/>
    <col min="2088" max="2088" width="9.5546875" style="103" bestFit="1" customWidth="1"/>
    <col min="2089" max="2090" width="11.109375" style="103" bestFit="1" customWidth="1"/>
    <col min="2091" max="2092" width="10.109375" style="103" bestFit="1" customWidth="1"/>
    <col min="2093" max="2094" width="11.109375" style="103" bestFit="1" customWidth="1"/>
    <col min="2095" max="2096" width="10.109375" style="103" bestFit="1" customWidth="1"/>
    <col min="2097" max="2097" width="14.109375" style="103" bestFit="1" customWidth="1"/>
    <col min="2098" max="16384" width="8.6640625" style="103"/>
  </cols>
  <sheetData>
    <row r="4" spans="2:18" x14ac:dyDescent="0.3">
      <c r="B4" s="62" t="s">
        <v>32</v>
      </c>
      <c r="C4" s="62" t="s">
        <v>32</v>
      </c>
      <c r="D4" s="62" t="s">
        <v>32</v>
      </c>
      <c r="E4" s="62" t="s">
        <v>37</v>
      </c>
      <c r="F4" s="63" t="s">
        <v>42</v>
      </c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</row>
    <row r="5" spans="2:18" x14ac:dyDescent="0.3">
      <c r="B5" s="62" t="s">
        <v>32</v>
      </c>
      <c r="C5" s="68" t="s">
        <v>32</v>
      </c>
      <c r="D5" s="68" t="s">
        <v>32</v>
      </c>
      <c r="E5" s="62" t="s">
        <v>32</v>
      </c>
      <c r="F5" s="64" t="s">
        <v>35</v>
      </c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</row>
    <row r="6" spans="2:18" x14ac:dyDescent="0.3">
      <c r="B6" s="62" t="s">
        <v>32</v>
      </c>
      <c r="C6" s="68" t="s">
        <v>32</v>
      </c>
      <c r="D6" s="68" t="s">
        <v>32</v>
      </c>
      <c r="E6" s="62" t="s">
        <v>34</v>
      </c>
      <c r="F6" s="64" t="s">
        <v>232</v>
      </c>
      <c r="G6" s="64" t="s">
        <v>233</v>
      </c>
      <c r="H6" s="64" t="s">
        <v>234</v>
      </c>
      <c r="I6" s="64" t="s">
        <v>235</v>
      </c>
      <c r="J6" s="64" t="s">
        <v>236</v>
      </c>
      <c r="K6" s="64" t="s">
        <v>237</v>
      </c>
      <c r="L6" s="64" t="s">
        <v>238</v>
      </c>
      <c r="M6" s="64" t="s">
        <v>239</v>
      </c>
      <c r="N6" s="64" t="s">
        <v>240</v>
      </c>
      <c r="O6" s="64" t="s">
        <v>241</v>
      </c>
      <c r="P6" s="64" t="s">
        <v>242</v>
      </c>
      <c r="Q6" s="63" t="s">
        <v>243</v>
      </c>
      <c r="R6" s="69" t="s">
        <v>38</v>
      </c>
    </row>
    <row r="7" spans="2:18" x14ac:dyDescent="0.3">
      <c r="B7" s="62" t="s">
        <v>36</v>
      </c>
      <c r="C7" s="59"/>
      <c r="D7" s="62" t="s">
        <v>41</v>
      </c>
      <c r="E7" s="62" t="s">
        <v>32</v>
      </c>
      <c r="F7" s="66" t="s">
        <v>88</v>
      </c>
      <c r="G7" s="66" t="s">
        <v>88</v>
      </c>
      <c r="H7" s="66" t="s">
        <v>88</v>
      </c>
      <c r="I7" s="66" t="s">
        <v>88</v>
      </c>
      <c r="J7" s="66" t="s">
        <v>88</v>
      </c>
      <c r="K7" s="66" t="s">
        <v>88</v>
      </c>
      <c r="L7" s="66" t="s">
        <v>88</v>
      </c>
      <c r="M7" s="66" t="s">
        <v>88</v>
      </c>
      <c r="N7" s="66" t="s">
        <v>88</v>
      </c>
      <c r="O7" s="66" t="s">
        <v>88</v>
      </c>
      <c r="P7" s="66" t="s">
        <v>88</v>
      </c>
      <c r="Q7" s="66" t="s">
        <v>88</v>
      </c>
      <c r="R7" s="104" t="s">
        <v>88</v>
      </c>
    </row>
    <row r="8" spans="2:18" x14ac:dyDescent="0.3">
      <c r="B8" s="63" t="s">
        <v>180</v>
      </c>
      <c r="C8" s="64" t="s">
        <v>103</v>
      </c>
      <c r="D8" s="64" t="s">
        <v>135</v>
      </c>
      <c r="E8" s="63" t="s">
        <v>136</v>
      </c>
      <c r="F8" s="57"/>
      <c r="G8" s="57"/>
      <c r="H8" s="57"/>
      <c r="I8" s="57"/>
      <c r="J8" s="57"/>
      <c r="K8" s="57">
        <v>-6.86</v>
      </c>
      <c r="L8" s="57">
        <v>6.86</v>
      </c>
      <c r="M8" s="57">
        <v>0</v>
      </c>
      <c r="N8" s="57"/>
      <c r="O8" s="57"/>
      <c r="P8" s="57"/>
      <c r="Q8" s="121"/>
      <c r="R8" s="58">
        <f>SUM(F8:Q8)</f>
        <v>0</v>
      </c>
    </row>
    <row r="9" spans="2:18" x14ac:dyDescent="0.3">
      <c r="B9" s="60"/>
      <c r="C9" s="95"/>
      <c r="D9" s="64" t="s">
        <v>137</v>
      </c>
      <c r="E9" s="63" t="s">
        <v>138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57">
        <v>0</v>
      </c>
      <c r="N9" s="57">
        <v>0</v>
      </c>
      <c r="O9" s="57">
        <v>0</v>
      </c>
      <c r="P9" s="57">
        <v>0</v>
      </c>
      <c r="Q9" s="121">
        <v>0</v>
      </c>
      <c r="R9" s="58">
        <f>SUM(F9:Q9)</f>
        <v>0</v>
      </c>
    </row>
    <row r="10" spans="2:18" x14ac:dyDescent="0.3">
      <c r="B10" s="122" t="s">
        <v>33</v>
      </c>
      <c r="C10" s="98"/>
      <c r="D10" s="98"/>
      <c r="E10" s="99"/>
      <c r="F10" s="96">
        <f>SUM(F8:F9)</f>
        <v>0</v>
      </c>
      <c r="G10" s="96">
        <f t="shared" ref="G10:Q10" si="0">SUM(G8:G9)</f>
        <v>0</v>
      </c>
      <c r="H10" s="96">
        <f t="shared" si="0"/>
        <v>0</v>
      </c>
      <c r="I10" s="96">
        <f t="shared" si="0"/>
        <v>0</v>
      </c>
      <c r="J10" s="96">
        <f t="shared" si="0"/>
        <v>0</v>
      </c>
      <c r="K10" s="96">
        <f t="shared" si="0"/>
        <v>-6.86</v>
      </c>
      <c r="L10" s="96">
        <f t="shared" si="0"/>
        <v>6.86</v>
      </c>
      <c r="M10" s="96">
        <f t="shared" si="0"/>
        <v>0</v>
      </c>
      <c r="N10" s="96">
        <f t="shared" si="0"/>
        <v>0</v>
      </c>
      <c r="O10" s="96">
        <f t="shared" si="0"/>
        <v>0</v>
      </c>
      <c r="P10" s="96">
        <f t="shared" si="0"/>
        <v>0</v>
      </c>
      <c r="Q10" s="96">
        <f t="shared" si="0"/>
        <v>0</v>
      </c>
      <c r="R10" s="58">
        <f>SUM(R8:R9)</f>
        <v>0</v>
      </c>
    </row>
    <row r="11" spans="2:18" customFormat="1" x14ac:dyDescent="0.3"/>
    <row r="13" spans="2:18" x14ac:dyDescent="0.3">
      <c r="D13" s="102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abSelected="1" zoomScale="80" zoomScaleNormal="80" workbookViewId="0">
      <pane ySplit="4" topLeftCell="A5" activePane="bottomLeft" state="frozen"/>
      <selection activeCell="D15" sqref="D15"/>
      <selection pane="bottomLeft" activeCell="F29" sqref="F29"/>
    </sheetView>
  </sheetViews>
  <sheetFormatPr defaultRowHeight="14.4" x14ac:dyDescent="0.3"/>
  <cols>
    <col min="1" max="1" width="6.6640625" customWidth="1"/>
    <col min="2" max="2" width="69.5546875" style="13" customWidth="1"/>
    <col min="3" max="3" width="32" style="13" bestFit="1" customWidth="1"/>
    <col min="4" max="4" width="15.109375" style="13" bestFit="1" customWidth="1"/>
    <col min="5" max="5" width="1.6640625" customWidth="1"/>
    <col min="6" max="6" width="45.6640625" bestFit="1" customWidth="1"/>
    <col min="7" max="7" width="18.44140625" bestFit="1" customWidth="1"/>
    <col min="8" max="8" width="9.88671875" bestFit="1" customWidth="1"/>
    <col min="9" max="9" width="6.6640625" customWidth="1"/>
    <col min="10" max="10" width="70.33203125" bestFit="1" customWidth="1"/>
    <col min="11" max="11" width="33.5546875" bestFit="1" customWidth="1"/>
    <col min="12" max="12" width="15.109375" bestFit="1" customWidth="1"/>
    <col min="17" max="17" width="16.33203125" bestFit="1" customWidth="1"/>
  </cols>
  <sheetData>
    <row r="1" spans="1:17" s="1" customFormat="1" x14ac:dyDescent="0.3">
      <c r="B1" s="2" t="s">
        <v>0</v>
      </c>
      <c r="C1" s="2"/>
      <c r="D1" s="2"/>
      <c r="E1"/>
      <c r="F1"/>
      <c r="G1"/>
      <c r="H1"/>
      <c r="I1"/>
      <c r="J1"/>
      <c r="K1"/>
      <c r="L1"/>
      <c r="M1"/>
      <c r="N1"/>
      <c r="O1"/>
      <c r="P1"/>
      <c r="Q1"/>
    </row>
    <row r="2" spans="1:17" x14ac:dyDescent="0.3">
      <c r="B2" s="2" t="s">
        <v>46</v>
      </c>
      <c r="C2" s="2"/>
      <c r="D2" s="2"/>
    </row>
    <row r="3" spans="1:17" s="3" customFormat="1" x14ac:dyDescent="0.3">
      <c r="B3" s="2" t="s">
        <v>1</v>
      </c>
      <c r="C3" s="2"/>
      <c r="D3" s="2"/>
      <c r="E3"/>
      <c r="F3"/>
      <c r="G3"/>
      <c r="H3"/>
      <c r="I3"/>
      <c r="J3"/>
      <c r="K3"/>
      <c r="L3"/>
      <c r="M3"/>
      <c r="N3"/>
      <c r="O3"/>
      <c r="P3"/>
      <c r="Q3"/>
    </row>
    <row r="4" spans="1:17" x14ac:dyDescent="0.3">
      <c r="B4" s="2" t="s">
        <v>220</v>
      </c>
      <c r="C4" s="2"/>
      <c r="D4" s="2"/>
    </row>
    <row r="5" spans="1:17" x14ac:dyDescent="0.3">
      <c r="A5" s="35"/>
      <c r="B5" s="44"/>
      <c r="C5" s="35"/>
      <c r="D5" s="5"/>
    </row>
    <row r="6" spans="1:17" x14ac:dyDescent="0.3">
      <c r="A6" s="4"/>
      <c r="B6" s="2"/>
      <c r="C6" s="2"/>
      <c r="D6" s="2"/>
    </row>
    <row r="7" spans="1:17" x14ac:dyDescent="0.3">
      <c r="A7" s="5" t="s">
        <v>2</v>
      </c>
      <c r="B7" s="6"/>
      <c r="C7" s="6"/>
      <c r="D7" s="7" t="s">
        <v>3</v>
      </c>
    </row>
    <row r="8" spans="1:17" x14ac:dyDescent="0.3">
      <c r="A8" s="8" t="s">
        <v>4</v>
      </c>
      <c r="B8" s="9" t="s">
        <v>5</v>
      </c>
      <c r="C8" s="10"/>
      <c r="D8" s="8" t="s">
        <v>6</v>
      </c>
    </row>
    <row r="9" spans="1:17" x14ac:dyDescent="0.3">
      <c r="A9" s="87"/>
      <c r="B9" s="88"/>
      <c r="C9" s="89"/>
      <c r="D9" s="87"/>
    </row>
    <row r="10" spans="1:17" x14ac:dyDescent="0.3">
      <c r="A10" s="87"/>
      <c r="B10" s="88"/>
      <c r="C10" s="89"/>
      <c r="D10" s="87"/>
    </row>
    <row r="12" spans="1:17" x14ac:dyDescent="0.3">
      <c r="A12" s="11">
        <v>1</v>
      </c>
      <c r="B12" s="113" t="s">
        <v>7</v>
      </c>
      <c r="C12" s="12"/>
      <c r="D12" s="12"/>
    </row>
    <row r="13" spans="1:17" x14ac:dyDescent="0.3">
      <c r="A13" s="11">
        <f>A12+1</f>
        <v>2</v>
      </c>
      <c r="B13" s="116" t="s">
        <v>142</v>
      </c>
    </row>
    <row r="14" spans="1:17" x14ac:dyDescent="0.3">
      <c r="A14" s="11">
        <f t="shared" ref="A14:A61" si="0">A13+1</f>
        <v>3</v>
      </c>
      <c r="B14" s="34" t="s">
        <v>8</v>
      </c>
      <c r="C14" s="19"/>
      <c r="D14" s="189">
        <f>'SOG 2023'!E45</f>
        <v>3320072.59</v>
      </c>
    </row>
    <row r="15" spans="1:17" x14ac:dyDescent="0.3">
      <c r="A15" s="11">
        <f t="shared" si="0"/>
        <v>4</v>
      </c>
      <c r="B15" s="34" t="s">
        <v>248</v>
      </c>
      <c r="C15" s="19"/>
      <c r="D15" s="189">
        <f>'SOG 2023'!E46</f>
        <v>8752773</v>
      </c>
    </row>
    <row r="16" spans="1:17" x14ac:dyDescent="0.3">
      <c r="A16" s="11">
        <f t="shared" si="0"/>
        <v>5</v>
      </c>
      <c r="B16" s="34" t="s">
        <v>224</v>
      </c>
      <c r="C16" s="19"/>
      <c r="D16" s="189">
        <f>'SOG 2023'!E37</f>
        <v>-124874.95</v>
      </c>
    </row>
    <row r="17" spans="1:4" x14ac:dyDescent="0.3">
      <c r="A17" s="11">
        <f t="shared" si="0"/>
        <v>6</v>
      </c>
      <c r="B17" s="34" t="s">
        <v>9</v>
      </c>
      <c r="C17" s="20"/>
      <c r="D17" s="189">
        <f>'SOG 2023'!E44</f>
        <v>24529112.210000001</v>
      </c>
    </row>
    <row r="18" spans="1:4" x14ac:dyDescent="0.3">
      <c r="A18" s="11">
        <f t="shared" si="0"/>
        <v>7</v>
      </c>
      <c r="B18" s="34" t="s">
        <v>10</v>
      </c>
      <c r="C18" s="20"/>
      <c r="D18" s="189">
        <f>'SOG 2023'!E47</f>
        <v>20977605.77</v>
      </c>
    </row>
    <row r="19" spans="1:4" x14ac:dyDescent="0.3">
      <c r="A19" s="11">
        <f t="shared" si="0"/>
        <v>8</v>
      </c>
      <c r="B19" s="34" t="s">
        <v>11</v>
      </c>
      <c r="C19" s="13">
        <f>'22GRC CF'!E19</f>
        <v>0.95544399999999996</v>
      </c>
      <c r="D19" s="189">
        <f>-D47/C19</f>
        <v>-18065111.57116482</v>
      </c>
    </row>
    <row r="20" spans="1:4" x14ac:dyDescent="0.3">
      <c r="A20" s="11">
        <f t="shared" si="0"/>
        <v>9</v>
      </c>
      <c r="B20" s="34" t="s">
        <v>12</v>
      </c>
      <c r="C20" s="20"/>
      <c r="D20" s="189">
        <f>'SC 137 Carbon '!J18</f>
        <v>1908047.2400000002</v>
      </c>
    </row>
    <row r="21" spans="1:4" x14ac:dyDescent="0.3">
      <c r="A21" s="11">
        <f t="shared" si="0"/>
        <v>10</v>
      </c>
      <c r="B21" s="34" t="s">
        <v>214</v>
      </c>
      <c r="D21" s="189">
        <f>'Sch 138 RNC Rev'!E9</f>
        <v>940594.46</v>
      </c>
    </row>
    <row r="22" spans="1:4" x14ac:dyDescent="0.3">
      <c r="A22" s="11">
        <f t="shared" si="0"/>
        <v>11</v>
      </c>
      <c r="B22" s="34" t="s">
        <v>249</v>
      </c>
      <c r="C22" s="13">
        <f>'22GRC CF'!E19</f>
        <v>0.95544399999999996</v>
      </c>
      <c r="D22" s="189">
        <f>-D30/C22</f>
        <v>3563353.3519494603</v>
      </c>
    </row>
    <row r="23" spans="1:4" x14ac:dyDescent="0.3">
      <c r="A23" s="11">
        <f t="shared" si="0"/>
        <v>12</v>
      </c>
      <c r="B23" s="34" t="s">
        <v>15</v>
      </c>
      <c r="C23" s="20"/>
      <c r="D23" s="21">
        <f>'SOEG Muni Tax '!$S$27</f>
        <v>61884308.419999987</v>
      </c>
    </row>
    <row r="24" spans="1:4" x14ac:dyDescent="0.3">
      <c r="A24" s="11">
        <f t="shared" si="0"/>
        <v>13</v>
      </c>
      <c r="B24" s="34"/>
      <c r="C24" s="53"/>
      <c r="D24" s="190"/>
    </row>
    <row r="25" spans="1:4" x14ac:dyDescent="0.3">
      <c r="A25" s="11">
        <f t="shared" si="0"/>
        <v>14</v>
      </c>
      <c r="B25" s="52" t="s">
        <v>144</v>
      </c>
      <c r="D25" s="110">
        <f>SUM(D14:D24)</f>
        <v>107685880.52078465</v>
      </c>
    </row>
    <row r="26" spans="1:4" x14ac:dyDescent="0.3">
      <c r="A26" s="11">
        <f t="shared" si="0"/>
        <v>15</v>
      </c>
    </row>
    <row r="27" spans="1:4" x14ac:dyDescent="0.3">
      <c r="A27" s="11">
        <f t="shared" si="0"/>
        <v>16</v>
      </c>
      <c r="B27" s="117" t="s">
        <v>143</v>
      </c>
    </row>
    <row r="28" spans="1:4" x14ac:dyDescent="0.3">
      <c r="A28" s="11">
        <f t="shared" si="0"/>
        <v>17</v>
      </c>
      <c r="B28" s="34" t="s">
        <v>13</v>
      </c>
      <c r="C28" s="20"/>
      <c r="D28" s="189">
        <f>-'Sch 137 Carbon Offset '!C5</f>
        <v>-220525.99</v>
      </c>
    </row>
    <row r="29" spans="1:4" x14ac:dyDescent="0.3">
      <c r="A29" s="11">
        <f t="shared" si="0"/>
        <v>18</v>
      </c>
      <c r="B29" s="34" t="s">
        <v>215</v>
      </c>
      <c r="C29" s="20"/>
      <c r="D29" s="189">
        <f>-'Sch 138 RNG'!C6</f>
        <v>-41950.17</v>
      </c>
    </row>
    <row r="30" spans="1:4" x14ac:dyDescent="0.3">
      <c r="A30" s="11">
        <f t="shared" si="0"/>
        <v>19</v>
      </c>
      <c r="B30" s="34" t="s">
        <v>14</v>
      </c>
      <c r="C30" s="20"/>
      <c r="D30" s="189">
        <f>-'SC 142 Decoup'!B18</f>
        <v>-3404584.58</v>
      </c>
    </row>
    <row r="31" spans="1:4" x14ac:dyDescent="0.3">
      <c r="A31" s="11">
        <f t="shared" si="0"/>
        <v>20</v>
      </c>
      <c r="B31" s="14" t="s">
        <v>16</v>
      </c>
      <c r="C31" s="20"/>
      <c r="D31" s="21">
        <f>'SOEG Mu Tx Wtr Htr '!R10</f>
        <v>0</v>
      </c>
    </row>
    <row r="32" spans="1:4" x14ac:dyDescent="0.3">
      <c r="A32" s="11">
        <f t="shared" si="0"/>
        <v>21</v>
      </c>
      <c r="B32" s="54" t="s">
        <v>247</v>
      </c>
      <c r="C32" s="53"/>
      <c r="D32" s="190">
        <f>-'Sch 129D Bill Discount'!C6</f>
        <v>-3100172</v>
      </c>
    </row>
    <row r="33" spans="1:4" x14ac:dyDescent="0.3">
      <c r="A33" s="11">
        <f t="shared" si="0"/>
        <v>22</v>
      </c>
      <c r="B33" s="55" t="s">
        <v>145</v>
      </c>
      <c r="D33" s="110">
        <f>SUM(D28:D32)</f>
        <v>-6767232.7400000002</v>
      </c>
    </row>
    <row r="34" spans="1:4" x14ac:dyDescent="0.3">
      <c r="A34" s="11">
        <f t="shared" si="0"/>
        <v>23</v>
      </c>
    </row>
    <row r="35" spans="1:4" x14ac:dyDescent="0.3">
      <c r="A35" s="11">
        <f t="shared" si="0"/>
        <v>24</v>
      </c>
      <c r="B35" s="15" t="s">
        <v>17</v>
      </c>
      <c r="C35" s="34"/>
      <c r="D35" s="56">
        <f>SUM(D25,D33)</f>
        <v>100918647.78078465</v>
      </c>
    </row>
    <row r="36" spans="1:4" x14ac:dyDescent="0.3">
      <c r="A36" s="11">
        <f t="shared" si="0"/>
        <v>25</v>
      </c>
      <c r="B36" s="15"/>
      <c r="C36" s="34"/>
      <c r="D36" s="21"/>
    </row>
    <row r="37" spans="1:4" x14ac:dyDescent="0.3">
      <c r="A37" s="11">
        <f t="shared" si="0"/>
        <v>26</v>
      </c>
      <c r="B37" s="115" t="s">
        <v>18</v>
      </c>
      <c r="C37" s="20"/>
      <c r="D37" s="26"/>
    </row>
    <row r="38" spans="1:4" x14ac:dyDescent="0.3">
      <c r="A38" s="11">
        <f t="shared" si="0"/>
        <v>27</v>
      </c>
      <c r="B38" s="34" t="s">
        <v>19</v>
      </c>
      <c r="C38" s="191">
        <f>[1]model!$CC$12</f>
        <v>2.7460000000000002E-3</v>
      </c>
      <c r="D38" s="22">
        <f>-SUM(D14:D21,D23,D31)*C38</f>
        <v>-285920.45960562141</v>
      </c>
    </row>
    <row r="39" spans="1:4" x14ac:dyDescent="0.3">
      <c r="A39" s="11">
        <f t="shared" si="0"/>
        <v>28</v>
      </c>
      <c r="B39" s="16" t="s">
        <v>20</v>
      </c>
      <c r="C39" s="191">
        <f>[1]model!$CC$13</f>
        <v>4.0000000000000001E-3</v>
      </c>
      <c r="D39" s="23">
        <f>-SUM(D14:D21,D23,D31)*C39</f>
        <v>-416490.10867534071</v>
      </c>
    </row>
    <row r="40" spans="1:4" x14ac:dyDescent="0.3">
      <c r="A40" s="11">
        <f t="shared" si="0"/>
        <v>29</v>
      </c>
      <c r="B40" s="17" t="s">
        <v>21</v>
      </c>
      <c r="C40" s="191">
        <f>[1]model!$CC$14</f>
        <v>3.8413999999999997E-2</v>
      </c>
      <c r="D40" s="23">
        <f>-SUM(D14:D21,D23,D31)*C40</f>
        <v>-3999762.7586636343</v>
      </c>
    </row>
    <row r="41" spans="1:4" x14ac:dyDescent="0.3">
      <c r="A41" s="11">
        <f t="shared" si="0"/>
        <v>30</v>
      </c>
      <c r="B41" s="17" t="s">
        <v>22</v>
      </c>
      <c r="C41" s="24"/>
      <c r="D41" s="25">
        <f>SUM(D38:D40)</f>
        <v>-4702173.3269445961</v>
      </c>
    </row>
    <row r="42" spans="1:4" x14ac:dyDescent="0.3">
      <c r="A42" s="11">
        <f t="shared" si="0"/>
        <v>31</v>
      </c>
      <c r="D42" s="18"/>
    </row>
    <row r="43" spans="1:4" x14ac:dyDescent="0.3">
      <c r="A43" s="11">
        <f t="shared" si="0"/>
        <v>32</v>
      </c>
      <c r="B43" s="114" t="s">
        <v>23</v>
      </c>
      <c r="C43" s="15"/>
      <c r="D43" s="18"/>
    </row>
    <row r="44" spans="1:4" x14ac:dyDescent="0.3">
      <c r="A44" s="11">
        <f t="shared" si="0"/>
        <v>33</v>
      </c>
      <c r="B44" s="34" t="s">
        <v>24</v>
      </c>
      <c r="C44" s="51" t="s">
        <v>148</v>
      </c>
      <c r="D44" s="193">
        <f>-'Schedule 129'!B4</f>
        <v>-3163635.84</v>
      </c>
    </row>
    <row r="45" spans="1:4" x14ac:dyDescent="0.3">
      <c r="A45" s="11">
        <f t="shared" si="0"/>
        <v>34</v>
      </c>
      <c r="B45" s="34" t="s">
        <v>25</v>
      </c>
      <c r="C45" s="51" t="s">
        <v>147</v>
      </c>
      <c r="D45" s="192">
        <f>-'Schedule 120'!B4</f>
        <v>-23398795.149999999</v>
      </c>
    </row>
    <row r="46" spans="1:4" x14ac:dyDescent="0.3">
      <c r="A46" s="11">
        <f t="shared" si="0"/>
        <v>35</v>
      </c>
      <c r="B46" s="34" t="s">
        <v>26</v>
      </c>
      <c r="C46" s="51" t="s">
        <v>149</v>
      </c>
      <c r="D46" s="192">
        <f>-'Schedule 140'!B6</f>
        <v>-20012311.18</v>
      </c>
    </row>
    <row r="47" spans="1:4" x14ac:dyDescent="0.3">
      <c r="A47" s="11">
        <f t="shared" si="0"/>
        <v>36</v>
      </c>
      <c r="B47" s="34" t="s">
        <v>27</v>
      </c>
      <c r="C47" s="51" t="s">
        <v>146</v>
      </c>
      <c r="D47" s="21">
        <f>-'Schedule 106'!D11</f>
        <v>17260202.460000001</v>
      </c>
    </row>
    <row r="48" spans="1:4" x14ac:dyDescent="0.3">
      <c r="A48" s="11">
        <f t="shared" si="0"/>
        <v>37</v>
      </c>
      <c r="B48" s="34" t="s">
        <v>28</v>
      </c>
      <c r="C48" s="51" t="s">
        <v>148</v>
      </c>
      <c r="D48" s="21">
        <f>-'Sch 137 Carbon Offset '!C7-'Sch 137 Carbon Offset '!C12</f>
        <v>-136151.76</v>
      </c>
    </row>
    <row r="49" spans="1:4" x14ac:dyDescent="0.3">
      <c r="A49" s="11">
        <f t="shared" si="0"/>
        <v>38</v>
      </c>
      <c r="B49" s="34" t="s">
        <v>28</v>
      </c>
      <c r="C49" s="51" t="s">
        <v>150</v>
      </c>
      <c r="D49" s="21">
        <f>-'Sch 137 Carbon Offset '!C10</f>
        <v>-26043.08</v>
      </c>
    </row>
    <row r="50" spans="1:4" x14ac:dyDescent="0.3">
      <c r="A50" s="11">
        <f t="shared" si="0"/>
        <v>39</v>
      </c>
      <c r="B50" s="34" t="s">
        <v>28</v>
      </c>
      <c r="C50" s="51" t="s">
        <v>149</v>
      </c>
      <c r="D50" s="21">
        <f>-'Sch 137 Carbon Offset '!C11</f>
        <v>-7726.09</v>
      </c>
    </row>
    <row r="51" spans="1:4" x14ac:dyDescent="0.3">
      <c r="A51" s="11">
        <f t="shared" si="0"/>
        <v>40</v>
      </c>
      <c r="B51" s="34" t="s">
        <v>28</v>
      </c>
      <c r="C51" s="51" t="s">
        <v>146</v>
      </c>
      <c r="D51" s="21">
        <f>-SUM('Sch 137 Carbon Offset '!C8)</f>
        <v>-1414110</v>
      </c>
    </row>
    <row r="52" spans="1:4" x14ac:dyDescent="0.3">
      <c r="A52" s="11">
        <f t="shared" si="0"/>
        <v>41</v>
      </c>
      <c r="B52" s="34" t="s">
        <v>216</v>
      </c>
      <c r="C52" s="51" t="s">
        <v>148</v>
      </c>
      <c r="D52" s="21">
        <f>-'Sch 138 RNG'!C11</f>
        <v>-341764.2</v>
      </c>
    </row>
    <row r="53" spans="1:4" x14ac:dyDescent="0.3">
      <c r="A53" s="11">
        <f t="shared" si="0"/>
        <v>42</v>
      </c>
      <c r="B53" s="34" t="s">
        <v>216</v>
      </c>
      <c r="C53" s="51" t="s">
        <v>150</v>
      </c>
      <c r="D53" s="21">
        <f>-'Sch 138 RNG'!C13</f>
        <v>-6372.43</v>
      </c>
    </row>
    <row r="54" spans="1:4" x14ac:dyDescent="0.3">
      <c r="A54" s="11">
        <f t="shared" si="0"/>
        <v>43</v>
      </c>
      <c r="B54" s="34" t="s">
        <v>216</v>
      </c>
      <c r="C54" s="51" t="s">
        <v>149</v>
      </c>
      <c r="D54" s="21">
        <f>-'Sch 138 RNG'!C12</f>
        <v>-1890.49</v>
      </c>
    </row>
    <row r="55" spans="1:4" x14ac:dyDescent="0.3">
      <c r="A55" s="11">
        <f t="shared" si="0"/>
        <v>44</v>
      </c>
      <c r="B55" s="34" t="s">
        <v>216</v>
      </c>
      <c r="C55" s="51" t="s">
        <v>146</v>
      </c>
      <c r="D55" s="21">
        <f>-'Sch 138 RNG'!C9</f>
        <v>-1045793.74</v>
      </c>
    </row>
    <row r="56" spans="1:4" x14ac:dyDescent="0.3">
      <c r="A56" s="11">
        <f t="shared" si="0"/>
        <v>45</v>
      </c>
      <c r="B56" s="34" t="s">
        <v>15</v>
      </c>
      <c r="C56" s="51" t="s">
        <v>149</v>
      </c>
      <c r="D56" s="21">
        <f>-'SOEG Muni Tax '!J37</f>
        <v>-59161527.740000002</v>
      </c>
    </row>
    <row r="57" spans="1:4" x14ac:dyDescent="0.3">
      <c r="A57" s="11">
        <f t="shared" si="0"/>
        <v>46</v>
      </c>
      <c r="B57" s="15" t="s">
        <v>29</v>
      </c>
      <c r="C57" s="15"/>
      <c r="D57" s="31">
        <f>SUM(D44:D56)</f>
        <v>-91455919.239999995</v>
      </c>
    </row>
    <row r="58" spans="1:4" x14ac:dyDescent="0.3">
      <c r="A58" s="11">
        <f t="shared" si="0"/>
        <v>47</v>
      </c>
      <c r="D58" s="27"/>
    </row>
    <row r="59" spans="1:4" x14ac:dyDescent="0.3">
      <c r="A59" s="11">
        <f t="shared" si="0"/>
        <v>48</v>
      </c>
      <c r="B59" s="14" t="s">
        <v>30</v>
      </c>
      <c r="C59" s="14"/>
      <c r="D59" s="28">
        <f>-D35-D41-D57</f>
        <v>-4760555.2138400674</v>
      </c>
    </row>
    <row r="60" spans="1:4" x14ac:dyDescent="0.3">
      <c r="A60" s="11">
        <f t="shared" si="0"/>
        <v>49</v>
      </c>
      <c r="B60" s="14" t="s">
        <v>157</v>
      </c>
      <c r="C60" s="50">
        <v>0.21</v>
      </c>
      <c r="D60" s="29">
        <f>D59*C60</f>
        <v>-999716.59490641416</v>
      </c>
    </row>
    <row r="61" spans="1:4" ht="15" thickBot="1" x14ac:dyDescent="0.35">
      <c r="A61" s="11">
        <f t="shared" si="0"/>
        <v>50</v>
      </c>
      <c r="B61" s="14" t="s">
        <v>31</v>
      </c>
      <c r="C61" s="14"/>
      <c r="D61" s="30">
        <f>D59-D60</f>
        <v>-3760838.6189336535</v>
      </c>
    </row>
    <row r="62" spans="1:4" ht="15" thickTop="1" x14ac:dyDescent="0.3">
      <c r="A62" s="11"/>
    </row>
    <row r="63" spans="1:4" x14ac:dyDescent="0.3">
      <c r="D63" s="111"/>
    </row>
  </sheetData>
  <pageMargins left="0.45" right="0.45" top="0.75" bottom="0.75" header="0.3" footer="0.3"/>
  <pageSetup scale="95" orientation="portrait" r:id="rId1"/>
  <customProperties>
    <customPr name="_pios_id" r:id="rId2"/>
    <customPr name="CofWorksheetType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5"/>
  <sheetViews>
    <sheetView zoomScaleNormal="100" zoomScaleSheetLayoutView="100" workbookViewId="0">
      <pane xSplit="4" ySplit="8" topLeftCell="E27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defaultColWidth="9.109375" defaultRowHeight="11.4" x14ac:dyDescent="0.2"/>
  <cols>
    <col min="1" max="2" width="1.6640625" style="145" customWidth="1"/>
    <col min="3" max="3" width="9.109375" style="145"/>
    <col min="4" max="4" width="32.6640625" style="145" customWidth="1"/>
    <col min="5" max="5" width="16.6640625" style="145" customWidth="1"/>
    <col min="6" max="6" width="0.88671875" style="145" customWidth="1"/>
    <col min="7" max="7" width="16.6640625" style="145" customWidth="1"/>
    <col min="8" max="8" width="0.88671875" style="145" customWidth="1"/>
    <col min="9" max="9" width="16.6640625" style="145" customWidth="1"/>
    <col min="10" max="10" width="0.88671875" style="145" customWidth="1"/>
    <col min="11" max="11" width="7.6640625" style="145" customWidth="1"/>
    <col min="12" max="12" width="0.88671875" style="145" customWidth="1"/>
    <col min="13" max="13" width="16.6640625" style="145" customWidth="1"/>
    <col min="14" max="14" width="0.88671875" style="145" customWidth="1"/>
    <col min="15" max="15" width="16.6640625" style="145" customWidth="1"/>
    <col min="16" max="16" width="0.88671875" style="145" customWidth="1"/>
    <col min="17" max="17" width="7.6640625" style="145" customWidth="1"/>
    <col min="18" max="18" width="0.88671875" style="145" customWidth="1"/>
    <col min="19" max="19" width="10.6640625" style="145" customWidth="1"/>
    <col min="20" max="20" width="0.88671875" style="145" customWidth="1"/>
    <col min="21" max="21" width="7.6640625" style="145" hidden="1" customWidth="1"/>
    <col min="22" max="22" width="0.88671875" style="145" hidden="1" customWidth="1"/>
    <col min="23" max="23" width="10.6640625" style="145" customWidth="1"/>
    <col min="24" max="16384" width="9.109375" style="145"/>
  </cols>
  <sheetData>
    <row r="1" spans="1:23" s="143" customFormat="1" ht="13.8" x14ac:dyDescent="0.25">
      <c r="E1" s="201" t="s">
        <v>0</v>
      </c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</row>
    <row r="2" spans="1:23" s="143" customFormat="1" ht="13.8" x14ac:dyDescent="0.25">
      <c r="E2" s="201" t="s">
        <v>55</v>
      </c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</row>
    <row r="3" spans="1:23" s="143" customFormat="1" ht="13.8" x14ac:dyDescent="0.25">
      <c r="E3" s="201" t="s">
        <v>222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</row>
    <row r="4" spans="1:23" s="144" customFormat="1" ht="13.2" x14ac:dyDescent="0.25">
      <c r="E4" s="202" t="s">
        <v>56</v>
      </c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</row>
    <row r="5" spans="1:23" x14ac:dyDescent="0.2">
      <c r="A5" s="145" t="s">
        <v>32</v>
      </c>
    </row>
    <row r="6" spans="1:23" s="146" customFormat="1" ht="13.2" x14ac:dyDescent="0.25">
      <c r="A6" s="146" t="s">
        <v>32</v>
      </c>
      <c r="I6" s="200" t="s">
        <v>57</v>
      </c>
      <c r="J6" s="200"/>
      <c r="K6" s="200"/>
      <c r="O6" s="200" t="s">
        <v>223</v>
      </c>
      <c r="P6" s="200"/>
      <c r="Q6" s="200"/>
      <c r="S6" s="200" t="s">
        <v>58</v>
      </c>
      <c r="T6" s="200"/>
      <c r="U6" s="200"/>
      <c r="V6" s="200"/>
      <c r="W6" s="200"/>
    </row>
    <row r="7" spans="1:23" s="146" customFormat="1" ht="13.2" x14ac:dyDescent="0.25">
      <c r="E7" s="147" t="s">
        <v>59</v>
      </c>
      <c r="G7" s="147"/>
      <c r="I7" s="147"/>
      <c r="K7" s="147"/>
      <c r="M7" s="147" t="s">
        <v>59</v>
      </c>
      <c r="O7" s="147"/>
      <c r="Q7" s="147"/>
      <c r="S7" s="147"/>
      <c r="U7" s="147"/>
      <c r="W7" s="147"/>
    </row>
    <row r="8" spans="1:23" s="146" customFormat="1" ht="13.2" x14ac:dyDescent="0.25">
      <c r="A8" s="144" t="s">
        <v>60</v>
      </c>
      <c r="E8" s="148">
        <v>2023</v>
      </c>
      <c r="G8" s="148" t="s">
        <v>61</v>
      </c>
      <c r="I8" s="148" t="s">
        <v>62</v>
      </c>
      <c r="K8" s="148" t="s">
        <v>63</v>
      </c>
      <c r="M8" s="148">
        <v>2022</v>
      </c>
      <c r="O8" s="148" t="s">
        <v>62</v>
      </c>
      <c r="Q8" s="148" t="s">
        <v>63</v>
      </c>
      <c r="S8" s="148">
        <v>2023</v>
      </c>
      <c r="U8" s="148" t="s">
        <v>61</v>
      </c>
      <c r="W8" s="148">
        <v>2022</v>
      </c>
    </row>
    <row r="9" spans="1:23" ht="12" x14ac:dyDescent="0.25">
      <c r="B9" s="149" t="s">
        <v>64</v>
      </c>
    </row>
    <row r="10" spans="1:23" x14ac:dyDescent="0.2">
      <c r="C10" s="145" t="s">
        <v>65</v>
      </c>
      <c r="E10" s="150">
        <v>868462641.60000002</v>
      </c>
      <c r="F10" s="151"/>
      <c r="G10" s="150">
        <v>910268994.17999995</v>
      </c>
      <c r="H10" s="151"/>
      <c r="I10" s="150">
        <f>E10-G10</f>
        <v>-41806352.579999924</v>
      </c>
      <c r="J10" s="151"/>
      <c r="K10" s="152">
        <f>IF(G10=0,"n/a",IF(AND(I10/G10&lt;1,I10/G10&gt;-1),I10/G10,"n/a"))</f>
        <v>-4.5927470722718015E-2</v>
      </c>
      <c r="L10" s="151"/>
      <c r="M10" s="150">
        <v>808377190.04999995</v>
      </c>
      <c r="N10" s="151"/>
      <c r="O10" s="150">
        <f>E10-M10</f>
        <v>60085451.550000072</v>
      </c>
      <c r="Q10" s="152">
        <f>IF(M10=0,"n/a",IF(AND(O10/M10&lt;1,O10/M10&gt;-1),O10/M10,"n/a"))</f>
        <v>7.4328484635104122E-2</v>
      </c>
      <c r="S10" s="153">
        <f>IF(E59=0,"n/a",E10/E59)</f>
        <v>1.4778965936362047</v>
      </c>
      <c r="T10" s="154"/>
      <c r="U10" s="153">
        <f>IF(G59=0,"n/a",G10/G59)</f>
        <v>1.5400835916412587</v>
      </c>
      <c r="V10" s="154"/>
      <c r="W10" s="153">
        <f>IF(M59=0,"n/a",M10/M59)</f>
        <v>1.2787843756241051</v>
      </c>
    </row>
    <row r="11" spans="1:23" x14ac:dyDescent="0.2">
      <c r="C11" s="145" t="s">
        <v>66</v>
      </c>
      <c r="E11" s="155">
        <v>356649879.22000003</v>
      </c>
      <c r="F11" s="156"/>
      <c r="G11" s="155">
        <v>377571599.27999997</v>
      </c>
      <c r="H11" s="156"/>
      <c r="I11" s="155">
        <f>E11-G11</f>
        <v>-20921720.059999943</v>
      </c>
      <c r="J11" s="156"/>
      <c r="K11" s="152">
        <f>IF(G11=0,"n/a",IF(AND(I11/G11&lt;1,I11/G11&gt;-1),I11/G11,"n/a"))</f>
        <v>-5.5411265306755213E-2</v>
      </c>
      <c r="L11" s="156"/>
      <c r="M11" s="155">
        <v>324742676.88</v>
      </c>
      <c r="N11" s="156"/>
      <c r="O11" s="155">
        <f>E11-M11</f>
        <v>31907202.340000033</v>
      </c>
      <c r="Q11" s="152">
        <f>IF(M11=0,"n/a",IF(AND(O11/M11&lt;1,O11/M11&gt;-1),O11/M11,"n/a"))</f>
        <v>9.8253800968052279E-2</v>
      </c>
      <c r="S11" s="157">
        <f>IF(E60=0,"n/a",E11/E60)</f>
        <v>1.25053953697181</v>
      </c>
      <c r="T11" s="154"/>
      <c r="U11" s="157">
        <f>IF(G60=0,"n/a",G11/G60)</f>
        <v>1.3334047100364519</v>
      </c>
      <c r="V11" s="154"/>
      <c r="W11" s="157">
        <f>IF(M60=0,"n/a",M11/M60)</f>
        <v>1.1012740177128939</v>
      </c>
    </row>
    <row r="12" spans="1:23" x14ac:dyDescent="0.2">
      <c r="C12" s="145" t="s">
        <v>67</v>
      </c>
      <c r="E12" s="158">
        <v>25472216.850000001</v>
      </c>
      <c r="F12" s="156"/>
      <c r="G12" s="158">
        <v>25615251.035</v>
      </c>
      <c r="H12" s="156"/>
      <c r="I12" s="158">
        <f>E12-G12</f>
        <v>-143034.18499999866</v>
      </c>
      <c r="J12" s="156"/>
      <c r="K12" s="159">
        <f>IF(G12=0,"n/a",IF(AND(I12/G12&lt;1,I12/G12&gt;-1),I12/G12,"n/a"))</f>
        <v>-5.5839462515733509E-3</v>
      </c>
      <c r="L12" s="156"/>
      <c r="M12" s="158">
        <v>22964604.280000001</v>
      </c>
      <c r="N12" s="156"/>
      <c r="O12" s="158">
        <f>E12-M12</f>
        <v>2507612.5700000003</v>
      </c>
      <c r="Q12" s="159">
        <f>IF(M12=0,"n/a",IF(AND(O12/M12&lt;1,O12/M12&gt;-1),O12/M12,"n/a"))</f>
        <v>0.10919467801079828</v>
      </c>
      <c r="S12" s="160">
        <f>IF(E61=0,"n/a",E12/E61)</f>
        <v>1.1490283616146237</v>
      </c>
      <c r="T12" s="154"/>
      <c r="U12" s="160">
        <f>IF(G61=0,"n/a",G12/G61)</f>
        <v>1.19874602683817</v>
      </c>
      <c r="V12" s="154"/>
      <c r="W12" s="160">
        <f>IF(M61=0,"n/a",M12/M61)</f>
        <v>0.97860027791618853</v>
      </c>
    </row>
    <row r="13" spans="1:23" ht="6.9" customHeight="1" x14ac:dyDescent="0.2">
      <c r="E13" s="155"/>
      <c r="F13" s="156"/>
      <c r="G13" s="155"/>
      <c r="H13" s="156"/>
      <c r="I13" s="155"/>
      <c r="J13" s="156"/>
      <c r="K13" s="161"/>
      <c r="L13" s="156"/>
      <c r="M13" s="155"/>
      <c r="N13" s="156"/>
      <c r="O13" s="155"/>
      <c r="Q13" s="161"/>
      <c r="S13" s="154"/>
      <c r="T13" s="154"/>
      <c r="U13" s="154"/>
      <c r="V13" s="154"/>
      <c r="W13" s="154"/>
    </row>
    <row r="14" spans="1:23" x14ac:dyDescent="0.2">
      <c r="C14" s="145" t="s">
        <v>68</v>
      </c>
      <c r="E14" s="155">
        <f>SUM(E10:E12)</f>
        <v>1250584737.6700001</v>
      </c>
      <c r="F14" s="156"/>
      <c r="G14" s="155">
        <f>SUM(G10:G12)</f>
        <v>1313455844.4950001</v>
      </c>
      <c r="H14" s="156"/>
      <c r="I14" s="155">
        <f>E14-G14</f>
        <v>-62871106.825000048</v>
      </c>
      <c r="J14" s="156"/>
      <c r="K14" s="152">
        <f>IF(G14=0,"n/a",IF(AND(I14/G14&lt;1,I14/G14&gt;-1),I14/G14,"n/a"))</f>
        <v>-4.7866935983046192E-2</v>
      </c>
      <c r="L14" s="156"/>
      <c r="M14" s="155">
        <f>SUM(M10:M12)</f>
        <v>1156084471.2099998</v>
      </c>
      <c r="N14" s="156"/>
      <c r="O14" s="155">
        <f>E14-M14</f>
        <v>94500266.460000277</v>
      </c>
      <c r="Q14" s="152">
        <f>IF(M14=0,"n/a",IF(AND(O14/M14&lt;1,O14/M14&gt;-1),O14/M14,"n/a"))</f>
        <v>8.1741662320827538E-2</v>
      </c>
      <c r="S14" s="157">
        <f>IF(E63=0,"n/a",E14/E63)</f>
        <v>1.3973021197727382</v>
      </c>
      <c r="T14" s="154"/>
      <c r="U14" s="157">
        <f>IF(G63=0,"n/a",G14/G63)</f>
        <v>1.4665921246895823</v>
      </c>
      <c r="V14" s="154"/>
      <c r="W14" s="157">
        <f>IF(M63=0,"n/a",M14/M63)</f>
        <v>1.2163025063282402</v>
      </c>
    </row>
    <row r="15" spans="1:23" ht="6.9" customHeight="1" x14ac:dyDescent="0.2">
      <c r="E15" s="155"/>
      <c r="F15" s="156"/>
      <c r="G15" s="155"/>
      <c r="H15" s="156"/>
      <c r="I15" s="155"/>
      <c r="J15" s="156"/>
      <c r="K15" s="161"/>
      <c r="L15" s="156"/>
      <c r="M15" s="155"/>
      <c r="N15" s="156"/>
      <c r="O15" s="155"/>
      <c r="Q15" s="161"/>
      <c r="S15" s="154"/>
      <c r="T15" s="154"/>
      <c r="U15" s="154"/>
      <c r="V15" s="154"/>
      <c r="W15" s="154"/>
    </row>
    <row r="16" spans="1:23" ht="12" x14ac:dyDescent="0.25">
      <c r="B16" s="149" t="s">
        <v>69</v>
      </c>
      <c r="E16" s="155"/>
      <c r="F16" s="156"/>
      <c r="G16" s="155"/>
      <c r="H16" s="156"/>
      <c r="I16" s="155"/>
      <c r="J16" s="156"/>
      <c r="K16" s="161"/>
      <c r="L16" s="156"/>
      <c r="M16" s="155"/>
      <c r="N16" s="156"/>
      <c r="O16" s="155"/>
      <c r="Q16" s="161"/>
      <c r="S16" s="154"/>
      <c r="T16" s="154"/>
      <c r="U16" s="154"/>
      <c r="V16" s="154"/>
      <c r="W16" s="154"/>
    </row>
    <row r="17" spans="2:23" x14ac:dyDescent="0.2">
      <c r="C17" s="145" t="s">
        <v>70</v>
      </c>
      <c r="E17" s="155">
        <v>33322257.300000001</v>
      </c>
      <c r="F17" s="156"/>
      <c r="G17" s="155">
        <v>23414354.925000001</v>
      </c>
      <c r="H17" s="156"/>
      <c r="I17" s="155">
        <f>E17-G17</f>
        <v>9907902.375</v>
      </c>
      <c r="J17" s="156"/>
      <c r="K17" s="152">
        <f>IF(G17=0,"n/a",IF(AND(I17/G17&lt;1,I17/G17&gt;-1),I17/G17,"n/a"))</f>
        <v>0.42315504342257682</v>
      </c>
      <c r="L17" s="156"/>
      <c r="M17" s="155">
        <v>27495929.199999999</v>
      </c>
      <c r="N17" s="156"/>
      <c r="O17" s="155">
        <f>E17-M17</f>
        <v>5826328.1000000015</v>
      </c>
      <c r="Q17" s="152">
        <f>IF(M17=0,"n/a",IF(AND(O17/M17&lt;1,O17/M17&gt;-1),O17/M17,"n/a"))</f>
        <v>0.21189784340876183</v>
      </c>
      <c r="S17" s="157">
        <f>IF(E66=0,"n/a",E17/E66)</f>
        <v>0.75203849788093879</v>
      </c>
      <c r="T17" s="154"/>
      <c r="U17" s="157">
        <f>IF(G66=0,"n/a",G17/G66)</f>
        <v>0.76346652911608648</v>
      </c>
      <c r="V17" s="154"/>
      <c r="W17" s="157">
        <f>IF(M66=0,"n/a",M17/M66)</f>
        <v>0.59787983471545925</v>
      </c>
    </row>
    <row r="18" spans="2:23" x14ac:dyDescent="0.2">
      <c r="C18" s="145" t="s">
        <v>71</v>
      </c>
      <c r="E18" s="158">
        <v>3776601.13</v>
      </c>
      <c r="F18" s="162"/>
      <c r="G18" s="158">
        <v>1619943.128</v>
      </c>
      <c r="H18" s="163"/>
      <c r="I18" s="158">
        <f>E18-G18</f>
        <v>2156658.0019999999</v>
      </c>
      <c r="J18" s="162"/>
      <c r="K18" s="159" t="str">
        <f>IF(G18=0,"n/a",IF(AND(I18/G18&lt;1,I18/G18&gt;-1),I18/G18,"n/a"))</f>
        <v>n/a</v>
      </c>
      <c r="L18" s="164"/>
      <c r="M18" s="158">
        <v>2085635.89</v>
      </c>
      <c r="N18" s="164"/>
      <c r="O18" s="158">
        <f>E18-M18</f>
        <v>1690965.24</v>
      </c>
      <c r="Q18" s="159">
        <f>IF(M18=0,"n/a",IF(AND(O18/M18&lt;1,O18/M18&gt;-1),O18/M18,"n/a"))</f>
        <v>0.81076723320099753</v>
      </c>
      <c r="S18" s="160">
        <f>IF(E67=0,"n/a",E18/E67)</f>
        <v>0.76044363897321809</v>
      </c>
      <c r="T18" s="154"/>
      <c r="U18" s="160">
        <f>IF(G67=0,"n/a",G18/G67)</f>
        <v>0.54592783456862271</v>
      </c>
      <c r="V18" s="154"/>
      <c r="W18" s="160">
        <f>IF(M67=0,"n/a",M18/M67)</f>
        <v>0.62567806573526552</v>
      </c>
    </row>
    <row r="19" spans="2:23" ht="6.9" customHeight="1" x14ac:dyDescent="0.2">
      <c r="E19" s="155"/>
      <c r="F19" s="165"/>
      <c r="G19" s="155"/>
      <c r="H19" s="165"/>
      <c r="I19" s="155"/>
      <c r="J19" s="165"/>
      <c r="K19" s="161"/>
      <c r="L19" s="165"/>
      <c r="M19" s="155"/>
      <c r="N19" s="165"/>
      <c r="O19" s="155"/>
      <c r="Q19" s="161"/>
      <c r="S19" s="154"/>
      <c r="T19" s="154"/>
      <c r="U19" s="154"/>
      <c r="V19" s="154"/>
      <c r="W19" s="154"/>
    </row>
    <row r="20" spans="2:23" x14ac:dyDescent="0.2">
      <c r="C20" s="145" t="s">
        <v>72</v>
      </c>
      <c r="E20" s="158">
        <f>SUM(E17:E18)</f>
        <v>37098858.43</v>
      </c>
      <c r="F20" s="162"/>
      <c r="G20" s="158">
        <f>SUM(G17:G18)</f>
        <v>25034298.052999999</v>
      </c>
      <c r="H20" s="163"/>
      <c r="I20" s="158">
        <f>E20-G20</f>
        <v>12064560.377</v>
      </c>
      <c r="J20" s="162"/>
      <c r="K20" s="159">
        <f>IF(G20=0,"n/a",IF(AND(I20/G20&lt;1,I20/G20&gt;-1),I20/G20,"n/a"))</f>
        <v>0.48192125664790658</v>
      </c>
      <c r="L20" s="164"/>
      <c r="M20" s="158">
        <f>SUM(M17:M18)</f>
        <v>29581565.09</v>
      </c>
      <c r="N20" s="164"/>
      <c r="O20" s="158">
        <f>E20-M20</f>
        <v>7517293.3399999999</v>
      </c>
      <c r="Q20" s="159">
        <f>IF(M20=0,"n/a",IF(AND(O20/M20&lt;1,O20/M20&gt;-1),O20/M20,"n/a"))</f>
        <v>0.25412087957919471</v>
      </c>
      <c r="S20" s="160">
        <f>IF(E69=0,"n/a",E20/E69)</f>
        <v>0.7528856229874783</v>
      </c>
      <c r="T20" s="154"/>
      <c r="U20" s="160">
        <f>IF(G69=0,"n/a",G20/G69)</f>
        <v>0.74427545311324117</v>
      </c>
      <c r="V20" s="154"/>
      <c r="W20" s="160">
        <f>IF(M69=0,"n/a",M20/M69)</f>
        <v>0.59975854588914745</v>
      </c>
    </row>
    <row r="21" spans="2:23" ht="6.9" customHeight="1" x14ac:dyDescent="0.2">
      <c r="E21" s="155"/>
      <c r="F21" s="165"/>
      <c r="G21" s="155"/>
      <c r="H21" s="165"/>
      <c r="I21" s="155"/>
      <c r="J21" s="165"/>
      <c r="K21" s="161"/>
      <c r="L21" s="165"/>
      <c r="M21" s="155"/>
      <c r="N21" s="165"/>
      <c r="O21" s="155"/>
      <c r="Q21" s="161"/>
      <c r="S21" s="154"/>
      <c r="T21" s="154"/>
      <c r="U21" s="154"/>
      <c r="V21" s="154"/>
      <c r="W21" s="154"/>
    </row>
    <row r="22" spans="2:23" x14ac:dyDescent="0.2">
      <c r="C22" s="145" t="s">
        <v>73</v>
      </c>
      <c r="E22" s="155">
        <f>E14+E20</f>
        <v>1287683596.1000001</v>
      </c>
      <c r="F22" s="165"/>
      <c r="G22" s="155">
        <f>G14+G20</f>
        <v>1338490142.5480001</v>
      </c>
      <c r="H22" s="165"/>
      <c r="I22" s="155">
        <f>E22-G22</f>
        <v>-50806546.447999954</v>
      </c>
      <c r="J22" s="165"/>
      <c r="K22" s="152">
        <f>IF(G22=0,"n/a",IF(AND(I22/G22&lt;1,I22/G22&gt;-1),I22/G22,"n/a"))</f>
        <v>-3.7958102815223355E-2</v>
      </c>
      <c r="L22" s="165"/>
      <c r="M22" s="155">
        <f>M14+M20</f>
        <v>1185666036.2999997</v>
      </c>
      <c r="N22" s="165"/>
      <c r="O22" s="155">
        <f>E22-M22</f>
        <v>102017559.80000043</v>
      </c>
      <c r="Q22" s="152">
        <f>IF(M22=0,"n/a",IF(AND(O22/M22&lt;1,O22/M22&gt;-1),O22/M22,"n/a"))</f>
        <v>8.604240711689555E-2</v>
      </c>
      <c r="S22" s="157">
        <f>IF(E71=0,"n/a",E22/E71)</f>
        <v>1.3636742264570076</v>
      </c>
      <c r="T22" s="154"/>
      <c r="U22" s="157">
        <f>IF(G71=0,"n/a",G22/G71)</f>
        <v>1.4404457730353648</v>
      </c>
      <c r="V22" s="154"/>
      <c r="W22" s="157">
        <f>IF(M71=0,"n/a",M22/M71)</f>
        <v>1.1858873667604697</v>
      </c>
    </row>
    <row r="23" spans="2:23" ht="6.9" customHeight="1" x14ac:dyDescent="0.2">
      <c r="E23" s="155"/>
      <c r="F23" s="165"/>
      <c r="G23" s="155"/>
      <c r="H23" s="165"/>
      <c r="I23" s="155"/>
      <c r="J23" s="165"/>
      <c r="K23" s="161"/>
      <c r="L23" s="165"/>
      <c r="M23" s="155"/>
      <c r="N23" s="165"/>
      <c r="O23" s="155"/>
      <c r="Q23" s="161"/>
      <c r="S23" s="154"/>
      <c r="T23" s="154"/>
      <c r="U23" s="154"/>
      <c r="V23" s="154"/>
      <c r="W23" s="154"/>
    </row>
    <row r="24" spans="2:23" ht="12" x14ac:dyDescent="0.25">
      <c r="B24" s="149" t="s">
        <v>74</v>
      </c>
      <c r="E24" s="155"/>
      <c r="F24" s="165"/>
      <c r="G24" s="155"/>
      <c r="H24" s="165"/>
      <c r="I24" s="155"/>
      <c r="J24" s="165"/>
      <c r="K24" s="161"/>
      <c r="L24" s="165"/>
      <c r="M24" s="155"/>
      <c r="N24" s="165"/>
      <c r="O24" s="155"/>
      <c r="Q24" s="161"/>
      <c r="S24" s="154"/>
      <c r="T24" s="154"/>
      <c r="U24" s="154"/>
      <c r="V24" s="154"/>
      <c r="W24" s="154"/>
    </row>
    <row r="25" spans="2:23" x14ac:dyDescent="0.2">
      <c r="C25" s="145" t="s">
        <v>75</v>
      </c>
      <c r="E25" s="155">
        <v>10341960.550000001</v>
      </c>
      <c r="F25" s="165"/>
      <c r="G25" s="155">
        <v>9661381.5979999993</v>
      </c>
      <c r="H25" s="165"/>
      <c r="I25" s="155">
        <f>E25-G25</f>
        <v>680578.95200000145</v>
      </c>
      <c r="J25" s="165"/>
      <c r="K25" s="152">
        <f>IF(G25=0,"n/a",IF(AND(I25/G25&lt;1,I25/G25&gt;-1),I25/G25,"n/a"))</f>
        <v>7.0443232688468485E-2</v>
      </c>
      <c r="L25" s="165"/>
      <c r="M25" s="155">
        <v>7079066.9400000004</v>
      </c>
      <c r="N25" s="165"/>
      <c r="O25" s="155">
        <f>E25-M25</f>
        <v>3262893.6100000003</v>
      </c>
      <c r="Q25" s="152">
        <f>IF(M25=0,"n/a",IF(AND(O25/M25&lt;1,O25/M25&gt;-1),O25/M25,"n/a"))</f>
        <v>0.46092142335356984</v>
      </c>
      <c r="S25" s="157">
        <f>IF(E74=0,"n/a",E25/E74)</f>
        <v>0.20812869313116344</v>
      </c>
      <c r="T25" s="154"/>
      <c r="U25" s="157">
        <f>IF(G74=0,"n/a",G25/G74)</f>
        <v>0.18222183407019515</v>
      </c>
      <c r="V25" s="154"/>
      <c r="W25" s="157">
        <f>IF(M74=0,"n/a",M25/M74)</f>
        <v>0.13408016751471871</v>
      </c>
    </row>
    <row r="26" spans="2:23" x14ac:dyDescent="0.2">
      <c r="C26" s="145" t="s">
        <v>76</v>
      </c>
      <c r="E26" s="158">
        <v>18274016.82</v>
      </c>
      <c r="F26" s="162"/>
      <c r="G26" s="158">
        <v>19050134.798999999</v>
      </c>
      <c r="H26" s="163"/>
      <c r="I26" s="158">
        <f>E26-G26</f>
        <v>-776117.97899999842</v>
      </c>
      <c r="J26" s="162"/>
      <c r="K26" s="159">
        <f>IF(G26=0,"n/a",IF(AND(I26/G26&lt;1,I26/G26&gt;-1),I26/G26,"n/a"))</f>
        <v>-4.0740812975283473E-2</v>
      </c>
      <c r="L26" s="164"/>
      <c r="M26" s="158">
        <v>13252539.93</v>
      </c>
      <c r="N26" s="164"/>
      <c r="O26" s="158">
        <f>E26-M26</f>
        <v>5021476.8900000006</v>
      </c>
      <c r="Q26" s="159">
        <f>IF(M26=0,"n/a",IF(AND(O26/M26&lt;1,O26/M26&gt;-1),O26/M26,"n/a"))</f>
        <v>0.37890675421643499</v>
      </c>
      <c r="S26" s="160">
        <f>IF(E75=0,"n/a",E26/E75)</f>
        <v>0.12837145601695127</v>
      </c>
      <c r="T26" s="154"/>
      <c r="U26" s="160">
        <f>IF(G75=0,"n/a",G26/G75)</f>
        <v>0.10211716327410567</v>
      </c>
      <c r="V26" s="154"/>
      <c r="W26" s="160">
        <f>IF(M75=0,"n/a",M26/M75)</f>
        <v>7.970930942985506E-2</v>
      </c>
    </row>
    <row r="27" spans="2:23" ht="6.9" customHeight="1" x14ac:dyDescent="0.2">
      <c r="E27" s="155"/>
      <c r="F27" s="165"/>
      <c r="G27" s="155"/>
      <c r="H27" s="165"/>
      <c r="I27" s="155"/>
      <c r="J27" s="165"/>
      <c r="K27" s="161"/>
      <c r="L27" s="165"/>
      <c r="M27" s="155"/>
      <c r="N27" s="165"/>
      <c r="O27" s="155"/>
      <c r="Q27" s="161"/>
      <c r="S27" s="154"/>
      <c r="T27" s="154"/>
      <c r="U27" s="154"/>
      <c r="V27" s="154"/>
      <c r="W27" s="154"/>
    </row>
    <row r="28" spans="2:23" x14ac:dyDescent="0.2">
      <c r="C28" s="145" t="s">
        <v>77</v>
      </c>
      <c r="E28" s="158">
        <f>SUM(E25:E26)</f>
        <v>28615977.370000001</v>
      </c>
      <c r="F28" s="162"/>
      <c r="G28" s="158">
        <f>SUM(G25:G26)</f>
        <v>28711516.397</v>
      </c>
      <c r="H28" s="163"/>
      <c r="I28" s="158">
        <f>E28-G28</f>
        <v>-95539.026999998838</v>
      </c>
      <c r="J28" s="162"/>
      <c r="K28" s="159">
        <f>IF(G28=0,"n/a",IF(AND(I28/G28&lt;1,I28/G28&gt;-1),I28/G28,"n/a"))</f>
        <v>-3.3275507179405367E-3</v>
      </c>
      <c r="L28" s="164"/>
      <c r="M28" s="158">
        <f>SUM(M25:M26)</f>
        <v>20331606.870000001</v>
      </c>
      <c r="N28" s="164"/>
      <c r="O28" s="158">
        <f>E28-M28</f>
        <v>8284370.5</v>
      </c>
      <c r="Q28" s="159">
        <f>IF(M28=0,"n/a",IF(AND(O28/M28&lt;1,O28/M28&gt;-1),O28/M28,"n/a"))</f>
        <v>0.40746265422945388</v>
      </c>
      <c r="S28" s="160">
        <f>IF(E77=0,"n/a",E28/E77)</f>
        <v>0.14900827882341208</v>
      </c>
      <c r="T28" s="154"/>
      <c r="U28" s="160">
        <f>IF(G77=0,"n/a",G28/G77)</f>
        <v>0.11984522556975684</v>
      </c>
      <c r="V28" s="154"/>
      <c r="W28" s="160">
        <f>IF(M77=0,"n/a",M28/M77)</f>
        <v>9.2813742730805768E-2</v>
      </c>
    </row>
    <row r="29" spans="2:23" ht="6.9" customHeight="1" x14ac:dyDescent="0.2">
      <c r="E29" s="155"/>
      <c r="F29" s="165"/>
      <c r="G29" s="155"/>
      <c r="H29" s="165"/>
      <c r="I29" s="155"/>
      <c r="J29" s="165"/>
      <c r="K29" s="161"/>
      <c r="L29" s="165"/>
      <c r="M29" s="155"/>
      <c r="N29" s="165"/>
      <c r="O29" s="155"/>
      <c r="Q29" s="161"/>
      <c r="S29" s="154"/>
      <c r="T29" s="154"/>
      <c r="U29" s="154"/>
      <c r="V29" s="154"/>
      <c r="W29" s="154"/>
    </row>
    <row r="30" spans="2:23" x14ac:dyDescent="0.2">
      <c r="C30" s="145" t="s">
        <v>78</v>
      </c>
      <c r="E30" s="155">
        <f>E22+E28</f>
        <v>1316299573.47</v>
      </c>
      <c r="F30" s="165"/>
      <c r="G30" s="155">
        <f>G22+G28</f>
        <v>1367201658.9450002</v>
      </c>
      <c r="H30" s="165"/>
      <c r="I30" s="155">
        <f>E30-G30</f>
        <v>-50902085.475000143</v>
      </c>
      <c r="J30" s="165"/>
      <c r="K30" s="152">
        <f>IF(G30=0,"n/a",IF(AND(I30/G30&lt;1,I30/G30&gt;-1),I30/G30,"n/a"))</f>
        <v>-3.7230854089424295E-2</v>
      </c>
      <c r="L30" s="165"/>
      <c r="M30" s="155">
        <f>M22+M28</f>
        <v>1205997643.1699996</v>
      </c>
      <c r="N30" s="165"/>
      <c r="O30" s="155">
        <f>E30-M30</f>
        <v>110301930.30000043</v>
      </c>
      <c r="Q30" s="152">
        <f>IF(M30=0,"n/a",IF(AND(O30/M30&lt;1,O30/M30&gt;-1),O30/M30,"n/a"))</f>
        <v>9.1461149136302308E-2</v>
      </c>
      <c r="S30" s="153">
        <f>IF(E79=0,"n/a",E30/E79)</f>
        <v>1.1583901924953657</v>
      </c>
      <c r="T30" s="154"/>
      <c r="U30" s="153">
        <f>IF(G79=0,"n/a",G30/G79)</f>
        <v>1.1697571525110868</v>
      </c>
      <c r="V30" s="154"/>
      <c r="W30" s="153">
        <f>IF(M79=0,"n/a",M30/M79)</f>
        <v>0.98943787701810182</v>
      </c>
    </row>
    <row r="31" spans="2:23" ht="6.9" customHeight="1" x14ac:dyDescent="0.2">
      <c r="E31" s="155"/>
      <c r="F31" s="165"/>
      <c r="G31" s="155"/>
      <c r="H31" s="165"/>
      <c r="I31" s="155"/>
      <c r="J31" s="165"/>
      <c r="K31" s="161"/>
      <c r="L31" s="165"/>
      <c r="M31" s="155"/>
      <c r="N31" s="165"/>
      <c r="O31" s="155"/>
      <c r="Q31" s="161"/>
      <c r="S31" s="166"/>
      <c r="T31" s="166"/>
      <c r="U31" s="166"/>
      <c r="V31" s="166"/>
      <c r="W31" s="166"/>
    </row>
    <row r="32" spans="2:23" x14ac:dyDescent="0.2">
      <c r="B32" s="145" t="s">
        <v>52</v>
      </c>
      <c r="E32" s="155">
        <v>19710815.699999999</v>
      </c>
      <c r="F32" s="165"/>
      <c r="G32" s="155">
        <v>24684479.710000001</v>
      </c>
      <c r="H32" s="165"/>
      <c r="I32" s="155">
        <f>E32-G32</f>
        <v>-4973664.0100000016</v>
      </c>
      <c r="J32" s="165"/>
      <c r="K32" s="152">
        <f>IF(G32=0,"n/a",IF(AND(I32/G32&lt;1,I32/G32&gt;-1),I32/G32,"n/a"))</f>
        <v>-0.20148952169265719</v>
      </c>
      <c r="L32" s="165"/>
      <c r="M32" s="155">
        <v>-19569409.940000001</v>
      </c>
      <c r="N32" s="165"/>
      <c r="O32" s="155">
        <f>E32-M32</f>
        <v>39280225.640000001</v>
      </c>
      <c r="Q32" s="152" t="str">
        <f>IF(M32=0,"n/a",IF(AND(O32/M32&lt;1,O32/M32&gt;-1),O32/M32,"n/a"))</f>
        <v>n/a</v>
      </c>
      <c r="S32" s="166"/>
      <c r="T32" s="166"/>
      <c r="U32" s="166"/>
      <c r="V32" s="166"/>
      <c r="W32" s="166"/>
    </row>
    <row r="33" spans="2:23" x14ac:dyDescent="0.2">
      <c r="B33" s="145" t="s">
        <v>79</v>
      </c>
      <c r="E33" s="158">
        <v>88357797.379999995</v>
      </c>
      <c r="F33" s="162"/>
      <c r="G33" s="158">
        <v>23845575.087000001</v>
      </c>
      <c r="H33" s="163"/>
      <c r="I33" s="158">
        <f>E33-G33</f>
        <v>64512222.292999998</v>
      </c>
      <c r="J33" s="162"/>
      <c r="K33" s="159" t="str">
        <f>IF(G33=0,"n/a",IF(AND(I33/G33&lt;1,I33/G33&gt;-1),I33/G33,"n/a"))</f>
        <v>n/a</v>
      </c>
      <c r="L33" s="164"/>
      <c r="M33" s="158">
        <v>23207985.93</v>
      </c>
      <c r="N33" s="164"/>
      <c r="O33" s="158">
        <f>E33-M33</f>
        <v>65149811.449999996</v>
      </c>
      <c r="Q33" s="159" t="str">
        <f>IF(M33=0,"n/a",IF(AND(O33/M33&lt;1,O33/M33&gt;-1),O33/M33,"n/a"))</f>
        <v>n/a</v>
      </c>
    </row>
    <row r="34" spans="2:23" ht="6.9" customHeight="1" x14ac:dyDescent="0.2">
      <c r="E34" s="155"/>
      <c r="F34" s="167"/>
      <c r="G34" s="155"/>
      <c r="H34" s="167"/>
      <c r="I34" s="155"/>
      <c r="J34" s="167"/>
      <c r="K34" s="168"/>
      <c r="L34" s="167"/>
      <c r="M34" s="155"/>
      <c r="N34" s="167"/>
      <c r="O34" s="155"/>
      <c r="Q34" s="168"/>
      <c r="S34" s="166"/>
      <c r="T34" s="166"/>
      <c r="U34" s="166"/>
      <c r="V34" s="166"/>
      <c r="W34" s="166"/>
    </row>
    <row r="35" spans="2:23" ht="12" thickBot="1" x14ac:dyDescent="0.25">
      <c r="C35" s="145" t="s">
        <v>80</v>
      </c>
      <c r="E35" s="169">
        <f>SUM(E30:E33)</f>
        <v>1424368186.5500002</v>
      </c>
      <c r="F35" s="170"/>
      <c r="G35" s="169">
        <f>SUM(G30:G33)</f>
        <v>1415731713.7420001</v>
      </c>
      <c r="H35" s="170"/>
      <c r="I35" s="169">
        <f>E35-G35</f>
        <v>8636472.8080000877</v>
      </c>
      <c r="J35" s="170"/>
      <c r="K35" s="171">
        <f>IF(G35=0,"n/a",IF(AND(I35/G35&lt;1,I35/G35&gt;-1),I35/G35,"n/a"))</f>
        <v>6.1003597815666227E-3</v>
      </c>
      <c r="L35" s="170"/>
      <c r="M35" s="169">
        <f>SUM(M30:M33)</f>
        <v>1209636219.1599996</v>
      </c>
      <c r="N35" s="170"/>
      <c r="O35" s="169">
        <f>E35-M35</f>
        <v>214731967.39000058</v>
      </c>
      <c r="Q35" s="171">
        <f>IF(M35=0,"n/a",IF(AND(O35/M35&lt;1,O35/M35&gt;-1),O35/M35,"n/a"))</f>
        <v>0.17751780575743309</v>
      </c>
    </row>
    <row r="36" spans="2:23" ht="12" thickTop="1" x14ac:dyDescent="0.2">
      <c r="E36" s="172"/>
      <c r="F36" s="173"/>
      <c r="G36" s="172"/>
      <c r="H36" s="174"/>
      <c r="I36" s="172"/>
      <c r="J36" s="174"/>
      <c r="K36" s="174"/>
      <c r="L36" s="174"/>
      <c r="M36" s="172"/>
      <c r="N36" s="174"/>
      <c r="O36" s="172"/>
    </row>
    <row r="37" spans="2:23" x14ac:dyDescent="0.2">
      <c r="C37" s="175" t="s">
        <v>224</v>
      </c>
      <c r="E37" s="150">
        <v>-124874.95</v>
      </c>
      <c r="F37" s="150"/>
      <c r="G37" s="150">
        <v>0</v>
      </c>
      <c r="H37" s="174"/>
      <c r="I37" s="172"/>
      <c r="J37" s="174"/>
      <c r="K37" s="174"/>
      <c r="L37" s="174"/>
      <c r="M37" s="176">
        <v>0</v>
      </c>
      <c r="N37" s="174"/>
      <c r="O37" s="172"/>
    </row>
    <row r="38" spans="2:23" x14ac:dyDescent="0.2">
      <c r="C38" s="175" t="s">
        <v>192</v>
      </c>
      <c r="E38" s="150">
        <v>61884619.759999998</v>
      </c>
      <c r="F38" s="150"/>
      <c r="G38" s="150">
        <v>109477709.01199999</v>
      </c>
      <c r="H38" s="174"/>
      <c r="I38" s="172"/>
      <c r="J38" s="174"/>
      <c r="K38" s="174"/>
      <c r="L38" s="174"/>
      <c r="M38" s="176">
        <v>56271899.030000001</v>
      </c>
      <c r="N38" s="174"/>
      <c r="O38" s="172"/>
    </row>
    <row r="39" spans="2:23" x14ac:dyDescent="0.2">
      <c r="C39" s="175" t="s">
        <v>193</v>
      </c>
      <c r="E39" s="150">
        <v>560130537.03999996</v>
      </c>
      <c r="F39" s="150"/>
      <c r="G39" s="150">
        <v>0</v>
      </c>
      <c r="H39" s="174"/>
      <c r="I39" s="172"/>
      <c r="J39" s="174"/>
      <c r="K39" s="174"/>
      <c r="L39" s="174"/>
      <c r="M39" s="176">
        <v>485021282.72000003</v>
      </c>
      <c r="N39" s="174"/>
      <c r="O39" s="172"/>
    </row>
    <row r="40" spans="2:23" x14ac:dyDescent="0.2">
      <c r="C40" s="175" t="s">
        <v>194</v>
      </c>
      <c r="E40" s="150">
        <v>-30492971.260000002</v>
      </c>
      <c r="F40" s="150"/>
      <c r="G40" s="150">
        <v>0</v>
      </c>
      <c r="H40" s="174"/>
      <c r="I40" s="172"/>
      <c r="J40" s="174"/>
      <c r="K40" s="174"/>
      <c r="L40" s="174"/>
      <c r="M40" s="176">
        <v>5078493.93</v>
      </c>
      <c r="N40" s="174"/>
      <c r="O40" s="172"/>
    </row>
    <row r="41" spans="2:23" x14ac:dyDescent="0.2">
      <c r="C41" s="175" t="s">
        <v>195</v>
      </c>
      <c r="E41" s="150">
        <v>12950624.92</v>
      </c>
      <c r="F41" s="150"/>
      <c r="G41" s="150">
        <v>0</v>
      </c>
      <c r="H41" s="174"/>
      <c r="I41" s="172"/>
      <c r="J41" s="174"/>
      <c r="K41" s="174"/>
      <c r="L41" s="174"/>
      <c r="M41" s="176">
        <v>24917938.239999998</v>
      </c>
      <c r="N41" s="174"/>
      <c r="O41" s="172"/>
    </row>
    <row r="42" spans="2:23" x14ac:dyDescent="0.2">
      <c r="C42" s="175" t="s">
        <v>225</v>
      </c>
      <c r="E42" s="150">
        <v>117106639.66</v>
      </c>
      <c r="F42" s="150"/>
      <c r="G42" s="150">
        <v>0</v>
      </c>
      <c r="H42" s="174"/>
      <c r="I42" s="172"/>
      <c r="J42" s="174"/>
      <c r="K42" s="174"/>
      <c r="L42" s="174"/>
      <c r="M42" s="176">
        <v>0</v>
      </c>
      <c r="N42" s="174"/>
      <c r="O42" s="172"/>
    </row>
    <row r="43" spans="2:23" x14ac:dyDescent="0.2">
      <c r="C43" s="175" t="s">
        <v>226</v>
      </c>
      <c r="E43" s="150">
        <v>-72948623.459999993</v>
      </c>
      <c r="F43" s="150"/>
      <c r="G43" s="150">
        <v>0</v>
      </c>
      <c r="H43" s="174"/>
      <c r="I43" s="172"/>
      <c r="J43" s="174"/>
      <c r="K43" s="174"/>
      <c r="L43" s="174"/>
      <c r="M43" s="176">
        <v>0</v>
      </c>
      <c r="N43" s="174"/>
      <c r="O43" s="172"/>
    </row>
    <row r="44" spans="2:23" x14ac:dyDescent="0.2">
      <c r="C44" s="175" t="s">
        <v>196</v>
      </c>
      <c r="E44" s="150">
        <v>24529112.210000001</v>
      </c>
      <c r="F44" s="150"/>
      <c r="G44" s="150">
        <v>23781271.293000001</v>
      </c>
      <c r="H44" s="174"/>
      <c r="I44" s="172"/>
      <c r="J44" s="174"/>
      <c r="K44" s="174"/>
      <c r="L44" s="174"/>
      <c r="M44" s="176">
        <v>21812022.07</v>
      </c>
      <c r="N44" s="174"/>
      <c r="O44" s="172"/>
    </row>
    <row r="45" spans="2:23" x14ac:dyDescent="0.2">
      <c r="C45" s="175" t="s">
        <v>197</v>
      </c>
      <c r="E45" s="150">
        <v>3320072.59</v>
      </c>
      <c r="F45" s="150"/>
      <c r="G45" s="150">
        <v>2856540.4539999999</v>
      </c>
      <c r="H45" s="174"/>
      <c r="I45" s="172"/>
      <c r="J45" s="174"/>
      <c r="K45" s="174"/>
      <c r="L45" s="174"/>
      <c r="M45" s="176">
        <v>3158043.96</v>
      </c>
      <c r="N45" s="174"/>
      <c r="O45" s="172"/>
    </row>
    <row r="46" spans="2:23" x14ac:dyDescent="0.2">
      <c r="C46" s="175" t="s">
        <v>227</v>
      </c>
      <c r="E46" s="150">
        <v>8752773</v>
      </c>
      <c r="F46" s="150"/>
      <c r="G46" s="150">
        <v>0</v>
      </c>
      <c r="H46" s="174"/>
      <c r="I46" s="172"/>
      <c r="J46" s="174"/>
      <c r="K46" s="174"/>
      <c r="L46" s="174"/>
      <c r="M46" s="176">
        <v>0</v>
      </c>
      <c r="N46" s="174"/>
      <c r="O46" s="172"/>
    </row>
    <row r="47" spans="2:23" x14ac:dyDescent="0.2">
      <c r="C47" s="175" t="s">
        <v>198</v>
      </c>
      <c r="E47" s="150">
        <v>20977605.77</v>
      </c>
      <c r="F47" s="150"/>
      <c r="G47" s="150">
        <v>21570971.785999998</v>
      </c>
      <c r="H47" s="174"/>
      <c r="I47" s="172"/>
      <c r="J47" s="174"/>
      <c r="K47" s="174"/>
      <c r="L47" s="174"/>
      <c r="M47" s="176">
        <v>22473621.239999998</v>
      </c>
      <c r="N47" s="174"/>
      <c r="O47" s="172"/>
    </row>
    <row r="48" spans="2:23" x14ac:dyDescent="0.2">
      <c r="C48" s="175" t="s">
        <v>228</v>
      </c>
      <c r="E48" s="150">
        <v>2714904.6</v>
      </c>
      <c r="F48" s="150"/>
      <c r="G48" s="150">
        <v>0</v>
      </c>
      <c r="H48" s="174"/>
      <c r="I48" s="172"/>
      <c r="J48" s="174"/>
      <c r="K48" s="174"/>
      <c r="L48" s="174"/>
      <c r="M48" s="176">
        <v>0</v>
      </c>
      <c r="N48" s="174"/>
      <c r="O48" s="172"/>
    </row>
    <row r="49" spans="1:23" x14ac:dyDescent="0.2">
      <c r="C49" s="175" t="s">
        <v>229</v>
      </c>
      <c r="E49" s="150">
        <v>4187139.14</v>
      </c>
      <c r="F49" s="150"/>
      <c r="G49" s="150">
        <v>0</v>
      </c>
      <c r="H49" s="174"/>
      <c r="I49" s="172"/>
      <c r="J49" s="174"/>
      <c r="K49" s="174"/>
      <c r="L49" s="174"/>
      <c r="M49" s="176">
        <v>0</v>
      </c>
      <c r="N49" s="174"/>
      <c r="O49" s="172"/>
    </row>
    <row r="50" spans="1:23" x14ac:dyDescent="0.2">
      <c r="C50" s="175" t="s">
        <v>230</v>
      </c>
      <c r="E50" s="150">
        <v>35212255.829999998</v>
      </c>
      <c r="F50" s="150"/>
      <c r="G50" s="150">
        <v>0</v>
      </c>
      <c r="H50" s="174"/>
      <c r="I50" s="172"/>
      <c r="J50" s="174"/>
      <c r="K50" s="174"/>
      <c r="L50" s="174"/>
      <c r="M50" s="176">
        <v>0</v>
      </c>
      <c r="N50" s="174"/>
      <c r="O50" s="172"/>
    </row>
    <row r="51" spans="1:23" x14ac:dyDescent="0.2">
      <c r="C51" s="175" t="s">
        <v>231</v>
      </c>
      <c r="E51" s="150">
        <v>-320127.32</v>
      </c>
      <c r="F51" s="150"/>
      <c r="G51" s="150">
        <v>0</v>
      </c>
      <c r="H51" s="174"/>
      <c r="I51" s="172"/>
      <c r="J51" s="174"/>
      <c r="K51" s="174"/>
      <c r="L51" s="174"/>
      <c r="M51" s="176">
        <v>0</v>
      </c>
      <c r="N51" s="174"/>
      <c r="O51" s="172"/>
    </row>
    <row r="52" spans="1:23" x14ac:dyDescent="0.2">
      <c r="C52" s="175" t="s">
        <v>199</v>
      </c>
      <c r="E52" s="150">
        <v>7879874.75</v>
      </c>
      <c r="F52" s="150"/>
      <c r="G52" s="150">
        <v>0</v>
      </c>
      <c r="H52" s="174"/>
      <c r="I52" s="172"/>
      <c r="J52" s="174"/>
      <c r="K52" s="174"/>
      <c r="L52" s="174"/>
      <c r="M52" s="176">
        <v>20285534.059999999</v>
      </c>
      <c r="N52" s="174"/>
      <c r="O52" s="172"/>
    </row>
    <row r="53" spans="1:23" x14ac:dyDescent="0.2">
      <c r="C53" s="175" t="s">
        <v>200</v>
      </c>
      <c r="E53" s="150">
        <v>976065.1</v>
      </c>
      <c r="F53" s="150"/>
      <c r="G53" s="150">
        <v>0</v>
      </c>
      <c r="H53" s="174"/>
      <c r="I53" s="172"/>
      <c r="J53" s="174"/>
      <c r="K53" s="174"/>
      <c r="L53" s="174"/>
      <c r="M53" s="176">
        <v>23647777.190000001</v>
      </c>
      <c r="N53" s="174"/>
      <c r="O53" s="172"/>
    </row>
    <row r="54" spans="1:23" x14ac:dyDescent="0.2">
      <c r="C54" s="175" t="s">
        <v>201</v>
      </c>
      <c r="E54" s="150">
        <v>-33415.21</v>
      </c>
      <c r="F54" s="150"/>
      <c r="G54" s="150">
        <v>0</v>
      </c>
      <c r="H54" s="174"/>
      <c r="I54" s="172"/>
      <c r="J54" s="174"/>
      <c r="K54" s="174"/>
      <c r="L54" s="174"/>
      <c r="M54" s="176">
        <v>3079668.28</v>
      </c>
      <c r="N54" s="174"/>
      <c r="O54" s="172"/>
    </row>
    <row r="55" spans="1:23" x14ac:dyDescent="0.2">
      <c r="C55" s="175" t="s">
        <v>202</v>
      </c>
      <c r="E55" s="150">
        <v>-839655.88</v>
      </c>
      <c r="F55" s="150"/>
      <c r="G55" s="150">
        <v>0</v>
      </c>
      <c r="H55" s="174"/>
      <c r="I55" s="172"/>
      <c r="J55" s="174"/>
      <c r="K55" s="174"/>
      <c r="L55" s="174"/>
      <c r="M55" s="176">
        <v>-1314256.83</v>
      </c>
      <c r="N55" s="174"/>
      <c r="O55" s="172"/>
    </row>
    <row r="56" spans="1:23" x14ac:dyDescent="0.2">
      <c r="E56" s="155"/>
      <c r="M56" s="155"/>
    </row>
    <row r="57" spans="1:23" ht="13.2" x14ac:dyDescent="0.25">
      <c r="A57" s="144" t="s">
        <v>81</v>
      </c>
      <c r="E57" s="177"/>
    </row>
    <row r="58" spans="1:23" ht="12" x14ac:dyDescent="0.25">
      <c r="B58" s="149" t="s">
        <v>82</v>
      </c>
      <c r="E58" s="177"/>
    </row>
    <row r="59" spans="1:23" x14ac:dyDescent="0.2">
      <c r="C59" s="145" t="s">
        <v>65</v>
      </c>
      <c r="E59" s="178">
        <v>587634240</v>
      </c>
      <c r="G59" s="179">
        <v>591051680</v>
      </c>
      <c r="H59" s="180"/>
      <c r="I59" s="179">
        <f>E59-G59</f>
        <v>-3417440</v>
      </c>
      <c r="K59" s="152">
        <f>IF(G59=0,"n/a",IF(AND(I59/G59&lt;1,I59/G59&gt;-1),I59/G59,"n/a"))</f>
        <v>-5.7819647852113375E-3</v>
      </c>
      <c r="M59" s="178">
        <v>632145032</v>
      </c>
      <c r="N59" s="180"/>
      <c r="O59" s="179">
        <f>E59-M59</f>
        <v>-44510792</v>
      </c>
      <c r="Q59" s="152">
        <f>IF(M59=0,"n/a",IF(AND(O59/M59&lt;1,O59/M59&gt;-1),O59/M59,"n/a"))</f>
        <v>-7.0412310066212777E-2</v>
      </c>
    </row>
    <row r="60" spans="1:23" x14ac:dyDescent="0.2">
      <c r="C60" s="145" t="s">
        <v>66</v>
      </c>
      <c r="E60" s="178">
        <v>285196804</v>
      </c>
      <c r="G60" s="179">
        <v>283163541</v>
      </c>
      <c r="H60" s="180"/>
      <c r="I60" s="179">
        <f t="shared" ref="I60:I61" si="0">E60-G60</f>
        <v>2033263</v>
      </c>
      <c r="K60" s="152">
        <f t="shared" ref="K60:K61" si="1">IF(G60=0,"n/a",IF(AND(I60/G60&lt;1,I60/G60&gt;-1),I60/G60,"n/a"))</f>
        <v>7.180525405281607E-3</v>
      </c>
      <c r="M60" s="178">
        <v>294879087</v>
      </c>
      <c r="N60" s="180"/>
      <c r="O60" s="179">
        <f t="shared" ref="O60:O61" si="2">E60-M60</f>
        <v>-9682283</v>
      </c>
      <c r="Q60" s="152">
        <f t="shared" ref="Q60:Q61" si="3">IF(M60=0,"n/a",IF(AND(O60/M60&lt;1,O60/M60&gt;-1),O60/M60,"n/a"))</f>
        <v>-3.2834756436966317E-2</v>
      </c>
    </row>
    <row r="61" spans="1:23" x14ac:dyDescent="0.2">
      <c r="C61" s="145" t="s">
        <v>67</v>
      </c>
      <c r="E61" s="181">
        <v>22168484</v>
      </c>
      <c r="F61" s="182"/>
      <c r="G61" s="181">
        <v>21368372</v>
      </c>
      <c r="H61" s="183"/>
      <c r="I61" s="181">
        <f t="shared" si="0"/>
        <v>800112</v>
      </c>
      <c r="J61" s="182"/>
      <c r="K61" s="159">
        <f t="shared" si="1"/>
        <v>3.7443750979251018E-2</v>
      </c>
      <c r="L61" s="182"/>
      <c r="M61" s="181">
        <v>23466787</v>
      </c>
      <c r="N61" s="183"/>
      <c r="O61" s="181">
        <f t="shared" si="2"/>
        <v>-1298303</v>
      </c>
      <c r="P61" s="182"/>
      <c r="Q61" s="159">
        <f t="shared" si="3"/>
        <v>-5.5325128233362324E-2</v>
      </c>
    </row>
    <row r="62" spans="1:23" ht="6.9" customHeight="1" x14ac:dyDescent="0.2">
      <c r="E62" s="179"/>
      <c r="G62" s="179"/>
      <c r="I62" s="179"/>
      <c r="K62" s="161"/>
      <c r="M62" s="179"/>
      <c r="O62" s="179"/>
      <c r="Q62" s="161"/>
      <c r="S62" s="166"/>
      <c r="T62" s="166"/>
      <c r="U62" s="166"/>
      <c r="V62" s="166"/>
      <c r="W62" s="166"/>
    </row>
    <row r="63" spans="1:23" x14ac:dyDescent="0.2">
      <c r="C63" s="145" t="s">
        <v>68</v>
      </c>
      <c r="E63" s="179">
        <f>SUM(E59:E61)</f>
        <v>894999528</v>
      </c>
      <c r="G63" s="179">
        <f>SUM(G59:G61)</f>
        <v>895583593</v>
      </c>
      <c r="H63" s="180"/>
      <c r="I63" s="179">
        <f>E63-G63</f>
        <v>-584065</v>
      </c>
      <c r="K63" s="152">
        <f>IF(G63=0,"n/a",IF(AND(I63/G63&lt;1,I63/G63&gt;-1),I63/G63,"n/a"))</f>
        <v>-6.5216134436263612E-4</v>
      </c>
      <c r="M63" s="179">
        <f>SUM(M59:M61)</f>
        <v>950490906</v>
      </c>
      <c r="N63" s="180"/>
      <c r="O63" s="179">
        <f>E63-M63</f>
        <v>-55491378</v>
      </c>
      <c r="Q63" s="152">
        <f>IF(M63=0,"n/a",IF(AND(O63/M63&lt;1,O63/M63&gt;-1),O63/M63,"n/a"))</f>
        <v>-5.8381808442047316E-2</v>
      </c>
    </row>
    <row r="64" spans="1:23" ht="6.9" customHeight="1" x14ac:dyDescent="0.2">
      <c r="E64" s="179"/>
      <c r="G64" s="179"/>
      <c r="I64" s="179"/>
      <c r="K64" s="161"/>
      <c r="M64" s="179"/>
      <c r="O64" s="179"/>
      <c r="Q64" s="161"/>
      <c r="S64" s="166"/>
      <c r="T64" s="166"/>
      <c r="U64" s="166"/>
      <c r="V64" s="166"/>
      <c r="W64" s="166"/>
    </row>
    <row r="65" spans="2:23" ht="12" x14ac:dyDescent="0.25">
      <c r="B65" s="149" t="s">
        <v>83</v>
      </c>
      <c r="E65" s="179"/>
      <c r="G65" s="179"/>
      <c r="H65" s="180"/>
      <c r="I65" s="179"/>
      <c r="K65" s="161"/>
      <c r="M65" s="179"/>
      <c r="N65" s="180"/>
      <c r="O65" s="179"/>
      <c r="Q65" s="161"/>
    </row>
    <row r="66" spans="2:23" x14ac:dyDescent="0.2">
      <c r="C66" s="145" t="s">
        <v>70</v>
      </c>
      <c r="E66" s="178">
        <v>44309244</v>
      </c>
      <c r="G66" s="179">
        <v>30668476</v>
      </c>
      <c r="H66" s="180"/>
      <c r="I66" s="179">
        <f>E66-G66</f>
        <v>13640768</v>
      </c>
      <c r="K66" s="152">
        <f>IF(G66=0,"n/a",IF(AND(I66/G66&lt;1,I66/G66&gt;-1),I66/G66,"n/a"))</f>
        <v>0.44478141007071886</v>
      </c>
      <c r="M66" s="178">
        <v>45989056</v>
      </c>
      <c r="N66" s="180"/>
      <c r="O66" s="179">
        <f>E66-M66</f>
        <v>-1679812</v>
      </c>
      <c r="Q66" s="152">
        <f>IF(M66=0,"n/a",IF(AND(O66/M66&lt;1,O66/M66&gt;-1),O66/M66,"n/a"))</f>
        <v>-3.6526342267168957E-2</v>
      </c>
    </row>
    <row r="67" spans="2:23" x14ac:dyDescent="0.2">
      <c r="C67" s="145" t="s">
        <v>71</v>
      </c>
      <c r="E67" s="178">
        <v>4966313</v>
      </c>
      <c r="G67" s="179">
        <v>2967321</v>
      </c>
      <c r="H67" s="180"/>
      <c r="I67" s="179">
        <f>E67-G67</f>
        <v>1998992</v>
      </c>
      <c r="K67" s="152">
        <f>IF(G67=0,"n/a",IF(AND(I67/G67&lt;1,I67/G67&gt;-1),I67/G67,"n/a"))</f>
        <v>0.67366894245684916</v>
      </c>
      <c r="M67" s="178">
        <v>3333401</v>
      </c>
      <c r="N67" s="180"/>
      <c r="O67" s="179">
        <f>E67-M67</f>
        <v>1632912</v>
      </c>
      <c r="Q67" s="152">
        <f>IF(M67=0,"n/a",IF(AND(O67/M67&lt;1,O67/M67&gt;-1),O67/M67,"n/a"))</f>
        <v>0.4898636557677879</v>
      </c>
    </row>
    <row r="68" spans="2:23" ht="6.9" customHeight="1" x14ac:dyDescent="0.2">
      <c r="E68" s="179"/>
      <c r="G68" s="179"/>
      <c r="I68" s="179"/>
      <c r="K68" s="161"/>
      <c r="M68" s="179"/>
      <c r="O68" s="179"/>
      <c r="Q68" s="161"/>
      <c r="S68" s="166"/>
      <c r="T68" s="166"/>
      <c r="U68" s="166"/>
      <c r="V68" s="166"/>
      <c r="W68" s="166"/>
    </row>
    <row r="69" spans="2:23" x14ac:dyDescent="0.2">
      <c r="C69" s="145" t="s">
        <v>72</v>
      </c>
      <c r="E69" s="181">
        <f>SUM(E66:E67)</f>
        <v>49275557</v>
      </c>
      <c r="G69" s="181">
        <f>SUM(G66:G67)</f>
        <v>33635797</v>
      </c>
      <c r="H69" s="180"/>
      <c r="I69" s="181">
        <f>E69-G69</f>
        <v>15639760</v>
      </c>
      <c r="K69" s="159">
        <f>IF(G69=0,"n/a",IF(AND(I69/G69&lt;1,I69/G69&gt;-1),I69/G69,"n/a"))</f>
        <v>0.46497367075916174</v>
      </c>
      <c r="M69" s="181">
        <f>SUM(M66:M67)</f>
        <v>49322457</v>
      </c>
      <c r="N69" s="180"/>
      <c r="O69" s="181">
        <f>E69-M69</f>
        <v>-46900</v>
      </c>
      <c r="Q69" s="159">
        <f>IF(M69=0,"n/a",IF(AND(O69/M69&lt;1,O69/M69&gt;-1),O69/M69,"n/a"))</f>
        <v>-9.5088531376285657E-4</v>
      </c>
    </row>
    <row r="70" spans="2:23" ht="6.9" customHeight="1" x14ac:dyDescent="0.2">
      <c r="E70" s="179"/>
      <c r="G70" s="179"/>
      <c r="I70" s="179"/>
      <c r="K70" s="161"/>
      <c r="M70" s="179"/>
      <c r="O70" s="179"/>
      <c r="Q70" s="161"/>
      <c r="S70" s="166"/>
      <c r="T70" s="166"/>
      <c r="U70" s="166"/>
      <c r="V70" s="166"/>
      <c r="W70" s="166"/>
    </row>
    <row r="71" spans="2:23" x14ac:dyDescent="0.2">
      <c r="C71" s="145" t="s">
        <v>84</v>
      </c>
      <c r="E71" s="179">
        <f>E63+E69</f>
        <v>944275085</v>
      </c>
      <c r="G71" s="179">
        <f>G63+G69</f>
        <v>929219390</v>
      </c>
      <c r="H71" s="180"/>
      <c r="I71" s="179">
        <f>E71-G71</f>
        <v>15055695</v>
      </c>
      <c r="K71" s="152">
        <f>IF(G71=0,"n/a",IF(AND(I71/G71&lt;1,I71/G71&gt;-1),I71/G71,"n/a"))</f>
        <v>1.6202519191942391E-2</v>
      </c>
      <c r="M71" s="179">
        <f>M63+M69</f>
        <v>999813363</v>
      </c>
      <c r="N71" s="180"/>
      <c r="O71" s="179">
        <f>E71-M71</f>
        <v>-55538278</v>
      </c>
      <c r="Q71" s="152">
        <f>IF(M71=0,"n/a",IF(AND(O71/M71&lt;1,O71/M71&gt;-1),O71/M71,"n/a"))</f>
        <v>-5.554864543253759E-2</v>
      </c>
    </row>
    <row r="72" spans="2:23" ht="6.9" customHeight="1" x14ac:dyDescent="0.2">
      <c r="E72" s="179"/>
      <c r="G72" s="179"/>
      <c r="I72" s="179"/>
      <c r="K72" s="161"/>
      <c r="M72" s="179"/>
      <c r="O72" s="179"/>
      <c r="Q72" s="161"/>
      <c r="S72" s="166"/>
      <c r="T72" s="166"/>
      <c r="U72" s="166"/>
      <c r="V72" s="166"/>
      <c r="W72" s="166"/>
    </row>
    <row r="73" spans="2:23" ht="12" x14ac:dyDescent="0.25">
      <c r="B73" s="149" t="s">
        <v>85</v>
      </c>
      <c r="E73" s="179"/>
      <c r="G73" s="179"/>
      <c r="H73" s="180"/>
      <c r="I73" s="179"/>
      <c r="K73" s="161"/>
      <c r="M73" s="179"/>
      <c r="N73" s="180"/>
      <c r="O73" s="179"/>
      <c r="Q73" s="161"/>
    </row>
    <row r="74" spans="2:23" x14ac:dyDescent="0.2">
      <c r="C74" s="145" t="s">
        <v>75</v>
      </c>
      <c r="E74" s="178">
        <v>49690220</v>
      </c>
      <c r="G74" s="179">
        <v>53019890</v>
      </c>
      <c r="H74" s="180"/>
      <c r="I74" s="179">
        <f>E74-G74</f>
        <v>-3329670</v>
      </c>
      <c r="K74" s="152">
        <f>IF(G74=0,"n/a",IF(AND(I74/G74&lt;1,I74/G74&gt;-1),I74/G74,"n/a"))</f>
        <v>-6.2800394342575963E-2</v>
      </c>
      <c r="M74" s="178">
        <v>52797271</v>
      </c>
      <c r="N74" s="180"/>
      <c r="O74" s="179">
        <f>E74-M74</f>
        <v>-3107051</v>
      </c>
      <c r="Q74" s="152">
        <f>IF(M74=0,"n/a",IF(AND(O74/M74&lt;1,O74/M74&gt;-1),O74/M74,"n/a"))</f>
        <v>-5.8848704509746344E-2</v>
      </c>
    </row>
    <row r="75" spans="2:23" x14ac:dyDescent="0.2">
      <c r="C75" s="145" t="s">
        <v>76</v>
      </c>
      <c r="E75" s="178">
        <v>142352649</v>
      </c>
      <c r="G75" s="179">
        <v>186551743</v>
      </c>
      <c r="H75" s="180"/>
      <c r="I75" s="179">
        <f>E75-G75</f>
        <v>-44199094</v>
      </c>
      <c r="K75" s="152">
        <f>IF(G75=0,"n/a",IF(AND(I75/G75&lt;1,I75/G75&gt;-1),I75/G75,"n/a"))</f>
        <v>-0.23692672761572642</v>
      </c>
      <c r="M75" s="178">
        <v>166260880</v>
      </c>
      <c r="N75" s="180"/>
      <c r="O75" s="179">
        <f>E75-M75</f>
        <v>-23908231</v>
      </c>
      <c r="Q75" s="152">
        <f>IF(M75=0,"n/a",IF(AND(O75/M75&lt;1,O75/M75&gt;-1),O75/M75,"n/a"))</f>
        <v>-0.14379949751258383</v>
      </c>
    </row>
    <row r="76" spans="2:23" ht="6.9" customHeight="1" x14ac:dyDescent="0.2">
      <c r="E76" s="179"/>
      <c r="G76" s="179"/>
      <c r="I76" s="179"/>
      <c r="K76" s="161"/>
      <c r="M76" s="179"/>
      <c r="O76" s="179"/>
      <c r="Q76" s="161"/>
      <c r="S76" s="166"/>
      <c r="T76" s="166"/>
      <c r="U76" s="166"/>
      <c r="V76" s="166"/>
      <c r="W76" s="166"/>
    </row>
    <row r="77" spans="2:23" x14ac:dyDescent="0.2">
      <c r="C77" s="145" t="s">
        <v>77</v>
      </c>
      <c r="E77" s="181">
        <f>SUM(E74:E75)</f>
        <v>192042869</v>
      </c>
      <c r="G77" s="181">
        <f>SUM(G74:G75)</f>
        <v>239571633</v>
      </c>
      <c r="H77" s="180"/>
      <c r="I77" s="181">
        <f>E77-G77</f>
        <v>-47528764</v>
      </c>
      <c r="K77" s="159">
        <f>IF(G77=0,"n/a",IF(AND(I77/G77&lt;1,I77/G77&gt;-1),I77/G77,"n/a"))</f>
        <v>-0.19839061663865687</v>
      </c>
      <c r="M77" s="181">
        <f>SUM(M74:M75)</f>
        <v>219058151</v>
      </c>
      <c r="N77" s="180"/>
      <c r="O77" s="181">
        <f>E77-M77</f>
        <v>-27015282</v>
      </c>
      <c r="Q77" s="159">
        <f>IF(M77=0,"n/a",IF(AND(O77/M77&lt;1,O77/M77&gt;-1),O77/M77,"n/a"))</f>
        <v>-0.12332470568511281</v>
      </c>
    </row>
    <row r="78" spans="2:23" ht="6.9" customHeight="1" x14ac:dyDescent="0.2">
      <c r="E78" s="179"/>
      <c r="G78" s="179"/>
      <c r="I78" s="179"/>
      <c r="K78" s="161"/>
      <c r="M78" s="179"/>
      <c r="O78" s="179"/>
      <c r="Q78" s="161"/>
      <c r="S78" s="166"/>
      <c r="T78" s="166"/>
      <c r="U78" s="166"/>
      <c r="V78" s="166"/>
      <c r="W78" s="166"/>
    </row>
    <row r="79" spans="2:23" ht="12" thickBot="1" x14ac:dyDescent="0.25">
      <c r="C79" s="145" t="s">
        <v>86</v>
      </c>
      <c r="E79" s="184">
        <f>E71+E77</f>
        <v>1136317954</v>
      </c>
      <c r="G79" s="184">
        <f>G71+G77</f>
        <v>1168791023</v>
      </c>
      <c r="H79" s="180"/>
      <c r="I79" s="184">
        <f>E79-G79</f>
        <v>-32473069</v>
      </c>
      <c r="K79" s="171">
        <f>IF(G79=0,"n/a",IF(AND(I79/G79&lt;1,I79/G79&gt;-1),I79/G79,"n/a"))</f>
        <v>-2.7783468867385371E-2</v>
      </c>
      <c r="M79" s="184">
        <f>M71+M77</f>
        <v>1218871514</v>
      </c>
      <c r="N79" s="180"/>
      <c r="O79" s="184">
        <f>E79-M79</f>
        <v>-82553560</v>
      </c>
      <c r="Q79" s="171">
        <f>IF(M79=0,"n/a",IF(AND(O79/M79&lt;1,O79/M79&gt;-1),O79/M79,"n/a"))</f>
        <v>-6.7729501470652959E-2</v>
      </c>
    </row>
    <row r="80" spans="2:23" ht="12" thickTop="1" x14ac:dyDescent="0.2"/>
    <row r="81" spans="1:20" ht="12.75" customHeight="1" x14ac:dyDescent="0.25">
      <c r="A81" s="145" t="s">
        <v>32</v>
      </c>
      <c r="C81" s="185" t="s">
        <v>87</v>
      </c>
      <c r="D81" s="186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6"/>
      <c r="R81" s="186"/>
      <c r="S81" s="186"/>
      <c r="T81" s="186"/>
    </row>
    <row r="82" spans="1:20" x14ac:dyDescent="0.2">
      <c r="A82" s="145" t="s">
        <v>32</v>
      </c>
    </row>
    <row r="83" spans="1:20" x14ac:dyDescent="0.2">
      <c r="A83" s="145" t="s">
        <v>32</v>
      </c>
    </row>
    <row r="84" spans="1:20" x14ac:dyDescent="0.2">
      <c r="A84" s="145" t="s">
        <v>32</v>
      </c>
    </row>
    <row r="85" spans="1:20" x14ac:dyDescent="0.2">
      <c r="A85" s="145" t="s">
        <v>32</v>
      </c>
    </row>
    <row r="86" spans="1:20" x14ac:dyDescent="0.2">
      <c r="A86" s="145" t="s">
        <v>32</v>
      </c>
    </row>
    <row r="87" spans="1:20" x14ac:dyDescent="0.2">
      <c r="A87" s="145" t="s">
        <v>32</v>
      </c>
    </row>
    <row r="88" spans="1:20" x14ac:dyDescent="0.2">
      <c r="A88" s="145" t="s">
        <v>32</v>
      </c>
    </row>
    <row r="89" spans="1:20" x14ac:dyDescent="0.2">
      <c r="A89" s="145" t="s">
        <v>32</v>
      </c>
    </row>
    <row r="90" spans="1:20" x14ac:dyDescent="0.2">
      <c r="A90" s="145" t="s">
        <v>32</v>
      </c>
    </row>
    <row r="91" spans="1:20" x14ac:dyDescent="0.2">
      <c r="A91" s="145" t="s">
        <v>32</v>
      </c>
    </row>
    <row r="92" spans="1:20" x14ac:dyDescent="0.2">
      <c r="A92" s="145" t="s">
        <v>32</v>
      </c>
    </row>
    <row r="93" spans="1:20" x14ac:dyDescent="0.2">
      <c r="A93" s="145" t="s">
        <v>32</v>
      </c>
    </row>
    <row r="94" spans="1:20" x14ac:dyDescent="0.2">
      <c r="A94" s="145" t="s">
        <v>32</v>
      </c>
    </row>
    <row r="95" spans="1:20" x14ac:dyDescent="0.2">
      <c r="A95" s="145" t="s">
        <v>32</v>
      </c>
    </row>
  </sheetData>
  <mergeCells count="7">
    <mergeCell ref="S6:W6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80" orientation="landscape" r:id="rId1"/>
  <headerFooter alignWithMargins="0">
    <oddFooter>&amp;C6c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zoomScale="110" zoomScaleNormal="110" workbookViewId="0">
      <selection activeCell="B24" sqref="B24"/>
    </sheetView>
  </sheetViews>
  <sheetFormatPr defaultColWidth="9.109375" defaultRowHeight="13.2" x14ac:dyDescent="0.25"/>
  <cols>
    <col min="1" max="1" width="5.44140625" style="70" customWidth="1"/>
    <col min="2" max="2" width="63.33203125" style="70" bestFit="1" customWidth="1"/>
    <col min="3" max="3" width="3.44140625" style="70" customWidth="1"/>
    <col min="4" max="4" width="10" style="70" bestFit="1" customWidth="1"/>
    <col min="5" max="5" width="18.109375" style="70" customWidth="1"/>
    <col min="6" max="16384" width="9.109375" style="70"/>
  </cols>
  <sheetData>
    <row r="2" spans="1:5" x14ac:dyDescent="0.25">
      <c r="A2" s="71"/>
      <c r="B2" s="72"/>
      <c r="C2" s="72"/>
      <c r="D2" s="72"/>
      <c r="E2" s="73"/>
    </row>
    <row r="3" spans="1:5" x14ac:dyDescent="0.25">
      <c r="A3" s="71"/>
      <c r="B3" s="71"/>
      <c r="C3" s="71"/>
      <c r="D3" s="71"/>
      <c r="E3" s="73"/>
    </row>
    <row r="4" spans="1:5" x14ac:dyDescent="0.25">
      <c r="A4" s="71"/>
      <c r="B4" s="71"/>
      <c r="C4" s="71"/>
      <c r="D4" s="71"/>
    </row>
    <row r="5" spans="1:5" ht="13.8" x14ac:dyDescent="0.25">
      <c r="A5" s="127" t="s">
        <v>158</v>
      </c>
      <c r="B5" s="128"/>
      <c r="C5" s="127"/>
      <c r="D5" s="127"/>
      <c r="E5" s="74"/>
    </row>
    <row r="6" spans="1:5" ht="13.8" x14ac:dyDescent="0.25">
      <c r="A6" s="129" t="s">
        <v>159</v>
      </c>
      <c r="B6" s="128"/>
      <c r="C6" s="129"/>
      <c r="D6" s="129"/>
      <c r="E6" s="75"/>
    </row>
    <row r="7" spans="1:5" ht="13.8" x14ac:dyDescent="0.25">
      <c r="A7" s="130" t="s">
        <v>218</v>
      </c>
      <c r="B7" s="129"/>
      <c r="C7" s="129"/>
      <c r="D7" s="129"/>
      <c r="E7" s="75"/>
    </row>
    <row r="8" spans="1:5" ht="13.8" x14ac:dyDescent="0.25">
      <c r="A8" s="130" t="s">
        <v>219</v>
      </c>
      <c r="B8" s="128"/>
      <c r="C8" s="129"/>
      <c r="D8" s="129"/>
      <c r="E8" s="75"/>
    </row>
    <row r="9" spans="1:5" x14ac:dyDescent="0.25">
      <c r="A9" s="71"/>
      <c r="B9" s="71"/>
      <c r="C9" s="71"/>
      <c r="D9" s="71"/>
      <c r="E9" s="71"/>
    </row>
    <row r="10" spans="1:5" x14ac:dyDescent="0.25">
      <c r="A10" s="76" t="s">
        <v>2</v>
      </c>
      <c r="B10" s="76"/>
      <c r="C10" s="76"/>
      <c r="D10" s="76"/>
      <c r="E10" s="76"/>
    </row>
    <row r="11" spans="1:5" x14ac:dyDescent="0.25">
      <c r="A11" s="77" t="s">
        <v>4</v>
      </c>
      <c r="B11" s="78" t="s">
        <v>5</v>
      </c>
      <c r="C11" s="77"/>
      <c r="D11" s="77" t="s">
        <v>160</v>
      </c>
      <c r="E11" s="77" t="s">
        <v>161</v>
      </c>
    </row>
    <row r="12" spans="1:5" x14ac:dyDescent="0.25">
      <c r="A12" s="72"/>
      <c r="B12" s="72"/>
      <c r="C12" s="72"/>
      <c r="D12" s="72"/>
      <c r="E12" s="79"/>
    </row>
    <row r="13" spans="1:5" x14ac:dyDescent="0.25">
      <c r="A13" s="79">
        <v>1</v>
      </c>
      <c r="B13" s="80" t="s">
        <v>162</v>
      </c>
      <c r="C13" s="72"/>
      <c r="D13" s="72"/>
      <c r="E13" s="81">
        <v>4.1980000000000003E-3</v>
      </c>
    </row>
    <row r="14" spans="1:5" x14ac:dyDescent="0.25">
      <c r="A14" s="79">
        <v>2</v>
      </c>
      <c r="B14" s="80" t="s">
        <v>20</v>
      </c>
      <c r="C14" s="72"/>
      <c r="D14" s="72"/>
      <c r="E14" s="81">
        <v>2E-3</v>
      </c>
    </row>
    <row r="15" spans="1:5" x14ac:dyDescent="0.25">
      <c r="A15" s="79">
        <v>3</v>
      </c>
      <c r="B15" s="80" t="str">
        <f>"STATE UTILITY TAX - NET OF BAD DEBTS ( "&amp;D15*100&amp;"% - ( LINE 1 * "&amp;D15*100&amp;"%) )"</f>
        <v>STATE UTILITY TAX - NET OF BAD DEBTS ( 3.852% - ( LINE 1 * 3.852%) )</v>
      </c>
      <c r="C15" s="72"/>
      <c r="D15" s="82">
        <v>3.8519999999999999E-2</v>
      </c>
      <c r="E15" s="83">
        <f>ROUND(D15-(D15*E13),6)</f>
        <v>3.8358000000000003E-2</v>
      </c>
    </row>
    <row r="16" spans="1:5" x14ac:dyDescent="0.25">
      <c r="A16" s="79">
        <v>4</v>
      </c>
      <c r="B16" s="80"/>
      <c r="C16" s="72"/>
      <c r="D16" s="79"/>
      <c r="E16" s="84"/>
    </row>
    <row r="17" spans="1:5" x14ac:dyDescent="0.25">
      <c r="A17" s="79">
        <v>5</v>
      </c>
      <c r="B17" s="80" t="s">
        <v>163</v>
      </c>
      <c r="C17" s="72"/>
      <c r="D17" s="79"/>
      <c r="E17" s="81">
        <f>ROUND(SUM(E13:E15),6)</f>
        <v>4.4555999999999998E-2</v>
      </c>
    </row>
    <row r="18" spans="1:5" x14ac:dyDescent="0.25">
      <c r="A18" s="79">
        <v>6</v>
      </c>
      <c r="B18" s="72"/>
      <c r="C18" s="72"/>
      <c r="D18" s="79"/>
      <c r="E18" s="81"/>
    </row>
    <row r="19" spans="1:5" x14ac:dyDescent="0.25">
      <c r="A19" s="79">
        <v>7</v>
      </c>
      <c r="B19" s="72" t="s">
        <v>164</v>
      </c>
      <c r="C19" s="72"/>
      <c r="D19" s="79"/>
      <c r="E19" s="81">
        <f>ROUND(1-E17,6)</f>
        <v>0.95544399999999996</v>
      </c>
    </row>
    <row r="20" spans="1:5" x14ac:dyDescent="0.25">
      <c r="A20" s="79">
        <v>8</v>
      </c>
      <c r="B20" s="80" t="s">
        <v>165</v>
      </c>
      <c r="C20" s="72"/>
      <c r="D20" s="85">
        <v>0.21</v>
      </c>
      <c r="E20" s="81">
        <f>ROUND((E19)*D20,6)</f>
        <v>0.20064299999999999</v>
      </c>
    </row>
    <row r="21" spans="1:5" x14ac:dyDescent="0.25">
      <c r="A21" s="79">
        <v>9</v>
      </c>
      <c r="B21" s="80" t="s">
        <v>166</v>
      </c>
      <c r="C21" s="72"/>
      <c r="D21" s="72"/>
      <c r="E21" s="86">
        <f>ROUND(1-E20-E17,6)</f>
        <v>0.75480100000000006</v>
      </c>
    </row>
    <row r="22" spans="1:5" x14ac:dyDescent="0.25">
      <c r="A22" s="72"/>
      <c r="B22" s="72"/>
      <c r="C22" s="72"/>
      <c r="D22" s="72"/>
      <c r="E22" s="79"/>
    </row>
    <row r="25" spans="1:5" x14ac:dyDescent="0.25">
      <c r="E25" s="131"/>
    </row>
  </sheetData>
  <printOptions horizontalCentered="1"/>
  <pageMargins left="0.68" right="0.56000000000000005" top="1" bottom="1" header="0.5" footer="0.5"/>
  <pageSetup orientation="portrait" r:id="rId1"/>
  <headerFooter alignWithMargins="0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C19" sqref="C19"/>
    </sheetView>
  </sheetViews>
  <sheetFormatPr defaultRowHeight="14.4" x14ac:dyDescent="0.3"/>
  <cols>
    <col min="1" max="1" width="46.5546875" bestFit="1" customWidth="1"/>
    <col min="2" max="2" width="14.33203125" bestFit="1" customWidth="1"/>
    <col min="6" max="6" width="46.5546875" bestFit="1" customWidth="1"/>
    <col min="7" max="7" width="14.33203125" bestFit="1" customWidth="1"/>
  </cols>
  <sheetData>
    <row r="1" spans="1:2" x14ac:dyDescent="0.3">
      <c r="A1" s="33" t="s">
        <v>172</v>
      </c>
    </row>
    <row r="2" spans="1:2" x14ac:dyDescent="0.3">
      <c r="A2" s="33" t="s">
        <v>176</v>
      </c>
    </row>
    <row r="3" spans="1:2" ht="15" thickBot="1" x14ac:dyDescent="0.35"/>
    <row r="4" spans="1:2" ht="15" thickBot="1" x14ac:dyDescent="0.35">
      <c r="A4" t="s">
        <v>50</v>
      </c>
      <c r="B4" s="49">
        <v>3163635.84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C19" sqref="C19"/>
    </sheetView>
  </sheetViews>
  <sheetFormatPr defaultRowHeight="14.4" x14ac:dyDescent="0.3"/>
  <cols>
    <col min="1" max="1" width="46.5546875" bestFit="1" customWidth="1"/>
    <col min="2" max="2" width="14.33203125" bestFit="1" customWidth="1"/>
    <col min="6" max="6" width="46.5546875" bestFit="1" customWidth="1"/>
    <col min="7" max="7" width="14.33203125" bestFit="1" customWidth="1"/>
  </cols>
  <sheetData>
    <row r="1" spans="1:2" x14ac:dyDescent="0.3">
      <c r="A1" s="33" t="s">
        <v>172</v>
      </c>
    </row>
    <row r="2" spans="1:2" x14ac:dyDescent="0.3">
      <c r="A2" s="33" t="s">
        <v>173</v>
      </c>
    </row>
    <row r="3" spans="1:2" ht="15" thickBot="1" x14ac:dyDescent="0.35"/>
    <row r="4" spans="1:2" ht="15" thickBot="1" x14ac:dyDescent="0.35">
      <c r="A4" t="s">
        <v>47</v>
      </c>
      <c r="B4" s="49">
        <v>23398795.149999999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19" sqref="C19"/>
    </sheetView>
  </sheetViews>
  <sheetFormatPr defaultRowHeight="14.4" x14ac:dyDescent="0.3"/>
  <cols>
    <col min="1" max="1" width="46.5546875" bestFit="1" customWidth="1"/>
    <col min="2" max="2" width="14.33203125" bestFit="1" customWidth="1"/>
    <col min="6" max="6" width="46.5546875" bestFit="1" customWidth="1"/>
    <col min="7" max="7" width="14.33203125" bestFit="1" customWidth="1"/>
  </cols>
  <sheetData>
    <row r="1" spans="1:2" x14ac:dyDescent="0.3">
      <c r="A1" s="33" t="s">
        <v>172</v>
      </c>
    </row>
    <row r="2" spans="1:2" x14ac:dyDescent="0.3">
      <c r="A2" s="33" t="s">
        <v>174</v>
      </c>
    </row>
    <row r="4" spans="1:2" x14ac:dyDescent="0.3">
      <c r="A4" t="s">
        <v>48</v>
      </c>
      <c r="B4" s="45">
        <v>16026097.74</v>
      </c>
    </row>
    <row r="5" spans="1:2" ht="15" thickBot="1" x14ac:dyDescent="0.35">
      <c r="A5" t="s">
        <v>49</v>
      </c>
      <c r="B5" s="45">
        <v>3986213.44</v>
      </c>
    </row>
    <row r="6" spans="1:2" ht="15" thickBot="1" x14ac:dyDescent="0.35">
      <c r="B6" s="49">
        <f>SUM(B4:B5)</f>
        <v>20012311.18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C19" sqref="C19"/>
    </sheetView>
  </sheetViews>
  <sheetFormatPr defaultRowHeight="14.4" x14ac:dyDescent="0.3"/>
  <cols>
    <col min="1" max="1" width="16.6640625" bestFit="1" customWidth="1"/>
    <col min="2" max="2" width="9" bestFit="1" customWidth="1"/>
    <col min="3" max="3" width="38.5546875" bestFit="1" customWidth="1"/>
    <col min="4" max="4" width="14.33203125" style="46" bestFit="1" customWidth="1"/>
    <col min="5" max="5" width="1.6640625" style="13" customWidth="1"/>
    <col min="6" max="6" width="15" style="46" bestFit="1" customWidth="1"/>
  </cols>
  <sheetData>
    <row r="1" spans="1:6" x14ac:dyDescent="0.3">
      <c r="A1" s="90" t="s">
        <v>139</v>
      </c>
    </row>
    <row r="2" spans="1:6" x14ac:dyDescent="0.3">
      <c r="A2" s="90" t="s">
        <v>140</v>
      </c>
      <c r="D2" s="48">
        <v>2023</v>
      </c>
      <c r="F2"/>
    </row>
    <row r="3" spans="1:6" x14ac:dyDescent="0.3">
      <c r="B3">
        <v>80510001</v>
      </c>
      <c r="C3" t="s">
        <v>97</v>
      </c>
      <c r="D3" s="46">
        <v>5954144.9699999997</v>
      </c>
      <c r="F3"/>
    </row>
    <row r="4" spans="1:6" x14ac:dyDescent="0.3">
      <c r="B4">
        <v>80510002</v>
      </c>
      <c r="C4" t="s">
        <v>98</v>
      </c>
      <c r="D4" s="46">
        <v>128885167.01000001</v>
      </c>
      <c r="F4"/>
    </row>
    <row r="5" spans="1:6" x14ac:dyDescent="0.3">
      <c r="B5" s="118">
        <v>80510004</v>
      </c>
      <c r="C5" s="118" t="s">
        <v>99</v>
      </c>
      <c r="D5" s="119">
        <v>-216402.46</v>
      </c>
      <c r="F5"/>
    </row>
    <row r="6" spans="1:6" x14ac:dyDescent="0.3">
      <c r="B6" s="118">
        <v>80510006</v>
      </c>
      <c r="C6" s="118" t="s">
        <v>100</v>
      </c>
      <c r="D6" s="119">
        <v>182359</v>
      </c>
      <c r="F6"/>
    </row>
    <row r="7" spans="1:6" x14ac:dyDescent="0.3">
      <c r="B7" s="118">
        <v>80510007</v>
      </c>
      <c r="C7" s="118" t="s">
        <v>101</v>
      </c>
      <c r="D7" s="119">
        <v>-25639251</v>
      </c>
      <c r="F7"/>
    </row>
    <row r="8" spans="1:6" x14ac:dyDescent="0.3">
      <c r="B8" s="118">
        <v>80510009</v>
      </c>
      <c r="C8" s="118" t="s">
        <v>141</v>
      </c>
      <c r="D8" s="119">
        <v>0</v>
      </c>
      <c r="F8"/>
    </row>
    <row r="9" spans="1:6" x14ac:dyDescent="0.3">
      <c r="B9" s="118">
        <v>80510012</v>
      </c>
      <c r="C9" s="118" t="s">
        <v>102</v>
      </c>
      <c r="D9" s="119">
        <v>15543577</v>
      </c>
      <c r="F9"/>
    </row>
    <row r="10" spans="1:6" ht="15" thickBot="1" x14ac:dyDescent="0.35">
      <c r="B10" s="194">
        <v>80510010</v>
      </c>
      <c r="C10" s="194" t="s">
        <v>221</v>
      </c>
      <c r="D10" s="195">
        <v>-7130485</v>
      </c>
      <c r="F10"/>
    </row>
    <row r="11" spans="1:6" ht="15" thickBot="1" x14ac:dyDescent="0.35">
      <c r="D11" s="47">
        <f>SUM(D5:D10)</f>
        <v>-17260202.460000001</v>
      </c>
    </row>
  </sheetData>
  <pageMargins left="0.7" right="0.7" top="0.75" bottom="0.75" header="0.3" footer="0.3"/>
  <pageSetup orientation="portrait" horizontalDpi="90" verticalDpi="90" r:id="rId1"/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opLeftCell="A19" workbookViewId="0">
      <selection activeCell="C19" sqref="C19"/>
    </sheetView>
  </sheetViews>
  <sheetFormatPr defaultRowHeight="14.4" x14ac:dyDescent="0.3"/>
  <cols>
    <col min="1" max="1" width="68.109375" bestFit="1" customWidth="1"/>
    <col min="2" max="2" width="15" bestFit="1" customWidth="1"/>
    <col min="3" max="3" width="1.6640625" customWidth="1"/>
    <col min="5" max="5" width="68.109375" bestFit="1" customWidth="1"/>
    <col min="6" max="6" width="15" bestFit="1" customWidth="1"/>
    <col min="7" max="7" width="1.6640625" customWidth="1"/>
    <col min="8" max="8" width="52.109375" bestFit="1" customWidth="1"/>
    <col min="9" max="9" width="12.6640625" bestFit="1" customWidth="1"/>
    <col min="10" max="10" width="14" bestFit="1" customWidth="1"/>
    <col min="12" max="12" width="53.5546875" bestFit="1" customWidth="1"/>
    <col min="13" max="13" width="15.6640625" style="112" customWidth="1"/>
    <col min="14" max="14" width="13.33203125" style="112" bestFit="1" customWidth="1"/>
  </cols>
  <sheetData>
    <row r="1" spans="1:14" x14ac:dyDescent="0.3">
      <c r="A1" s="90" t="s">
        <v>139</v>
      </c>
      <c r="B1" s="13"/>
    </row>
    <row r="2" spans="1:14" x14ac:dyDescent="0.3">
      <c r="A2" s="92" t="s">
        <v>175</v>
      </c>
      <c r="B2" s="13"/>
    </row>
    <row r="3" spans="1:14" x14ac:dyDescent="0.3">
      <c r="A3" s="36"/>
      <c r="B3" s="13"/>
    </row>
    <row r="4" spans="1:14" x14ac:dyDescent="0.3">
      <c r="A4" s="36"/>
      <c r="B4" s="13"/>
      <c r="M4"/>
      <c r="N4"/>
    </row>
    <row r="5" spans="1:14" x14ac:dyDescent="0.3">
      <c r="A5" s="36"/>
      <c r="B5" s="13"/>
      <c r="M5"/>
      <c r="N5"/>
    </row>
    <row r="6" spans="1:14" x14ac:dyDescent="0.3">
      <c r="A6" s="13"/>
      <c r="B6" s="13"/>
      <c r="M6"/>
      <c r="N6"/>
    </row>
    <row r="7" spans="1:14" x14ac:dyDescent="0.3">
      <c r="A7" s="37" t="s">
        <v>53</v>
      </c>
      <c r="B7" s="38" t="s">
        <v>51</v>
      </c>
      <c r="M7"/>
      <c r="N7"/>
    </row>
    <row r="8" spans="1:14" x14ac:dyDescent="0.3">
      <c r="A8" s="39" t="s">
        <v>89</v>
      </c>
      <c r="B8" s="40">
        <v>-1805472.82</v>
      </c>
      <c r="M8"/>
      <c r="N8"/>
    </row>
    <row r="9" spans="1:14" x14ac:dyDescent="0.3">
      <c r="A9" s="39" t="s">
        <v>90</v>
      </c>
      <c r="B9" s="40">
        <v>628394.47</v>
      </c>
      <c r="M9"/>
      <c r="N9"/>
    </row>
    <row r="10" spans="1:14" x14ac:dyDescent="0.3">
      <c r="A10" s="138" t="s">
        <v>91</v>
      </c>
      <c r="B10" s="139">
        <v>-220337.66</v>
      </c>
      <c r="M10"/>
      <c r="N10"/>
    </row>
    <row r="11" spans="1:14" x14ac:dyDescent="0.3">
      <c r="A11" s="138" t="s">
        <v>92</v>
      </c>
      <c r="B11" s="139">
        <v>-2546824.7999999998</v>
      </c>
      <c r="M11"/>
      <c r="N11"/>
    </row>
    <row r="12" spans="1:14" x14ac:dyDescent="0.3">
      <c r="A12" s="39" t="s">
        <v>93</v>
      </c>
      <c r="B12" s="40">
        <v>-21938321.93</v>
      </c>
      <c r="M12"/>
      <c r="N12"/>
    </row>
    <row r="13" spans="1:14" x14ac:dyDescent="0.3">
      <c r="A13" s="138" t="s">
        <v>94</v>
      </c>
      <c r="B13" s="139">
        <v>6171747.04</v>
      </c>
      <c r="M13"/>
      <c r="N13"/>
    </row>
    <row r="14" spans="1:14" x14ac:dyDescent="0.3">
      <c r="A14" s="39"/>
      <c r="B14" s="40"/>
      <c r="M14"/>
      <c r="N14"/>
    </row>
    <row r="15" spans="1:14" x14ac:dyDescent="0.3">
      <c r="A15" s="39"/>
      <c r="B15" s="40"/>
      <c r="M15"/>
      <c r="N15"/>
    </row>
    <row r="16" spans="1:14" x14ac:dyDescent="0.3">
      <c r="A16" s="41"/>
      <c r="B16" s="40"/>
      <c r="M16"/>
      <c r="N16"/>
    </row>
    <row r="17" spans="1:14" x14ac:dyDescent="0.3">
      <c r="A17" s="42" t="s">
        <v>95</v>
      </c>
      <c r="B17" s="43">
        <f>SUM(B8:B16)</f>
        <v>-19710815.699999999</v>
      </c>
      <c r="M17"/>
      <c r="N17"/>
    </row>
    <row r="18" spans="1:14" x14ac:dyDescent="0.3">
      <c r="B18" s="140">
        <f>+B13+B11+B10</f>
        <v>3404584.58</v>
      </c>
      <c r="M18"/>
      <c r="N18"/>
    </row>
    <row r="19" spans="1:14" x14ac:dyDescent="0.3">
      <c r="M19"/>
      <c r="N19"/>
    </row>
    <row r="20" spans="1:14" x14ac:dyDescent="0.3">
      <c r="A20" t="s">
        <v>54</v>
      </c>
      <c r="B20" s="141">
        <f>+'Lead 3.05 '!C22</f>
        <v>0.95544399999999996</v>
      </c>
      <c r="M20"/>
      <c r="N20"/>
    </row>
    <row r="21" spans="1:14" ht="15" thickBot="1" x14ac:dyDescent="0.35">
      <c r="M21"/>
      <c r="N21"/>
    </row>
    <row r="22" spans="1:14" ht="15" thickBot="1" x14ac:dyDescent="0.35">
      <c r="A22" s="32" t="s">
        <v>52</v>
      </c>
      <c r="B22" s="142">
        <f>-B18/B20</f>
        <v>-3563353.3519494603</v>
      </c>
      <c r="M22"/>
      <c r="N22"/>
    </row>
    <row r="23" spans="1:14" x14ac:dyDescent="0.3">
      <c r="M23"/>
      <c r="N23"/>
    </row>
    <row r="24" spans="1:14" x14ac:dyDescent="0.3">
      <c r="M24"/>
      <c r="N24"/>
    </row>
    <row r="25" spans="1:14" x14ac:dyDescent="0.3">
      <c r="M25"/>
      <c r="N25"/>
    </row>
    <row r="26" spans="1:14" x14ac:dyDescent="0.3">
      <c r="M26"/>
      <c r="N26"/>
    </row>
    <row r="27" spans="1:14" x14ac:dyDescent="0.3">
      <c r="M27"/>
      <c r="N27"/>
    </row>
    <row r="28" spans="1:14" x14ac:dyDescent="0.3">
      <c r="M28"/>
      <c r="N28"/>
    </row>
    <row r="29" spans="1:14" x14ac:dyDescent="0.3">
      <c r="M29"/>
      <c r="N29"/>
    </row>
    <row r="30" spans="1:14" x14ac:dyDescent="0.3">
      <c r="M30"/>
      <c r="N30"/>
    </row>
    <row r="31" spans="1:14" x14ac:dyDescent="0.3">
      <c r="M31"/>
      <c r="N31"/>
    </row>
    <row r="32" spans="1:14" x14ac:dyDescent="0.3">
      <c r="M32"/>
      <c r="N32"/>
    </row>
    <row r="33" spans="1:14" x14ac:dyDescent="0.3">
      <c r="M33"/>
      <c r="N33"/>
    </row>
    <row r="34" spans="1:14" x14ac:dyDescent="0.3">
      <c r="M34"/>
      <c r="N34"/>
    </row>
    <row r="35" spans="1:14" x14ac:dyDescent="0.3">
      <c r="M35"/>
      <c r="N35"/>
    </row>
    <row r="36" spans="1:14" x14ac:dyDescent="0.3">
      <c r="M36"/>
      <c r="N36"/>
    </row>
    <row r="37" spans="1:14" x14ac:dyDescent="0.3">
      <c r="M37"/>
      <c r="N37"/>
    </row>
    <row r="38" spans="1:14" x14ac:dyDescent="0.3">
      <c r="M38"/>
      <c r="N38"/>
    </row>
    <row r="39" spans="1:14" x14ac:dyDescent="0.3">
      <c r="M39"/>
      <c r="N39"/>
    </row>
    <row r="40" spans="1:14" x14ac:dyDescent="0.3">
      <c r="M40"/>
      <c r="N40"/>
    </row>
    <row r="41" spans="1:14" x14ac:dyDescent="0.3">
      <c r="M41"/>
      <c r="N41"/>
    </row>
    <row r="42" spans="1:14" x14ac:dyDescent="0.3">
      <c r="M42"/>
      <c r="N42"/>
    </row>
    <row r="43" spans="1:14" x14ac:dyDescent="0.3">
      <c r="M43"/>
      <c r="N43"/>
    </row>
    <row r="44" spans="1:14" x14ac:dyDescent="0.3">
      <c r="A44" s="196" t="s">
        <v>204</v>
      </c>
      <c r="M44"/>
      <c r="N44"/>
    </row>
    <row r="45" spans="1:14" x14ac:dyDescent="0.3">
      <c r="A45" s="197" t="s">
        <v>203</v>
      </c>
      <c r="M45"/>
      <c r="N45"/>
    </row>
    <row r="46" spans="1:14" x14ac:dyDescent="0.3">
      <c r="A46" s="198"/>
      <c r="M46"/>
      <c r="N46"/>
    </row>
    <row r="47" spans="1:14" x14ac:dyDescent="0.3">
      <c r="M47"/>
      <c r="N47"/>
    </row>
    <row r="48" spans="1:14" x14ac:dyDescent="0.3">
      <c r="M48"/>
      <c r="N48"/>
    </row>
    <row r="49" spans="13:14" x14ac:dyDescent="0.3">
      <c r="M49"/>
      <c r="N49"/>
    </row>
    <row r="50" spans="13:14" x14ac:dyDescent="0.3">
      <c r="M50"/>
      <c r="N50"/>
    </row>
    <row r="51" spans="13:14" x14ac:dyDescent="0.3">
      <c r="M51"/>
      <c r="N51"/>
    </row>
    <row r="52" spans="13:14" x14ac:dyDescent="0.3">
      <c r="M52"/>
      <c r="N52"/>
    </row>
    <row r="53" spans="13:14" x14ac:dyDescent="0.3">
      <c r="M53"/>
      <c r="N53"/>
    </row>
    <row r="54" spans="13:14" x14ac:dyDescent="0.3">
      <c r="M54"/>
      <c r="N54"/>
    </row>
    <row r="55" spans="13:14" x14ac:dyDescent="0.3">
      <c r="M55"/>
      <c r="N55"/>
    </row>
    <row r="56" spans="13:14" x14ac:dyDescent="0.3">
      <c r="M56"/>
      <c r="N56"/>
    </row>
    <row r="57" spans="13:14" x14ac:dyDescent="0.3">
      <c r="M57"/>
      <c r="N57"/>
    </row>
    <row r="58" spans="13:14" x14ac:dyDescent="0.3">
      <c r="M58"/>
      <c r="N58"/>
    </row>
    <row r="59" spans="13:14" x14ac:dyDescent="0.3">
      <c r="M59"/>
      <c r="N59"/>
    </row>
    <row r="60" spans="13:14" x14ac:dyDescent="0.3">
      <c r="M60"/>
      <c r="N60"/>
    </row>
    <row r="61" spans="13:14" x14ac:dyDescent="0.3">
      <c r="M61"/>
      <c r="N61"/>
    </row>
    <row r="62" spans="13:14" x14ac:dyDescent="0.3">
      <c r="M62"/>
      <c r="N62"/>
    </row>
    <row r="63" spans="13:14" x14ac:dyDescent="0.3">
      <c r="M63"/>
      <c r="N63"/>
    </row>
    <row r="64" spans="13:14" x14ac:dyDescent="0.3">
      <c r="M64"/>
      <c r="N64"/>
    </row>
    <row r="65" spans="13:14" x14ac:dyDescent="0.3">
      <c r="M65"/>
      <c r="N65"/>
    </row>
    <row r="66" spans="13:14" x14ac:dyDescent="0.3">
      <c r="M66"/>
      <c r="N66"/>
    </row>
    <row r="67" spans="13:14" x14ac:dyDescent="0.3">
      <c r="M67"/>
      <c r="N67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A863F1F3F84D34DA9D1C0B7B6EF12CC" ma:contentTypeVersion="16" ma:contentTypeDescription="" ma:contentTypeScope="" ma:versionID="98915a28353ae780bc35b12d984ad1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8DD2EBF-29FF-4A3D-B8DA-6126B917F6A6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F4D5C68A-FF59-4F83-87C9-4113DF664FDA}"/>
</file>

<file path=customXml/itemProps3.xml><?xml version="1.0" encoding="utf-8"?>
<ds:datastoreItem xmlns:ds="http://schemas.openxmlformats.org/officeDocument/2006/customXml" ds:itemID="{9D39507A-2827-40DC-9B85-934B952E1D22}"/>
</file>

<file path=customXml/itemProps4.xml><?xml version="1.0" encoding="utf-8"?>
<ds:datastoreItem xmlns:ds="http://schemas.openxmlformats.org/officeDocument/2006/customXml" ds:itemID="{06A6D4F7-D01C-4B8D-9E4D-5FC3D6C854E8}"/>
</file>

<file path=customXml/itemProps5.xml><?xml version="1.0" encoding="utf-8"?>
<ds:datastoreItem xmlns:ds="http://schemas.openxmlformats.org/officeDocument/2006/customXml" ds:itemID="{1FEE74B3-85A6-4FA4-A8ED-07ECBB2336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</vt:i4>
      </vt:variant>
    </vt:vector>
  </HeadingPairs>
  <TitlesOfParts>
    <vt:vector size="18" baseType="lpstr">
      <vt:lpstr>Lead 3.05 </vt:lpstr>
      <vt:lpstr>SOG 2023</vt:lpstr>
      <vt:lpstr>22GRC CF</vt:lpstr>
      <vt:lpstr>Schedule 129</vt:lpstr>
      <vt:lpstr>Schedule 120</vt:lpstr>
      <vt:lpstr>Schedule 140</vt:lpstr>
      <vt:lpstr>Schedule 106</vt:lpstr>
      <vt:lpstr>SC 142 Decoup</vt:lpstr>
      <vt:lpstr>SC 137 Carbon </vt:lpstr>
      <vt:lpstr>Sch 129D Bill Discount</vt:lpstr>
      <vt:lpstr>Sch 137 Carbon Offset </vt:lpstr>
      <vt:lpstr>Sch 138 RNC Rev</vt:lpstr>
      <vt:lpstr>Sch 138 RNG</vt:lpstr>
      <vt:lpstr>SOEG Muni Tax </vt:lpstr>
      <vt:lpstr>SOEG Mu Tx Wtr Htr </vt:lpstr>
      <vt:lpstr>'SOG 2023'!Print_Area</vt:lpstr>
      <vt:lpstr>'SOEG Mu Tx Wtr Htr '!SAPCrosstab1</vt:lpstr>
      <vt:lpstr>SAPCrosstab1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Marina</cp:lastModifiedBy>
  <cp:lastPrinted>2018-02-01T21:48:45Z</cp:lastPrinted>
  <dcterms:created xsi:type="dcterms:W3CDTF">2016-01-19T22:04:40Z</dcterms:created>
  <dcterms:modified xsi:type="dcterms:W3CDTF">2024-03-26T21:16:55Z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3.05G Pass-Through Rev and Exp Dec 2020 CBR.xlsx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0x0101006E56B4D1795A2E4DB2F0B01679ED314A000A863F1F3F84D34DA9D1C0B7B6EF12CC</vt:lpwstr>
  </property>
  <property fmtid="{D5CDD505-2E9C-101B-9397-08002B2CF9AE}" pid="5" name="_docset_NoMedatataSyncRequired">
    <vt:lpwstr>False</vt:lpwstr>
  </property>
</Properties>
</file>