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7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omments2.xml" ContentType="application/vnd.openxmlformats-officedocument.spreadsheetml.comments+xml"/>
  <Override PartName="/xl/customProperty14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8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ates\Public\PGA Files\PGA2023_Nov 1, 2023 Effective Date\FINAL\"/>
    </mc:Choice>
  </mc:AlternateContent>
  <bookViews>
    <workbookView xWindow="-120" yWindow="-120" windowWidth="29040" windowHeight="15840" tabRatio="931"/>
  </bookViews>
  <sheets>
    <sheet name="REDACTED VERSION" sheetId="90" r:id="rId1"/>
    <sheet name="Rates Summary " sheetId="36" r:id="rId2"/>
    <sheet name="Rate Impacts-&gt;" sheetId="73" r:id="rId3"/>
    <sheet name="Rate Impacts Sch 101_106" sheetId="86" r:id="rId4"/>
    <sheet name="Typical Res Bill Sch 101_106" sheetId="87" r:id="rId5"/>
    <sheet name="Sch. 101" sheetId="88" r:id="rId6"/>
    <sheet name="Work Papers --&gt;" sheetId="69" r:id="rId7"/>
    <sheet name="(R) RNG 5% Calc." sheetId="89" r:id="rId8"/>
    <sheet name="F2023 Forecast " sheetId="5" r:id="rId9"/>
    <sheet name="(R) PGA Cost Summary" sheetId="80" r:id="rId10"/>
    <sheet name="2022 GRC Gas Cost Allocation" sheetId="66" r:id="rId11"/>
    <sheet name="Conversion Factor" sheetId="7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localSheetId="0" hidden="1">#REF!</definedName>
    <definedName name="_Parse_In" hidden="1">#REF!</definedName>
    <definedName name="_Regression_Out" localSheetId="9" hidden="1">[6]FIA!#REF!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9" hidden="1">{"Plat Summary",#N/A,FALSE,"PLAT DESIGN"}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9" hidden="1">{"Plat Summary",#N/A,FALSE,"PLAT DESIGN"}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9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9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9">'(R) PGA Cost Summary'!$B$1:$I$108,'(R) PGA Cost Summary'!$K$1:$R$111,'(R) PGA Cost Summary'!$T$1:$Y$108</definedName>
    <definedName name="_xlnm.Print_Area" localSheetId="7">'(R) RNG 5% Calc.'!$A$1:$B$18</definedName>
    <definedName name="_xlnm.Print_Area" localSheetId="10">'2022 GRC Gas Cost Allocation'!$A$2:$K$57</definedName>
    <definedName name="_xlnm.Print_Area" localSheetId="3">'Rate Impacts Sch 101_106'!$B$1:$V$37</definedName>
    <definedName name="_xlnm.Print_Area" localSheetId="1">'Rates Summary '!$B$1:$K$59</definedName>
    <definedName name="_xlnm.Print_Area" localSheetId="0">'REDACTED VERSION'!$A$1:$R$45</definedName>
    <definedName name="_xlnm.Print_Area" localSheetId="5">'Sch. 101'!$A$1:$J$40</definedName>
    <definedName name="_xlnm.Print_Area" localSheetId="4">'Typical Res Bill Sch 101_106'!$B$1:$N$43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9" hidden="1">{"Plat Summary",#N/A,FALSE,"PLAT DESIGN"}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9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9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9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9" l="1"/>
  <c r="B10" i="89"/>
  <c r="A2" i="5" l="1"/>
  <c r="A1" i="5"/>
  <c r="J35" i="88"/>
  <c r="G35" i="88" l="1"/>
  <c r="G34" i="88"/>
  <c r="G30" i="88"/>
  <c r="G29" i="88"/>
  <c r="G25" i="88"/>
  <c r="G24" i="88"/>
  <c r="G19" i="88"/>
  <c r="G16" i="88"/>
  <c r="G13" i="88"/>
  <c r="I12" i="86" s="1"/>
  <c r="D8" i="88"/>
  <c r="G33" i="87"/>
  <c r="D32" i="87"/>
  <c r="J32" i="87" s="1"/>
  <c r="M27" i="87"/>
  <c r="M25" i="87"/>
  <c r="M23" i="87"/>
  <c r="M21" i="87"/>
  <c r="M19" i="87"/>
  <c r="B4" i="87"/>
  <c r="B2" i="87"/>
  <c r="W33" i="86"/>
  <c r="U33" i="86"/>
  <c r="S33" i="86"/>
  <c r="P33" i="86"/>
  <c r="M33" i="86"/>
  <c r="L33" i="86"/>
  <c r="J33" i="86"/>
  <c r="I33" i="86"/>
  <c r="S32" i="86"/>
  <c r="S30" i="86"/>
  <c r="Y23" i="86"/>
  <c r="R33" i="86"/>
  <c r="Q33" i="86"/>
  <c r="O33" i="86"/>
  <c r="N33" i="86"/>
  <c r="K33" i="86"/>
  <c r="G33" i="86"/>
  <c r="E33" i="86"/>
  <c r="D33" i="86"/>
  <c r="Y22" i="86"/>
  <c r="K32" i="86"/>
  <c r="Y21" i="86"/>
  <c r="Y20" i="86"/>
  <c r="Y19" i="86"/>
  <c r="Y18" i="86"/>
  <c r="O32" i="86"/>
  <c r="N32" i="86"/>
  <c r="M32" i="86"/>
  <c r="L32" i="86"/>
  <c r="J32" i="86"/>
  <c r="S31" i="86"/>
  <c r="R31" i="86"/>
  <c r="L31" i="86"/>
  <c r="J31" i="86"/>
  <c r="G31" i="86"/>
  <c r="R30" i="86"/>
  <c r="N30" i="86"/>
  <c r="L30" i="86"/>
  <c r="K30" i="86"/>
  <c r="J30" i="86"/>
  <c r="R29" i="86"/>
  <c r="Q29" i="86"/>
  <c r="P29" i="86"/>
  <c r="N29" i="86"/>
  <c r="L29" i="86"/>
  <c r="J29" i="86"/>
  <c r="E29" i="86"/>
  <c r="D29" i="86"/>
  <c r="P28" i="86"/>
  <c r="N28" i="86"/>
  <c r="M28" i="86"/>
  <c r="L28" i="86"/>
  <c r="J28" i="86"/>
  <c r="I13" i="86"/>
  <c r="I28" i="86" s="1"/>
  <c r="D28" i="86"/>
  <c r="N27" i="86"/>
  <c r="X7" i="86"/>
  <c r="V7" i="86"/>
  <c r="E7" i="86"/>
  <c r="K31" i="86" l="1"/>
  <c r="G29" i="86"/>
  <c r="P30" i="86"/>
  <c r="F16" i="86"/>
  <c r="H16" i="86" s="1"/>
  <c r="D30" i="86"/>
  <c r="O28" i="86"/>
  <c r="G30" i="86"/>
  <c r="Q31" i="86"/>
  <c r="E28" i="86"/>
  <c r="F28" i="86" s="1"/>
  <c r="F19" i="86"/>
  <c r="H19" i="86" s="1"/>
  <c r="T19" i="86" s="1"/>
  <c r="Z19" i="86" s="1"/>
  <c r="F20" i="86"/>
  <c r="H20" i="86" s="1"/>
  <c r="F18" i="86"/>
  <c r="H18" i="86" s="1"/>
  <c r="R24" i="86"/>
  <c r="R27" i="86"/>
  <c r="E32" i="86"/>
  <c r="F32" i="86" s="1"/>
  <c r="K24" i="86"/>
  <c r="G28" i="86"/>
  <c r="D31" i="86"/>
  <c r="O31" i="86"/>
  <c r="Q32" i="86"/>
  <c r="D32" i="86"/>
  <c r="Q28" i="86"/>
  <c r="K29" i="86"/>
  <c r="R32" i="86"/>
  <c r="P24" i="86"/>
  <c r="J27" i="86"/>
  <c r="J34" i="86" s="1"/>
  <c r="N31" i="86"/>
  <c r="R28" i="86"/>
  <c r="F21" i="86"/>
  <c r="H21" i="86" s="1"/>
  <c r="T21" i="86" s="1"/>
  <c r="X21" i="86" s="1"/>
  <c r="N24" i="86"/>
  <c r="F23" i="86"/>
  <c r="H23" i="86" s="1"/>
  <c r="H33" i="86" s="1"/>
  <c r="G31" i="88"/>
  <c r="I16" i="86" s="1"/>
  <c r="I31" i="86" s="1"/>
  <c r="E24" i="86"/>
  <c r="G27" i="86"/>
  <c r="M31" i="86"/>
  <c r="F22" i="86"/>
  <c r="F13" i="86"/>
  <c r="P32" i="86"/>
  <c r="N34" i="86"/>
  <c r="F12" i="86"/>
  <c r="H12" i="86" s="1"/>
  <c r="T12" i="86" s="1"/>
  <c r="K28" i="86"/>
  <c r="S28" i="86"/>
  <c r="M29" i="86"/>
  <c r="O30" i="86"/>
  <c r="S29" i="86"/>
  <c r="J24" i="86"/>
  <c r="V21" i="86"/>
  <c r="Z21" i="86"/>
  <c r="M30" i="86"/>
  <c r="X19" i="86"/>
  <c r="V19" i="86"/>
  <c r="T20" i="86"/>
  <c r="S24" i="86"/>
  <c r="S27" i="86"/>
  <c r="S34" i="86" s="1"/>
  <c r="Q30" i="86"/>
  <c r="L24" i="86"/>
  <c r="F29" i="86"/>
  <c r="O29" i="86"/>
  <c r="G32" i="86"/>
  <c r="T18" i="86"/>
  <c r="D24" i="86"/>
  <c r="O27" i="86"/>
  <c r="O24" i="86"/>
  <c r="G24" i="86"/>
  <c r="M24" i="86"/>
  <c r="Q24" i="86"/>
  <c r="H13" i="86"/>
  <c r="E30" i="86"/>
  <c r="F30" i="86" s="1"/>
  <c r="F15" i="86"/>
  <c r="H15" i="86" s="1"/>
  <c r="H22" i="86"/>
  <c r="T22" i="86" s="1"/>
  <c r="Z22" i="86" s="1"/>
  <c r="Y33" i="86"/>
  <c r="K27" i="86"/>
  <c r="P31" i="86"/>
  <c r="D27" i="86"/>
  <c r="D34" i="86" s="1"/>
  <c r="L27" i="86"/>
  <c r="L34" i="86" s="1"/>
  <c r="P27" i="86"/>
  <c r="E31" i="86"/>
  <c r="M12" i="87"/>
  <c r="G12" i="87"/>
  <c r="E12" i="87"/>
  <c r="E13" i="87" s="1"/>
  <c r="D13" i="87"/>
  <c r="M15" i="87"/>
  <c r="N15" i="87" s="1"/>
  <c r="G15" i="87"/>
  <c r="H15" i="87" s="1"/>
  <c r="E15" i="87"/>
  <c r="J18" i="87"/>
  <c r="G18" i="87"/>
  <c r="J20" i="87"/>
  <c r="G20" i="87"/>
  <c r="J22" i="87"/>
  <c r="G22" i="87"/>
  <c r="J24" i="87"/>
  <c r="G24" i="87"/>
  <c r="J26" i="87"/>
  <c r="G26" i="87"/>
  <c r="D28" i="87"/>
  <c r="M30" i="87"/>
  <c r="N30" i="87" s="1"/>
  <c r="G30" i="87"/>
  <c r="H30" i="87" s="1"/>
  <c r="E30" i="87"/>
  <c r="F14" i="86"/>
  <c r="H14" i="86" s="1"/>
  <c r="F17" i="86"/>
  <c r="H17" i="86" s="1"/>
  <c r="E27" i="86"/>
  <c r="M27" i="86"/>
  <c r="Q27" i="86"/>
  <c r="M18" i="87"/>
  <c r="M20" i="87"/>
  <c r="M22" i="87"/>
  <c r="M24" i="87"/>
  <c r="M26" i="87"/>
  <c r="D34" i="87"/>
  <c r="E34" i="87" s="1"/>
  <c r="D39" i="88"/>
  <c r="G10" i="88"/>
  <c r="D40" i="88"/>
  <c r="G20" i="88"/>
  <c r="G21" i="88" s="1"/>
  <c r="I14" i="86" s="1"/>
  <c r="I29" i="86" s="1"/>
  <c r="G26" i="88"/>
  <c r="I15" i="86" s="1"/>
  <c r="I30" i="86" s="1"/>
  <c r="G36" i="88"/>
  <c r="I17" i="86" s="1"/>
  <c r="I32" i="86" s="1"/>
  <c r="F11" i="86"/>
  <c r="H11" i="86" s="1"/>
  <c r="F33" i="86"/>
  <c r="J12" i="87"/>
  <c r="J15" i="87"/>
  <c r="K15" i="87" s="1"/>
  <c r="J19" i="87"/>
  <c r="G19" i="87"/>
  <c r="J21" i="87"/>
  <c r="G21" i="87"/>
  <c r="J23" i="87"/>
  <c r="G23" i="87"/>
  <c r="J25" i="87"/>
  <c r="G25" i="87"/>
  <c r="J27" i="87"/>
  <c r="G27" i="87"/>
  <c r="J30" i="87"/>
  <c r="K30" i="87" s="1"/>
  <c r="T23" i="86" l="1"/>
  <c r="Z23" i="86" s="1"/>
  <c r="Q34" i="86"/>
  <c r="O34" i="86"/>
  <c r="M34" i="86"/>
  <c r="F31" i="86"/>
  <c r="R34" i="86"/>
  <c r="G34" i="86"/>
  <c r="K34" i="86"/>
  <c r="F24" i="86"/>
  <c r="H24" i="86"/>
  <c r="H27" i="86"/>
  <c r="D41" i="87"/>
  <c r="E28" i="87"/>
  <c r="E35" i="87" s="1"/>
  <c r="E37" i="87" s="1"/>
  <c r="D35" i="87"/>
  <c r="H31" i="86"/>
  <c r="T16" i="86"/>
  <c r="M28" i="87"/>
  <c r="F27" i="86"/>
  <c r="E34" i="86"/>
  <c r="F34" i="86" s="1"/>
  <c r="G28" i="87"/>
  <c r="H30" i="86"/>
  <c r="T15" i="86"/>
  <c r="K12" i="87"/>
  <c r="K13" i="87" s="1"/>
  <c r="J13" i="87"/>
  <c r="H32" i="86"/>
  <c r="T17" i="86"/>
  <c r="J28" i="87"/>
  <c r="T33" i="86"/>
  <c r="Z33" i="86" s="1"/>
  <c r="X23" i="86"/>
  <c r="V23" i="86"/>
  <c r="X18" i="86"/>
  <c r="V18" i="86"/>
  <c r="H29" i="86"/>
  <c r="T14" i="86"/>
  <c r="G13" i="87"/>
  <c r="H12" i="87"/>
  <c r="H13" i="87" s="1"/>
  <c r="X22" i="86"/>
  <c r="V22" i="86"/>
  <c r="V20" i="86"/>
  <c r="X20" i="86"/>
  <c r="G38" i="88"/>
  <c r="I11" i="86"/>
  <c r="M13" i="87"/>
  <c r="N12" i="87"/>
  <c r="N13" i="87" s="1"/>
  <c r="Z20" i="86"/>
  <c r="P34" i="86"/>
  <c r="H28" i="86"/>
  <c r="T13" i="86"/>
  <c r="Z18" i="86"/>
  <c r="H34" i="86" l="1"/>
  <c r="T28" i="86"/>
  <c r="I24" i="86"/>
  <c r="I27" i="86"/>
  <c r="I34" i="86" s="1"/>
  <c r="G41" i="87"/>
  <c r="H28" i="87"/>
  <c r="K28" i="87"/>
  <c r="J41" i="87"/>
  <c r="T30" i="86"/>
  <c r="T31" i="86"/>
  <c r="M41" i="87"/>
  <c r="N28" i="87"/>
  <c r="T29" i="86"/>
  <c r="V33" i="86"/>
  <c r="X33" i="86"/>
  <c r="T32" i="86"/>
  <c r="T11" i="86"/>
  <c r="T24" i="86" l="1"/>
  <c r="T27" i="86"/>
  <c r="T34" i="86" l="1"/>
  <c r="F50" i="66" l="1"/>
  <c r="G50" i="66"/>
  <c r="H50" i="66"/>
  <c r="I50" i="66"/>
  <c r="J50" i="66"/>
  <c r="E50" i="66"/>
  <c r="N21" i="5" l="1"/>
  <c r="J27" i="5"/>
  <c r="C19" i="5"/>
  <c r="D19" i="5" s="1"/>
  <c r="E19" i="5" s="1"/>
  <c r="F19" i="5" s="1"/>
  <c r="G19" i="5" s="1"/>
  <c r="H19" i="5" s="1"/>
  <c r="I19" i="5" s="1"/>
  <c r="J19" i="5" s="1"/>
  <c r="K19" i="5" s="1"/>
  <c r="L19" i="5" s="1"/>
  <c r="M19" i="5" s="1"/>
  <c r="N18" i="5" s="1"/>
  <c r="B27" i="5" l="1"/>
  <c r="F27" i="5"/>
  <c r="N25" i="5"/>
  <c r="J11" i="36" s="1"/>
  <c r="I27" i="5"/>
  <c r="N22" i="5"/>
  <c r="G11" i="36" s="1"/>
  <c r="L27" i="5"/>
  <c r="H27" i="5"/>
  <c r="D27" i="5"/>
  <c r="N23" i="5"/>
  <c r="M27" i="5"/>
  <c r="E27" i="5"/>
  <c r="K27" i="5"/>
  <c r="G27" i="5"/>
  <c r="C27" i="5"/>
  <c r="N26" i="5"/>
  <c r="K11" i="36" s="1"/>
  <c r="N24" i="5"/>
  <c r="I11" i="36" s="1"/>
  <c r="H11" i="36"/>
  <c r="F11" i="36"/>
  <c r="N20" i="5"/>
  <c r="E11" i="36" l="1"/>
  <c r="N27" i="5"/>
  <c r="B12" i="78"/>
  <c r="E12" i="78"/>
  <c r="E14" i="78"/>
  <c r="E16" i="78" s="1"/>
  <c r="E22" i="78" l="1"/>
  <c r="D45" i="36" s="1"/>
  <c r="E17" i="78"/>
  <c r="E18" i="78" s="1"/>
  <c r="I15" i="5" l="1"/>
  <c r="H15" i="5"/>
  <c r="G15" i="5"/>
  <c r="F15" i="5"/>
  <c r="C7" i="5"/>
  <c r="D7" i="5" s="1"/>
  <c r="E7" i="5" s="1"/>
  <c r="F7" i="5" s="1"/>
  <c r="G7" i="5" s="1"/>
  <c r="H7" i="5" s="1"/>
  <c r="I7" i="5" s="1"/>
  <c r="J7" i="5" s="1"/>
  <c r="K7" i="5" s="1"/>
  <c r="L7" i="5" s="1"/>
  <c r="M7" i="5" s="1"/>
  <c r="N6" i="5" s="1"/>
  <c r="K15" i="5" l="1"/>
  <c r="C15" i="5"/>
  <c r="D15" i="5"/>
  <c r="L15" i="5"/>
  <c r="B15" i="5"/>
  <c r="E15" i="5"/>
  <c r="M15" i="5"/>
  <c r="J15" i="5"/>
  <c r="N8" i="5" l="1"/>
  <c r="E12" i="36" l="1"/>
  <c r="N9" i="5"/>
  <c r="N10" i="5"/>
  <c r="N11" i="5"/>
  <c r="N13" i="5"/>
  <c r="N14" i="5"/>
  <c r="N12" i="5"/>
  <c r="N15" i="5" l="1"/>
  <c r="I12" i="36"/>
  <c r="G12" i="36"/>
  <c r="K12" i="36"/>
  <c r="F12" i="36"/>
  <c r="J12" i="36"/>
  <c r="H12" i="36"/>
  <c r="K55" i="66" l="1"/>
  <c r="E38" i="66"/>
  <c r="F37" i="66"/>
  <c r="E35" i="66"/>
  <c r="F38" i="66"/>
  <c r="G36" i="66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D21" i="66" l="1"/>
  <c r="D28" i="66"/>
  <c r="D12" i="66"/>
  <c r="D9" i="66"/>
  <c r="H35" i="66"/>
  <c r="D29" i="66"/>
  <c r="H37" i="66"/>
  <c r="F35" i="66"/>
  <c r="D26" i="66"/>
  <c r="E37" i="66"/>
  <c r="G35" i="66"/>
  <c r="D30" i="66"/>
  <c r="H36" i="66"/>
  <c r="E36" i="66"/>
  <c r="G37" i="66"/>
  <c r="D15" i="66"/>
  <c r="D18" i="66"/>
  <c r="H38" i="66"/>
  <c r="F36" i="66"/>
  <c r="D50" i="66"/>
  <c r="D27" i="66"/>
  <c r="G38" i="66"/>
  <c r="I16" i="66" l="1"/>
  <c r="E16" i="66"/>
  <c r="H16" i="66"/>
  <c r="F16" i="66"/>
  <c r="K16" i="66"/>
  <c r="G16" i="66"/>
  <c r="J16" i="66"/>
  <c r="K10" i="66"/>
  <c r="G10" i="66"/>
  <c r="J10" i="66"/>
  <c r="F10" i="66"/>
  <c r="I10" i="66"/>
  <c r="E10" i="66"/>
  <c r="H10" i="66"/>
  <c r="H13" i="66"/>
  <c r="E13" i="66"/>
  <c r="K13" i="66"/>
  <c r="G13" i="66"/>
  <c r="I13" i="66"/>
  <c r="J13" i="66"/>
  <c r="F13" i="66"/>
  <c r="J19" i="66"/>
  <c r="F19" i="66"/>
  <c r="G19" i="66"/>
  <c r="I19" i="66"/>
  <c r="E19" i="66"/>
  <c r="K19" i="66"/>
  <c r="H19" i="66"/>
  <c r="K22" i="66"/>
  <c r="G22" i="66"/>
  <c r="J22" i="66"/>
  <c r="F22" i="66"/>
  <c r="I22" i="66"/>
  <c r="E22" i="66"/>
  <c r="H22" i="66"/>
  <c r="E21" i="36" l="1"/>
  <c r="H21" i="36"/>
  <c r="F21" i="36" l="1"/>
  <c r="G21" i="36"/>
  <c r="E44" i="36" l="1"/>
  <c r="F44" i="36"/>
  <c r="G44" i="36"/>
  <c r="I44" i="36"/>
  <c r="J44" i="36"/>
  <c r="K44" i="36"/>
  <c r="H44" i="36"/>
  <c r="H46" i="36" s="1"/>
  <c r="F20" i="88" s="1"/>
  <c r="H20" i="88" s="1"/>
  <c r="I20" i="88" s="1"/>
  <c r="J20" i="88" s="1"/>
  <c r="I21" i="36" l="1"/>
  <c r="J21" i="36"/>
  <c r="K21" i="36" l="1"/>
  <c r="D21" i="36" s="1"/>
  <c r="C33" i="36" l="1"/>
  <c r="D11" i="36"/>
  <c r="B10" i="36"/>
  <c r="B11" i="36" s="1"/>
  <c r="B12" i="36" s="1"/>
  <c r="E46" i="36"/>
  <c r="F46" i="36"/>
  <c r="G46" i="36"/>
  <c r="K46" i="36"/>
  <c r="F35" i="88" s="1"/>
  <c r="H35" i="88" s="1"/>
  <c r="I35" i="88" s="1"/>
  <c r="B14" i="36" l="1"/>
  <c r="B15" i="36" s="1"/>
  <c r="B17" i="36" s="1"/>
  <c r="B18" i="36" s="1"/>
  <c r="B20" i="36" s="1"/>
  <c r="B21" i="36" s="1"/>
  <c r="B23" i="36" s="1"/>
  <c r="B24" i="36" s="1"/>
  <c r="B25" i="36" s="1"/>
  <c r="B27" i="36" s="1"/>
  <c r="B28" i="36" s="1"/>
  <c r="B29" i="36" s="1"/>
  <c r="B32" i="36" s="1"/>
  <c r="B33" i="36" s="1"/>
  <c r="B34" i="36" s="1"/>
  <c r="B36" i="36" s="1"/>
  <c r="B37" i="36" s="1"/>
  <c r="B38" i="36" s="1"/>
  <c r="B39" i="36" s="1"/>
  <c r="B40" i="36" s="1"/>
  <c r="B41" i="36" s="1"/>
  <c r="B44" i="36" s="1"/>
  <c r="B45" i="36" s="1"/>
  <c r="B46" i="36" s="1"/>
  <c r="B48" i="36" s="1"/>
  <c r="B49" i="36" s="1"/>
  <c r="B50" i="36" s="1"/>
  <c r="B52" i="36" s="1"/>
  <c r="B53" i="36" s="1"/>
  <c r="B54" i="36" s="1"/>
  <c r="B55" i="36" s="1"/>
  <c r="B56" i="36" s="1"/>
  <c r="I46" i="36"/>
  <c r="F25" i="88" s="1"/>
  <c r="H25" i="88" s="1"/>
  <c r="I25" i="88" s="1"/>
  <c r="J25" i="88" s="1"/>
  <c r="J46" i="36"/>
  <c r="F30" i="88" s="1"/>
  <c r="H30" i="88" s="1"/>
  <c r="I30" i="88" s="1"/>
  <c r="J30" i="88" s="1"/>
  <c r="K33" i="36" l="1"/>
  <c r="K34" i="36" s="1"/>
  <c r="J33" i="36"/>
  <c r="J34" i="36" s="1"/>
  <c r="I33" i="36"/>
  <c r="I34" i="36" s="1"/>
  <c r="H33" i="36"/>
  <c r="H34" i="36" s="1"/>
  <c r="F33" i="36"/>
  <c r="F34" i="36" s="1"/>
  <c r="G33" i="36" l="1"/>
  <c r="G34" i="36" s="1"/>
  <c r="E33" i="36"/>
  <c r="D12" i="36"/>
  <c r="D33" i="36" l="1"/>
  <c r="E34" i="36"/>
  <c r="D34" i="36" s="1"/>
  <c r="D37" i="36" l="1"/>
  <c r="I37" i="36" l="1"/>
  <c r="K37" i="36"/>
  <c r="F37" i="36"/>
  <c r="J37" i="36"/>
  <c r="G37" i="36"/>
  <c r="H37" i="36"/>
  <c r="E37" i="36"/>
  <c r="J49" i="36" l="1"/>
  <c r="J38" i="36"/>
  <c r="J40" i="36"/>
  <c r="J41" i="36" s="1"/>
  <c r="K38" i="36"/>
  <c r="K49" i="36"/>
  <c r="K40" i="36"/>
  <c r="K41" i="36" s="1"/>
  <c r="E49" i="36"/>
  <c r="E38" i="36"/>
  <c r="E40" i="36"/>
  <c r="E41" i="36" s="1"/>
  <c r="F38" i="36"/>
  <c r="F49" i="36"/>
  <c r="F39" i="36"/>
  <c r="F40" i="36"/>
  <c r="F41" i="36" s="1"/>
  <c r="H38" i="36"/>
  <c r="H49" i="36"/>
  <c r="H40" i="36"/>
  <c r="H41" i="36" s="1"/>
  <c r="G38" i="36"/>
  <c r="G40" i="36"/>
  <c r="G41" i="36" s="1"/>
  <c r="G49" i="36"/>
  <c r="I40" i="36"/>
  <c r="I41" i="36" s="1"/>
  <c r="I49" i="36"/>
  <c r="I38" i="36"/>
  <c r="D38" i="36" l="1"/>
  <c r="D39" i="66" l="1"/>
  <c r="G34" i="66"/>
  <c r="G39" i="66" s="1"/>
  <c r="D45" i="66" s="1"/>
  <c r="H34" i="66"/>
  <c r="H39" i="66" s="1"/>
  <c r="D46" i="66" s="1"/>
  <c r="F34" i="66"/>
  <c r="F39" i="66" s="1"/>
  <c r="D44" i="66" s="1"/>
  <c r="E34" i="66"/>
  <c r="E39" i="66" s="1"/>
  <c r="D43" i="66" s="1"/>
  <c r="F44" i="66" l="1"/>
  <c r="H44" i="66"/>
  <c r="J44" i="66"/>
  <c r="G44" i="66"/>
  <c r="K44" i="66"/>
  <c r="I44" i="66"/>
  <c r="E44" i="66"/>
  <c r="K46" i="66"/>
  <c r="J46" i="66"/>
  <c r="E46" i="66"/>
  <c r="H46" i="66"/>
  <c r="J54" i="66"/>
  <c r="H54" i="66"/>
  <c r="G54" i="66"/>
  <c r="I54" i="66"/>
  <c r="G46" i="66"/>
  <c r="E54" i="66"/>
  <c r="I46" i="66"/>
  <c r="F54" i="66"/>
  <c r="F46" i="66"/>
  <c r="G43" i="66"/>
  <c r="F43" i="66"/>
  <c r="H43" i="66"/>
  <c r="I43" i="66"/>
  <c r="J43" i="66"/>
  <c r="D48" i="66"/>
  <c r="K43" i="66"/>
  <c r="E43" i="66"/>
  <c r="I45" i="66"/>
  <c r="F45" i="66"/>
  <c r="G45" i="66"/>
  <c r="H45" i="66"/>
  <c r="J45" i="66"/>
  <c r="E45" i="66"/>
  <c r="K45" i="66"/>
  <c r="E48" i="66" l="1"/>
  <c r="E53" i="66"/>
  <c r="I48" i="66"/>
  <c r="I53" i="66"/>
  <c r="K48" i="66"/>
  <c r="H48" i="66"/>
  <c r="H53" i="66"/>
  <c r="F53" i="66"/>
  <c r="F48" i="66"/>
  <c r="J48" i="66"/>
  <c r="J53" i="66"/>
  <c r="G48" i="66"/>
  <c r="G53" i="66"/>
  <c r="J14" i="36" l="1"/>
  <c r="J15" i="36" s="1"/>
  <c r="I55" i="66"/>
  <c r="K14" i="36"/>
  <c r="K15" i="36" s="1"/>
  <c r="J55" i="66"/>
  <c r="F55" i="66"/>
  <c r="G14" i="36"/>
  <c r="G15" i="36" s="1"/>
  <c r="H55" i="66"/>
  <c r="I14" i="36"/>
  <c r="I15" i="36" s="1"/>
  <c r="E55" i="66"/>
  <c r="E14" i="36"/>
  <c r="E15" i="36" s="1"/>
  <c r="F14" i="36"/>
  <c r="F15" i="36" s="1"/>
  <c r="G55" i="66"/>
  <c r="H14" i="36"/>
  <c r="H15" i="36" s="1"/>
  <c r="D15" i="36" l="1"/>
  <c r="F17" i="36" s="1"/>
  <c r="J17" i="36" l="1"/>
  <c r="J23" i="36" s="1"/>
  <c r="J24" i="36" s="1"/>
  <c r="H17" i="36"/>
  <c r="H18" i="36" s="1"/>
  <c r="I17" i="36"/>
  <c r="I23" i="36" s="1"/>
  <c r="I24" i="36" s="1"/>
  <c r="F23" i="36"/>
  <c r="F24" i="36" s="1"/>
  <c r="F18" i="36"/>
  <c r="J18" i="36"/>
  <c r="G17" i="36"/>
  <c r="E17" i="36"/>
  <c r="K17" i="36"/>
  <c r="I18" i="36" l="1"/>
  <c r="H23" i="36"/>
  <c r="H24" i="36" s="1"/>
  <c r="H48" i="36" s="1"/>
  <c r="K18" i="36"/>
  <c r="K23" i="36"/>
  <c r="K24" i="36" s="1"/>
  <c r="E23" i="36"/>
  <c r="E18" i="36"/>
  <c r="J48" i="36"/>
  <c r="J27" i="36"/>
  <c r="J28" i="36"/>
  <c r="J29" i="36" s="1"/>
  <c r="I28" i="36"/>
  <c r="I29" i="36" s="1"/>
  <c r="I27" i="36"/>
  <c r="I48" i="36"/>
  <c r="G18" i="36"/>
  <c r="G23" i="36"/>
  <c r="G24" i="36" s="1"/>
  <c r="F28" i="36"/>
  <c r="F29" i="36" s="1"/>
  <c r="F27" i="36"/>
  <c r="F25" i="36"/>
  <c r="F48" i="36"/>
  <c r="H28" i="36" l="1"/>
  <c r="H29" i="36" s="1"/>
  <c r="H27" i="36"/>
  <c r="I50" i="36"/>
  <c r="I52" i="36" s="1"/>
  <c r="F24" i="88" s="1"/>
  <c r="H24" i="88" s="1"/>
  <c r="J50" i="36"/>
  <c r="J52" i="36" s="1"/>
  <c r="F29" i="88" s="1"/>
  <c r="H29" i="88" s="1"/>
  <c r="F50" i="36"/>
  <c r="F52" i="36" s="1"/>
  <c r="F13" i="88" s="1"/>
  <c r="H13" i="88" s="1"/>
  <c r="I13" i="88" s="1"/>
  <c r="D18" i="36"/>
  <c r="H50" i="36"/>
  <c r="H52" i="36" s="1"/>
  <c r="F19" i="88" s="1"/>
  <c r="H19" i="88" s="1"/>
  <c r="G28" i="36"/>
  <c r="G29" i="36" s="1"/>
  <c r="G48" i="36"/>
  <c r="G27" i="36"/>
  <c r="D23" i="36"/>
  <c r="E24" i="36"/>
  <c r="E27" i="36" s="1"/>
  <c r="K48" i="36"/>
  <c r="K28" i="36"/>
  <c r="K29" i="36" s="1"/>
  <c r="K27" i="36"/>
  <c r="I29" i="88" l="1"/>
  <c r="H31" i="88"/>
  <c r="J13" i="88"/>
  <c r="U12" i="86"/>
  <c r="I24" i="88"/>
  <c r="H26" i="88"/>
  <c r="I19" i="88"/>
  <c r="H21" i="88"/>
  <c r="H55" i="36"/>
  <c r="K50" i="36"/>
  <c r="K52" i="36" s="1"/>
  <c r="F34" i="88" s="1"/>
  <c r="H34" i="88" s="1"/>
  <c r="G50" i="36"/>
  <c r="G52" i="36" s="1"/>
  <c r="F16" i="88" s="1"/>
  <c r="H16" i="88" s="1"/>
  <c r="I16" i="88" s="1"/>
  <c r="F53" i="36"/>
  <c r="F55" i="36"/>
  <c r="J55" i="36"/>
  <c r="E28" i="36"/>
  <c r="E29" i="36" s="1"/>
  <c r="D27" i="36"/>
  <c r="E48" i="36"/>
  <c r="I55" i="36"/>
  <c r="I21" i="88" l="1"/>
  <c r="J19" i="88"/>
  <c r="V12" i="86"/>
  <c r="H36" i="88"/>
  <c r="I34" i="88"/>
  <c r="J16" i="88"/>
  <c r="U13" i="86"/>
  <c r="I26" i="88"/>
  <c r="J24" i="88"/>
  <c r="J29" i="88"/>
  <c r="I31" i="88"/>
  <c r="F56" i="36"/>
  <c r="I56" i="36"/>
  <c r="H56" i="36"/>
  <c r="J56" i="36"/>
  <c r="G55" i="36"/>
  <c r="E50" i="36"/>
  <c r="E52" i="36" s="1"/>
  <c r="F10" i="88" s="1"/>
  <c r="K55" i="36"/>
  <c r="J31" i="88" l="1"/>
  <c r="U16" i="86"/>
  <c r="I36" i="88"/>
  <c r="J34" i="88"/>
  <c r="U28" i="86"/>
  <c r="V28" i="86" s="1"/>
  <c r="V13" i="86"/>
  <c r="M32" i="87"/>
  <c r="H10" i="88"/>
  <c r="G32" i="87"/>
  <c r="G34" i="87" s="1"/>
  <c r="U15" i="86"/>
  <c r="J26" i="88"/>
  <c r="J21" i="88"/>
  <c r="U14" i="86"/>
  <c r="K56" i="36"/>
  <c r="G56" i="36"/>
  <c r="E55" i="36"/>
  <c r="U29" i="86" l="1"/>
  <c r="V29" i="86" s="1"/>
  <c r="V14" i="86"/>
  <c r="J36" i="88"/>
  <c r="U17" i="86"/>
  <c r="H34" i="87"/>
  <c r="H35" i="87" s="1"/>
  <c r="H37" i="87" s="1"/>
  <c r="H38" i="87" s="1"/>
  <c r="H39" i="87" s="1"/>
  <c r="G35" i="87"/>
  <c r="U31" i="86"/>
  <c r="V31" i="86" s="1"/>
  <c r="V16" i="86"/>
  <c r="V15" i="86"/>
  <c r="U30" i="86"/>
  <c r="V30" i="86" s="1"/>
  <c r="I10" i="88"/>
  <c r="H38" i="88"/>
  <c r="E56" i="36"/>
  <c r="I38" i="88" l="1"/>
  <c r="J38" i="88" s="1"/>
  <c r="U11" i="86"/>
  <c r="J10" i="88"/>
  <c r="U32" i="86"/>
  <c r="V32" i="86" s="1"/>
  <c r="V17" i="86"/>
  <c r="U24" i="86" l="1"/>
  <c r="V24" i="86" s="1"/>
  <c r="U27" i="86"/>
  <c r="V11" i="86"/>
  <c r="U34" i="86" l="1"/>
  <c r="V34" i="86" s="1"/>
  <c r="V27" i="86"/>
  <c r="M34" i="87" l="1"/>
  <c r="J34" i="87"/>
  <c r="K34" i="87" l="1"/>
  <c r="K35" i="87" s="1"/>
  <c r="K37" i="87" s="1"/>
  <c r="K38" i="87" s="1"/>
  <c r="K39" i="87" s="1"/>
  <c r="J35" i="87"/>
  <c r="N34" i="87"/>
  <c r="N35" i="87" s="1"/>
  <c r="N37" i="87" s="1"/>
  <c r="N38" i="87" s="1"/>
  <c r="N39" i="87" s="1"/>
  <c r="M35" i="87"/>
  <c r="W28" i="86"/>
  <c r="X28" i="86" s="1"/>
  <c r="X13" i="86"/>
  <c r="Y13" i="86"/>
  <c r="W30" i="86"/>
  <c r="X30" i="86" s="1"/>
  <c r="X15" i="86"/>
  <c r="Y15" i="86"/>
  <c r="W29" i="86"/>
  <c r="X29" i="86" s="1"/>
  <c r="X14" i="86"/>
  <c r="Y14" i="86"/>
  <c r="W31" i="86"/>
  <c r="X31" i="86" s="1"/>
  <c r="X16" i="86"/>
  <c r="Y16" i="86"/>
  <c r="W32" i="86"/>
  <c r="X32" i="86" s="1"/>
  <c r="X17" i="86"/>
  <c r="Y17" i="86"/>
  <c r="X12" i="86"/>
  <c r="Y12" i="86"/>
  <c r="Z12" i="86" s="1"/>
  <c r="Y29" i="86" l="1"/>
  <c r="Z29" i="86" s="1"/>
  <c r="Z14" i="86"/>
  <c r="Y28" i="86"/>
  <c r="Z28" i="86" s="1"/>
  <c r="Z13" i="86"/>
  <c r="Y31" i="86"/>
  <c r="Z31" i="86" s="1"/>
  <c r="Z16" i="86"/>
  <c r="Y32" i="86"/>
  <c r="Z32" i="86" s="1"/>
  <c r="Z17" i="86"/>
  <c r="Z15" i="86"/>
  <c r="Y30" i="86"/>
  <c r="Z30" i="86" s="1"/>
  <c r="W27" i="86" l="1"/>
  <c r="W24" i="86"/>
  <c r="X24" i="86" s="1"/>
  <c r="X11" i="86"/>
  <c r="Y11" i="86"/>
  <c r="Z11" i="86" l="1"/>
  <c r="Y24" i="86"/>
  <c r="Z24" i="86" s="1"/>
  <c r="Y27" i="86"/>
  <c r="W34" i="86"/>
  <c r="X34" i="86" s="1"/>
  <c r="X27" i="86"/>
  <c r="Z27" i="86" l="1"/>
  <c r="Y34" i="86"/>
  <c r="Z34" i="86" s="1"/>
</calcChain>
</file>

<file path=xl/comments1.xml><?xml version="1.0" encoding="utf-8"?>
<comments xmlns="http://schemas.openxmlformats.org/spreadsheetml/2006/main">
  <authors>
    <author>Kelly Xu</author>
  </authors>
  <commentList>
    <comment ref="D45" authorId="0" shapeId="0">
      <text>
        <r>
          <rPr>
            <b/>
            <sz val="10"/>
            <color indexed="81"/>
            <rFont val="Tahoma"/>
            <family val="2"/>
          </rPr>
          <t>Katya Replyanskaya:</t>
        </r>
        <r>
          <rPr>
            <sz val="10"/>
            <color indexed="81"/>
            <rFont val="Tahoma"/>
            <family val="2"/>
          </rPr>
          <t xml:space="preserve">
Revenue Adjustment Factor per 2022 GRC compliance filing, updated to new UTC fees.</t>
        </r>
      </text>
    </comment>
  </commentList>
</comments>
</file>

<file path=xl/comments2.xml><?xml version="1.0" encoding="utf-8"?>
<comments xmlns="http://schemas.openxmlformats.org/spreadsheetml/2006/main">
  <authors>
    <author>Amy Burton</author>
    <author>Pham, Linh</author>
    <author>Mueller, Brennan</author>
  </authors>
  <commentList>
    <comment ref="F60" authorId="0" shapeId="0">
      <text>
        <r>
          <rPr>
            <b/>
            <sz val="9"/>
            <color indexed="81"/>
            <rFont val="Tahoma"/>
            <family val="2"/>
          </rPr>
          <t>Amy Burton:</t>
        </r>
        <r>
          <rPr>
            <sz val="9"/>
            <color indexed="81"/>
            <rFont val="Tahoma"/>
            <family val="2"/>
          </rPr>
          <t xml:space="preserve">
Billing determinant quantity.  Capacity demand is 333,480 Dth/day</t>
        </r>
      </text>
    </comment>
    <comment ref="O60" authorId="0" shapeId="0">
      <text>
        <r>
          <rPr>
            <b/>
            <sz val="9"/>
            <color indexed="81"/>
            <rFont val="Tahoma"/>
            <family val="2"/>
          </rPr>
          <t>Amy Burton:</t>
        </r>
        <r>
          <rPr>
            <sz val="9"/>
            <color indexed="81"/>
            <rFont val="Tahoma"/>
            <family val="2"/>
          </rPr>
          <t xml:space="preserve">
Billing determinant quantity.  Capacity demand is 333,480 Dth/day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 xml:space="preserve">
includes fuel for purchases, injections and withdrawals
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>Amy Burton:</t>
        </r>
        <r>
          <rPr>
            <sz val="9"/>
            <color indexed="81"/>
            <rFont val="Tahoma"/>
            <family val="2"/>
          </rPr>
          <t xml:space="preserve">
includes fuel for purchases, injections and withdrawals
</t>
        </r>
      </text>
    </comment>
    <comment ref="C93" authorId="1" shapeId="0">
      <text>
        <r>
          <rPr>
            <sz val="9"/>
            <color indexed="81"/>
            <rFont val="Tahoma"/>
            <family val="2"/>
          </rPr>
          <t xml:space="preserve">
net of VRNG</t>
        </r>
      </text>
    </comment>
    <comment ref="C103" authorId="1" shapeId="0">
      <text>
        <r>
          <rPr>
            <sz val="9"/>
            <color indexed="81"/>
            <rFont val="Tahoma"/>
            <family val="2"/>
          </rPr>
          <t xml:space="preserve">
load before 1.12% distribution system losses</t>
        </r>
      </text>
    </comment>
    <comment ref="L103" authorId="0" shapeId="0">
      <text>
        <r>
          <rPr>
            <b/>
            <sz val="9"/>
            <color indexed="81"/>
            <rFont val="Tahoma"/>
            <family val="2"/>
          </rPr>
          <t>Amy Burton:</t>
        </r>
        <r>
          <rPr>
            <sz val="9"/>
            <color indexed="81"/>
            <rFont val="Tahoma"/>
            <family val="2"/>
          </rPr>
          <t xml:space="preserve">
load before .95% distribution system losses</t>
        </r>
      </text>
    </comment>
    <comment ref="C104" authorId="2" shapeId="0">
      <text>
        <r>
          <rPr>
            <sz val="9"/>
            <color indexed="81"/>
            <rFont val="Tahoma"/>
            <family val="2"/>
          </rPr>
          <t xml:space="preserve">Losses on Northwest Pipeline between Sumas/Rockies and PSE system
</t>
        </r>
      </text>
    </comment>
  </commentList>
</comments>
</file>

<file path=xl/sharedStrings.xml><?xml version="1.0" encoding="utf-8"?>
<sst xmlns="http://schemas.openxmlformats.org/spreadsheetml/2006/main" count="749" uniqueCount="348">
  <si>
    <t>Rate</t>
  </si>
  <si>
    <t>Sales</t>
  </si>
  <si>
    <t>Commodity</t>
  </si>
  <si>
    <t>Demand</t>
  </si>
  <si>
    <t>Dth/day</t>
  </si>
  <si>
    <t>(a)</t>
  </si>
  <si>
    <t>(b)</t>
  </si>
  <si>
    <t>(d)</t>
  </si>
  <si>
    <t>Demand-1</t>
  </si>
  <si>
    <t>Storage Withdrawals</t>
  </si>
  <si>
    <t>Storage Injections</t>
  </si>
  <si>
    <t>Total</t>
  </si>
  <si>
    <t>Schedule</t>
  </si>
  <si>
    <t>Puget Sound Energy</t>
  </si>
  <si>
    <t>Calculation of PGA Demand Rates</t>
  </si>
  <si>
    <t>Line</t>
  </si>
  <si>
    <t>Residential</t>
  </si>
  <si>
    <t>Commercial and Industrial</t>
  </si>
  <si>
    <t>Large Volume</t>
  </si>
  <si>
    <t>(g)</t>
  </si>
  <si>
    <t>Calculation of PGA Commodity Rates</t>
  </si>
  <si>
    <t>Rates</t>
  </si>
  <si>
    <t>Change</t>
  </si>
  <si>
    <t>(f)</t>
  </si>
  <si>
    <t>Commercial &amp; Industrial</t>
  </si>
  <si>
    <t>Percent Change</t>
  </si>
  <si>
    <t>Description</t>
  </si>
  <si>
    <t>Revenue</t>
  </si>
  <si>
    <t>Current Commodity Rate (Sched. 101)</t>
  </si>
  <si>
    <t>Total Proposed PGA Rates</t>
  </si>
  <si>
    <t>Current</t>
  </si>
  <si>
    <t>Proposed</t>
  </si>
  <si>
    <t>Percent</t>
  </si>
  <si>
    <t>Volume (therms)</t>
  </si>
  <si>
    <t>Projected Sales Volume by Month (Therms)</t>
  </si>
  <si>
    <t>Proposed Total Volumetric Rates</t>
  </si>
  <si>
    <t>Current Volumetric Demand Rates (Sched. 101)</t>
  </si>
  <si>
    <t>Current Gas Supply Demand Rates (Sched. 101)</t>
  </si>
  <si>
    <t>Current Volumetric Rates Including RAF (Schedule 101)</t>
  </si>
  <si>
    <t>Revenue Adjustment Factor (RAF)</t>
  </si>
  <si>
    <t>Total volumetric charges</t>
  </si>
  <si>
    <t>Total monthly bill</t>
  </si>
  <si>
    <t>Change from bill under current rates</t>
  </si>
  <si>
    <t>Percent change from bill under current rates</t>
  </si>
  <si>
    <t>Customer charge ($/month)</t>
  </si>
  <si>
    <t>Volumetric charges ($/therm)</t>
  </si>
  <si>
    <t>Deliverability Demand</t>
  </si>
  <si>
    <t>Projected Annual Commodity Cost (Revenue Requirement)</t>
  </si>
  <si>
    <t>Volume</t>
  </si>
  <si>
    <t>Rate Class</t>
  </si>
  <si>
    <t>A</t>
  </si>
  <si>
    <t>B</t>
  </si>
  <si>
    <t>C</t>
  </si>
  <si>
    <t>H</t>
  </si>
  <si>
    <t>Rate Schedule</t>
  </si>
  <si>
    <t>Billing Determinants</t>
  </si>
  <si>
    <t>Interruptible</t>
  </si>
  <si>
    <t>Charges</t>
  </si>
  <si>
    <t>Subtotal</t>
  </si>
  <si>
    <t>Total volumetric rates less gas costs</t>
  </si>
  <si>
    <t>Current Rates</t>
  </si>
  <si>
    <t>Forecasted Sales Volumes and Customer Counts</t>
  </si>
  <si>
    <t>41T</t>
  </si>
  <si>
    <t>85T</t>
  </si>
  <si>
    <t>Limited Interruptible</t>
  </si>
  <si>
    <t>86T</t>
  </si>
  <si>
    <t>87T</t>
  </si>
  <si>
    <t>NWP Delivery Upgrade Contracts</t>
  </si>
  <si>
    <t>Westcoast (from Station2)</t>
  </si>
  <si>
    <t xml:space="preserve">Demand </t>
  </si>
  <si>
    <t xml:space="preserve">QPC Clay Basin </t>
  </si>
  <si>
    <t>Commodity Injection</t>
  </si>
  <si>
    <t>JP Owned-Release to Power Book</t>
  </si>
  <si>
    <t>Forecasted</t>
  </si>
  <si>
    <t>Volume (Therms)</t>
  </si>
  <si>
    <t>Puget Sound Energy - Gas</t>
  </si>
  <si>
    <t>Line No.</t>
  </si>
  <si>
    <t>Unit Demand Costs from Cost Study (1)</t>
  </si>
  <si>
    <t>Percent of Total Demand Cost</t>
  </si>
  <si>
    <t>Proposed Gas Supply Demand Rates (Sched. 101)</t>
  </si>
  <si>
    <t>Projected Annual Demand Cost (Revenue Requirement) (2)</t>
  </si>
  <si>
    <t>(2) Allocated based on line 6</t>
  </si>
  <si>
    <t>Estimated PGA Revenue Under Cost of Service Rates (line 4 x line 5)</t>
  </si>
  <si>
    <t>Revenue Under Proposed Gas Supply Demand Rates (line 3 x line 9)</t>
  </si>
  <si>
    <t>Revenue Requirement for Volumetric Charge (line 7 - line 10)</t>
  </si>
  <si>
    <t>Proposed Volumetric Demand Rates (line 11 / line 4)</t>
  </si>
  <si>
    <t>Proposed Schedule 16 Rate per Mantle (line 12 x 19)</t>
  </si>
  <si>
    <t>Proposed Total Demand Revenue ((line 2 x line 12) + (line 3 x line 9))</t>
  </si>
  <si>
    <t>Total Forecasted</t>
  </si>
  <si>
    <t>$/Therm</t>
  </si>
  <si>
    <t>D</t>
  </si>
  <si>
    <t xml:space="preserve">F </t>
  </si>
  <si>
    <t>I</t>
  </si>
  <si>
    <t>J</t>
  </si>
  <si>
    <t>K</t>
  </si>
  <si>
    <t>L</t>
  </si>
  <si>
    <t>M</t>
  </si>
  <si>
    <t>N</t>
  </si>
  <si>
    <t>O</t>
  </si>
  <si>
    <t>P</t>
  </si>
  <si>
    <t>Q</t>
  </si>
  <si>
    <t>23,53</t>
  </si>
  <si>
    <t>Residential Gas Lights</t>
  </si>
  <si>
    <t>Non-exclusive Interruptible</t>
  </si>
  <si>
    <t>Commercial &amp; Industrial Transportation</t>
  </si>
  <si>
    <t>31T</t>
  </si>
  <si>
    <t>Large Volume Transportation</t>
  </si>
  <si>
    <t>Interruptible Transportation</t>
  </si>
  <si>
    <t>Limited Interruptible Transportation</t>
  </si>
  <si>
    <t>Non-exclusive Interruptible Transportation</t>
  </si>
  <si>
    <t>Contracts</t>
  </si>
  <si>
    <t>Percent Change in Volumetric Demand Rate</t>
  </si>
  <si>
    <t>Proposed Change in Volumetric Demand Rate (line 12 - line 2)</t>
  </si>
  <si>
    <t>Revenue Under Current Rates (line 17 x line 18)</t>
  </si>
  <si>
    <t>Proposed Commodity Rates (line 20 / line 18)</t>
  </si>
  <si>
    <t>Revenue Under Proposed Rates (line 21 x line 18)</t>
  </si>
  <si>
    <t>Schedule 16 Rate per Mantle (line 21 x 19)</t>
  </si>
  <si>
    <t>Proposed Change in Commodity Rate (line 21 - line 17)</t>
  </si>
  <si>
    <t>Proposed Gas Supply Demand Charge (line 9)</t>
  </si>
  <si>
    <t>Proposed Gas Supply Demand Charge Including RAF (line 26 x (1 + line 27))</t>
  </si>
  <si>
    <t>Proposed Volumetric Demand Rates (line 14)</t>
  </si>
  <si>
    <t>Proposed Commodity Rates (line 21)</t>
  </si>
  <si>
    <t>Proposed Total Volumetric Rates Including RAF (line 31 x (1 + line 27))</t>
  </si>
  <si>
    <t>Schedule 16 Rate per Mantle (line 32 x 19)</t>
  </si>
  <si>
    <t>Proposed Volumetric Change Including RAF (line 32 - line 34)</t>
  </si>
  <si>
    <t>Hedging</t>
  </si>
  <si>
    <t>Shaded Information is Designated as CONFIDENTIAL per WAC 480-07-160</t>
  </si>
  <si>
    <t>Rate Change Impacts by Rate Schedule</t>
  </si>
  <si>
    <t>E=D/C</t>
  </si>
  <si>
    <t xml:space="preserve">G=E*F </t>
  </si>
  <si>
    <t>T</t>
  </si>
  <si>
    <t>E</t>
  </si>
  <si>
    <t>F</t>
  </si>
  <si>
    <t>G</t>
  </si>
  <si>
    <t>Units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</si>
  <si>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</si>
  <si>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</si>
  <si>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</si>
  <si>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</si>
  <si>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</si>
  <si>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</si>
  <si>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</si>
  <si>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</si>
  <si>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</si>
  <si>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</si>
  <si>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</si>
  <si>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</si>
  <si>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</si>
  <si>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</si>
  <si>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</si>
  <si>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</si>
  <si>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</si>
  <si>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</si>
  <si>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</si>
  <si>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</si>
  <si>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</si>
  <si>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</si>
  <si>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</si>
  <si>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</si>
  <si>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Delivered Product Peaking Contract</t>
  </si>
  <si>
    <t>PC</t>
  </si>
  <si>
    <t>Clay Basin Storage</t>
  </si>
  <si>
    <t>CB</t>
  </si>
  <si>
    <t>Illustrative Costs</t>
  </si>
  <si>
    <t>Clay Basin Storage + Credit for release of JP</t>
  </si>
  <si>
    <t>Illustrative Demand Component</t>
  </si>
  <si>
    <t>PGA Demand Component</t>
  </si>
  <si>
    <t>PGA System Balancing Component</t>
  </si>
  <si>
    <t>DEMAND COST</t>
  </si>
  <si>
    <t>Firm Transportation</t>
  </si>
  <si>
    <t>Northwest Pipeline</t>
  </si>
  <si>
    <t>NWP TF-1</t>
  </si>
  <si>
    <t>City of Enumclaw</t>
  </si>
  <si>
    <t>TC Energy</t>
  </si>
  <si>
    <t>NGTL, Foothills, GTN</t>
  </si>
  <si>
    <t>Westcoast Energy</t>
  </si>
  <si>
    <t>Firm Storage Service</t>
  </si>
  <si>
    <t>JP SGS-2F</t>
  </si>
  <si>
    <t>Capacity Demand</t>
  </si>
  <si>
    <t>Dominion Energy Questar Pipeline</t>
  </si>
  <si>
    <t>Firm Lateral Transportation</t>
  </si>
  <si>
    <t>Firm Storage Redelivery Transportation</t>
  </si>
  <si>
    <t>NWP TF-1 Winter Only JP</t>
  </si>
  <si>
    <t>NWP TF-2 (JP)</t>
  </si>
  <si>
    <t>COMMODITY COST</t>
  </si>
  <si>
    <t>Purchased Gas</t>
  </si>
  <si>
    <t>Variable Storage</t>
  </si>
  <si>
    <t>Clay Basin FSS Injection</t>
  </si>
  <si>
    <t>Clay Basin FSS Withdrawal</t>
  </si>
  <si>
    <t>Commodity Withdrawal</t>
  </si>
  <si>
    <t>Variable Pipeline</t>
  </si>
  <si>
    <t>Delivery</t>
  </si>
  <si>
    <t>Redelivery</t>
  </si>
  <si>
    <t>Storage Activity</t>
  </si>
  <si>
    <t>RNG</t>
  </si>
  <si>
    <t>RNG Market Premium</t>
  </si>
  <si>
    <t>Hedging Program (+Loss/-Gain)</t>
  </si>
  <si>
    <t>Sched 101</t>
  </si>
  <si>
    <t>Proposed Rates</t>
  </si>
  <si>
    <t>Schedule 23 Residential</t>
  </si>
  <si>
    <t>Delivery Charge</t>
  </si>
  <si>
    <t>Therms</t>
  </si>
  <si>
    <t>Schedule 16 Gas Lights</t>
  </si>
  <si>
    <t>Schedule 31 Commercial &amp; Industrial - Sales</t>
  </si>
  <si>
    <t>Schedule 41 Large Volume High Load Factor - Sales</t>
  </si>
  <si>
    <t>Delivery Charge:</t>
  </si>
  <si>
    <t>Demand Charge</t>
  </si>
  <si>
    <t>Schedule 85 Interruptible - Sales</t>
  </si>
  <si>
    <t>Schedule 86 Limited Interruptible - Sales</t>
  </si>
  <si>
    <t>Schedule 87 Non-exclusive Interruptible - Sales</t>
  </si>
  <si>
    <t>Note: Updated to new UTC Fees</t>
  </si>
  <si>
    <t xml:space="preserve">CONVERSION FACTOR INCL FEDERAL INCOME TAX ( LINE 5 + LINE 8 ) </t>
  </si>
  <si>
    <t>FEDERAL INCOME TAX ( LINE 7 * 21%)</t>
  </si>
  <si>
    <t>CONVERSION FACTOR EXCLUDING FEDERAL INCOME TAX ( 1 - LINE 5)</t>
  </si>
  <si>
    <t>SUM OF TAXES OTHER</t>
  </si>
  <si>
    <t>ANNUAL FILING FEE</t>
  </si>
  <si>
    <t>BAD DEBTS</t>
  </si>
  <si>
    <t>RATE</t>
  </si>
  <si>
    <t>DESCRIPTION</t>
  </si>
  <si>
    <t>NO.</t>
  </si>
  <si>
    <t>LINE</t>
  </si>
  <si>
    <t>2022 GENERAL RATE CASE</t>
  </si>
  <si>
    <t>FOR THE TWELVE MONTHS ENDED June 30, 2021</t>
  </si>
  <si>
    <t>CONVERSION FACTOR - GAS</t>
  </si>
  <si>
    <t>PUGET SOUND ENERGY-GAS</t>
  </si>
  <si>
    <t>Projected Demand Volume by Month (Therms)</t>
  </si>
  <si>
    <r>
      <t xml:space="preserve">Projected Volume </t>
    </r>
    <r>
      <rPr>
        <sz val="8"/>
        <color rgb="FF0000FF"/>
        <rFont val="Arial"/>
        <family val="2"/>
      </rPr>
      <t>Nov. 23 - Oct. 24</t>
    </r>
    <r>
      <rPr>
        <sz val="8"/>
        <rFont val="Arial"/>
        <family val="2"/>
      </rPr>
      <t xml:space="preserve"> (therms)</t>
    </r>
  </si>
  <si>
    <t>Gas Resource Demand Cost Allocation</t>
  </si>
  <si>
    <t>Shaded information is designated as confidential per WAC 480-07-160.</t>
  </si>
  <si>
    <t>PUGET SOUND ENERGY</t>
  </si>
  <si>
    <t>PGA cost proposed to be effective 11.01.2022</t>
  </si>
  <si>
    <t>Change from previous PGA</t>
  </si>
  <si>
    <t>Category</t>
  </si>
  <si>
    <t>Group</t>
  </si>
  <si>
    <t>Rate per Dth</t>
  </si>
  <si>
    <t>Demand Cost</t>
  </si>
  <si>
    <t>Commodity Cost</t>
  </si>
  <si>
    <t xml:space="preserve">Commodity </t>
  </si>
  <si>
    <t xml:space="preserve">Total </t>
  </si>
  <si>
    <t xml:space="preserve">% change </t>
  </si>
  <si>
    <t xml:space="preserve">(c) </t>
  </si>
  <si>
    <t xml:space="preserve">(e) </t>
  </si>
  <si>
    <t xml:space="preserve">(d) </t>
  </si>
  <si>
    <t>Pipeline Capacity Release</t>
  </si>
  <si>
    <t>Dth</t>
  </si>
  <si>
    <t>Plymouth LNG</t>
  </si>
  <si>
    <t>n/a</t>
  </si>
  <si>
    <t>PSEG Intra-Company Release</t>
  </si>
  <si>
    <t xml:space="preserve">PLNG </t>
  </si>
  <si>
    <t>Total Demand Cost</t>
  </si>
  <si>
    <t>Total Commodity Cost</t>
  </si>
  <si>
    <t>Total Gas Cost</t>
  </si>
  <si>
    <t>Total Commodity (Therms)</t>
  </si>
  <si>
    <t>therms</t>
  </si>
  <si>
    <t xml:space="preserve">Upstream Transporation Losses </t>
  </si>
  <si>
    <t xml:space="preserve">Upstream Transportation Losses </t>
  </si>
  <si>
    <t>WACOG per Therm</t>
  </si>
  <si>
    <t>Typical Residential Bill Impacts</t>
  </si>
  <si>
    <t>Gas Schedule 101</t>
  </si>
  <si>
    <t>Purchased Gas Adjustment</t>
  </si>
  <si>
    <t>Schedule 101 PGA</t>
  </si>
  <si>
    <t>Schedule 106 PGA Amort.</t>
  </si>
  <si>
    <t>Rate Change</t>
  </si>
  <si>
    <t>Total Rate Change</t>
  </si>
  <si>
    <t>Basic charge (Sch. 23)</t>
  </si>
  <si>
    <t>Cap &amp; Invest Non-Vol Credit (Sch. 111)</t>
  </si>
  <si>
    <t>Delivery charge (Sch. 23)</t>
  </si>
  <si>
    <t>Cap &amp; Invest charge (Sch. 111)</t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</si>
  <si>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</si>
  <si>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</si>
  <si>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</si>
  <si>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</si>
  <si>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</si>
  <si>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</si>
  <si>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</si>
  <si>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</si>
  <si>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</si>
  <si>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</si>
  <si>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</si>
  <si>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2023 Gas Schedule 101 and 106 Purchased Gas Adjustment Filing</t>
  </si>
  <si>
    <t>UG-220067</t>
  </si>
  <si>
    <t>Base Sch.</t>
  </si>
  <si>
    <t>12ME Oct. 2024</t>
  </si>
  <si>
    <t>Sch. 101</t>
  </si>
  <si>
    <t>Sch. 106</t>
  </si>
  <si>
    <t>Base Schedule</t>
  </si>
  <si>
    <t>Nov 2023 -</t>
  </si>
  <si>
    <t>Sch. 111</t>
  </si>
  <si>
    <t>Sch. 120</t>
  </si>
  <si>
    <t>Sch. 129</t>
  </si>
  <si>
    <t>Sch. 140</t>
  </si>
  <si>
    <t>Sch. 141D</t>
  </si>
  <si>
    <t>Sch. 141N</t>
  </si>
  <si>
    <t>Sch. 141R</t>
  </si>
  <si>
    <t>Sch. 141Z</t>
  </si>
  <si>
    <t>Sch. 142</t>
  </si>
  <si>
    <t>PGA</t>
  </si>
  <si>
    <t>PGA Amort.</t>
  </si>
  <si>
    <t>Oct. 2024</t>
  </si>
  <si>
    <t>Revenue Change</t>
  </si>
  <si>
    <t>% Change</t>
  </si>
  <si>
    <t>R</t>
  </si>
  <si>
    <t>S = sum(G:R)</t>
  </si>
  <si>
    <t>U= T/S</t>
  </si>
  <si>
    <t>V</t>
  </si>
  <si>
    <t>W= V/S</t>
  </si>
  <si>
    <t>X</t>
  </si>
  <si>
    <t>Y= X/S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</si>
  <si>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</si>
  <si>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</si>
  <si>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</si>
  <si>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</si>
  <si>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</si>
  <si>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</si>
  <si>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</si>
  <si>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</si>
  <si>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</si>
  <si>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</si>
  <si>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</si>
  <si>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t xml:space="preserve">Projected Contract Demand </t>
    </r>
    <r>
      <rPr>
        <sz val="8"/>
        <color rgb="FF0000FF"/>
        <rFont val="Arial"/>
        <family val="2"/>
      </rPr>
      <t>Nov.23-Oct 24</t>
    </r>
    <r>
      <rPr>
        <sz val="8"/>
        <rFont val="Arial"/>
        <family val="2"/>
      </rPr>
      <t xml:space="preserve"> (therms)</t>
    </r>
  </si>
  <si>
    <t>Proposed Rates Effective November 1, 2023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</si>
  <si>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</si>
  <si>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</si>
  <si>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</si>
  <si>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</si>
  <si>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October 1, 2023</t>
    </r>
  </si>
  <si>
    <t>2022 Gas General Rate Case (Docket UG-220067)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</si>
  <si>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0"/>
        <rFont val="Arial"/>
        <family val="2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</si>
  <si>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0"/>
        <rFont val="Arial"/>
        <family val="2"/>
      </rPr>
      <t>Forecasted revenues at current rates effective October 1, 2023.</t>
    </r>
  </si>
  <si>
    <t>Calculation of Schedule 101 Rates</t>
  </si>
  <si>
    <t>2023 Gas Schedule 101 Purchased Gas Adjustment (PGA) Filing</t>
  </si>
  <si>
    <t>(1) 2022 Gas General Rate Case (Docket UG-220067) Compliance Filing, Gas Resource Allocation Cost of Service model.</t>
  </si>
  <si>
    <t>Source: F2023 Forecast (5-26-23)</t>
  </si>
  <si>
    <t>Source: 2022 Gas General Rate Case (Docket UG-220067) Compliance Filing, Gas Resource Allocation Cost of Service model.</t>
  </si>
  <si>
    <t>Test Year Ended June 30, 2021</t>
  </si>
  <si>
    <t>2023-2022</t>
  </si>
  <si>
    <t>Over/(Under) 5% RNG Limit</t>
  </si>
  <si>
    <t>5% RNG Limit  (Rev. Req. x 5%)</t>
  </si>
  <si>
    <t>Total GRC &amp; PGA Revenue Requirement</t>
  </si>
  <si>
    <t>RNG 5% Limit Calculation</t>
  </si>
  <si>
    <t>2023 Gas Purchased Gas Adjustment (PGA) Filing</t>
  </si>
  <si>
    <t>RNG % of Revenue Requirement</t>
  </si>
  <si>
    <t>2022 GRC (UG-220067) Revenue Requirement (CY2023)</t>
  </si>
  <si>
    <t>2022 GRC (UG-220067) PGA Sch. 101 Revenue Requirement</t>
  </si>
  <si>
    <t>2022 GRC (UG-220067)PGA Sch. 106 Revenue Requirement</t>
  </si>
  <si>
    <t>Incremental RNG Cost in 2023 PGA Filing</t>
  </si>
  <si>
    <t>REDACTED VERSION</t>
  </si>
  <si>
    <t>PGA cost proposed to be effective 11.01.2023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</si>
</sst>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$&quot;#,##0.000"/>
    <numFmt numFmtId="166" formatCode="_(&quot;$&quot;* #,##0_);_(&quot;$&quot;* \(#,##0\);_(&quot;$&quot;* &quot;-&quot;??_);_(@_)"/>
    <numFmt numFmtId="167" formatCode="0.0000%"/>
    <numFmt numFmtId="168" formatCode="_(* #,##0_);_(* \(#,##0\);_(* &quot;-&quot;??_);_(@_)"/>
    <numFmt numFmtId="169" formatCode="0.000%"/>
    <numFmt numFmtId="170" formatCode="_(&quot;$&quot;* #,##0.00000_);_(&quot;$&quot;* \(#,##0.00000\);_(&quot;$&quot;* &quot;-&quot;??_);_(@_)"/>
    <numFmt numFmtId="171" formatCode="0.0%"/>
    <numFmt numFmtId="172" formatCode="&quot;$&quot;#,##0.00000_);\(&quot;$&quot;#,##0.00000\)"/>
    <numFmt numFmtId="173" formatCode="#,##0.00000_);\(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_(* #,##0.0000_);_(* \(#,##0.0000\);_(* &quot;-&quot;??_);_(@_)"/>
    <numFmt numFmtId="178" formatCode="mmm\-yyyy"/>
    <numFmt numFmtId="179" formatCode="_(* #,##0.000000_);_(* \(#,##0.000000\);_(* &quot;-&quot;??_);_(@_)"/>
    <numFmt numFmtId="180" formatCode="0.00000000"/>
    <numFmt numFmtId="181" formatCode="0.000000"/>
    <numFmt numFmtId="182" formatCode="#,##0.00000"/>
    <numFmt numFmtId="183" formatCode="&quot;$&quot;#,##0.00"/>
    <numFmt numFmtId="184" formatCode="&quot;$&quot;#,##0.000_);\(&quot;$&quot;#,##0.000\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8"/>
      <color rgb="FF008080"/>
      <name val="Arial"/>
      <family val="2"/>
    </font>
    <font>
      <b/>
      <sz val="8"/>
      <color rgb="FF009999"/>
      <name val="Arial"/>
      <family val="2"/>
    </font>
    <font>
      <sz val="8"/>
      <color rgb="FF009999"/>
      <name val="Arial"/>
      <family val="2"/>
    </font>
    <font>
      <sz val="8"/>
      <color indexed="21"/>
      <name val="Arial"/>
      <family val="2"/>
    </font>
    <font>
      <sz val="8"/>
      <color rgb="FF0000FF"/>
      <name val="Arial"/>
      <family val="2"/>
    </font>
    <font>
      <sz val="8"/>
      <color indexed="57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5" tint="-0.249977111117893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i/>
      <sz val="8"/>
      <name val="Arial"/>
      <family val="2"/>
    </font>
    <font>
      <sz val="8"/>
      <color rgb="FF454545"/>
      <name val="Courier New"/>
      <family val="3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rgb="FFFFFF66"/>
      </right>
      <top style="thin">
        <color rgb="FFFFFF66"/>
      </top>
      <bottom style="thin">
        <color rgb="FFFFFF66"/>
      </bottom>
      <diagonal/>
    </border>
    <border>
      <left/>
      <right/>
      <top style="thin">
        <color rgb="FFFFFF66"/>
      </top>
      <bottom style="thin">
        <color rgb="FFFFFF66"/>
      </bottom>
      <diagonal/>
    </border>
    <border>
      <left style="thin">
        <color rgb="FFFFFF66"/>
      </left>
      <right/>
      <top style="thin">
        <color rgb="FFFFFF66"/>
      </top>
      <bottom style="thin">
        <color rgb="FFFFFF66"/>
      </bottom>
      <diagonal/>
    </border>
    <border>
      <left style="thin">
        <color rgb="FFFFFF66"/>
      </left>
      <right style="thin">
        <color rgb="FFFFFF66"/>
      </right>
      <top/>
      <bottom style="thin">
        <color rgb="FFFFFF66"/>
      </bottom>
      <diagonal/>
    </border>
    <border>
      <left style="thin">
        <color rgb="FFFFFF66"/>
      </left>
      <right style="thin">
        <color rgb="FFFFFF66"/>
      </right>
      <top style="thin">
        <color rgb="FFFFFF66"/>
      </top>
      <bottom/>
      <diagonal/>
    </border>
    <border>
      <left/>
      <right style="thin">
        <color rgb="FFFFFF66"/>
      </right>
      <top/>
      <bottom/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 style="thin">
        <color indexed="64"/>
      </right>
      <top/>
      <bottom style="thin">
        <color rgb="FFFFFF66"/>
      </bottom>
      <diagonal/>
    </border>
    <border>
      <left/>
      <right style="thin">
        <color indexed="64"/>
      </right>
      <top style="thin">
        <color rgb="FFFFFF00"/>
      </top>
      <bottom/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 style="thin">
        <color indexed="64"/>
      </right>
      <top/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FFFF66"/>
      </right>
      <top/>
      <bottom style="thin">
        <color rgb="FFFFFF66"/>
      </bottom>
      <diagonal/>
    </border>
    <border>
      <left/>
      <right style="thin">
        <color rgb="FFFFFF66"/>
      </right>
      <top style="thin">
        <color rgb="FFFFFF00"/>
      </top>
      <bottom/>
      <diagonal/>
    </border>
    <border>
      <left/>
      <right style="thin">
        <color rgb="FFFFFF66"/>
      </right>
      <top style="thin">
        <color rgb="FFFFFF66"/>
      </top>
      <bottom/>
      <diagonal/>
    </border>
    <border>
      <left style="thin">
        <color rgb="FFFFFF66"/>
      </left>
      <right style="thin">
        <color rgb="FFFFFF66"/>
      </right>
      <top style="thin">
        <color rgb="FFFFFF66"/>
      </top>
      <bottom style="thin">
        <color rgb="FFFFFF66"/>
      </bottom>
      <diagonal/>
    </border>
    <border>
      <left/>
      <right style="thin">
        <color rgb="FFFFFF66"/>
      </right>
      <top/>
      <bottom style="thin">
        <color rgb="FFFFFF00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</borders>
  <cellStyleXfs count="27">
    <xf numFmtId="0" fontId="0" fillId="0" borderId="0"/>
    <xf numFmtId="44" fontId="17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3" borderId="2" applyNumberFormat="0">
      <alignment horizontal="center" vertical="center" wrapText="1"/>
    </xf>
    <xf numFmtId="0" fontId="11" fillId="0" borderId="0"/>
    <xf numFmtId="0" fontId="10" fillId="0" borderId="0"/>
    <xf numFmtId="0" fontId="11" fillId="0" borderId="0"/>
    <xf numFmtId="44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0" fontId="8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9" fontId="52" fillId="0" borderId="0" applyFont="0" applyFill="0" applyBorder="0" applyAlignment="0" applyProtection="0"/>
    <xf numFmtId="0" fontId="2" fillId="0" borderId="0"/>
  </cellStyleXfs>
  <cellXfs count="529">
    <xf numFmtId="0" fontId="0" fillId="0" borderId="0" xfId="0"/>
    <xf numFmtId="0" fontId="20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44" fontId="25" fillId="0" borderId="0" xfId="0" applyNumberFormat="1" applyFont="1" applyFill="1"/>
    <xf numFmtId="171" fontId="13" fillId="0" borderId="0" xfId="0" applyNumberFormat="1" applyFont="1" applyFill="1"/>
    <xf numFmtId="174" fontId="13" fillId="0" borderId="0" xfId="0" applyNumberFormat="1" applyFont="1" applyFill="1" applyBorder="1"/>
    <xf numFmtId="42" fontId="13" fillId="0" borderId="0" xfId="0" applyNumberFormat="1" applyFont="1" applyFill="1"/>
    <xf numFmtId="0" fontId="2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Continuous"/>
    </xf>
    <xf numFmtId="5" fontId="13" fillId="0" borderId="0" xfId="0" applyNumberFormat="1" applyFont="1" applyFill="1"/>
    <xf numFmtId="0" fontId="13" fillId="0" borderId="0" xfId="0" applyFont="1" applyFill="1" applyBorder="1"/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/>
    </xf>
    <xf numFmtId="174" fontId="13" fillId="0" borderId="3" xfId="0" applyNumberFormat="1" applyFont="1" applyFill="1" applyBorder="1"/>
    <xf numFmtId="0" fontId="20" fillId="0" borderId="0" xfId="0" applyFont="1" applyFill="1" applyAlignment="1"/>
    <xf numFmtId="0" fontId="20" fillId="0" borderId="0" xfId="0" applyFont="1" applyFill="1"/>
    <xf numFmtId="168" fontId="13" fillId="0" borderId="0" xfId="0" applyNumberFormat="1" applyFont="1" applyFill="1" applyBorder="1"/>
    <xf numFmtId="37" fontId="13" fillId="0" borderId="0" xfId="0" applyNumberFormat="1" applyFont="1" applyFill="1"/>
    <xf numFmtId="37" fontId="13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13" fillId="0" borderId="0" xfId="0" applyNumberFormat="1" applyFont="1" applyFill="1" applyAlignment="1"/>
    <xf numFmtId="0" fontId="20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/>
    <xf numFmtId="41" fontId="20" fillId="0" borderId="2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176" fontId="13" fillId="0" borderId="0" xfId="0" applyNumberFormat="1" applyFont="1" applyFill="1"/>
    <xf numFmtId="9" fontId="13" fillId="0" borderId="0" xfId="0" applyNumberFormat="1" applyFont="1" applyFill="1"/>
    <xf numFmtId="0" fontId="28" fillId="0" borderId="0" xfId="0" applyFont="1" applyFill="1"/>
    <xf numFmtId="37" fontId="31" fillId="0" borderId="8" xfId="0" applyNumberFormat="1" applyFont="1" applyFill="1" applyBorder="1" applyAlignment="1" applyProtection="1">
      <alignment horizontal="center" vertical="center" wrapText="1"/>
    </xf>
    <xf numFmtId="37" fontId="31" fillId="0" borderId="1" xfId="0" applyNumberFormat="1" applyFont="1" applyFill="1" applyBorder="1" applyAlignment="1" applyProtection="1">
      <alignment horizontal="center" vertical="center" wrapText="1"/>
    </xf>
    <xf numFmtId="37" fontId="31" fillId="0" borderId="6" xfId="0" applyNumberFormat="1" applyFont="1" applyFill="1" applyBorder="1" applyAlignment="1" applyProtection="1">
      <alignment horizontal="center" vertical="center" wrapText="1"/>
    </xf>
    <xf numFmtId="168" fontId="27" fillId="0" borderId="7" xfId="0" applyNumberFormat="1" applyFont="1" applyFill="1" applyBorder="1"/>
    <xf numFmtId="10" fontId="29" fillId="0" borderId="14" xfId="0" applyNumberFormat="1" applyFont="1" applyFill="1" applyBorder="1"/>
    <xf numFmtId="10" fontId="29" fillId="0" borderId="0" xfId="0" applyNumberFormat="1" applyFont="1" applyFill="1" applyBorder="1"/>
    <xf numFmtId="10" fontId="29" fillId="0" borderId="7" xfId="0" applyNumberFormat="1" applyFont="1" applyFill="1" applyBorder="1"/>
    <xf numFmtId="168" fontId="29" fillId="0" borderId="14" xfId="0" applyNumberFormat="1" applyFont="1" applyFill="1" applyBorder="1"/>
    <xf numFmtId="168" fontId="29" fillId="0" borderId="0" xfId="0" applyNumberFormat="1" applyFont="1" applyFill="1" applyBorder="1"/>
    <xf numFmtId="168" fontId="29" fillId="0" borderId="7" xfId="0" applyNumberFormat="1" applyFont="1" applyFill="1" applyBorder="1"/>
    <xf numFmtId="10" fontId="29" fillId="0" borderId="4" xfId="0" applyNumberFormat="1" applyFont="1" applyFill="1" applyBorder="1"/>
    <xf numFmtId="10" fontId="29" fillId="0" borderId="2" xfId="0" applyNumberFormat="1" applyFont="1" applyFill="1" applyBorder="1"/>
    <xf numFmtId="10" fontId="29" fillId="0" borderId="5" xfId="0" applyNumberFormat="1" applyFont="1" applyFill="1" applyBorder="1"/>
    <xf numFmtId="0" fontId="29" fillId="0" borderId="10" xfId="0" applyFont="1" applyFill="1" applyBorder="1"/>
    <xf numFmtId="0" fontId="29" fillId="0" borderId="11" xfId="0" applyFont="1" applyFill="1" applyBorder="1"/>
    <xf numFmtId="0" fontId="29" fillId="0" borderId="8" xfId="0" applyFont="1" applyFill="1" applyBorder="1"/>
    <xf numFmtId="0" fontId="29" fillId="0" borderId="3" xfId="0" applyFont="1" applyFill="1" applyBorder="1"/>
    <xf numFmtId="0" fontId="29" fillId="0" borderId="0" xfId="0" applyFont="1" applyFill="1" applyBorder="1"/>
    <xf numFmtId="0" fontId="31" fillId="0" borderId="0" xfId="0" applyFont="1" applyFill="1" applyBorder="1"/>
    <xf numFmtId="0" fontId="29" fillId="0" borderId="16" xfId="0" applyFont="1" applyFill="1" applyBorder="1"/>
    <xf numFmtId="0" fontId="29" fillId="0" borderId="14" xfId="0" applyFont="1" applyFill="1" applyBorder="1"/>
    <xf numFmtId="174" fontId="13" fillId="0" borderId="0" xfId="0" applyNumberFormat="1" applyFont="1" applyFill="1" applyAlignment="1"/>
    <xf numFmtId="0" fontId="13" fillId="0" borderId="1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Continuous"/>
    </xf>
    <xf numFmtId="0" fontId="13" fillId="0" borderId="6" xfId="0" applyFont="1" applyFill="1" applyBorder="1" applyAlignment="1">
      <alignment horizontal="centerContinuous"/>
    </xf>
    <xf numFmtId="0" fontId="13" fillId="0" borderId="1" xfId="0" applyFont="1" applyFill="1" applyBorder="1" applyAlignment="1">
      <alignment horizontal="centerContinuous"/>
    </xf>
    <xf numFmtId="0" fontId="28" fillId="0" borderId="0" xfId="0" applyFont="1" applyFill="1" applyAlignment="1">
      <alignment horizontal="right"/>
    </xf>
    <xf numFmtId="3" fontId="24" fillId="0" borderId="0" xfId="0" applyNumberFormat="1" applyFont="1" applyFill="1"/>
    <xf numFmtId="3" fontId="13" fillId="0" borderId="0" xfId="0" applyNumberFormat="1" applyFont="1" applyFill="1"/>
    <xf numFmtId="0" fontId="13" fillId="0" borderId="0" xfId="2" applyNumberFormat="1" applyFont="1" applyAlignment="1"/>
    <xf numFmtId="0" fontId="13" fillId="5" borderId="0" xfId="2" applyNumberFormat="1" applyFont="1" applyFill="1" applyAlignment="1"/>
    <xf numFmtId="179" fontId="13" fillId="0" borderId="13" xfId="11" applyNumberFormat="1" applyFont="1" applyBorder="1" applyAlignment="1"/>
    <xf numFmtId="180" fontId="13" fillId="0" borderId="0" xfId="2" applyNumberFormat="1" applyFont="1" applyAlignment="1"/>
    <xf numFmtId="0" fontId="13" fillId="0" borderId="0" xfId="2" applyNumberFormat="1" applyFont="1" applyFill="1" applyAlignment="1">
      <alignment horizontal="center"/>
    </xf>
    <xf numFmtId="0" fontId="13" fillId="0" borderId="0" xfId="2" applyNumberFormat="1" applyFont="1" applyFill="1" applyAlignment="1"/>
    <xf numFmtId="181" fontId="13" fillId="0" borderId="12" xfId="2" applyNumberFormat="1" applyFont="1" applyFill="1" applyBorder="1" applyAlignment="1" applyProtection="1">
      <protection locked="0"/>
    </xf>
    <xf numFmtId="0" fontId="13" fillId="0" borderId="0" xfId="2" applyNumberFormat="1" applyFont="1" applyFill="1" applyAlignment="1">
      <alignment horizontal="left"/>
    </xf>
    <xf numFmtId="181" fontId="13" fillId="0" borderId="0" xfId="2" applyNumberFormat="1" applyFont="1" applyFill="1" applyAlignment="1"/>
    <xf numFmtId="169" fontId="25" fillId="0" borderId="0" xfId="2" applyNumberFormat="1" applyFont="1" applyFill="1" applyAlignment="1"/>
    <xf numFmtId="181" fontId="13" fillId="0" borderId="0" xfId="2" applyNumberFormat="1" applyFont="1" applyFill="1" applyBorder="1" applyAlignment="1"/>
    <xf numFmtId="181" fontId="13" fillId="0" borderId="2" xfId="2" applyNumberFormat="1" applyFont="1" applyFill="1" applyBorder="1" applyAlignment="1"/>
    <xf numFmtId="181" fontId="25" fillId="5" borderId="0" xfId="2" applyNumberFormat="1" applyFont="1" applyFill="1" applyAlignment="1"/>
    <xf numFmtId="181" fontId="25" fillId="0" borderId="0" xfId="2" applyNumberFormat="1" applyFont="1" applyFill="1" applyAlignment="1"/>
    <xf numFmtId="0" fontId="20" fillId="0" borderId="2" xfId="2" applyNumberFormat="1" applyFont="1" applyFill="1" applyBorder="1" applyAlignment="1">
      <alignment horizontal="right"/>
    </xf>
    <xf numFmtId="0" fontId="20" fillId="0" borderId="2" xfId="2" applyNumberFormat="1" applyFont="1" applyFill="1" applyBorder="1" applyAlignment="1"/>
    <xf numFmtId="0" fontId="20" fillId="0" borderId="2" xfId="2" applyNumberFormat="1" applyFont="1" applyFill="1" applyBorder="1" applyAlignment="1" applyProtection="1">
      <protection locked="0"/>
    </xf>
    <xf numFmtId="0" fontId="20" fillId="0" borderId="2" xfId="2" applyNumberFormat="1" applyFont="1" applyFill="1" applyBorder="1" applyAlignment="1">
      <alignment horizontal="center"/>
    </xf>
    <xf numFmtId="0" fontId="20" fillId="0" borderId="0" xfId="2" applyNumberFormat="1" applyFont="1" applyFill="1" applyAlignment="1"/>
    <xf numFmtId="0" fontId="20" fillId="0" borderId="0" xfId="2" applyNumberFormat="1" applyFont="1" applyFill="1" applyAlignment="1" applyProtection="1">
      <alignment horizontal="centerContinuous"/>
      <protection locked="0"/>
    </xf>
    <xf numFmtId="0" fontId="20" fillId="0" borderId="0" xfId="2" applyNumberFormat="1" applyFont="1" applyFill="1" applyAlignment="1">
      <alignment horizontal="centerContinuous"/>
    </xf>
    <xf numFmtId="181" fontId="20" fillId="0" borderId="0" xfId="2" applyNumberFormat="1" applyFont="1" applyFill="1" applyAlignment="1">
      <alignment horizontal="right"/>
    </xf>
    <xf numFmtId="0" fontId="28" fillId="0" borderId="0" xfId="0" applyNumberFormat="1" applyFont="1" applyFill="1" applyAlignment="1"/>
    <xf numFmtId="0" fontId="20" fillId="0" borderId="0" xfId="0" applyFont="1" applyFill="1" applyBorder="1"/>
    <xf numFmtId="37" fontId="13" fillId="0" borderId="3" xfId="0" applyNumberFormat="1" applyFont="1" applyFill="1" applyBorder="1"/>
    <xf numFmtId="42" fontId="29" fillId="0" borderId="0" xfId="0" applyNumberFormat="1" applyFont="1" applyFill="1" applyBorder="1"/>
    <xf numFmtId="42" fontId="29" fillId="0" borderId="15" xfId="0" applyNumberFormat="1" applyFont="1" applyFill="1" applyBorder="1"/>
    <xf numFmtId="42" fontId="29" fillId="0" borderId="7" xfId="0" applyNumberFormat="1" applyFont="1" applyFill="1" applyBorder="1"/>
    <xf numFmtId="42" fontId="29" fillId="0" borderId="5" xfId="0" applyNumberFormat="1" applyFont="1" applyFill="1" applyBorder="1"/>
    <xf numFmtId="168" fontId="13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31" fillId="0" borderId="8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168" fontId="29" fillId="0" borderId="10" xfId="0" applyNumberFormat="1" applyFont="1" applyFill="1" applyBorder="1"/>
    <xf numFmtId="0" fontId="29" fillId="0" borderId="4" xfId="0" applyFont="1" applyFill="1" applyBorder="1"/>
    <xf numFmtId="168" fontId="29" fillId="0" borderId="11" xfId="0" applyNumberFormat="1" applyFont="1" applyFill="1" applyBorder="1"/>
    <xf numFmtId="0" fontId="29" fillId="0" borderId="0" xfId="0" applyFont="1" applyFill="1"/>
    <xf numFmtId="168" fontId="29" fillId="0" borderId="0" xfId="0" applyNumberFormat="1" applyFont="1" applyFill="1"/>
    <xf numFmtId="0" fontId="31" fillId="0" borderId="0" xfId="0" applyFont="1" applyFill="1"/>
    <xf numFmtId="0" fontId="31" fillId="0" borderId="12" xfId="0" applyFont="1" applyFill="1" applyBorder="1"/>
    <xf numFmtId="0" fontId="31" fillId="0" borderId="1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29" fillId="0" borderId="9" xfId="0" applyFont="1" applyFill="1" applyBorder="1"/>
    <xf numFmtId="171" fontId="29" fillId="0" borderId="9" xfId="0" applyNumberFormat="1" applyFont="1" applyFill="1" applyBorder="1"/>
    <xf numFmtId="171" fontId="29" fillId="0" borderId="10" xfId="0" applyNumberFormat="1" applyFont="1" applyFill="1" applyBorder="1"/>
    <xf numFmtId="171" fontId="29" fillId="0" borderId="11" xfId="0" applyNumberFormat="1" applyFont="1" applyFill="1" applyBorder="1"/>
    <xf numFmtId="171" fontId="29" fillId="0" borderId="0" xfId="0" applyNumberFormat="1" applyFont="1" applyFill="1" applyBorder="1"/>
    <xf numFmtId="0" fontId="31" fillId="0" borderId="1" xfId="0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center" wrapText="1"/>
    </xf>
    <xf numFmtId="0" fontId="29" fillId="0" borderId="12" xfId="0" applyFont="1" applyFill="1" applyBorder="1"/>
    <xf numFmtId="42" fontId="29" fillId="0" borderId="12" xfId="0" applyNumberFormat="1" applyFont="1" applyFill="1" applyBorder="1" applyAlignment="1">
      <alignment horizontal="center"/>
    </xf>
    <xf numFmtId="42" fontId="29" fillId="0" borderId="1" xfId="0" applyNumberFormat="1" applyFont="1" applyFill="1" applyBorder="1" applyAlignment="1">
      <alignment horizontal="center"/>
    </xf>
    <xf numFmtId="42" fontId="29" fillId="0" borderId="6" xfId="0" applyNumberFormat="1" applyFont="1" applyFill="1" applyBorder="1" applyAlignment="1">
      <alignment horizontal="center"/>
    </xf>
    <xf numFmtId="0" fontId="31" fillId="0" borderId="8" xfId="0" applyFont="1" applyFill="1" applyBorder="1"/>
    <xf numFmtId="0" fontId="31" fillId="0" borderId="1" xfId="0" applyFont="1" applyFill="1" applyBorder="1"/>
    <xf numFmtId="0" fontId="29" fillId="0" borderId="7" xfId="0" applyFont="1" applyFill="1" applyBorder="1"/>
    <xf numFmtId="166" fontId="13" fillId="0" borderId="10" xfId="0" applyNumberFormat="1" applyFont="1" applyFill="1" applyBorder="1"/>
    <xf numFmtId="166" fontId="13" fillId="0" borderId="0" xfId="0" applyNumberFormat="1" applyFont="1" applyFill="1" applyBorder="1"/>
    <xf numFmtId="166" fontId="13" fillId="0" borderId="7" xfId="0" applyNumberFormat="1" applyFont="1" applyFill="1" applyBorder="1"/>
    <xf numFmtId="166" fontId="29" fillId="0" borderId="10" xfId="0" applyNumberFormat="1" applyFont="1" applyFill="1" applyBorder="1"/>
    <xf numFmtId="166" fontId="29" fillId="0" borderId="0" xfId="0" applyNumberFormat="1" applyFont="1" applyFill="1" applyBorder="1"/>
    <xf numFmtId="166" fontId="29" fillId="0" borderId="7" xfId="0" applyNumberFormat="1" applyFont="1" applyFill="1" applyBorder="1"/>
    <xf numFmtId="0" fontId="29" fillId="0" borderId="1" xfId="0" applyFont="1" applyFill="1" applyBorder="1"/>
    <xf numFmtId="166" fontId="29" fillId="0" borderId="12" xfId="0" applyNumberFormat="1" applyFont="1" applyFill="1" applyBorder="1"/>
    <xf numFmtId="166" fontId="29" fillId="0" borderId="1" xfId="0" applyNumberFormat="1" applyFont="1" applyFill="1" applyBorder="1"/>
    <xf numFmtId="166" fontId="29" fillId="0" borderId="6" xfId="0" applyNumberFormat="1" applyFont="1" applyFill="1" applyBorder="1"/>
    <xf numFmtId="168" fontId="29" fillId="0" borderId="1" xfId="0" applyNumberFormat="1" applyFont="1" applyFill="1" applyBorder="1"/>
    <xf numFmtId="168" fontId="27" fillId="0" borderId="6" xfId="0" applyNumberFormat="1" applyFont="1" applyFill="1" applyBorder="1"/>
    <xf numFmtId="177" fontId="29" fillId="0" borderId="3" xfId="0" applyNumberFormat="1" applyFont="1" applyFill="1" applyBorder="1"/>
    <xf numFmtId="170" fontId="29" fillId="0" borderId="3" xfId="0" applyNumberFormat="1" applyFont="1" applyFill="1" applyBorder="1"/>
    <xf numFmtId="170" fontId="29" fillId="0" borderId="15" xfId="0" applyNumberFormat="1" applyFont="1" applyFill="1" applyBorder="1"/>
    <xf numFmtId="177" fontId="29" fillId="0" borderId="0" xfId="0" applyNumberFormat="1" applyFont="1" applyFill="1" applyBorder="1"/>
    <xf numFmtId="170" fontId="29" fillId="0" borderId="0" xfId="0" applyNumberFormat="1" applyFont="1" applyFill="1" applyBorder="1"/>
    <xf numFmtId="170" fontId="29" fillId="0" borderId="7" xfId="0" applyNumberFormat="1" applyFont="1" applyFill="1" applyBorder="1"/>
    <xf numFmtId="177" fontId="29" fillId="0" borderId="1" xfId="0" applyNumberFormat="1" applyFont="1" applyFill="1" applyBorder="1"/>
    <xf numFmtId="170" fontId="29" fillId="0" borderId="1" xfId="0" applyNumberFormat="1" applyFont="1" applyFill="1" applyBorder="1"/>
    <xf numFmtId="170" fontId="29" fillId="0" borderId="6" xfId="0" applyNumberFormat="1" applyFont="1" applyFill="1" applyBorder="1"/>
    <xf numFmtId="0" fontId="13" fillId="0" borderId="7" xfId="0" applyFont="1" applyFill="1" applyBorder="1"/>
    <xf numFmtId="0" fontId="13" fillId="0" borderId="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2" fontId="13" fillId="0" borderId="0" xfId="0" applyNumberFormat="1" applyFont="1" applyFill="1"/>
    <xf numFmtId="3" fontId="26" fillId="0" borderId="0" xfId="0" applyNumberFormat="1" applyFont="1" applyFill="1"/>
    <xf numFmtId="174" fontId="27" fillId="0" borderId="0" xfId="0" applyNumberFormat="1" applyFont="1" applyFill="1"/>
    <xf numFmtId="182" fontId="24" fillId="0" borderId="0" xfId="0" applyNumberFormat="1" applyFont="1" applyFill="1"/>
    <xf numFmtId="44" fontId="13" fillId="0" borderId="0" xfId="0" applyNumberFormat="1" applyFont="1" applyFill="1"/>
    <xf numFmtId="42" fontId="33" fillId="0" borderId="0" xfId="0" applyNumberFormat="1" applyFont="1" applyFill="1" applyAlignment="1">
      <alignment horizontal="left"/>
    </xf>
    <xf numFmtId="170" fontId="13" fillId="0" borderId="0" xfId="0" applyNumberFormat="1" applyFont="1" applyFill="1"/>
    <xf numFmtId="174" fontId="13" fillId="0" borderId="0" xfId="0" applyNumberFormat="1" applyFont="1" applyFill="1"/>
    <xf numFmtId="0" fontId="13" fillId="0" borderId="0" xfId="0" applyFont="1" applyFill="1" applyAlignment="1"/>
    <xf numFmtId="167" fontId="23" fillId="0" borderId="0" xfId="0" applyNumberFormat="1" applyFont="1" applyFill="1" applyBorder="1"/>
    <xf numFmtId="175" fontId="13" fillId="0" borderId="0" xfId="0" applyNumberFormat="1" applyFont="1" applyFill="1"/>
    <xf numFmtId="172" fontId="13" fillId="0" borderId="0" xfId="0" applyNumberFormat="1" applyFont="1" applyFill="1"/>
    <xf numFmtId="0" fontId="13" fillId="0" borderId="0" xfId="0" applyFont="1" applyFill="1" applyAlignment="1">
      <alignment horizontal="left" textRotation="180"/>
    </xf>
    <xf numFmtId="0" fontId="20" fillId="0" borderId="0" xfId="2" applyNumberFormat="1" applyFont="1" applyFill="1" applyAlignment="1">
      <alignment horizontal="center"/>
    </xf>
    <xf numFmtId="0" fontId="30" fillId="0" borderId="0" xfId="0" applyFont="1" applyFill="1" applyAlignment="1">
      <alignment horizontal="centerContinuous"/>
    </xf>
    <xf numFmtId="17" fontId="25" fillId="0" borderId="0" xfId="0" applyNumberFormat="1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/>
    </xf>
    <xf numFmtId="43" fontId="28" fillId="0" borderId="0" xfId="9" applyFont="1" applyFill="1" applyBorder="1"/>
    <xf numFmtId="0" fontId="29" fillId="0" borderId="0" xfId="19" applyFont="1"/>
    <xf numFmtId="0" fontId="13" fillId="6" borderId="16" xfId="2" applyFont="1" applyFill="1" applyBorder="1" applyAlignment="1">
      <alignment horizontal="center"/>
    </xf>
    <xf numFmtId="0" fontId="13" fillId="6" borderId="3" xfId="2" applyFont="1" applyFill="1" applyBorder="1"/>
    <xf numFmtId="0" fontId="29" fillId="0" borderId="0" xfId="19" applyFont="1" applyFill="1" applyBorder="1" applyAlignment="1">
      <alignment horizontal="right"/>
    </xf>
    <xf numFmtId="0" fontId="34" fillId="6" borderId="15" xfId="2" applyFont="1" applyFill="1" applyBorder="1" applyAlignment="1">
      <alignment horizontal="center"/>
    </xf>
    <xf numFmtId="0" fontId="29" fillId="6" borderId="16" xfId="20" applyFont="1" applyFill="1" applyBorder="1"/>
    <xf numFmtId="0" fontId="29" fillId="6" borderId="3" xfId="20" applyFont="1" applyFill="1" applyBorder="1"/>
    <xf numFmtId="0" fontId="29" fillId="6" borderId="15" xfId="20" quotePrefix="1" applyFont="1" applyFill="1" applyBorder="1" applyAlignment="1">
      <alignment horizontal="right"/>
    </xf>
    <xf numFmtId="0" fontId="20" fillId="4" borderId="17" xfId="7" applyFont="1" applyFill="1" applyBorder="1" applyAlignment="1">
      <alignment horizontal="centerContinuous"/>
    </xf>
    <xf numFmtId="0" fontId="20" fillId="4" borderId="18" xfId="7" applyFont="1" applyFill="1" applyBorder="1" applyAlignment="1">
      <alignment horizontal="centerContinuous"/>
    </xf>
    <xf numFmtId="0" fontId="20" fillId="4" borderId="19" xfId="7" applyFont="1" applyFill="1" applyBorder="1" applyAlignment="1">
      <alignment horizontal="centerContinuous"/>
    </xf>
    <xf numFmtId="0" fontId="13" fillId="6" borderId="14" xfId="7" applyFont="1" applyFill="1" applyBorder="1" applyAlignment="1">
      <alignment horizontal="center"/>
    </xf>
    <xf numFmtId="0" fontId="13" fillId="6" borderId="0" xfId="7" applyFont="1" applyFill="1" applyBorder="1"/>
    <xf numFmtId="170" fontId="13" fillId="6" borderId="0" xfId="8" applyNumberFormat="1" applyFont="1" applyFill="1" applyBorder="1"/>
    <xf numFmtId="0" fontId="13" fillId="6" borderId="0" xfId="7" applyFont="1" applyFill="1" applyBorder="1" applyAlignment="1">
      <alignment horizontal="right"/>
    </xf>
    <xf numFmtId="0" fontId="13" fillId="6" borderId="7" xfId="7" applyFont="1" applyFill="1" applyBorder="1"/>
    <xf numFmtId="0" fontId="29" fillId="6" borderId="14" xfId="20" applyFont="1" applyFill="1" applyBorder="1"/>
    <xf numFmtId="0" fontId="29" fillId="6" borderId="0" xfId="20" applyFont="1" applyFill="1" applyBorder="1"/>
    <xf numFmtId="0" fontId="29" fillId="6" borderId="7" xfId="20" applyFont="1" applyFill="1" applyBorder="1"/>
    <xf numFmtId="0" fontId="34" fillId="6" borderId="14" xfId="7" applyFont="1" applyFill="1" applyBorder="1" applyAlignment="1">
      <alignment horizontal="center"/>
    </xf>
    <xf numFmtId="0" fontId="34" fillId="6" borderId="0" xfId="7" applyFont="1" applyFill="1" applyBorder="1"/>
    <xf numFmtId="37" fontId="34" fillId="6" borderId="0" xfId="7" applyNumberFormat="1" applyFont="1" applyFill="1" applyBorder="1"/>
    <xf numFmtId="170" fontId="34" fillId="6" borderId="0" xfId="8" applyNumberFormat="1" applyFont="1" applyFill="1" applyBorder="1"/>
    <xf numFmtId="164" fontId="34" fillId="6" borderId="0" xfId="7" applyNumberFormat="1" applyFont="1" applyFill="1" applyBorder="1" applyAlignment="1">
      <alignment horizontal="right"/>
    </xf>
    <xf numFmtId="0" fontId="34" fillId="6" borderId="7" xfId="7" applyFont="1" applyFill="1" applyBorder="1"/>
    <xf numFmtId="0" fontId="13" fillId="6" borderId="0" xfId="7" applyFont="1" applyFill="1" applyBorder="1" applyAlignment="1">
      <alignment horizontal="center"/>
    </xf>
    <xf numFmtId="170" fontId="13" fillId="6" borderId="0" xfId="8" applyNumberFormat="1" applyFont="1" applyFill="1" applyBorder="1" applyAlignment="1">
      <alignment horizontal="center"/>
    </xf>
    <xf numFmtId="44" fontId="13" fillId="6" borderId="0" xfId="8" applyFont="1" applyFill="1" applyBorder="1" applyAlignment="1">
      <alignment horizontal="center"/>
    </xf>
    <xf numFmtId="44" fontId="13" fillId="6" borderId="7" xfId="8" applyFont="1" applyFill="1" applyBorder="1" applyAlignment="1">
      <alignment horizontal="center"/>
    </xf>
    <xf numFmtId="183" fontId="20" fillId="6" borderId="4" xfId="7" applyNumberFormat="1" applyFont="1" applyFill="1" applyBorder="1" applyAlignment="1">
      <alignment horizontal="center"/>
    </xf>
    <xf numFmtId="183" fontId="20" fillId="6" borderId="2" xfId="7" applyNumberFormat="1" applyFont="1" applyFill="1" applyBorder="1" applyAlignment="1">
      <alignment horizontal="center"/>
    </xf>
    <xf numFmtId="0" fontId="20" fillId="6" borderId="2" xfId="7" applyFont="1" applyFill="1" applyBorder="1" applyAlignment="1">
      <alignment horizontal="center"/>
    </xf>
    <xf numFmtId="0" fontId="20" fillId="6" borderId="2" xfId="7" applyFont="1" applyFill="1" applyBorder="1" applyAlignment="1">
      <alignment horizontal="center" wrapText="1"/>
    </xf>
    <xf numFmtId="170" fontId="20" fillId="6" borderId="2" xfId="8" applyNumberFormat="1" applyFont="1" applyFill="1" applyBorder="1" applyAlignment="1">
      <alignment horizontal="center" wrapText="1"/>
    </xf>
    <xf numFmtId="0" fontId="20" fillId="6" borderId="5" xfId="7" applyFont="1" applyFill="1" applyBorder="1" applyAlignment="1">
      <alignment horizontal="center" wrapText="1"/>
    </xf>
    <xf numFmtId="0" fontId="31" fillId="0" borderId="0" xfId="19" applyFont="1"/>
    <xf numFmtId="183" fontId="20" fillId="6" borderId="14" xfId="7" applyNumberFormat="1" applyFont="1" applyFill="1" applyBorder="1" applyAlignment="1">
      <alignment horizontal="center"/>
    </xf>
    <xf numFmtId="183" fontId="20" fillId="6" borderId="0" xfId="7" applyNumberFormat="1" applyFont="1" applyFill="1" applyBorder="1" applyAlignment="1">
      <alignment horizontal="center"/>
    </xf>
    <xf numFmtId="0" fontId="31" fillId="6" borderId="0" xfId="20" applyFont="1" applyFill="1" applyBorder="1" applyAlignment="1">
      <alignment horizontal="center"/>
    </xf>
    <xf numFmtId="10" fontId="31" fillId="6" borderId="7" xfId="21" applyNumberFormat="1" applyFont="1" applyFill="1" applyBorder="1" applyAlignment="1">
      <alignment horizontal="center"/>
    </xf>
    <xf numFmtId="0" fontId="29" fillId="0" borderId="0" xfId="19" applyFont="1" applyFill="1"/>
    <xf numFmtId="0" fontId="13" fillId="6" borderId="0" xfId="7" quotePrefix="1" applyFont="1" applyFill="1" applyBorder="1" applyAlignment="1">
      <alignment horizontal="center"/>
    </xf>
    <xf numFmtId="44" fontId="13" fillId="6" borderId="15" xfId="8" applyFont="1" applyFill="1" applyBorder="1" applyAlignment="1">
      <alignment horizontal="center"/>
    </xf>
    <xf numFmtId="0" fontId="13" fillId="6" borderId="16" xfId="7" applyFont="1" applyFill="1" applyBorder="1" applyAlignment="1">
      <alignment horizontal="center"/>
    </xf>
    <xf numFmtId="0" fontId="13" fillId="6" borderId="3" xfId="7" applyFont="1" applyFill="1" applyBorder="1" applyAlignment="1">
      <alignment horizontal="center"/>
    </xf>
    <xf numFmtId="0" fontId="29" fillId="6" borderId="3" xfId="20" applyFont="1" applyFill="1" applyBorder="1" applyAlignment="1">
      <alignment horizontal="center"/>
    </xf>
    <xf numFmtId="0" fontId="13" fillId="6" borderId="3" xfId="7" quotePrefix="1" applyFont="1" applyFill="1" applyBorder="1" applyAlignment="1">
      <alignment horizontal="center"/>
    </xf>
    <xf numFmtId="0" fontId="13" fillId="6" borderId="15" xfId="7" applyFont="1" applyFill="1" applyBorder="1" applyAlignment="1">
      <alignment horizontal="center"/>
    </xf>
    <xf numFmtId="0" fontId="20" fillId="6" borderId="0" xfId="7" applyFont="1" applyFill="1" applyBorder="1"/>
    <xf numFmtId="172" fontId="13" fillId="6" borderId="0" xfId="8" applyNumberFormat="1" applyFont="1" applyFill="1" applyBorder="1" applyAlignment="1">
      <alignment horizontal="right"/>
    </xf>
    <xf numFmtId="5" fontId="13" fillId="6" borderId="7" xfId="7" applyNumberFormat="1" applyFont="1" applyFill="1" applyBorder="1"/>
    <xf numFmtId="10" fontId="29" fillId="6" borderId="7" xfId="21" applyNumberFormat="1" applyFont="1" applyFill="1" applyBorder="1"/>
    <xf numFmtId="0" fontId="29" fillId="0" borderId="0" xfId="19" applyFont="1" applyBorder="1"/>
    <xf numFmtId="0" fontId="35" fillId="0" borderId="0" xfId="19" applyFont="1"/>
    <xf numFmtId="0" fontId="28" fillId="0" borderId="0" xfId="19" applyFont="1" applyFill="1"/>
    <xf numFmtId="0" fontId="13" fillId="6" borderId="0" xfId="2" applyFont="1" applyFill="1" applyBorder="1"/>
    <xf numFmtId="5" fontId="28" fillId="6" borderId="7" xfId="7" applyNumberFormat="1" applyFont="1" applyFill="1" applyBorder="1"/>
    <xf numFmtId="0" fontId="28" fillId="0" borderId="0" xfId="19" applyFont="1"/>
    <xf numFmtId="5" fontId="29" fillId="6" borderId="0" xfId="20" applyNumberFormat="1" applyFont="1" applyFill="1" applyBorder="1"/>
    <xf numFmtId="0" fontId="36" fillId="6" borderId="0" xfId="7" applyFont="1" applyFill="1" applyBorder="1"/>
    <xf numFmtId="37" fontId="13" fillId="6" borderId="0" xfId="7" applyNumberFormat="1" applyFont="1" applyFill="1" applyBorder="1" applyAlignment="1">
      <alignment horizontal="right"/>
    </xf>
    <xf numFmtId="5" fontId="13" fillId="6" borderId="0" xfId="7" applyNumberFormat="1" applyFont="1" applyFill="1" applyBorder="1" applyAlignment="1">
      <alignment horizontal="right"/>
    </xf>
    <xf numFmtId="10" fontId="29" fillId="6" borderId="36" xfId="21" applyNumberFormat="1" applyFont="1" applyFill="1" applyBorder="1"/>
    <xf numFmtId="0" fontId="29" fillId="6" borderId="0" xfId="2" applyFont="1" applyFill="1" applyBorder="1"/>
    <xf numFmtId="10" fontId="29" fillId="6" borderId="29" xfId="21" applyNumberFormat="1" applyFont="1" applyFill="1" applyBorder="1"/>
    <xf numFmtId="0" fontId="37" fillId="6" borderId="0" xfId="7" applyFont="1" applyFill="1" applyBorder="1" applyAlignment="1">
      <alignment horizontal="left" indent="2"/>
    </xf>
    <xf numFmtId="172" fontId="20" fillId="6" borderId="0" xfId="8" applyNumberFormat="1" applyFont="1" applyFill="1" applyBorder="1" applyAlignment="1">
      <alignment horizontal="right"/>
    </xf>
    <xf numFmtId="5" fontId="20" fillId="6" borderId="0" xfId="7" applyNumberFormat="1" applyFont="1" applyFill="1" applyBorder="1" applyAlignment="1">
      <alignment horizontal="right"/>
    </xf>
    <xf numFmtId="37" fontId="29" fillId="6" borderId="0" xfId="20" applyNumberFormat="1" applyFont="1" applyFill="1" applyBorder="1"/>
    <xf numFmtId="0" fontId="29" fillId="6" borderId="0" xfId="19" applyFont="1" applyFill="1" applyBorder="1"/>
    <xf numFmtId="0" fontId="13" fillId="6" borderId="0" xfId="7" applyFont="1" applyFill="1" applyBorder="1" applyAlignment="1">
      <alignment horizontal="left" indent="2"/>
    </xf>
    <xf numFmtId="37" fontId="29" fillId="6" borderId="0" xfId="7" applyNumberFormat="1" applyFont="1" applyFill="1" applyBorder="1" applyAlignment="1">
      <alignment horizontal="right"/>
    </xf>
    <xf numFmtId="173" fontId="29" fillId="6" borderId="0" xfId="7" applyNumberFormat="1" applyFont="1" applyFill="1" applyBorder="1" applyAlignment="1">
      <alignment horizontal="right"/>
    </xf>
    <xf numFmtId="37" fontId="31" fillId="6" borderId="0" xfId="7" applyNumberFormat="1" applyFont="1" applyFill="1" applyBorder="1" applyAlignment="1">
      <alignment horizontal="right"/>
    </xf>
    <xf numFmtId="37" fontId="13" fillId="6" borderId="0" xfId="2" applyNumberFormat="1" applyFont="1" applyFill="1" applyBorder="1" applyAlignment="1">
      <alignment horizontal="right"/>
    </xf>
    <xf numFmtId="0" fontId="37" fillId="6" borderId="0" xfId="7" applyFont="1" applyFill="1" applyBorder="1"/>
    <xf numFmtId="0" fontId="13" fillId="0" borderId="0" xfId="19" applyFont="1" applyFill="1"/>
    <xf numFmtId="0" fontId="13" fillId="0" borderId="0" xfId="19" applyFont="1"/>
    <xf numFmtId="7" fontId="13" fillId="6" borderId="0" xfId="7" applyNumberFormat="1" applyFont="1" applyFill="1" applyBorder="1"/>
    <xf numFmtId="0" fontId="29" fillId="6" borderId="0" xfId="7" applyFont="1" applyFill="1" applyBorder="1"/>
    <xf numFmtId="172" fontId="13" fillId="6" borderId="39" xfId="8" applyNumberFormat="1" applyFont="1" applyFill="1" applyBorder="1" applyAlignment="1">
      <alignment horizontal="right"/>
    </xf>
    <xf numFmtId="5" fontId="20" fillId="6" borderId="7" xfId="7" applyNumberFormat="1" applyFont="1" applyFill="1" applyBorder="1" applyAlignment="1">
      <alignment horizontal="right"/>
    </xf>
    <xf numFmtId="0" fontId="37" fillId="6" borderId="0" xfId="7" applyFont="1" applyFill="1" applyBorder="1" applyAlignment="1">
      <alignment horizontal="left" indent="1"/>
    </xf>
    <xf numFmtId="37" fontId="20" fillId="6" borderId="0" xfId="7" applyNumberFormat="1" applyFont="1" applyFill="1" applyBorder="1" applyAlignment="1">
      <alignment horizontal="right"/>
    </xf>
    <xf numFmtId="3" fontId="29" fillId="0" borderId="0" xfId="19" applyNumberFormat="1" applyFont="1"/>
    <xf numFmtId="5" fontId="31" fillId="6" borderId="0" xfId="20" applyNumberFormat="1" applyFont="1" applyFill="1" applyBorder="1"/>
    <xf numFmtId="37" fontId="38" fillId="6" borderId="0" xfId="20" applyNumberFormat="1" applyFont="1" applyFill="1" applyBorder="1"/>
    <xf numFmtId="5" fontId="13" fillId="6" borderId="28" xfId="7" applyNumberFormat="1" applyFont="1" applyFill="1" applyBorder="1"/>
    <xf numFmtId="0" fontId="13" fillId="0" borderId="0" xfId="7" applyFont="1" applyFill="1" applyBorder="1"/>
    <xf numFmtId="172" fontId="13" fillId="6" borderId="0" xfId="7" applyNumberFormat="1" applyFont="1" applyFill="1" applyBorder="1" applyAlignment="1">
      <alignment horizontal="right"/>
    </xf>
    <xf numFmtId="5" fontId="13" fillId="6" borderId="39" xfId="7" applyNumberFormat="1" applyFont="1" applyFill="1" applyBorder="1" applyAlignment="1">
      <alignment horizontal="right"/>
    </xf>
    <xf numFmtId="5" fontId="20" fillId="6" borderId="7" xfId="7" applyNumberFormat="1" applyFont="1" applyFill="1" applyBorder="1"/>
    <xf numFmtId="5" fontId="29" fillId="6" borderId="31" xfId="20" applyNumberFormat="1" applyFont="1" applyFill="1" applyBorder="1"/>
    <xf numFmtId="0" fontId="29" fillId="0" borderId="0" xfId="20" applyFont="1" applyFill="1" applyBorder="1"/>
    <xf numFmtId="0" fontId="35" fillId="6" borderId="0" xfId="19" applyFont="1" applyFill="1"/>
    <xf numFmtId="172" fontId="20" fillId="6" borderId="0" xfId="7" applyNumberFormat="1" applyFont="1" applyFill="1" applyBorder="1" applyAlignment="1">
      <alignment horizontal="right"/>
    </xf>
    <xf numFmtId="0" fontId="29" fillId="0" borderId="7" xfId="19" applyFont="1" applyBorder="1"/>
    <xf numFmtId="10" fontId="31" fillId="6" borderId="7" xfId="21" applyNumberFormat="1" applyFont="1" applyFill="1" applyBorder="1"/>
    <xf numFmtId="43" fontId="39" fillId="6" borderId="0" xfId="9" applyFont="1" applyFill="1" applyBorder="1" applyAlignment="1">
      <alignment horizontal="right"/>
    </xf>
    <xf numFmtId="5" fontId="20" fillId="6" borderId="2" xfId="7" applyNumberFormat="1" applyFont="1" applyFill="1" applyBorder="1" applyAlignment="1">
      <alignment horizontal="right"/>
    </xf>
    <xf numFmtId="43" fontId="39" fillId="6" borderId="5" xfId="9" applyFont="1" applyFill="1" applyBorder="1" applyAlignment="1">
      <alignment horizontal="right"/>
    </xf>
    <xf numFmtId="37" fontId="13" fillId="6" borderId="0" xfId="17" applyNumberFormat="1" applyFont="1" applyFill="1" applyBorder="1" applyAlignment="1">
      <alignment horizontal="right"/>
    </xf>
    <xf numFmtId="43" fontId="28" fillId="6" borderId="0" xfId="9" applyFont="1" applyFill="1" applyBorder="1" applyAlignment="1">
      <alignment horizontal="right"/>
    </xf>
    <xf numFmtId="5" fontId="20" fillId="6" borderId="15" xfId="7" applyNumberFormat="1" applyFont="1" applyFill="1" applyBorder="1"/>
    <xf numFmtId="0" fontId="13" fillId="6" borderId="0" xfId="20" applyFont="1" applyFill="1" applyBorder="1"/>
    <xf numFmtId="43" fontId="28" fillId="6" borderId="7" xfId="9" applyFont="1" applyFill="1" applyBorder="1"/>
    <xf numFmtId="5" fontId="29" fillId="0" borderId="0" xfId="19" applyNumberFormat="1" applyFont="1"/>
    <xf numFmtId="171" fontId="20" fillId="6" borderId="0" xfId="18" applyNumberFormat="1" applyFont="1" applyFill="1" applyBorder="1"/>
    <xf numFmtId="3" fontId="13" fillId="6" borderId="0" xfId="7" applyNumberFormat="1" applyFont="1" applyFill="1" applyBorder="1" applyAlignment="1">
      <alignment horizontal="right"/>
    </xf>
    <xf numFmtId="0" fontId="13" fillId="6" borderId="7" xfId="7" applyFont="1" applyFill="1" applyBorder="1" applyAlignment="1">
      <alignment horizontal="center"/>
    </xf>
    <xf numFmtId="43" fontId="29" fillId="6" borderId="0" xfId="17" applyFont="1" applyFill="1" applyBorder="1"/>
    <xf numFmtId="0" fontId="13" fillId="6" borderId="7" xfId="20" applyFont="1" applyFill="1" applyBorder="1"/>
    <xf numFmtId="172" fontId="29" fillId="6" borderId="0" xfId="20" applyNumberFormat="1" applyFont="1" applyFill="1" applyBorder="1"/>
    <xf numFmtId="165" fontId="20" fillId="6" borderId="0" xfId="7" applyNumberFormat="1" applyFont="1" applyFill="1" applyBorder="1" applyAlignment="1">
      <alignment horizontal="right"/>
    </xf>
    <xf numFmtId="0" fontId="20" fillId="6" borderId="7" xfId="7" applyFont="1" applyFill="1" applyBorder="1" applyAlignment="1">
      <alignment horizontal="center"/>
    </xf>
    <xf numFmtId="0" fontId="13" fillId="6" borderId="4" xfId="7" applyFont="1" applyFill="1" applyBorder="1" applyAlignment="1">
      <alignment horizontal="center"/>
    </xf>
    <xf numFmtId="0" fontId="13" fillId="6" borderId="2" xfId="20" applyFont="1" applyFill="1" applyBorder="1"/>
    <xf numFmtId="172" fontId="13" fillId="6" borderId="2" xfId="7" applyNumberFormat="1" applyFont="1" applyFill="1" applyBorder="1" applyAlignment="1">
      <alignment horizontal="right"/>
    </xf>
    <xf numFmtId="0" fontId="13" fillId="6" borderId="5" xfId="20" applyFont="1" applyFill="1" applyBorder="1"/>
    <xf numFmtId="0" fontId="29" fillId="6" borderId="2" xfId="20" applyFont="1" applyFill="1" applyBorder="1"/>
    <xf numFmtId="172" fontId="31" fillId="6" borderId="2" xfId="20" applyNumberFormat="1" applyFont="1" applyFill="1" applyBorder="1"/>
    <xf numFmtId="10" fontId="31" fillId="6" borderId="5" xfId="21" applyNumberFormat="1" applyFont="1" applyFill="1" applyBorder="1"/>
    <xf numFmtId="0" fontId="29" fillId="0" borderId="0" xfId="19" applyFont="1" applyFill="1" applyBorder="1"/>
    <xf numFmtId="37" fontId="29" fillId="0" borderId="0" xfId="19" applyNumberFormat="1" applyFont="1" applyFill="1" applyBorder="1"/>
    <xf numFmtId="0" fontId="29" fillId="0" borderId="0" xfId="19" applyFont="1" applyFill="1" applyBorder="1" applyAlignment="1">
      <alignment horizontal="center"/>
    </xf>
    <xf numFmtId="0" fontId="29" fillId="0" borderId="0" xfId="20" applyFont="1"/>
    <xf numFmtId="37" fontId="20" fillId="0" borderId="0" xfId="7" applyNumberFormat="1" applyFont="1" applyFill="1" applyBorder="1" applyAlignment="1">
      <alignment horizontal="right"/>
    </xf>
    <xf numFmtId="168" fontId="35" fillId="0" borderId="1" xfId="2" applyNumberFormat="1" applyFont="1" applyFill="1" applyBorder="1"/>
    <xf numFmtId="0" fontId="35" fillId="0" borderId="0" xfId="10" applyFont="1"/>
    <xf numFmtId="174" fontId="20" fillId="0" borderId="0" xfId="0" applyNumberFormat="1" applyFont="1" applyFill="1"/>
    <xf numFmtId="0" fontId="3" fillId="0" borderId="0" xfId="24"/>
    <xf numFmtId="0" fontId="3" fillId="0" borderId="0" xfId="24" applyAlignment="1">
      <alignment horizontal="center"/>
    </xf>
    <xf numFmtId="0" fontId="3" fillId="0" borderId="0" xfId="24" applyBorder="1" applyAlignment="1">
      <alignment horizontal="center"/>
    </xf>
    <xf numFmtId="0" fontId="41" fillId="0" borderId="0" xfId="24" applyFont="1" applyBorder="1" applyAlignment="1">
      <alignment horizontal="center"/>
    </xf>
    <xf numFmtId="0" fontId="3" fillId="0" borderId="0" xfId="24" applyFont="1" applyBorder="1" applyAlignment="1">
      <alignment horizontal="center"/>
    </xf>
    <xf numFmtId="0" fontId="3" fillId="0" borderId="2" xfId="24" applyBorder="1" applyAlignment="1">
      <alignment horizontal="center"/>
    </xf>
    <xf numFmtId="0" fontId="41" fillId="0" borderId="2" xfId="24" quotePrefix="1" applyFont="1" applyFill="1" applyBorder="1" applyAlignment="1">
      <alignment horizontal="center"/>
    </xf>
    <xf numFmtId="0" fontId="3" fillId="0" borderId="2" xfId="24" applyFont="1" applyBorder="1" applyAlignment="1">
      <alignment horizontal="center"/>
    </xf>
    <xf numFmtId="3" fontId="3" fillId="0" borderId="0" xfId="24" applyNumberFormat="1" applyBorder="1" applyAlignment="1">
      <alignment horizontal="center"/>
    </xf>
    <xf numFmtId="42" fontId="3" fillId="0" borderId="0" xfId="24" applyNumberFormat="1" applyBorder="1" applyAlignment="1">
      <alignment horizontal="center"/>
    </xf>
    <xf numFmtId="42" fontId="3" fillId="0" borderId="0" xfId="24" applyNumberFormat="1" applyFont="1" applyBorder="1" applyAlignment="1">
      <alignment horizontal="center"/>
    </xf>
    <xf numFmtId="42" fontId="44" fillId="0" borderId="0" xfId="24" applyNumberFormat="1" applyFont="1"/>
    <xf numFmtId="170" fontId="3" fillId="0" borderId="0" xfId="24" applyNumberFormat="1"/>
    <xf numFmtId="42" fontId="3" fillId="0" borderId="0" xfId="24" applyNumberFormat="1"/>
    <xf numFmtId="42" fontId="40" fillId="0" borderId="0" xfId="24" applyNumberFormat="1" applyFont="1"/>
    <xf numFmtId="10" fontId="3" fillId="0" borderId="0" xfId="24" applyNumberFormat="1" applyFont="1"/>
    <xf numFmtId="42" fontId="3" fillId="0" borderId="0" xfId="24" applyNumberFormat="1" applyFont="1"/>
    <xf numFmtId="42" fontId="41" fillId="0" borderId="0" xfId="24" applyNumberFormat="1" applyFont="1"/>
    <xf numFmtId="170" fontId="3" fillId="0" borderId="2" xfId="24" applyNumberFormat="1" applyBorder="1"/>
    <xf numFmtId="3" fontId="3" fillId="0" borderId="3" xfId="24" applyNumberFormat="1" applyBorder="1"/>
    <xf numFmtId="42" fontId="3" fillId="0" borderId="3" xfId="24" applyNumberFormat="1" applyBorder="1"/>
    <xf numFmtId="42" fontId="40" fillId="0" borderId="3" xfId="24" applyNumberFormat="1" applyFont="1" applyBorder="1"/>
    <xf numFmtId="10" fontId="3" fillId="0" borderId="3" xfId="24" applyNumberFormat="1" applyFont="1" applyBorder="1"/>
    <xf numFmtId="3" fontId="3" fillId="0" borderId="0" xfId="24" applyNumberFormat="1"/>
    <xf numFmtId="10" fontId="3" fillId="0" borderId="0" xfId="24" applyNumberFormat="1"/>
    <xf numFmtId="0" fontId="45" fillId="0" borderId="0" xfId="24" applyFont="1" applyBorder="1" applyAlignment="1">
      <alignment horizontal="left"/>
    </xf>
    <xf numFmtId="0" fontId="46" fillId="0" borderId="0" xfId="24" applyFont="1" applyAlignment="1">
      <alignment horizontal="left"/>
    </xf>
    <xf numFmtId="3" fontId="47" fillId="0" borderId="0" xfId="24" applyNumberFormat="1" applyFont="1" applyBorder="1"/>
    <xf numFmtId="42" fontId="47" fillId="0" borderId="0" xfId="24" applyNumberFormat="1" applyFont="1" applyBorder="1"/>
    <xf numFmtId="0" fontId="47" fillId="0" borderId="0" xfId="24" applyFont="1"/>
    <xf numFmtId="42" fontId="47" fillId="0" borderId="0" xfId="24" applyNumberFormat="1" applyFont="1"/>
    <xf numFmtId="10" fontId="47" fillId="0" borderId="0" xfId="24" applyNumberFormat="1" applyFont="1"/>
    <xf numFmtId="0" fontId="47" fillId="0" borderId="0" xfId="24" applyFont="1" applyAlignment="1">
      <alignment horizontal="left"/>
    </xf>
    <xf numFmtId="0" fontId="47" fillId="0" borderId="0" xfId="24" applyFont="1" applyAlignment="1">
      <alignment horizontal="center"/>
    </xf>
    <xf numFmtId="168" fontId="47" fillId="0" borderId="0" xfId="24" applyNumberFormat="1" applyFont="1" applyFill="1"/>
    <xf numFmtId="166" fontId="47" fillId="0" borderId="0" xfId="24" applyNumberFormat="1" applyFont="1" applyFill="1"/>
    <xf numFmtId="0" fontId="47" fillId="0" borderId="0" xfId="24" applyFont="1" applyFill="1" applyBorder="1" applyAlignment="1">
      <alignment horizontal="left"/>
    </xf>
    <xf numFmtId="0" fontId="47" fillId="0" borderId="0" xfId="24" applyFont="1" applyBorder="1" applyAlignment="1">
      <alignment horizontal="left"/>
    </xf>
    <xf numFmtId="168" fontId="47" fillId="0" borderId="3" xfId="24" applyNumberFormat="1" applyFont="1" applyFill="1" applyBorder="1"/>
    <xf numFmtId="166" fontId="47" fillId="0" borderId="3" xfId="24" applyNumberFormat="1" applyFont="1" applyFill="1" applyBorder="1"/>
    <xf numFmtId="170" fontId="3" fillId="0" borderId="3" xfId="24" applyNumberFormat="1" applyBorder="1"/>
    <xf numFmtId="0" fontId="47" fillId="0" borderId="0" xfId="24" applyFont="1" applyFill="1"/>
    <xf numFmtId="0" fontId="47" fillId="0" borderId="0" xfId="24" applyFont="1" applyBorder="1"/>
    <xf numFmtId="44" fontId="47" fillId="0" borderId="0" xfId="24" applyNumberFormat="1" applyFont="1"/>
    <xf numFmtId="0" fontId="40" fillId="0" borderId="0" xfId="24" applyFont="1" applyFill="1" applyAlignment="1">
      <alignment horizontal="centerContinuous"/>
    </xf>
    <xf numFmtId="0" fontId="40" fillId="0" borderId="0" xfId="24" applyFont="1"/>
    <xf numFmtId="0" fontId="40" fillId="0" borderId="0" xfId="24" applyFont="1" applyAlignment="1">
      <alignment horizontal="centerContinuous"/>
    </xf>
    <xf numFmtId="0" fontId="40" fillId="0" borderId="0" xfId="24" applyFont="1" applyBorder="1"/>
    <xf numFmtId="0" fontId="40" fillId="0" borderId="0" xfId="24" applyFont="1" applyAlignment="1">
      <alignment horizontal="left"/>
    </xf>
    <xf numFmtId="0" fontId="40" fillId="0" borderId="0" xfId="24" applyFont="1" applyBorder="1" applyAlignment="1">
      <alignment horizontal="centerContinuous"/>
    </xf>
    <xf numFmtId="0" fontId="40" fillId="0" borderId="2" xfId="24" applyFont="1" applyBorder="1" applyAlignment="1">
      <alignment horizontal="centerContinuous"/>
    </xf>
    <xf numFmtId="0" fontId="40" fillId="0" borderId="0" xfId="24" applyFont="1" applyBorder="1" applyAlignment="1">
      <alignment horizontal="left"/>
    </xf>
    <xf numFmtId="0" fontId="40" fillId="0" borderId="2" xfId="24" applyFont="1" applyBorder="1" applyAlignment="1">
      <alignment horizontal="center"/>
    </xf>
    <xf numFmtId="0" fontId="40" fillId="0" borderId="0" xfId="24" applyFont="1" applyBorder="1" applyAlignment="1">
      <alignment horizontal="center"/>
    </xf>
    <xf numFmtId="0" fontId="49" fillId="0" borderId="0" xfId="24" applyFont="1"/>
    <xf numFmtId="176" fontId="40" fillId="0" borderId="0" xfId="24" applyNumberFormat="1" applyFont="1"/>
    <xf numFmtId="0" fontId="49" fillId="0" borderId="0" xfId="24" applyFont="1" applyBorder="1"/>
    <xf numFmtId="44" fontId="44" fillId="0" borderId="0" xfId="24" applyNumberFormat="1" applyFont="1"/>
    <xf numFmtId="44" fontId="49" fillId="0" borderId="0" xfId="24" applyNumberFormat="1" applyFont="1" applyBorder="1"/>
    <xf numFmtId="44" fontId="40" fillId="0" borderId="0" xfId="24" applyNumberFormat="1" applyFont="1"/>
    <xf numFmtId="44" fontId="40" fillId="0" borderId="3" xfId="24" applyNumberFormat="1" applyFont="1" applyBorder="1"/>
    <xf numFmtId="44" fontId="49" fillId="0" borderId="0" xfId="24" applyNumberFormat="1" applyFont="1"/>
    <xf numFmtId="44" fontId="3" fillId="0" borderId="0" xfId="24" applyNumberFormat="1" applyFont="1"/>
    <xf numFmtId="174" fontId="44" fillId="0" borderId="0" xfId="24" applyNumberFormat="1" applyFont="1"/>
    <xf numFmtId="174" fontId="49" fillId="0" borderId="0" xfId="24" applyNumberFormat="1" applyFont="1" applyBorder="1"/>
    <xf numFmtId="174" fontId="40" fillId="0" borderId="0" xfId="24" applyNumberFormat="1" applyFont="1"/>
    <xf numFmtId="174" fontId="3" fillId="0" borderId="0" xfId="24" applyNumberFormat="1" applyFont="1"/>
    <xf numFmtId="174" fontId="40" fillId="0" borderId="3" xfId="24" applyNumberFormat="1" applyFont="1" applyBorder="1"/>
    <xf numFmtId="174" fontId="3" fillId="0" borderId="3" xfId="24" applyNumberFormat="1" applyFont="1" applyBorder="1"/>
    <xf numFmtId="0" fontId="3" fillId="0" borderId="0" xfId="24" applyFont="1"/>
    <xf numFmtId="174" fontId="3" fillId="0" borderId="0" xfId="24" applyNumberFormat="1" applyFont="1" applyFill="1"/>
    <xf numFmtId="176" fontId="40" fillId="0" borderId="3" xfId="24" applyNumberFormat="1" applyFont="1" applyBorder="1"/>
    <xf numFmtId="174" fontId="40" fillId="0" borderId="0" xfId="24" applyNumberFormat="1" applyFont="1" applyBorder="1"/>
    <xf numFmtId="44" fontId="40" fillId="0" borderId="0" xfId="24" applyNumberFormat="1" applyFont="1" applyBorder="1"/>
    <xf numFmtId="171" fontId="40" fillId="0" borderId="0" xfId="24" applyNumberFormat="1" applyFont="1"/>
    <xf numFmtId="171" fontId="40" fillId="0" borderId="0" xfId="24" applyNumberFormat="1" applyFont="1" applyBorder="1"/>
    <xf numFmtId="10" fontId="40" fillId="0" borderId="0" xfId="24" applyNumberFormat="1" applyFont="1"/>
    <xf numFmtId="0" fontId="40" fillId="0" borderId="0" xfId="24" applyFont="1" applyFill="1" applyAlignment="1"/>
    <xf numFmtId="0" fontId="3" fillId="0" borderId="0" xfId="24" applyFont="1" applyAlignment="1">
      <alignment horizontal="center"/>
    </xf>
    <xf numFmtId="0" fontId="40" fillId="0" borderId="2" xfId="24" applyFont="1" applyBorder="1"/>
    <xf numFmtId="0" fontId="44" fillId="0" borderId="2" xfId="24" applyFont="1" applyFill="1" applyBorder="1" applyAlignment="1">
      <alignment horizontal="center"/>
    </xf>
    <xf numFmtId="0" fontId="51" fillId="0" borderId="0" xfId="24" applyFont="1" applyBorder="1" applyProtection="1">
      <protection locked="0"/>
    </xf>
    <xf numFmtId="170" fontId="41" fillId="0" borderId="0" xfId="24" applyNumberFormat="1" applyFont="1"/>
    <xf numFmtId="170" fontId="44" fillId="0" borderId="0" xfId="24" applyNumberFormat="1" applyFont="1" applyFill="1"/>
    <xf numFmtId="42" fontId="40" fillId="0" borderId="0" xfId="24" applyNumberFormat="1" applyFont="1" applyBorder="1"/>
    <xf numFmtId="171" fontId="3" fillId="0" borderId="0" xfId="24" applyNumberFormat="1" applyFont="1"/>
    <xf numFmtId="0" fontId="40" fillId="0" borderId="0" xfId="24" applyFont="1" applyBorder="1" applyProtection="1">
      <protection locked="0"/>
    </xf>
    <xf numFmtId="0" fontId="51" fillId="0" borderId="0" xfId="24" applyFont="1" applyFill="1" applyBorder="1" applyProtection="1">
      <protection locked="0"/>
    </xf>
    <xf numFmtId="3" fontId="40" fillId="0" borderId="0" xfId="24" applyNumberFormat="1" applyFont="1" applyFill="1" applyBorder="1" applyAlignment="1" applyProtection="1">
      <alignment horizontal="left"/>
      <protection locked="0"/>
    </xf>
    <xf numFmtId="170" fontId="44" fillId="0" borderId="0" xfId="24" applyNumberFormat="1" applyFont="1"/>
    <xf numFmtId="0" fontId="41" fillId="0" borderId="0" xfId="24" applyFont="1"/>
    <xf numFmtId="0" fontId="44" fillId="0" borderId="0" xfId="24" applyFont="1"/>
    <xf numFmtId="170" fontId="41" fillId="0" borderId="0" xfId="24" applyNumberFormat="1" applyFont="1" applyFill="1"/>
    <xf numFmtId="0" fontId="40" fillId="0" borderId="0" xfId="24" applyFont="1" applyFill="1" applyBorder="1"/>
    <xf numFmtId="44" fontId="41" fillId="0" borderId="0" xfId="24" applyNumberFormat="1" applyFont="1"/>
    <xf numFmtId="171" fontId="3" fillId="0" borderId="3" xfId="24" applyNumberFormat="1" applyFont="1" applyBorder="1"/>
    <xf numFmtId="170" fontId="3" fillId="0" borderId="0" xfId="24" applyNumberFormat="1" applyFont="1"/>
    <xf numFmtId="171" fontId="3" fillId="0" borderId="0" xfId="24" applyNumberFormat="1" applyFont="1" applyBorder="1"/>
    <xf numFmtId="37" fontId="40" fillId="0" borderId="0" xfId="24" applyNumberFormat="1" applyFont="1"/>
    <xf numFmtId="37" fontId="40" fillId="0" borderId="0" xfId="24" applyNumberFormat="1" applyFont="1" applyFill="1"/>
    <xf numFmtId="0" fontId="40" fillId="0" borderId="0" xfId="24" applyFont="1" applyFill="1"/>
    <xf numFmtId="0" fontId="41" fillId="0" borderId="0" xfId="24" applyFont="1" applyFill="1"/>
    <xf numFmtId="42" fontId="3" fillId="0" borderId="0" xfId="24" applyNumberFormat="1" applyFont="1" applyBorder="1"/>
    <xf numFmtId="0" fontId="3" fillId="0" borderId="0" xfId="24" applyFont="1" applyBorder="1"/>
    <xf numFmtId="0" fontId="50" fillId="0" borderId="0" xfId="24" applyFont="1"/>
    <xf numFmtId="42" fontId="3" fillId="0" borderId="3" xfId="24" applyNumberFormat="1" applyFont="1" applyBorder="1"/>
    <xf numFmtId="3" fontId="3" fillId="0" borderId="0" xfId="24" applyNumberFormat="1" applyFont="1"/>
    <xf numFmtId="166" fontId="3" fillId="0" borderId="0" xfId="24" applyNumberFormat="1" applyFont="1"/>
    <xf numFmtId="0" fontId="31" fillId="0" borderId="0" xfId="0" applyFont="1" applyFill="1" applyAlignment="1">
      <alignment horizontal="centerContinuous"/>
    </xf>
    <xf numFmtId="0" fontId="20" fillId="0" borderId="0" xfId="2" applyFont="1" applyFill="1" applyAlignment="1">
      <alignment horizontal="centerContinuous"/>
    </xf>
    <xf numFmtId="0" fontId="31" fillId="0" borderId="0" xfId="2" applyFont="1" applyFill="1" applyAlignment="1">
      <alignment horizontal="centerContinuous"/>
    </xf>
    <xf numFmtId="0" fontId="2" fillId="0" borderId="0" xfId="26"/>
    <xf numFmtId="166" fontId="2" fillId="0" borderId="3" xfId="26" applyNumberFormat="1" applyBorder="1"/>
    <xf numFmtId="166" fontId="2" fillId="0" borderId="0" xfId="26" applyNumberFormat="1" applyFont="1"/>
    <xf numFmtId="0" fontId="50" fillId="0" borderId="0" xfId="26" applyFont="1"/>
    <xf numFmtId="0" fontId="2" fillId="0" borderId="0" xfId="26" applyFill="1"/>
    <xf numFmtId="0" fontId="1" fillId="0" borderId="0" xfId="26" applyFont="1"/>
    <xf numFmtId="44" fontId="25" fillId="0" borderId="0" xfId="1" applyFont="1" applyFill="1" applyBorder="1" applyAlignment="1">
      <alignment horizontal="center"/>
    </xf>
    <xf numFmtId="174" fontId="25" fillId="0" borderId="0" xfId="0" applyNumberFormat="1" applyFont="1" applyFill="1" applyBorder="1"/>
    <xf numFmtId="174" fontId="25" fillId="0" borderId="0" xfId="0" applyNumberFormat="1" applyFont="1" applyFill="1"/>
    <xf numFmtId="3" fontId="41" fillId="0" borderId="0" xfId="24" applyNumberFormat="1" applyFont="1"/>
    <xf numFmtId="174" fontId="41" fillId="0" borderId="0" xfId="24" applyNumberFormat="1" applyFont="1"/>
    <xf numFmtId="174" fontId="41" fillId="0" borderId="0" xfId="24" applyNumberFormat="1" applyFont="1" applyFill="1"/>
    <xf numFmtId="3" fontId="41" fillId="0" borderId="0" xfId="24" applyNumberFormat="1" applyFont="1" applyFill="1"/>
    <xf numFmtId="37" fontId="25" fillId="0" borderId="0" xfId="0" applyNumberFormat="1" applyFont="1" applyFill="1" applyBorder="1"/>
    <xf numFmtId="37" fontId="25" fillId="6" borderId="0" xfId="7" applyNumberFormat="1" applyFont="1" applyFill="1" applyBorder="1" applyAlignment="1">
      <alignment horizontal="right"/>
    </xf>
    <xf numFmtId="172" fontId="25" fillId="6" borderId="0" xfId="8" applyNumberFormat="1" applyFont="1" applyFill="1" applyBorder="1" applyAlignment="1">
      <alignment horizontal="right"/>
    </xf>
    <xf numFmtId="5" fontId="25" fillId="6" borderId="0" xfId="7" applyNumberFormat="1" applyFont="1" applyFill="1" applyBorder="1" applyAlignment="1">
      <alignment horizontal="right"/>
    </xf>
    <xf numFmtId="37" fontId="25" fillId="6" borderId="0" xfId="17" applyNumberFormat="1" applyFont="1" applyFill="1" applyBorder="1" applyAlignment="1">
      <alignment horizontal="right"/>
    </xf>
    <xf numFmtId="37" fontId="25" fillId="6" borderId="0" xfId="20" applyNumberFormat="1" applyFont="1" applyFill="1" applyBorder="1"/>
    <xf numFmtId="5" fontId="25" fillId="6" borderId="7" xfId="7" applyNumberFormat="1" applyFont="1" applyFill="1" applyBorder="1"/>
    <xf numFmtId="168" fontId="25" fillId="0" borderId="14" xfId="0" applyNumberFormat="1" applyFont="1" applyFill="1" applyBorder="1"/>
    <xf numFmtId="168" fontId="25" fillId="0" borderId="0" xfId="0" applyNumberFormat="1" applyFont="1" applyFill="1" applyBorder="1"/>
    <xf numFmtId="171" fontId="25" fillId="0" borderId="3" xfId="0" applyNumberFormat="1" applyFont="1" applyFill="1" applyBorder="1"/>
    <xf numFmtId="171" fontId="25" fillId="0" borderId="15" xfId="0" applyNumberFormat="1" applyFont="1" applyFill="1" applyBorder="1"/>
    <xf numFmtId="0" fontId="25" fillId="0" borderId="0" xfId="0" applyFont="1" applyFill="1" applyBorder="1"/>
    <xf numFmtId="171" fontId="25" fillId="0" borderId="0" xfId="0" applyNumberFormat="1" applyFont="1" applyFill="1" applyBorder="1"/>
    <xf numFmtId="171" fontId="25" fillId="0" borderId="7" xfId="0" applyNumberFormat="1" applyFont="1" applyFill="1" applyBorder="1"/>
    <xf numFmtId="9" fontId="25" fillId="0" borderId="0" xfId="0" applyNumberFormat="1" applyFont="1" applyFill="1" applyBorder="1"/>
    <xf numFmtId="0" fontId="25" fillId="0" borderId="2" xfId="0" applyFont="1" applyFill="1" applyBorder="1"/>
    <xf numFmtId="9" fontId="25" fillId="0" borderId="2" xfId="0" applyNumberFormat="1" applyFont="1" applyFill="1" applyBorder="1"/>
    <xf numFmtId="171" fontId="25" fillId="0" borderId="5" xfId="0" applyNumberFormat="1" applyFont="1" applyFill="1" applyBorder="1"/>
    <xf numFmtId="42" fontId="25" fillId="0" borderId="10" xfId="0" applyNumberFormat="1" applyFont="1" applyFill="1" applyBorder="1"/>
    <xf numFmtId="0" fontId="14" fillId="2" borderId="0" xfId="5" applyFont="1" applyFill="1"/>
    <xf numFmtId="0" fontId="11" fillId="2" borderId="0" xfId="2" applyFill="1"/>
    <xf numFmtId="0" fontId="12" fillId="4" borderId="0" xfId="5" applyFont="1" applyFill="1"/>
    <xf numFmtId="0" fontId="2" fillId="4" borderId="0" xfId="26" applyFill="1"/>
    <xf numFmtId="166" fontId="44" fillId="2" borderId="46" xfId="26" applyNumberFormat="1" applyFont="1" applyFill="1" applyBorder="1"/>
    <xf numFmtId="166" fontId="2" fillId="2" borderId="47" xfId="26" applyNumberFormat="1" applyFill="1" applyBorder="1"/>
    <xf numFmtId="10" fontId="2" fillId="2" borderId="45" xfId="25" applyNumberFormat="1" applyFont="1" applyFill="1" applyBorder="1"/>
    <xf numFmtId="0" fontId="29" fillId="2" borderId="35" xfId="2" applyFont="1" applyFill="1" applyBorder="1"/>
    <xf numFmtId="0" fontId="29" fillId="2" borderId="34" xfId="7" applyFont="1" applyFill="1" applyBorder="1"/>
    <xf numFmtId="37" fontId="25" fillId="2" borderId="34" xfId="7" applyNumberFormat="1" applyFont="1" applyFill="1" applyBorder="1" applyAlignment="1">
      <alignment horizontal="right"/>
    </xf>
    <xf numFmtId="0" fontId="13" fillId="2" borderId="34" xfId="7" applyFont="1" applyFill="1" applyBorder="1"/>
    <xf numFmtId="172" fontId="13" fillId="2" borderId="34" xfId="8" applyNumberFormat="1" applyFont="1" applyFill="1" applyBorder="1" applyAlignment="1">
      <alignment horizontal="right"/>
    </xf>
    <xf numFmtId="5" fontId="25" fillId="2" borderId="39" xfId="7" applyNumberFormat="1" applyFont="1" applyFill="1" applyBorder="1" applyAlignment="1">
      <alignment horizontal="right"/>
    </xf>
    <xf numFmtId="0" fontId="29" fillId="2" borderId="43" xfId="2" applyFont="1" applyFill="1" applyBorder="1"/>
    <xf numFmtId="0" fontId="29" fillId="2" borderId="0" xfId="7" applyFont="1" applyFill="1" applyBorder="1"/>
    <xf numFmtId="37" fontId="13" fillId="2" borderId="0" xfId="7" applyNumberFormat="1" applyFont="1" applyFill="1" applyBorder="1" applyAlignment="1">
      <alignment horizontal="right"/>
    </xf>
    <xf numFmtId="0" fontId="13" fillId="2" borderId="0" xfId="7" applyFont="1" applyFill="1" applyBorder="1"/>
    <xf numFmtId="172" fontId="13" fillId="2" borderId="0" xfId="8" applyNumberFormat="1" applyFont="1" applyFill="1" applyBorder="1" applyAlignment="1">
      <alignment horizontal="right"/>
    </xf>
    <xf numFmtId="5" fontId="13" fillId="2" borderId="25" xfId="7" applyNumberFormat="1" applyFont="1" applyFill="1" applyBorder="1" applyAlignment="1">
      <alignment horizontal="right"/>
    </xf>
    <xf numFmtId="0" fontId="29" fillId="2" borderId="32" xfId="2" applyFont="1" applyFill="1" applyBorder="1"/>
    <xf numFmtId="0" fontId="29" fillId="2" borderId="31" xfId="7" applyFont="1" applyFill="1" applyBorder="1"/>
    <xf numFmtId="37" fontId="13" fillId="2" borderId="31" xfId="7" applyNumberFormat="1" applyFont="1" applyFill="1" applyBorder="1" applyAlignment="1">
      <alignment horizontal="right"/>
    </xf>
    <xf numFmtId="0" fontId="13" fillId="2" borderId="31" xfId="7" applyFont="1" applyFill="1" applyBorder="1"/>
    <xf numFmtId="172" fontId="13" fillId="2" borderId="31" xfId="8" applyNumberFormat="1" applyFont="1" applyFill="1" applyBorder="1" applyAlignment="1">
      <alignment horizontal="right"/>
    </xf>
    <xf numFmtId="5" fontId="13" fillId="2" borderId="42" xfId="7" applyNumberFormat="1" applyFont="1" applyFill="1" applyBorder="1" applyAlignment="1">
      <alignment horizontal="right"/>
    </xf>
    <xf numFmtId="166" fontId="29" fillId="2" borderId="34" xfId="1" applyNumberFormat="1" applyFont="1" applyFill="1" applyBorder="1"/>
    <xf numFmtId="37" fontId="13" fillId="2" borderId="34" xfId="7" applyNumberFormat="1" applyFont="1" applyFill="1" applyBorder="1" applyAlignment="1">
      <alignment horizontal="right"/>
    </xf>
    <xf numFmtId="10" fontId="13" fillId="2" borderId="33" xfId="25" applyNumberFormat="1" applyFont="1" applyFill="1" applyBorder="1"/>
    <xf numFmtId="5" fontId="13" fillId="2" borderId="44" xfId="7" applyNumberFormat="1" applyFont="1" applyFill="1" applyBorder="1"/>
    <xf numFmtId="5" fontId="13" fillId="2" borderId="30" xfId="7" applyNumberFormat="1" applyFont="1" applyFill="1" applyBorder="1"/>
    <xf numFmtId="5" fontId="20" fillId="2" borderId="23" xfId="7" applyNumberFormat="1" applyFont="1" applyFill="1" applyBorder="1" applyAlignment="1">
      <alignment horizontal="right"/>
    </xf>
    <xf numFmtId="37" fontId="25" fillId="2" borderId="22" xfId="7" applyNumberFormat="1" applyFont="1" applyFill="1" applyBorder="1" applyAlignment="1">
      <alignment horizontal="right"/>
    </xf>
    <xf numFmtId="0" fontId="13" fillId="2" borderId="21" xfId="7" applyFont="1" applyFill="1" applyBorder="1"/>
    <xf numFmtId="172" fontId="25" fillId="2" borderId="21" xfId="7" applyNumberFormat="1" applyFont="1" applyFill="1" applyBorder="1" applyAlignment="1">
      <alignment horizontal="right"/>
    </xf>
    <xf numFmtId="37" fontId="25" fillId="2" borderId="35" xfId="7" applyNumberFormat="1" applyFont="1" applyFill="1" applyBorder="1" applyAlignment="1">
      <alignment horizontal="right"/>
    </xf>
    <xf numFmtId="172" fontId="25" fillId="2" borderId="34" xfId="8" applyNumberFormat="1" applyFont="1" applyFill="1" applyBorder="1" applyAlignment="1">
      <alignment horizontal="right"/>
    </xf>
    <xf numFmtId="37" fontId="25" fillId="2" borderId="32" xfId="7" applyNumberFormat="1" applyFont="1" applyFill="1" applyBorder="1" applyAlignment="1">
      <alignment horizontal="right"/>
    </xf>
    <xf numFmtId="172" fontId="25" fillId="2" borderId="31" xfId="8" applyNumberFormat="1" applyFont="1" applyFill="1" applyBorder="1" applyAlignment="1">
      <alignment horizontal="right"/>
    </xf>
    <xf numFmtId="5" fontId="25" fillId="2" borderId="25" xfId="7" applyNumberFormat="1" applyFont="1" applyFill="1" applyBorder="1" applyAlignment="1">
      <alignment horizontal="right"/>
    </xf>
    <xf numFmtId="172" fontId="25" fillId="2" borderId="27" xfId="7" applyNumberFormat="1" applyFont="1" applyFill="1" applyBorder="1" applyAlignment="1">
      <alignment horizontal="right"/>
    </xf>
    <xf numFmtId="5" fontId="13" fillId="2" borderId="26" xfId="7" applyNumberFormat="1" applyFont="1" applyFill="1" applyBorder="1" applyAlignment="1">
      <alignment horizontal="right"/>
    </xf>
    <xf numFmtId="5" fontId="25" fillId="2" borderId="40" xfId="7" applyNumberFormat="1" applyFont="1" applyFill="1" applyBorder="1"/>
    <xf numFmtId="5" fontId="20" fillId="2" borderId="23" xfId="7" applyNumberFormat="1" applyFont="1" applyFill="1" applyBorder="1"/>
    <xf numFmtId="5" fontId="13" fillId="2" borderId="34" xfId="7" applyNumberFormat="1" applyFont="1" applyFill="1" applyBorder="1" applyAlignment="1">
      <alignment horizontal="right"/>
    </xf>
    <xf numFmtId="5" fontId="25" fillId="2" borderId="33" xfId="7" applyNumberFormat="1" applyFont="1" applyFill="1" applyBorder="1"/>
    <xf numFmtId="5" fontId="13" fillId="2" borderId="31" xfId="7" applyNumberFormat="1" applyFont="1" applyFill="1" applyBorder="1" applyAlignment="1">
      <alignment horizontal="right"/>
    </xf>
    <xf numFmtId="5" fontId="25" fillId="2" borderId="38" xfId="7" applyNumberFormat="1" applyFont="1" applyFill="1" applyBorder="1"/>
    <xf numFmtId="37" fontId="25" fillId="2" borderId="27" xfId="7" applyNumberFormat="1" applyFont="1" applyFill="1" applyBorder="1" applyAlignment="1">
      <alignment horizontal="right"/>
    </xf>
    <xf numFmtId="0" fontId="13" fillId="2" borderId="26" xfId="7" applyFont="1" applyFill="1" applyBorder="1"/>
    <xf numFmtId="172" fontId="25" fillId="2" borderId="26" xfId="8" applyNumberFormat="1" applyFont="1" applyFill="1" applyBorder="1" applyAlignment="1">
      <alignment horizontal="right"/>
    </xf>
    <xf numFmtId="5" fontId="25" fillId="2" borderId="26" xfId="7" applyNumberFormat="1" applyFont="1" applyFill="1" applyBorder="1" applyAlignment="1">
      <alignment horizontal="right"/>
    </xf>
    <xf numFmtId="5" fontId="25" fillId="2" borderId="37" xfId="7" applyNumberFormat="1" applyFont="1" applyFill="1" applyBorder="1"/>
    <xf numFmtId="172" fontId="25" fillId="2" borderId="34" xfId="7" applyNumberFormat="1" applyFont="1" applyFill="1" applyBorder="1" applyAlignment="1">
      <alignment horizontal="right"/>
    </xf>
    <xf numFmtId="5" fontId="25" fillId="2" borderId="34" xfId="7" applyNumberFormat="1" applyFont="1" applyFill="1" applyBorder="1" applyAlignment="1">
      <alignment horizontal="right"/>
    </xf>
    <xf numFmtId="172" fontId="25" fillId="2" borderId="31" xfId="7" applyNumberFormat="1" applyFont="1" applyFill="1" applyBorder="1" applyAlignment="1">
      <alignment horizontal="right"/>
    </xf>
    <xf numFmtId="5" fontId="25" fillId="2" borderId="31" xfId="7" applyNumberFormat="1" applyFont="1" applyFill="1" applyBorder="1" applyAlignment="1">
      <alignment horizontal="right"/>
    </xf>
    <xf numFmtId="5" fontId="25" fillId="2" borderId="30" xfId="7" applyNumberFormat="1" applyFont="1" applyFill="1" applyBorder="1"/>
    <xf numFmtId="184" fontId="25" fillId="2" borderId="26" xfId="8" applyNumberFormat="1" applyFont="1" applyFill="1" applyBorder="1" applyAlignment="1">
      <alignment horizontal="right"/>
    </xf>
    <xf numFmtId="5" fontId="25" fillId="2" borderId="25" xfId="7" applyNumberFormat="1" applyFont="1" applyFill="1" applyBorder="1"/>
    <xf numFmtId="5" fontId="27" fillId="2" borderId="26" xfId="7" applyNumberFormat="1" applyFont="1" applyFill="1" applyBorder="1" applyAlignment="1">
      <alignment horizontal="right"/>
    </xf>
    <xf numFmtId="5" fontId="25" fillId="2" borderId="24" xfId="7" applyNumberFormat="1" applyFont="1" applyFill="1" applyBorder="1" applyAlignment="1">
      <alignment horizontal="right"/>
    </xf>
    <xf numFmtId="5" fontId="29" fillId="2" borderId="41" xfId="20" applyNumberFormat="1" applyFont="1" applyFill="1" applyBorder="1"/>
    <xf numFmtId="10" fontId="29" fillId="2" borderId="41" xfId="21" applyNumberFormat="1" applyFont="1" applyFill="1" applyBorder="1"/>
    <xf numFmtId="5" fontId="29" fillId="2" borderId="27" xfId="20" applyNumberFormat="1" applyFont="1" applyFill="1" applyBorder="1"/>
    <xf numFmtId="5" fontId="29" fillId="2" borderId="26" xfId="20" applyNumberFormat="1" applyFont="1" applyFill="1" applyBorder="1"/>
    <xf numFmtId="10" fontId="29" fillId="2" borderId="37" xfId="21" applyNumberFormat="1" applyFont="1" applyFill="1" applyBorder="1"/>
    <xf numFmtId="5" fontId="29" fillId="2" borderId="35" xfId="20" applyNumberFormat="1" applyFont="1" applyFill="1" applyBorder="1"/>
    <xf numFmtId="5" fontId="29" fillId="2" borderId="34" xfId="20" applyNumberFormat="1" applyFont="1" applyFill="1" applyBorder="1"/>
    <xf numFmtId="10" fontId="29" fillId="2" borderId="33" xfId="21" applyNumberFormat="1" applyFont="1" applyFill="1" applyBorder="1"/>
    <xf numFmtId="5" fontId="29" fillId="2" borderId="32" xfId="20" applyNumberFormat="1" applyFont="1" applyFill="1" applyBorder="1"/>
    <xf numFmtId="5" fontId="29" fillId="2" borderId="31" xfId="20" applyNumberFormat="1" applyFont="1" applyFill="1" applyBorder="1"/>
    <xf numFmtId="10" fontId="29" fillId="2" borderId="30" xfId="21" applyNumberFormat="1" applyFont="1" applyFill="1" applyBorder="1"/>
    <xf numFmtId="5" fontId="29" fillId="2" borderId="22" xfId="20" applyNumberFormat="1" applyFont="1" applyFill="1" applyBorder="1"/>
    <xf numFmtId="5" fontId="29" fillId="2" borderId="21" xfId="20" applyNumberFormat="1" applyFont="1" applyFill="1" applyBorder="1"/>
    <xf numFmtId="10" fontId="29" fillId="2" borderId="20" xfId="21" applyNumberFormat="1" applyFont="1" applyFill="1" applyBorder="1"/>
    <xf numFmtId="0" fontId="40" fillId="0" borderId="0" xfId="24" applyFont="1" applyAlignment="1">
      <alignment horizontal="center"/>
    </xf>
    <xf numFmtId="0" fontId="3" fillId="0" borderId="0" xfId="24" applyAlignment="1">
      <alignment horizontal="center"/>
    </xf>
    <xf numFmtId="0" fontId="3" fillId="0" borderId="0" xfId="24" applyFont="1" applyAlignment="1">
      <alignment horizontal="center"/>
    </xf>
    <xf numFmtId="0" fontId="31" fillId="6" borderId="14" xfId="20" applyFont="1" applyFill="1" applyBorder="1" applyAlignment="1">
      <alignment horizontal="center"/>
    </xf>
    <xf numFmtId="0" fontId="31" fillId="6" borderId="0" xfId="20" applyFont="1" applyFill="1" applyBorder="1" applyAlignment="1">
      <alignment horizontal="center"/>
    </xf>
    <xf numFmtId="0" fontId="31" fillId="6" borderId="7" xfId="20" applyFont="1" applyFill="1" applyBorder="1" applyAlignment="1">
      <alignment horizontal="center"/>
    </xf>
    <xf numFmtId="0" fontId="31" fillId="6" borderId="14" xfId="20" applyFont="1" applyFill="1" applyBorder="1" applyAlignment="1">
      <alignment horizontal="center" vertical="center" wrapText="1"/>
    </xf>
    <xf numFmtId="0" fontId="31" fillId="6" borderId="0" xfId="20" applyFont="1" applyFill="1" applyBorder="1" applyAlignment="1">
      <alignment horizontal="center" vertical="center" wrapText="1"/>
    </xf>
    <xf numFmtId="0" fontId="31" fillId="6" borderId="7" xfId="20" applyFont="1" applyFill="1" applyBorder="1" applyAlignment="1">
      <alignment horizontal="center" vertical="center" wrapText="1"/>
    </xf>
    <xf numFmtId="0" fontId="20" fillId="6" borderId="14" xfId="7" applyFont="1" applyFill="1" applyBorder="1" applyAlignment="1">
      <alignment horizontal="center"/>
    </xf>
    <xf numFmtId="0" fontId="20" fillId="6" borderId="0" xfId="7" applyFont="1" applyFill="1" applyBorder="1" applyAlignment="1">
      <alignment horizontal="center"/>
    </xf>
    <xf numFmtId="0" fontId="20" fillId="6" borderId="7" xfId="7" applyFont="1" applyFill="1" applyBorder="1" applyAlignment="1">
      <alignment horizontal="center"/>
    </xf>
    <xf numFmtId="37" fontId="20" fillId="6" borderId="14" xfId="7" applyNumberFormat="1" applyFont="1" applyFill="1" applyBorder="1" applyAlignment="1">
      <alignment horizontal="center"/>
    </xf>
    <xf numFmtId="37" fontId="20" fillId="6" borderId="0" xfId="7" applyNumberFormat="1" applyFont="1" applyFill="1" applyBorder="1" applyAlignment="1">
      <alignment horizontal="center"/>
    </xf>
    <xf numFmtId="37" fontId="20" fillId="6" borderId="7" xfId="7" applyNumberFormat="1" applyFont="1" applyFill="1" applyBorder="1" applyAlignment="1">
      <alignment horizontal="center"/>
    </xf>
    <xf numFmtId="0" fontId="20" fillId="0" borderId="0" xfId="2" applyNumberFormat="1" applyFont="1" applyFill="1" applyAlignment="1" applyProtection="1">
      <alignment horizontal="center"/>
      <protection locked="0"/>
    </xf>
    <xf numFmtId="0" fontId="20" fillId="0" borderId="0" xfId="2" applyNumberFormat="1" applyFont="1" applyAlignment="1">
      <alignment horizontal="center"/>
    </xf>
    <xf numFmtId="0" fontId="20" fillId="0" borderId="0" xfId="2" applyNumberFormat="1" applyFont="1" applyFill="1" applyAlignment="1">
      <alignment horizontal="center"/>
    </xf>
  </cellXfs>
  <cellStyles count="27">
    <cellStyle name="Comma" xfId="9" builtinId="3"/>
    <cellStyle name="Comma 2 2" xfId="17"/>
    <cellStyle name="Comma 5 2" xfId="11"/>
    <cellStyle name="Currency" xfId="1" builtinId="4"/>
    <cellStyle name="Currency 10" xfId="8"/>
    <cellStyle name="Normal" xfId="0" builtinId="0"/>
    <cellStyle name="Normal - Style1 2 2 3 4" xfId="2"/>
    <cellStyle name="Normal 10 2 2" xfId="13"/>
    <cellStyle name="Normal 11" xfId="12"/>
    <cellStyle name="Normal 12" xfId="15"/>
    <cellStyle name="Normal 12 2" xfId="20"/>
    <cellStyle name="Normal 14" xfId="10"/>
    <cellStyle name="Normal 2" xfId="14"/>
    <cellStyle name="Normal 2 10" xfId="7"/>
    <cellStyle name="Normal 2 2" xfId="5"/>
    <cellStyle name="Normal 3" xfId="19"/>
    <cellStyle name="Normal 4" xfId="22"/>
    <cellStyle name="Normal 5" xfId="6"/>
    <cellStyle name="Normal 6" xfId="23"/>
    <cellStyle name="Normal 7" xfId="24"/>
    <cellStyle name="Normal 8" xfId="26"/>
    <cellStyle name="Percent" xfId="25" builtinId="5"/>
    <cellStyle name="Percent 10" xfId="3"/>
    <cellStyle name="Percent 2" xfId="18"/>
    <cellStyle name="Percent 4" xfId="16"/>
    <cellStyle name="Percent 4 2" xfId="21"/>
    <cellStyle name="Report Heading" xfId="4"/>
  </cellStyles>
  <dxfs count="0"/>
  <tableStyles count="0" defaultTableStyle="TableStyleMedium9" defaultPivotStyle="PivotStyleLight16"/>
  <colors>
    <mruColors>
      <color rgb="FF0000FF"/>
      <color rgb="FFFFFF99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333375</xdr:colOff>
      <xdr:row>2</xdr:row>
      <xdr:rowOff>180975</xdr:rowOff>
    </xdr:from>
    <xdr:ext cx="6542857" cy="330476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561975"/>
          <a:ext cx="6542857" cy="3304762"/>
        </a:xfrm>
        <a:prstGeom prst="rect">
          <a:avLst/>
        </a:prstGeom>
      </xdr:spPr>
    </xdr:pic>
    <xdr:clientData/>
  </xdr:oneCellAnchor>
  <xdr:twoCellAnchor>
    <xdr:from>
      <xdr:col>1</xdr:col>
      <xdr:colOff>133351</xdr:colOff>
      <xdr:row>12</xdr:row>
      <xdr:rowOff>47625</xdr:rowOff>
    </xdr:from>
    <xdr:to>
      <xdr:col>1</xdr:col>
      <xdr:colOff>1066801</xdr:colOff>
      <xdr:row>13</xdr:row>
      <xdr:rowOff>123825</xdr:rowOff>
    </xdr:to>
    <xdr:sp macro="" textlink="">
      <xdr:nvSpPr>
        <xdr:cNvPr id="3" name="TextBox 2"/>
        <xdr:cNvSpPr txBox="1"/>
      </xdr:nvSpPr>
      <xdr:spPr>
        <a:xfrm>
          <a:off x="3857626" y="23336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95251</xdr:colOff>
      <xdr:row>15</xdr:row>
      <xdr:rowOff>9525</xdr:rowOff>
    </xdr:from>
    <xdr:to>
      <xdr:col>1</xdr:col>
      <xdr:colOff>971551</xdr:colOff>
      <xdr:row>16</xdr:row>
      <xdr:rowOff>66675</xdr:rowOff>
    </xdr:to>
    <xdr:sp macro="" textlink="">
      <xdr:nvSpPr>
        <xdr:cNvPr id="4" name="TextBox 3"/>
        <xdr:cNvSpPr txBox="1"/>
      </xdr:nvSpPr>
      <xdr:spPr>
        <a:xfrm>
          <a:off x="3819526" y="28765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18</xdr:row>
      <xdr:rowOff>9525</xdr:rowOff>
    </xdr:from>
    <xdr:to>
      <xdr:col>3</xdr:col>
      <xdr:colOff>1200150</xdr:colOff>
      <xdr:row>19</xdr:row>
      <xdr:rowOff>133350</xdr:rowOff>
    </xdr:to>
    <xdr:sp macro="" textlink="">
      <xdr:nvSpPr>
        <xdr:cNvPr id="4" name="TextBox 3"/>
        <xdr:cNvSpPr txBox="1"/>
      </xdr:nvSpPr>
      <xdr:spPr>
        <a:xfrm>
          <a:off x="3409950" y="29908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457200</xdr:colOff>
      <xdr:row>17</xdr:row>
      <xdr:rowOff>123825</xdr:rowOff>
    </xdr:from>
    <xdr:to>
      <xdr:col>13</xdr:col>
      <xdr:colOff>28575</xdr:colOff>
      <xdr:row>19</xdr:row>
      <xdr:rowOff>104775</xdr:rowOff>
    </xdr:to>
    <xdr:sp macro="" textlink="">
      <xdr:nvSpPr>
        <xdr:cNvPr id="5" name="TextBox 4"/>
        <xdr:cNvSpPr txBox="1"/>
      </xdr:nvSpPr>
      <xdr:spPr>
        <a:xfrm>
          <a:off x="12144375" y="29622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828675</xdr:colOff>
      <xdr:row>52</xdr:row>
      <xdr:rowOff>76200</xdr:rowOff>
    </xdr:from>
    <xdr:to>
      <xdr:col>6</xdr:col>
      <xdr:colOff>390525</xdr:colOff>
      <xdr:row>54</xdr:row>
      <xdr:rowOff>57150</xdr:rowOff>
    </xdr:to>
    <xdr:sp macro="" textlink="">
      <xdr:nvSpPr>
        <xdr:cNvPr id="6" name="TextBox 5"/>
        <xdr:cNvSpPr txBox="1"/>
      </xdr:nvSpPr>
      <xdr:spPr>
        <a:xfrm>
          <a:off x="5334000" y="79152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13</xdr:col>
      <xdr:colOff>847725</xdr:colOff>
      <xdr:row>52</xdr:row>
      <xdr:rowOff>76200</xdr:rowOff>
    </xdr:from>
    <xdr:to>
      <xdr:col>15</xdr:col>
      <xdr:colOff>409575</xdr:colOff>
      <xdr:row>54</xdr:row>
      <xdr:rowOff>57150</xdr:rowOff>
    </xdr:to>
    <xdr:sp macro="" textlink="">
      <xdr:nvSpPr>
        <xdr:cNvPr id="7" name="TextBox 6"/>
        <xdr:cNvSpPr txBox="1"/>
      </xdr:nvSpPr>
      <xdr:spPr>
        <a:xfrm>
          <a:off x="13896975" y="79152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6</xdr:col>
      <xdr:colOff>438150</xdr:colOff>
      <xdr:row>64</xdr:row>
      <xdr:rowOff>123825</xdr:rowOff>
    </xdr:to>
    <xdr:sp macro="" textlink="">
      <xdr:nvSpPr>
        <xdr:cNvPr id="8" name="TextBox 7"/>
        <xdr:cNvSpPr txBox="1"/>
      </xdr:nvSpPr>
      <xdr:spPr>
        <a:xfrm>
          <a:off x="5381625" y="94107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438150</xdr:colOff>
      <xdr:row>64</xdr:row>
      <xdr:rowOff>123825</xdr:rowOff>
    </xdr:to>
    <xdr:sp macro="" textlink="">
      <xdr:nvSpPr>
        <xdr:cNvPr id="9" name="TextBox 8"/>
        <xdr:cNvSpPr txBox="1"/>
      </xdr:nvSpPr>
      <xdr:spPr>
        <a:xfrm>
          <a:off x="13925550" y="94107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933450</xdr:colOff>
      <xdr:row>74</xdr:row>
      <xdr:rowOff>123825</xdr:rowOff>
    </xdr:to>
    <xdr:sp macro="" textlink="">
      <xdr:nvSpPr>
        <xdr:cNvPr id="10" name="TextBox 9"/>
        <xdr:cNvSpPr txBox="1"/>
      </xdr:nvSpPr>
      <xdr:spPr>
        <a:xfrm>
          <a:off x="6581775" y="108394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73</xdr:row>
      <xdr:rowOff>0</xdr:rowOff>
    </xdr:from>
    <xdr:to>
      <xdr:col>16</xdr:col>
      <xdr:colOff>933450</xdr:colOff>
      <xdr:row>74</xdr:row>
      <xdr:rowOff>123825</xdr:rowOff>
    </xdr:to>
    <xdr:sp macro="" textlink="">
      <xdr:nvSpPr>
        <xdr:cNvPr id="11" name="TextBox 10"/>
        <xdr:cNvSpPr txBox="1"/>
      </xdr:nvSpPr>
      <xdr:spPr>
        <a:xfrm>
          <a:off x="15135225" y="108394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77</xdr:row>
      <xdr:rowOff>0</xdr:rowOff>
    </xdr:from>
    <xdr:to>
      <xdr:col>7</xdr:col>
      <xdr:colOff>228600</xdr:colOff>
      <xdr:row>78</xdr:row>
      <xdr:rowOff>123825</xdr:rowOff>
    </xdr:to>
    <xdr:sp macro="" textlink="">
      <xdr:nvSpPr>
        <xdr:cNvPr id="12" name="TextBox 11"/>
        <xdr:cNvSpPr txBox="1"/>
      </xdr:nvSpPr>
      <xdr:spPr>
        <a:xfrm>
          <a:off x="5876925" y="114109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77</xdr:row>
      <xdr:rowOff>0</xdr:rowOff>
    </xdr:from>
    <xdr:to>
      <xdr:col>16</xdr:col>
      <xdr:colOff>219075</xdr:colOff>
      <xdr:row>78</xdr:row>
      <xdr:rowOff>123825</xdr:rowOff>
    </xdr:to>
    <xdr:sp macro="" textlink="">
      <xdr:nvSpPr>
        <xdr:cNvPr id="13" name="TextBox 12"/>
        <xdr:cNvSpPr txBox="1"/>
      </xdr:nvSpPr>
      <xdr:spPr>
        <a:xfrm>
          <a:off x="14420850" y="114109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83</xdr:row>
      <xdr:rowOff>0</xdr:rowOff>
    </xdr:from>
    <xdr:to>
      <xdr:col>7</xdr:col>
      <xdr:colOff>228600</xdr:colOff>
      <xdr:row>84</xdr:row>
      <xdr:rowOff>123825</xdr:rowOff>
    </xdr:to>
    <xdr:sp macro="" textlink="">
      <xdr:nvSpPr>
        <xdr:cNvPr id="14" name="TextBox 13"/>
        <xdr:cNvSpPr txBox="1"/>
      </xdr:nvSpPr>
      <xdr:spPr>
        <a:xfrm>
          <a:off x="5876925" y="122682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87</xdr:row>
      <xdr:rowOff>0</xdr:rowOff>
    </xdr:from>
    <xdr:to>
      <xdr:col>7</xdr:col>
      <xdr:colOff>228600</xdr:colOff>
      <xdr:row>88</xdr:row>
      <xdr:rowOff>123825</xdr:rowOff>
    </xdr:to>
    <xdr:sp macro="" textlink="">
      <xdr:nvSpPr>
        <xdr:cNvPr id="15" name="TextBox 14"/>
        <xdr:cNvSpPr txBox="1"/>
      </xdr:nvSpPr>
      <xdr:spPr>
        <a:xfrm>
          <a:off x="5876925" y="128397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92</xdr:row>
      <xdr:rowOff>0</xdr:rowOff>
    </xdr:from>
    <xdr:to>
      <xdr:col>7</xdr:col>
      <xdr:colOff>228600</xdr:colOff>
      <xdr:row>93</xdr:row>
      <xdr:rowOff>123825</xdr:rowOff>
    </xdr:to>
    <xdr:sp macro="" textlink="">
      <xdr:nvSpPr>
        <xdr:cNvPr id="16" name="TextBox 15"/>
        <xdr:cNvSpPr txBox="1"/>
      </xdr:nvSpPr>
      <xdr:spPr>
        <a:xfrm>
          <a:off x="5876925" y="135540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38100</xdr:colOff>
      <xdr:row>95</xdr:row>
      <xdr:rowOff>123825</xdr:rowOff>
    </xdr:from>
    <xdr:to>
      <xdr:col>9</xdr:col>
      <xdr:colOff>47625</xdr:colOff>
      <xdr:row>97</xdr:row>
      <xdr:rowOff>104775</xdr:rowOff>
    </xdr:to>
    <xdr:sp macro="" textlink="">
      <xdr:nvSpPr>
        <xdr:cNvPr id="17" name="TextBox 16"/>
        <xdr:cNvSpPr txBox="1"/>
      </xdr:nvSpPr>
      <xdr:spPr>
        <a:xfrm>
          <a:off x="7591425" y="141065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952500</xdr:colOff>
      <xdr:row>95</xdr:row>
      <xdr:rowOff>104775</xdr:rowOff>
    </xdr:from>
    <xdr:to>
      <xdr:col>17</xdr:col>
      <xdr:colOff>914400</xdr:colOff>
      <xdr:row>97</xdr:row>
      <xdr:rowOff>85725</xdr:rowOff>
    </xdr:to>
    <xdr:sp macro="" textlink="">
      <xdr:nvSpPr>
        <xdr:cNvPr id="18" name="TextBox 17"/>
        <xdr:cNvSpPr txBox="1"/>
      </xdr:nvSpPr>
      <xdr:spPr>
        <a:xfrm>
          <a:off x="16087725" y="140874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83</xdr:row>
      <xdr:rowOff>0</xdr:rowOff>
    </xdr:from>
    <xdr:to>
      <xdr:col>16</xdr:col>
      <xdr:colOff>219075</xdr:colOff>
      <xdr:row>84</xdr:row>
      <xdr:rowOff>123825</xdr:rowOff>
    </xdr:to>
    <xdr:sp macro="" textlink="">
      <xdr:nvSpPr>
        <xdr:cNvPr id="19" name="TextBox 18"/>
        <xdr:cNvSpPr txBox="1"/>
      </xdr:nvSpPr>
      <xdr:spPr>
        <a:xfrm>
          <a:off x="14420850" y="122682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219075</xdr:colOff>
      <xdr:row>88</xdr:row>
      <xdr:rowOff>123825</xdr:rowOff>
    </xdr:to>
    <xdr:sp macro="" textlink="">
      <xdr:nvSpPr>
        <xdr:cNvPr id="20" name="TextBox 19"/>
        <xdr:cNvSpPr txBox="1"/>
      </xdr:nvSpPr>
      <xdr:spPr>
        <a:xfrm>
          <a:off x="14420850" y="128397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92</xdr:row>
      <xdr:rowOff>0</xdr:rowOff>
    </xdr:from>
    <xdr:to>
      <xdr:col>16</xdr:col>
      <xdr:colOff>219075</xdr:colOff>
      <xdr:row>93</xdr:row>
      <xdr:rowOff>123825</xdr:rowOff>
    </xdr:to>
    <xdr:sp macro="" textlink="">
      <xdr:nvSpPr>
        <xdr:cNvPr id="21" name="TextBox 20"/>
        <xdr:cNvSpPr txBox="1"/>
      </xdr:nvSpPr>
      <xdr:spPr>
        <a:xfrm>
          <a:off x="14420850" y="135540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2495550</xdr:colOff>
      <xdr:row>17</xdr:row>
      <xdr:rowOff>47625</xdr:rowOff>
    </xdr:from>
    <xdr:to>
      <xdr:col>22</xdr:col>
      <xdr:colOff>19050</xdr:colOff>
      <xdr:row>19</xdr:row>
      <xdr:rowOff>28575</xdr:rowOff>
    </xdr:to>
    <xdr:sp macro="" textlink="">
      <xdr:nvSpPr>
        <xdr:cNvPr id="22" name="TextBox 21"/>
        <xdr:cNvSpPr txBox="1"/>
      </xdr:nvSpPr>
      <xdr:spPr>
        <a:xfrm>
          <a:off x="20307300" y="288607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20</xdr:col>
      <xdr:colOff>2514599</xdr:colOff>
      <xdr:row>53</xdr:row>
      <xdr:rowOff>114300</xdr:rowOff>
    </xdr:from>
    <xdr:to>
      <xdr:col>21</xdr:col>
      <xdr:colOff>866774</xdr:colOff>
      <xdr:row>55</xdr:row>
      <xdr:rowOff>76200</xdr:rowOff>
    </xdr:to>
    <xdr:sp macro="" textlink="">
      <xdr:nvSpPr>
        <xdr:cNvPr id="23" name="TextBox 22"/>
        <xdr:cNvSpPr txBox="1"/>
      </xdr:nvSpPr>
      <xdr:spPr>
        <a:xfrm>
          <a:off x="20326349" y="8096250"/>
          <a:ext cx="8667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771525</xdr:colOff>
      <xdr:row>53</xdr:row>
      <xdr:rowOff>104774</xdr:rowOff>
    </xdr:from>
    <xdr:to>
      <xdr:col>25</xdr:col>
      <xdr:colOff>123825</xdr:colOff>
      <xdr:row>55</xdr:row>
      <xdr:rowOff>57149</xdr:rowOff>
    </xdr:to>
    <xdr:sp macro="" textlink="">
      <xdr:nvSpPr>
        <xdr:cNvPr id="24" name="TextBox 23"/>
        <xdr:cNvSpPr txBox="1"/>
      </xdr:nvSpPr>
      <xdr:spPr>
        <a:xfrm>
          <a:off x="22964775" y="8086724"/>
          <a:ext cx="9334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21</xdr:col>
      <xdr:colOff>57150</xdr:colOff>
      <xdr:row>64</xdr:row>
      <xdr:rowOff>57149</xdr:rowOff>
    </xdr:from>
    <xdr:to>
      <xdr:col>22</xdr:col>
      <xdr:colOff>57150</xdr:colOff>
      <xdr:row>65</xdr:row>
      <xdr:rowOff>133349</xdr:rowOff>
    </xdr:to>
    <xdr:sp macro="" textlink="">
      <xdr:nvSpPr>
        <xdr:cNvPr id="25" name="TextBox 24"/>
        <xdr:cNvSpPr txBox="1"/>
      </xdr:nvSpPr>
      <xdr:spPr>
        <a:xfrm>
          <a:off x="20383500" y="9610724"/>
          <a:ext cx="8953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761999</xdr:colOff>
      <xdr:row>63</xdr:row>
      <xdr:rowOff>142874</xdr:rowOff>
    </xdr:from>
    <xdr:to>
      <xdr:col>25</xdr:col>
      <xdr:colOff>47624</xdr:colOff>
      <xdr:row>65</xdr:row>
      <xdr:rowOff>123825</xdr:rowOff>
    </xdr:to>
    <xdr:sp macro="" textlink="">
      <xdr:nvSpPr>
        <xdr:cNvPr id="26" name="TextBox 25"/>
        <xdr:cNvSpPr txBox="1"/>
      </xdr:nvSpPr>
      <xdr:spPr>
        <a:xfrm>
          <a:off x="22955249" y="9553574"/>
          <a:ext cx="866775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24</xdr:col>
      <xdr:colOff>38100</xdr:colOff>
      <xdr:row>75</xdr:row>
      <xdr:rowOff>123825</xdr:rowOff>
    </xdr:to>
    <xdr:sp macro="" textlink="">
      <xdr:nvSpPr>
        <xdr:cNvPr id="27" name="TextBox 26"/>
        <xdr:cNvSpPr txBox="1"/>
      </xdr:nvSpPr>
      <xdr:spPr>
        <a:xfrm>
          <a:off x="22193250" y="10982325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24</xdr:col>
      <xdr:colOff>38100</xdr:colOff>
      <xdr:row>78</xdr:row>
      <xdr:rowOff>123825</xdr:rowOff>
    </xdr:to>
    <xdr:sp macro="" textlink="">
      <xdr:nvSpPr>
        <xdr:cNvPr id="28" name="TextBox 27"/>
        <xdr:cNvSpPr txBox="1"/>
      </xdr:nvSpPr>
      <xdr:spPr>
        <a:xfrm>
          <a:off x="22193250" y="114109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24</xdr:col>
      <xdr:colOff>38100</xdr:colOff>
      <xdr:row>84</xdr:row>
      <xdr:rowOff>123825</xdr:rowOff>
    </xdr:to>
    <xdr:sp macro="" textlink="">
      <xdr:nvSpPr>
        <xdr:cNvPr id="29" name="TextBox 28"/>
        <xdr:cNvSpPr txBox="1"/>
      </xdr:nvSpPr>
      <xdr:spPr>
        <a:xfrm>
          <a:off x="22193250" y="122682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24</xdr:col>
      <xdr:colOff>38100</xdr:colOff>
      <xdr:row>88</xdr:row>
      <xdr:rowOff>123825</xdr:rowOff>
    </xdr:to>
    <xdr:sp macro="" textlink="">
      <xdr:nvSpPr>
        <xdr:cNvPr id="30" name="TextBox 29"/>
        <xdr:cNvSpPr txBox="1"/>
      </xdr:nvSpPr>
      <xdr:spPr>
        <a:xfrm>
          <a:off x="22193250" y="1283970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24</xdr:col>
      <xdr:colOff>38100</xdr:colOff>
      <xdr:row>94</xdr:row>
      <xdr:rowOff>123825</xdr:rowOff>
    </xdr:to>
    <xdr:sp macro="" textlink="">
      <xdr:nvSpPr>
        <xdr:cNvPr id="31" name="TextBox 30"/>
        <xdr:cNvSpPr txBox="1"/>
      </xdr:nvSpPr>
      <xdr:spPr>
        <a:xfrm>
          <a:off x="22193250" y="136969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24</xdr:col>
      <xdr:colOff>38100</xdr:colOff>
      <xdr:row>98</xdr:row>
      <xdr:rowOff>123825</xdr:rowOff>
    </xdr:to>
    <xdr:sp macro="" textlink="">
      <xdr:nvSpPr>
        <xdr:cNvPr id="32" name="TextBox 31"/>
        <xdr:cNvSpPr txBox="1"/>
      </xdr:nvSpPr>
      <xdr:spPr>
        <a:xfrm>
          <a:off x="22193250" y="14268450"/>
          <a:ext cx="933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>
      <selection activeCell="L15" sqref="L15"/>
    </sheetView>
  </sheetViews>
  <sheetFormatPr defaultColWidth="9.140625" defaultRowHeight="12.75" x14ac:dyDescent="0.2"/>
  <cols>
    <col min="1" max="16384" width="9.140625" style="437"/>
  </cols>
  <sheetData>
    <row r="2" spans="1:1" ht="15.75" x14ac:dyDescent="0.25">
      <c r="A2" s="436" t="s">
        <v>346</v>
      </c>
    </row>
  </sheetData>
  <pageMargins left="0.75" right="0.75" top="1" bottom="1" header="0.5" footer="0.5"/>
  <pageSetup scale="74" orientation="landscape" horizontalDpi="300" verticalDpi="300" r:id="rId1"/>
  <headerFooter alignWithMargins="0">
    <oddFooter>&amp;L&amp;F
&amp;A&amp;RPage &amp;P of &amp;N</oddFoot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13"/>
  <sheetViews>
    <sheetView topLeftCell="J1" zoomScaleNormal="100" workbookViewId="0">
      <selection activeCell="L42" sqref="L42"/>
    </sheetView>
  </sheetViews>
  <sheetFormatPr defaultColWidth="8.5703125" defaultRowHeight="11.25" x14ac:dyDescent="0.2"/>
  <cols>
    <col min="1" max="1" width="4.42578125" style="163" customWidth="1"/>
    <col min="2" max="2" width="5" style="287" bestFit="1" customWidth="1"/>
    <col min="3" max="3" width="37.7109375" style="285" bestFit="1" customWidth="1"/>
    <col min="4" max="4" width="20.42578125" style="285" bestFit="1" customWidth="1"/>
    <col min="5" max="5" width="13.140625" style="285" bestFit="1" customWidth="1"/>
    <col min="6" max="6" width="7.42578125" style="285" bestFit="1" customWidth="1"/>
    <col min="7" max="7" width="10.5703125" style="285" customWidth="1"/>
    <col min="8" max="8" width="14.5703125" style="285" bestFit="1" customWidth="1"/>
    <col min="9" max="9" width="13.85546875" style="285" customWidth="1"/>
    <col min="10" max="10" width="5.42578125" style="163" customWidth="1"/>
    <col min="11" max="11" width="5" style="287" bestFit="1" customWidth="1"/>
    <col min="12" max="12" width="37.7109375" style="285" bestFit="1" customWidth="1"/>
    <col min="13" max="13" width="20.42578125" style="285" bestFit="1" customWidth="1"/>
    <col min="14" max="14" width="13.140625" style="285" bestFit="1" customWidth="1"/>
    <col min="15" max="15" width="7.42578125" style="285" bestFit="1" customWidth="1"/>
    <col min="16" max="16" width="10.7109375" style="285" bestFit="1" customWidth="1"/>
    <col min="17" max="18" width="14.5703125" style="285" bestFit="1" customWidth="1"/>
    <col min="19" max="19" width="6" style="163" customWidth="1"/>
    <col min="20" max="20" width="5" style="288" bestFit="1" customWidth="1"/>
    <col min="21" max="21" width="37.7109375" style="288" bestFit="1" customWidth="1"/>
    <col min="22" max="22" width="13.42578125" style="288" bestFit="1" customWidth="1"/>
    <col min="23" max="23" width="14.5703125" style="288" bestFit="1" customWidth="1"/>
    <col min="24" max="24" width="13.42578125" style="288" bestFit="1" customWidth="1"/>
    <col min="25" max="25" width="10.28515625" style="288" bestFit="1" customWidth="1"/>
    <col min="26" max="27" width="8.5703125" style="163"/>
    <col min="28" max="28" width="10" style="163" bestFit="1" customWidth="1"/>
    <col min="29" max="16384" width="8.5703125" style="163"/>
  </cols>
  <sheetData>
    <row r="1" spans="1:27" ht="12" thickBot="1" x14ac:dyDescent="0.25">
      <c r="B1" s="164"/>
      <c r="C1" s="165"/>
      <c r="D1" s="165"/>
      <c r="E1" s="165"/>
      <c r="F1" s="165"/>
      <c r="G1" s="165"/>
      <c r="H1" s="166"/>
      <c r="I1" s="167">
        <v>2023</v>
      </c>
      <c r="K1" s="164"/>
      <c r="L1" s="165"/>
      <c r="M1" s="165"/>
      <c r="N1" s="165"/>
      <c r="O1" s="165"/>
      <c r="P1" s="165"/>
      <c r="Q1" s="165"/>
      <c r="R1" s="167">
        <v>2022</v>
      </c>
      <c r="T1" s="168"/>
      <c r="U1" s="169"/>
      <c r="V1" s="169"/>
      <c r="W1" s="169"/>
      <c r="X1" s="169"/>
      <c r="Y1" s="170" t="s">
        <v>335</v>
      </c>
    </row>
    <row r="2" spans="1:27" ht="14.85" customHeight="1" thickBot="1" x14ac:dyDescent="0.25">
      <c r="B2" s="171" t="s">
        <v>228</v>
      </c>
      <c r="C2" s="172"/>
      <c r="D2" s="172"/>
      <c r="E2" s="172"/>
      <c r="F2" s="172"/>
      <c r="G2" s="172"/>
      <c r="H2" s="172"/>
      <c r="I2" s="173"/>
      <c r="K2" s="171" t="s">
        <v>228</v>
      </c>
      <c r="L2" s="172"/>
      <c r="M2" s="172"/>
      <c r="N2" s="172"/>
      <c r="O2" s="172"/>
      <c r="P2" s="172"/>
      <c r="Q2" s="172"/>
      <c r="R2" s="173"/>
      <c r="T2" s="171" t="s">
        <v>228</v>
      </c>
      <c r="U2" s="172"/>
      <c r="V2" s="172"/>
      <c r="W2" s="172"/>
      <c r="X2" s="172"/>
      <c r="Y2" s="173"/>
    </row>
    <row r="3" spans="1:27" x14ac:dyDescent="0.2">
      <c r="B3" s="174"/>
      <c r="C3" s="175"/>
      <c r="D3" s="175"/>
      <c r="E3" s="175"/>
      <c r="F3" s="175"/>
      <c r="G3" s="176"/>
      <c r="H3" s="177"/>
      <c r="I3" s="167"/>
      <c r="K3" s="174"/>
      <c r="L3" s="175"/>
      <c r="M3" s="175"/>
      <c r="N3" s="175"/>
      <c r="O3" s="175"/>
      <c r="P3" s="176"/>
      <c r="Q3" s="177"/>
      <c r="R3" s="178"/>
      <c r="T3" s="179"/>
      <c r="U3" s="180"/>
      <c r="V3" s="180"/>
      <c r="W3" s="180"/>
      <c r="X3" s="180"/>
      <c r="Y3" s="181"/>
    </row>
    <row r="4" spans="1:27" x14ac:dyDescent="0.2">
      <c r="B4" s="520" t="s">
        <v>229</v>
      </c>
      <c r="C4" s="521"/>
      <c r="D4" s="521"/>
      <c r="E4" s="521"/>
      <c r="F4" s="521"/>
      <c r="G4" s="521"/>
      <c r="H4" s="521"/>
      <c r="I4" s="522"/>
      <c r="K4" s="520" t="s">
        <v>229</v>
      </c>
      <c r="L4" s="521"/>
      <c r="M4" s="521"/>
      <c r="N4" s="521"/>
      <c r="O4" s="521"/>
      <c r="P4" s="521"/>
      <c r="Q4" s="521"/>
      <c r="R4" s="522"/>
      <c r="T4" s="514" t="s">
        <v>229</v>
      </c>
      <c r="U4" s="515"/>
      <c r="V4" s="515"/>
      <c r="W4" s="515"/>
      <c r="X4" s="515"/>
      <c r="Y4" s="516"/>
    </row>
    <row r="5" spans="1:27" x14ac:dyDescent="0.2">
      <c r="B5" s="182"/>
      <c r="C5" s="183"/>
      <c r="D5" s="183"/>
      <c r="E5" s="184"/>
      <c r="F5" s="184"/>
      <c r="G5" s="185"/>
      <c r="H5" s="186"/>
      <c r="I5" s="187"/>
      <c r="K5" s="182"/>
      <c r="L5" s="183"/>
      <c r="M5" s="183"/>
      <c r="N5" s="184"/>
      <c r="O5" s="184"/>
      <c r="P5" s="185"/>
      <c r="Q5" s="186"/>
      <c r="R5" s="187"/>
      <c r="T5" s="179"/>
      <c r="U5" s="180"/>
      <c r="V5" s="180"/>
      <c r="W5" s="180"/>
      <c r="X5" s="180"/>
      <c r="Y5" s="181"/>
    </row>
    <row r="6" spans="1:27" ht="18" customHeight="1" x14ac:dyDescent="0.2">
      <c r="B6" s="523" t="s">
        <v>347</v>
      </c>
      <c r="C6" s="524"/>
      <c r="D6" s="524"/>
      <c r="E6" s="524"/>
      <c r="F6" s="524"/>
      <c r="G6" s="524"/>
      <c r="H6" s="524"/>
      <c r="I6" s="525"/>
      <c r="K6" s="523" t="s">
        <v>230</v>
      </c>
      <c r="L6" s="524"/>
      <c r="M6" s="524"/>
      <c r="N6" s="524"/>
      <c r="O6" s="524"/>
      <c r="P6" s="524"/>
      <c r="Q6" s="524"/>
      <c r="R6" s="525"/>
      <c r="T6" s="517" t="s">
        <v>231</v>
      </c>
      <c r="U6" s="518"/>
      <c r="V6" s="518"/>
      <c r="W6" s="518"/>
      <c r="X6" s="518"/>
      <c r="Y6" s="519"/>
    </row>
    <row r="7" spans="1:27" ht="17.45" customHeight="1" x14ac:dyDescent="0.2">
      <c r="B7" s="174"/>
      <c r="C7" s="175"/>
      <c r="D7" s="175"/>
      <c r="E7" s="188"/>
      <c r="F7" s="175"/>
      <c r="G7" s="189"/>
      <c r="H7" s="190"/>
      <c r="I7" s="191"/>
      <c r="K7" s="174"/>
      <c r="L7" s="175"/>
      <c r="M7" s="175"/>
      <c r="N7" s="188"/>
      <c r="O7" s="175"/>
      <c r="P7" s="189"/>
      <c r="Q7" s="190"/>
      <c r="R7" s="191"/>
      <c r="T7" s="517"/>
      <c r="U7" s="518"/>
      <c r="V7" s="518"/>
      <c r="W7" s="518"/>
      <c r="X7" s="518"/>
      <c r="Y7" s="519"/>
    </row>
    <row r="8" spans="1:27" ht="27" customHeight="1" x14ac:dyDescent="0.2">
      <c r="B8" s="192" t="s">
        <v>15</v>
      </c>
      <c r="C8" s="193" t="s">
        <v>232</v>
      </c>
      <c r="D8" s="194" t="s">
        <v>233</v>
      </c>
      <c r="E8" s="195" t="s">
        <v>55</v>
      </c>
      <c r="F8" s="195" t="s">
        <v>134</v>
      </c>
      <c r="G8" s="196" t="s">
        <v>234</v>
      </c>
      <c r="H8" s="194" t="s">
        <v>235</v>
      </c>
      <c r="I8" s="197" t="s">
        <v>236</v>
      </c>
      <c r="J8" s="198"/>
      <c r="K8" s="192" t="s">
        <v>15</v>
      </c>
      <c r="L8" s="193" t="s">
        <v>232</v>
      </c>
      <c r="M8" s="194" t="s">
        <v>233</v>
      </c>
      <c r="N8" s="195" t="s">
        <v>55</v>
      </c>
      <c r="O8" s="195" t="s">
        <v>134</v>
      </c>
      <c r="P8" s="196" t="s">
        <v>234</v>
      </c>
      <c r="Q8" s="194" t="s">
        <v>235</v>
      </c>
      <c r="R8" s="197" t="s">
        <v>236</v>
      </c>
      <c r="T8" s="199" t="s">
        <v>15</v>
      </c>
      <c r="U8" s="200" t="s">
        <v>232</v>
      </c>
      <c r="V8" s="201" t="s">
        <v>69</v>
      </c>
      <c r="W8" s="201" t="s">
        <v>237</v>
      </c>
      <c r="X8" s="201" t="s">
        <v>238</v>
      </c>
      <c r="Y8" s="202" t="s">
        <v>239</v>
      </c>
    </row>
    <row r="9" spans="1:27" x14ac:dyDescent="0.2">
      <c r="A9" s="203"/>
      <c r="B9" s="174"/>
      <c r="C9" s="188" t="s">
        <v>5</v>
      </c>
      <c r="D9" s="188" t="s">
        <v>6</v>
      </c>
      <c r="E9" s="204" t="s">
        <v>240</v>
      </c>
      <c r="F9" s="188" t="s">
        <v>7</v>
      </c>
      <c r="G9" s="189" t="s">
        <v>241</v>
      </c>
      <c r="H9" s="190" t="s">
        <v>23</v>
      </c>
      <c r="I9" s="205" t="s">
        <v>19</v>
      </c>
      <c r="K9" s="174"/>
      <c r="L9" s="188" t="s">
        <v>5</v>
      </c>
      <c r="M9" s="188" t="s">
        <v>6</v>
      </c>
      <c r="N9" s="204" t="s">
        <v>240</v>
      </c>
      <c r="O9" s="188" t="s">
        <v>7</v>
      </c>
      <c r="P9" s="189" t="s">
        <v>241</v>
      </c>
      <c r="Q9" s="190" t="s">
        <v>23</v>
      </c>
      <c r="R9" s="205" t="s">
        <v>19</v>
      </c>
      <c r="T9" s="206"/>
      <c r="U9" s="207" t="s">
        <v>5</v>
      </c>
      <c r="V9" s="208" t="s">
        <v>6</v>
      </c>
      <c r="W9" s="208" t="s">
        <v>240</v>
      </c>
      <c r="X9" s="209" t="s">
        <v>242</v>
      </c>
      <c r="Y9" s="210" t="s">
        <v>241</v>
      </c>
    </row>
    <row r="10" spans="1:27" x14ac:dyDescent="0.2">
      <c r="A10" s="203"/>
      <c r="B10" s="174">
        <v>1</v>
      </c>
      <c r="C10" s="211" t="s">
        <v>168</v>
      </c>
      <c r="D10" s="175"/>
      <c r="E10" s="177"/>
      <c r="F10" s="175"/>
      <c r="G10" s="212"/>
      <c r="H10" s="177"/>
      <c r="I10" s="213"/>
      <c r="K10" s="174">
        <v>1</v>
      </c>
      <c r="L10" s="211" t="s">
        <v>168</v>
      </c>
      <c r="M10" s="175"/>
      <c r="N10" s="177"/>
      <c r="O10" s="175"/>
      <c r="P10" s="212"/>
      <c r="Q10" s="177"/>
      <c r="R10" s="213"/>
      <c r="T10" s="174">
        <v>1</v>
      </c>
      <c r="U10" s="211" t="s">
        <v>168</v>
      </c>
      <c r="V10" s="180"/>
      <c r="W10" s="180"/>
      <c r="X10" s="180"/>
      <c r="Y10" s="214"/>
    </row>
    <row r="11" spans="1:27" x14ac:dyDescent="0.2">
      <c r="A11" s="203"/>
      <c r="B11" s="174">
        <v>2</v>
      </c>
      <c r="C11" s="211"/>
      <c r="D11" s="175"/>
      <c r="E11" s="177"/>
      <c r="F11" s="175"/>
      <c r="G11" s="212"/>
      <c r="H11" s="177"/>
      <c r="I11" s="213"/>
      <c r="K11" s="174">
        <v>2</v>
      </c>
      <c r="L11" s="211"/>
      <c r="M11" s="175"/>
      <c r="N11" s="177"/>
      <c r="O11" s="175"/>
      <c r="P11" s="212"/>
      <c r="Q11" s="177"/>
      <c r="R11" s="213"/>
      <c r="T11" s="174">
        <v>2</v>
      </c>
      <c r="U11" s="211"/>
      <c r="V11" s="180"/>
      <c r="W11" s="180"/>
      <c r="X11" s="180"/>
      <c r="Y11" s="214"/>
    </row>
    <row r="12" spans="1:27" x14ac:dyDescent="0.2">
      <c r="A12" s="203"/>
      <c r="B12" s="174">
        <v>3</v>
      </c>
      <c r="C12" s="211" t="s">
        <v>169</v>
      </c>
      <c r="D12" s="175"/>
      <c r="E12" s="177"/>
      <c r="F12" s="175"/>
      <c r="G12" s="212"/>
      <c r="H12" s="177"/>
      <c r="I12" s="213"/>
      <c r="K12" s="174">
        <v>3</v>
      </c>
      <c r="L12" s="211" t="s">
        <v>169</v>
      </c>
      <c r="M12" s="175"/>
      <c r="N12" s="177"/>
      <c r="O12" s="175"/>
      <c r="P12" s="212"/>
      <c r="Q12" s="177"/>
      <c r="R12" s="213"/>
      <c r="T12" s="174">
        <v>3</v>
      </c>
      <c r="U12" s="211" t="s">
        <v>169</v>
      </c>
      <c r="V12" s="180"/>
      <c r="W12" s="180"/>
      <c r="X12" s="180"/>
      <c r="Y12" s="214"/>
      <c r="AA12" s="215"/>
    </row>
    <row r="13" spans="1:27" x14ac:dyDescent="0.2">
      <c r="A13" s="203"/>
      <c r="B13" s="174">
        <v>4</v>
      </c>
      <c r="C13" s="211"/>
      <c r="D13" s="175"/>
      <c r="E13" s="177"/>
      <c r="F13" s="175"/>
      <c r="G13" s="212"/>
      <c r="H13" s="177"/>
      <c r="I13" s="213"/>
      <c r="K13" s="174">
        <v>4</v>
      </c>
      <c r="L13" s="211"/>
      <c r="M13" s="175"/>
      <c r="N13" s="177"/>
      <c r="O13" s="175"/>
      <c r="P13" s="212"/>
      <c r="Q13" s="177"/>
      <c r="R13" s="213"/>
      <c r="T13" s="174">
        <v>4</v>
      </c>
      <c r="U13" s="211"/>
      <c r="V13" s="180"/>
      <c r="W13" s="180"/>
      <c r="X13" s="180"/>
      <c r="Y13" s="214"/>
      <c r="AA13" s="216"/>
    </row>
    <row r="14" spans="1:27" x14ac:dyDescent="0.2">
      <c r="A14" s="203"/>
      <c r="B14" s="174">
        <v>5</v>
      </c>
      <c r="C14" s="211" t="s">
        <v>170</v>
      </c>
      <c r="D14" s="175"/>
      <c r="E14" s="177"/>
      <c r="F14" s="175"/>
      <c r="G14" s="212"/>
      <c r="H14" s="177"/>
      <c r="I14" s="213"/>
      <c r="K14" s="174">
        <v>5</v>
      </c>
      <c r="L14" s="211" t="s">
        <v>170</v>
      </c>
      <c r="M14" s="175"/>
      <c r="N14" s="177"/>
      <c r="O14" s="175"/>
      <c r="P14" s="212"/>
      <c r="Q14" s="177"/>
      <c r="R14" s="213"/>
      <c r="T14" s="174">
        <v>5</v>
      </c>
      <c r="U14" s="211" t="s">
        <v>170</v>
      </c>
      <c r="V14" s="180"/>
      <c r="W14" s="180"/>
      <c r="X14" s="180"/>
      <c r="Y14" s="214"/>
      <c r="AA14" s="216"/>
    </row>
    <row r="15" spans="1:27" s="220" customFormat="1" x14ac:dyDescent="0.2">
      <c r="A15" s="217"/>
      <c r="B15" s="174">
        <v>6</v>
      </c>
      <c r="C15" s="218" t="s">
        <v>171</v>
      </c>
      <c r="D15" s="175" t="s">
        <v>8</v>
      </c>
      <c r="E15" s="418">
        <v>587872</v>
      </c>
      <c r="F15" s="175" t="s">
        <v>4</v>
      </c>
      <c r="G15" s="419">
        <v>0.36456963216482502</v>
      </c>
      <c r="H15" s="420">
        <v>78441222.040800005</v>
      </c>
      <c r="I15" s="219"/>
      <c r="K15" s="174">
        <v>6</v>
      </c>
      <c r="L15" s="218" t="s">
        <v>171</v>
      </c>
      <c r="M15" s="175" t="s">
        <v>8</v>
      </c>
      <c r="N15" s="418">
        <v>542872</v>
      </c>
      <c r="O15" s="175" t="s">
        <v>4</v>
      </c>
      <c r="P15" s="419">
        <v>0.37547980821917809</v>
      </c>
      <c r="Q15" s="420">
        <v>74400678.173360005</v>
      </c>
      <c r="R15" s="219"/>
      <c r="T15" s="174">
        <v>6</v>
      </c>
      <c r="U15" s="218" t="s">
        <v>171</v>
      </c>
      <c r="V15" s="221">
        <v>4040543.8674400002</v>
      </c>
      <c r="W15" s="180"/>
      <c r="X15" s="180"/>
      <c r="Y15" s="214">
        <v>5.4307890285961967E-2</v>
      </c>
    </row>
    <row r="16" spans="1:27" s="220" customFormat="1" x14ac:dyDescent="0.2">
      <c r="A16" s="217"/>
      <c r="B16" s="174">
        <v>7</v>
      </c>
      <c r="C16" s="211"/>
      <c r="D16" s="175"/>
      <c r="E16" s="177"/>
      <c r="F16" s="175"/>
      <c r="G16" s="212"/>
      <c r="H16" s="177"/>
      <c r="I16" s="219"/>
      <c r="K16" s="174">
        <v>7</v>
      </c>
      <c r="L16" s="211"/>
      <c r="M16" s="175"/>
      <c r="N16" s="177"/>
      <c r="O16" s="175"/>
      <c r="P16" s="212"/>
      <c r="Q16" s="177"/>
      <c r="R16" s="219"/>
      <c r="T16" s="174">
        <v>7</v>
      </c>
      <c r="U16" s="211"/>
      <c r="V16" s="180"/>
      <c r="W16" s="180"/>
      <c r="X16" s="180"/>
      <c r="Y16" s="214"/>
    </row>
    <row r="17" spans="1:25" x14ac:dyDescent="0.2">
      <c r="A17" s="203"/>
      <c r="B17" s="174">
        <v>8</v>
      </c>
      <c r="C17" s="222" t="s">
        <v>243</v>
      </c>
      <c r="D17" s="175"/>
      <c r="E17" s="223"/>
      <c r="F17" s="175"/>
      <c r="G17" s="212"/>
      <c r="H17" s="224"/>
      <c r="I17" s="213"/>
      <c r="K17" s="174">
        <v>8</v>
      </c>
      <c r="L17" s="222" t="s">
        <v>243</v>
      </c>
      <c r="M17" s="175"/>
      <c r="N17" s="223"/>
      <c r="O17" s="175"/>
      <c r="P17" s="212"/>
      <c r="Q17" s="224"/>
      <c r="R17" s="213"/>
      <c r="T17" s="174">
        <v>8</v>
      </c>
      <c r="U17" s="222" t="s">
        <v>243</v>
      </c>
      <c r="V17" s="180"/>
      <c r="W17" s="180"/>
      <c r="X17" s="180"/>
      <c r="Y17" s="225"/>
    </row>
    <row r="18" spans="1:25" s="220" customFormat="1" x14ac:dyDescent="0.2">
      <c r="A18" s="217"/>
      <c r="B18" s="174">
        <v>9</v>
      </c>
      <c r="C18" s="443"/>
      <c r="D18" s="444"/>
      <c r="E18" s="445"/>
      <c r="F18" s="446"/>
      <c r="G18" s="447"/>
      <c r="H18" s="448"/>
      <c r="I18" s="213"/>
      <c r="J18" s="163"/>
      <c r="K18" s="174">
        <v>9</v>
      </c>
      <c r="L18" s="443"/>
      <c r="M18" s="444"/>
      <c r="N18" s="445"/>
      <c r="O18" s="446"/>
      <c r="P18" s="447"/>
      <c r="Q18" s="448"/>
      <c r="R18" s="213"/>
      <c r="T18" s="174">
        <v>9</v>
      </c>
      <c r="U18" s="443"/>
      <c r="V18" s="461"/>
      <c r="W18" s="462"/>
      <c r="X18" s="446"/>
      <c r="Y18" s="463"/>
    </row>
    <row r="19" spans="1:25" s="220" customFormat="1" x14ac:dyDescent="0.2">
      <c r="A19" s="217"/>
      <c r="B19" s="174">
        <v>10</v>
      </c>
      <c r="C19" s="449"/>
      <c r="D19" s="450"/>
      <c r="E19" s="451"/>
      <c r="F19" s="452"/>
      <c r="G19" s="453"/>
      <c r="H19" s="454"/>
      <c r="I19" s="213"/>
      <c r="J19" s="163"/>
      <c r="K19" s="174">
        <v>10</v>
      </c>
      <c r="L19" s="449"/>
      <c r="M19" s="450"/>
      <c r="N19" s="451"/>
      <c r="O19" s="452"/>
      <c r="P19" s="453"/>
      <c r="Q19" s="454"/>
      <c r="R19" s="213"/>
      <c r="T19" s="174">
        <v>10</v>
      </c>
      <c r="U19" s="449"/>
      <c r="V19" s="450"/>
      <c r="W19" s="451"/>
      <c r="X19" s="452"/>
      <c r="Y19" s="464"/>
    </row>
    <row r="20" spans="1:25" s="220" customFormat="1" x14ac:dyDescent="0.2">
      <c r="A20" s="217"/>
      <c r="B20" s="174">
        <v>11</v>
      </c>
      <c r="C20" s="449"/>
      <c r="D20" s="450"/>
      <c r="E20" s="451"/>
      <c r="F20" s="452"/>
      <c r="G20" s="453"/>
      <c r="H20" s="454"/>
      <c r="I20" s="213"/>
      <c r="J20" s="163"/>
      <c r="K20" s="174">
        <v>11</v>
      </c>
      <c r="L20" s="449"/>
      <c r="M20" s="450"/>
      <c r="N20" s="451"/>
      <c r="O20" s="452"/>
      <c r="P20" s="453"/>
      <c r="Q20" s="454"/>
      <c r="R20" s="213"/>
      <c r="T20" s="174">
        <v>11</v>
      </c>
      <c r="U20" s="455"/>
      <c r="V20" s="456"/>
      <c r="W20" s="457"/>
      <c r="X20" s="458"/>
      <c r="Y20" s="465"/>
    </row>
    <row r="21" spans="1:25" s="220" customFormat="1" x14ac:dyDescent="0.2">
      <c r="A21" s="217"/>
      <c r="B21" s="174">
        <v>12</v>
      </c>
      <c r="C21" s="455"/>
      <c r="D21" s="456"/>
      <c r="E21" s="457"/>
      <c r="F21" s="458"/>
      <c r="G21" s="459"/>
      <c r="H21" s="460"/>
      <c r="I21" s="219"/>
      <c r="K21" s="174">
        <v>12</v>
      </c>
      <c r="L21" s="455"/>
      <c r="M21" s="456"/>
      <c r="N21" s="457"/>
      <c r="O21" s="458"/>
      <c r="P21" s="459"/>
      <c r="Q21" s="460"/>
      <c r="R21" s="219"/>
      <c r="T21" s="174">
        <v>12</v>
      </c>
      <c r="U21" s="226"/>
      <c r="V21" s="180"/>
      <c r="W21" s="180"/>
      <c r="X21" s="180"/>
      <c r="Y21" s="227"/>
    </row>
    <row r="22" spans="1:25" x14ac:dyDescent="0.2">
      <c r="A22" s="203"/>
      <c r="B22" s="174">
        <v>13</v>
      </c>
      <c r="C22" s="228" t="s">
        <v>58</v>
      </c>
      <c r="D22" s="211"/>
      <c r="E22" s="223"/>
      <c r="F22" s="175"/>
      <c r="G22" s="229"/>
      <c r="H22" s="230">
        <v>69704472.884800002</v>
      </c>
      <c r="I22" s="219"/>
      <c r="J22" s="220"/>
      <c r="K22" s="174">
        <v>13</v>
      </c>
      <c r="L22" s="228" t="s">
        <v>58</v>
      </c>
      <c r="M22" s="211"/>
      <c r="N22" s="223"/>
      <c r="O22" s="175"/>
      <c r="P22" s="229"/>
      <c r="Q22" s="230">
        <v>72678445.470960006</v>
      </c>
      <c r="R22" s="219"/>
      <c r="T22" s="174">
        <v>13</v>
      </c>
      <c r="U22" s="228" t="s">
        <v>58</v>
      </c>
      <c r="V22" s="221">
        <v>-2973972.5861600041</v>
      </c>
      <c r="W22" s="180"/>
      <c r="X22" s="180"/>
      <c r="Y22" s="214">
        <v>-4.0919595443855622E-2</v>
      </c>
    </row>
    <row r="23" spans="1:25" x14ac:dyDescent="0.2">
      <c r="A23" s="203"/>
      <c r="B23" s="174">
        <v>14</v>
      </c>
      <c r="C23" s="180"/>
      <c r="D23" s="180"/>
      <c r="E23" s="231"/>
      <c r="F23" s="180"/>
      <c r="G23" s="180"/>
      <c r="H23" s="180"/>
      <c r="I23" s="213"/>
      <c r="K23" s="174">
        <v>14</v>
      </c>
      <c r="L23" s="180"/>
      <c r="M23" s="180"/>
      <c r="N23" s="231"/>
      <c r="O23" s="180"/>
      <c r="P23" s="180"/>
      <c r="Q23" s="180"/>
      <c r="R23" s="213"/>
      <c r="T23" s="174">
        <v>14</v>
      </c>
      <c r="U23" s="180"/>
      <c r="V23" s="180"/>
      <c r="W23" s="180"/>
      <c r="X23" s="180"/>
      <c r="Y23" s="214"/>
    </row>
    <row r="24" spans="1:25" x14ac:dyDescent="0.2">
      <c r="A24" s="203"/>
      <c r="B24" s="174">
        <v>15</v>
      </c>
      <c r="C24" s="211" t="s">
        <v>172</v>
      </c>
      <c r="D24" s="211"/>
      <c r="E24" s="223"/>
      <c r="F24" s="175"/>
      <c r="G24" s="229"/>
      <c r="H24" s="230"/>
      <c r="I24" s="213"/>
      <c r="K24" s="174">
        <v>15</v>
      </c>
      <c r="L24" s="211" t="s">
        <v>172</v>
      </c>
      <c r="M24" s="211"/>
      <c r="N24" s="223"/>
      <c r="O24" s="175"/>
      <c r="P24" s="229"/>
      <c r="Q24" s="230"/>
      <c r="R24" s="213"/>
      <c r="T24" s="174">
        <v>15</v>
      </c>
      <c r="U24" s="211" t="s">
        <v>172</v>
      </c>
      <c r="V24" s="180"/>
      <c r="W24" s="180"/>
      <c r="X24" s="180"/>
      <c r="Y24" s="214"/>
    </row>
    <row r="25" spans="1:25" x14ac:dyDescent="0.2">
      <c r="A25" s="203"/>
      <c r="B25" s="174">
        <v>16</v>
      </c>
      <c r="C25" s="218" t="s">
        <v>172</v>
      </c>
      <c r="D25" s="175" t="s">
        <v>3</v>
      </c>
      <c r="E25" s="418">
        <v>2649</v>
      </c>
      <c r="F25" s="175" t="s">
        <v>4</v>
      </c>
      <c r="G25" s="419">
        <v>4.0225510399841576E-2</v>
      </c>
      <c r="H25" s="420">
        <v>39000</v>
      </c>
      <c r="I25" s="213"/>
      <c r="K25" s="174">
        <v>16</v>
      </c>
      <c r="L25" s="218" t="s">
        <v>172</v>
      </c>
      <c r="M25" s="175" t="s">
        <v>3</v>
      </c>
      <c r="N25" s="418">
        <v>2649</v>
      </c>
      <c r="O25" s="175" t="s">
        <v>4</v>
      </c>
      <c r="P25" s="419">
        <v>4.0335717277649362E-2</v>
      </c>
      <c r="Q25" s="420">
        <v>39000</v>
      </c>
      <c r="R25" s="213"/>
      <c r="T25" s="174">
        <v>16</v>
      </c>
      <c r="U25" s="218" t="s">
        <v>172</v>
      </c>
      <c r="V25" s="180"/>
      <c r="W25" s="180"/>
      <c r="X25" s="180"/>
      <c r="Y25" s="214"/>
    </row>
    <row r="26" spans="1:25" x14ac:dyDescent="0.2">
      <c r="A26" s="203"/>
      <c r="B26" s="174">
        <v>17</v>
      </c>
      <c r="C26" s="228" t="s">
        <v>58</v>
      </c>
      <c r="D26" s="211"/>
      <c r="E26" s="223"/>
      <c r="F26" s="175"/>
      <c r="G26" s="229"/>
      <c r="H26" s="230">
        <v>39000</v>
      </c>
      <c r="I26" s="213"/>
      <c r="K26" s="174">
        <v>17</v>
      </c>
      <c r="L26" s="228" t="s">
        <v>58</v>
      </c>
      <c r="M26" s="211"/>
      <c r="N26" s="223"/>
      <c r="O26" s="175"/>
      <c r="P26" s="229"/>
      <c r="Q26" s="230">
        <v>39000</v>
      </c>
      <c r="R26" s="213"/>
      <c r="T26" s="174">
        <v>17</v>
      </c>
      <c r="U26" s="228" t="s">
        <v>58</v>
      </c>
      <c r="V26" s="221">
        <v>0</v>
      </c>
      <c r="W26" s="180"/>
      <c r="X26" s="180"/>
      <c r="Y26" s="214">
        <v>0</v>
      </c>
    </row>
    <row r="27" spans="1:25" x14ac:dyDescent="0.2">
      <c r="A27" s="203"/>
      <c r="B27" s="174">
        <v>18</v>
      </c>
      <c r="C27" s="228"/>
      <c r="D27" s="211"/>
      <c r="E27" s="232"/>
      <c r="F27" s="175"/>
      <c r="G27" s="229"/>
      <c r="H27" s="230"/>
      <c r="I27" s="219"/>
      <c r="J27" s="220"/>
      <c r="K27" s="174">
        <v>18</v>
      </c>
      <c r="L27" s="228"/>
      <c r="M27" s="211"/>
      <c r="N27" s="232"/>
      <c r="O27" s="175"/>
      <c r="P27" s="229"/>
      <c r="Q27" s="230"/>
      <c r="R27" s="219"/>
      <c r="T27" s="174">
        <v>18</v>
      </c>
      <c r="U27" s="228"/>
      <c r="V27" s="180"/>
      <c r="W27" s="180"/>
      <c r="X27" s="180"/>
      <c r="Y27" s="214"/>
    </row>
    <row r="28" spans="1:25" x14ac:dyDescent="0.2">
      <c r="A28" s="203"/>
      <c r="B28" s="174">
        <v>19</v>
      </c>
      <c r="C28" s="211" t="s">
        <v>173</v>
      </c>
      <c r="D28" s="211"/>
      <c r="E28" s="223"/>
      <c r="F28" s="175"/>
      <c r="G28" s="229"/>
      <c r="H28" s="230"/>
      <c r="I28" s="219"/>
      <c r="J28" s="220"/>
      <c r="K28" s="174">
        <v>19</v>
      </c>
      <c r="L28" s="211" t="s">
        <v>173</v>
      </c>
      <c r="M28" s="211"/>
      <c r="N28" s="223"/>
      <c r="O28" s="175"/>
      <c r="P28" s="229"/>
      <c r="Q28" s="230"/>
      <c r="R28" s="219"/>
      <c r="T28" s="174">
        <v>19</v>
      </c>
      <c r="U28" s="211" t="s">
        <v>173</v>
      </c>
      <c r="V28" s="180"/>
      <c r="W28" s="180"/>
      <c r="X28" s="180"/>
      <c r="Y28" s="214"/>
    </row>
    <row r="29" spans="1:25" x14ac:dyDescent="0.2">
      <c r="A29" s="203"/>
      <c r="B29" s="174">
        <v>20</v>
      </c>
      <c r="C29" s="233" t="s">
        <v>174</v>
      </c>
      <c r="D29" s="175" t="s">
        <v>3</v>
      </c>
      <c r="E29" s="421">
        <v>77014</v>
      </c>
      <c r="F29" s="175" t="s">
        <v>4</v>
      </c>
      <c r="G29" s="419">
        <v>0.30997729753033215</v>
      </c>
      <c r="H29" s="420">
        <v>8737368.5226723664</v>
      </c>
      <c r="I29" s="213"/>
      <c r="K29" s="174">
        <v>20</v>
      </c>
      <c r="L29" s="233" t="s">
        <v>174</v>
      </c>
      <c r="M29" s="175" t="s">
        <v>3</v>
      </c>
      <c r="N29" s="421">
        <v>82225</v>
      </c>
      <c r="O29" s="175" t="s">
        <v>4</v>
      </c>
      <c r="P29" s="419">
        <v>0.28497532520874841</v>
      </c>
      <c r="Q29" s="420">
        <v>8552715.0820806082</v>
      </c>
      <c r="R29" s="213"/>
      <c r="T29" s="174">
        <v>20</v>
      </c>
      <c r="U29" s="233" t="s">
        <v>174</v>
      </c>
      <c r="V29" s="221">
        <v>184653.44059175812</v>
      </c>
      <c r="W29" s="180"/>
      <c r="X29" s="180"/>
      <c r="Y29" s="214">
        <v>2.1590037645313177E-2</v>
      </c>
    </row>
    <row r="30" spans="1:25" x14ac:dyDescent="0.2">
      <c r="A30" s="203"/>
      <c r="B30" s="174">
        <v>21</v>
      </c>
      <c r="C30" s="175"/>
      <c r="D30" s="175"/>
      <c r="E30" s="234"/>
      <c r="F30" s="175"/>
      <c r="G30" s="212"/>
      <c r="H30" s="224"/>
      <c r="I30" s="213"/>
      <c r="K30" s="174">
        <v>21</v>
      </c>
      <c r="L30" s="175"/>
      <c r="M30" s="175"/>
      <c r="N30" s="234"/>
      <c r="O30" s="175"/>
      <c r="P30" s="212"/>
      <c r="Q30" s="224"/>
      <c r="R30" s="213"/>
      <c r="T30" s="174">
        <v>21</v>
      </c>
      <c r="U30" s="175"/>
      <c r="V30" s="180"/>
      <c r="W30" s="180"/>
      <c r="X30" s="180"/>
      <c r="Y30" s="214"/>
    </row>
    <row r="31" spans="1:25" x14ac:dyDescent="0.2">
      <c r="A31" s="203"/>
      <c r="B31" s="174">
        <v>22</v>
      </c>
      <c r="C31" s="228" t="s">
        <v>58</v>
      </c>
      <c r="D31" s="211"/>
      <c r="E31" s="235"/>
      <c r="F31" s="175"/>
      <c r="G31" s="229"/>
      <c r="H31" s="230">
        <v>8737368.5226723664</v>
      </c>
      <c r="I31" s="213"/>
      <c r="K31" s="174">
        <v>22</v>
      </c>
      <c r="L31" s="228" t="s">
        <v>58</v>
      </c>
      <c r="M31" s="211"/>
      <c r="N31" s="235"/>
      <c r="O31" s="175"/>
      <c r="P31" s="229"/>
      <c r="Q31" s="230">
        <v>8552715.0820806082</v>
      </c>
      <c r="R31" s="213"/>
      <c r="T31" s="174">
        <v>22</v>
      </c>
      <c r="U31" s="228" t="s">
        <v>58</v>
      </c>
      <c r="V31" s="221">
        <v>184653.44059175812</v>
      </c>
      <c r="W31" s="180"/>
      <c r="X31" s="180"/>
      <c r="Y31" s="214">
        <v>2.1590037645313177E-2</v>
      </c>
    </row>
    <row r="32" spans="1:25" x14ac:dyDescent="0.2">
      <c r="A32" s="203"/>
      <c r="B32" s="174">
        <v>23</v>
      </c>
      <c r="C32" s="228"/>
      <c r="D32" s="211"/>
      <c r="E32" s="234"/>
      <c r="F32" s="175"/>
      <c r="G32" s="229"/>
      <c r="H32" s="230"/>
      <c r="I32" s="213"/>
      <c r="K32" s="174">
        <v>23</v>
      </c>
      <c r="L32" s="228"/>
      <c r="M32" s="211"/>
      <c r="N32" s="234"/>
      <c r="O32" s="175"/>
      <c r="P32" s="229"/>
      <c r="Q32" s="230"/>
      <c r="R32" s="213"/>
      <c r="T32" s="174">
        <v>23</v>
      </c>
      <c r="U32" s="228"/>
      <c r="V32" s="180"/>
      <c r="W32" s="180"/>
      <c r="X32" s="180"/>
      <c r="Y32" s="214"/>
    </row>
    <row r="33" spans="1:25" x14ac:dyDescent="0.2">
      <c r="A33" s="203"/>
      <c r="B33" s="174">
        <v>24</v>
      </c>
      <c r="C33" s="211" t="s">
        <v>175</v>
      </c>
      <c r="D33" s="180"/>
      <c r="E33" s="231"/>
      <c r="F33" s="180"/>
      <c r="G33" s="180"/>
      <c r="H33" s="224"/>
      <c r="I33" s="219"/>
      <c r="J33" s="220"/>
      <c r="K33" s="174">
        <v>24</v>
      </c>
      <c r="L33" s="211" t="s">
        <v>175</v>
      </c>
      <c r="M33" s="180"/>
      <c r="N33" s="231"/>
      <c r="O33" s="180"/>
      <c r="P33" s="180"/>
      <c r="Q33" s="224"/>
      <c r="R33" s="219"/>
      <c r="T33" s="174">
        <v>24</v>
      </c>
      <c r="U33" s="211" t="s">
        <v>175</v>
      </c>
      <c r="V33" s="180"/>
      <c r="W33" s="180"/>
      <c r="X33" s="180"/>
      <c r="Y33" s="214"/>
    </row>
    <row r="34" spans="1:25" x14ac:dyDescent="0.2">
      <c r="A34" s="203"/>
      <c r="B34" s="174">
        <v>25</v>
      </c>
      <c r="C34" s="175" t="s">
        <v>68</v>
      </c>
      <c r="D34" s="175" t="s">
        <v>69</v>
      </c>
      <c r="E34" s="422">
        <v>135796</v>
      </c>
      <c r="F34" s="175" t="s">
        <v>4</v>
      </c>
      <c r="G34" s="419">
        <v>0.47336212359281449</v>
      </c>
      <c r="H34" s="420">
        <v>23526729.954360001</v>
      </c>
      <c r="I34" s="219"/>
      <c r="J34" s="220"/>
      <c r="K34" s="174">
        <v>25</v>
      </c>
      <c r="L34" s="175" t="s">
        <v>68</v>
      </c>
      <c r="M34" s="175" t="s">
        <v>69</v>
      </c>
      <c r="N34" s="422">
        <v>135796</v>
      </c>
      <c r="O34" s="175" t="s">
        <v>4</v>
      </c>
      <c r="P34" s="419">
        <v>0.49841776844557734</v>
      </c>
      <c r="Q34" s="420">
        <v>24704345.838600002</v>
      </c>
      <c r="R34" s="219"/>
      <c r="T34" s="174">
        <v>25</v>
      </c>
      <c r="U34" s="175" t="s">
        <v>68</v>
      </c>
      <c r="V34" s="180"/>
      <c r="W34" s="180"/>
      <c r="X34" s="180"/>
      <c r="Y34" s="214"/>
    </row>
    <row r="35" spans="1:25" x14ac:dyDescent="0.2">
      <c r="A35" s="203"/>
      <c r="B35" s="174">
        <v>26</v>
      </c>
      <c r="C35" s="228" t="s">
        <v>58</v>
      </c>
      <c r="D35" s="211"/>
      <c r="E35" s="236"/>
      <c r="F35" s="211"/>
      <c r="G35" s="229"/>
      <c r="H35" s="230">
        <v>23526729.954360001</v>
      </c>
      <c r="I35" s="213"/>
      <c r="K35" s="174">
        <v>26</v>
      </c>
      <c r="L35" s="228" t="s">
        <v>58</v>
      </c>
      <c r="M35" s="211"/>
      <c r="N35" s="236"/>
      <c r="O35" s="211"/>
      <c r="P35" s="229"/>
      <c r="Q35" s="230">
        <v>24704345.838600002</v>
      </c>
      <c r="R35" s="213"/>
      <c r="T35" s="174">
        <v>26</v>
      </c>
      <c r="U35" s="228" t="s">
        <v>58</v>
      </c>
      <c r="V35" s="221">
        <v>-1177615.8842400014</v>
      </c>
      <c r="W35" s="180"/>
      <c r="X35" s="180"/>
      <c r="Y35" s="214">
        <v>-4.7668369441298958E-2</v>
      </c>
    </row>
    <row r="36" spans="1:25" x14ac:dyDescent="0.2">
      <c r="A36" s="203"/>
      <c r="B36" s="174">
        <v>27</v>
      </c>
      <c r="C36" s="228"/>
      <c r="D36" s="211"/>
      <c r="E36" s="223"/>
      <c r="F36" s="175"/>
      <c r="G36" s="229"/>
      <c r="H36" s="230"/>
      <c r="I36" s="213"/>
      <c r="K36" s="174">
        <v>27</v>
      </c>
      <c r="L36" s="228"/>
      <c r="M36" s="211"/>
      <c r="N36" s="223"/>
      <c r="O36" s="175"/>
      <c r="P36" s="229"/>
      <c r="Q36" s="230"/>
      <c r="R36" s="213"/>
      <c r="T36" s="174">
        <v>27</v>
      </c>
      <c r="U36" s="228"/>
      <c r="V36" s="180"/>
      <c r="W36" s="180"/>
      <c r="X36" s="180"/>
      <c r="Y36" s="214"/>
    </row>
    <row r="37" spans="1:25" x14ac:dyDescent="0.2">
      <c r="A37" s="203"/>
      <c r="B37" s="174">
        <v>28</v>
      </c>
      <c r="C37" s="211" t="s">
        <v>176</v>
      </c>
      <c r="D37" s="180"/>
      <c r="E37" s="231"/>
      <c r="F37" s="180"/>
      <c r="G37" s="180"/>
      <c r="H37" s="180"/>
      <c r="I37" s="213"/>
      <c r="K37" s="174">
        <v>28</v>
      </c>
      <c r="L37" s="211" t="s">
        <v>176</v>
      </c>
      <c r="M37" s="180"/>
      <c r="N37" s="231"/>
      <c r="O37" s="180"/>
      <c r="P37" s="180"/>
      <c r="Q37" s="180"/>
      <c r="R37" s="213"/>
      <c r="T37" s="174">
        <v>28</v>
      </c>
      <c r="U37" s="211" t="s">
        <v>176</v>
      </c>
      <c r="V37" s="180"/>
      <c r="W37" s="180"/>
      <c r="X37" s="180"/>
      <c r="Y37" s="214"/>
    </row>
    <row r="38" spans="1:25" x14ac:dyDescent="0.2">
      <c r="A38" s="203"/>
      <c r="B38" s="174">
        <v>29</v>
      </c>
      <c r="C38" s="180"/>
      <c r="D38" s="180"/>
      <c r="E38" s="237"/>
      <c r="F38" s="180"/>
      <c r="G38" s="180"/>
      <c r="H38" s="180"/>
      <c r="I38" s="213"/>
      <c r="K38" s="174">
        <v>29</v>
      </c>
      <c r="L38" s="180"/>
      <c r="M38" s="180"/>
      <c r="N38" s="237"/>
      <c r="O38" s="180"/>
      <c r="P38" s="180"/>
      <c r="Q38" s="180"/>
      <c r="R38" s="213"/>
      <c r="T38" s="174">
        <v>29</v>
      </c>
      <c r="U38" s="180"/>
      <c r="V38" s="180"/>
      <c r="W38" s="180"/>
      <c r="X38" s="180"/>
      <c r="Y38" s="214"/>
    </row>
    <row r="39" spans="1:25" x14ac:dyDescent="0.2">
      <c r="A39" s="203"/>
      <c r="B39" s="174">
        <v>30</v>
      </c>
      <c r="C39" s="211" t="s">
        <v>170</v>
      </c>
      <c r="D39" s="175"/>
      <c r="E39" s="237"/>
      <c r="F39" s="180"/>
      <c r="G39" s="180"/>
      <c r="H39" s="180"/>
      <c r="I39" s="219"/>
      <c r="J39" s="220"/>
      <c r="K39" s="174">
        <v>30</v>
      </c>
      <c r="L39" s="211" t="s">
        <v>170</v>
      </c>
      <c r="M39" s="175"/>
      <c r="N39" s="237"/>
      <c r="O39" s="180"/>
      <c r="P39" s="180"/>
      <c r="Q39" s="180"/>
      <c r="R39" s="219"/>
      <c r="T39" s="174">
        <v>30</v>
      </c>
      <c r="U39" s="211" t="s">
        <v>170</v>
      </c>
      <c r="V39" s="180"/>
      <c r="W39" s="180"/>
      <c r="X39" s="180"/>
      <c r="Y39" s="214"/>
    </row>
    <row r="40" spans="1:25" x14ac:dyDescent="0.2">
      <c r="A40" s="203"/>
      <c r="B40" s="174">
        <v>31</v>
      </c>
      <c r="C40" s="175" t="s">
        <v>177</v>
      </c>
      <c r="D40" s="218" t="s">
        <v>46</v>
      </c>
      <c r="E40" s="418">
        <v>48390</v>
      </c>
      <c r="F40" s="175" t="s">
        <v>4</v>
      </c>
      <c r="G40" s="419">
        <v>2.2200000000000001E-2</v>
      </c>
      <c r="H40" s="420">
        <v>393178.42800000001</v>
      </c>
      <c r="I40" s="219"/>
      <c r="J40" s="220"/>
      <c r="K40" s="174">
        <v>31</v>
      </c>
      <c r="L40" s="175" t="s">
        <v>177</v>
      </c>
      <c r="M40" s="218" t="s">
        <v>46</v>
      </c>
      <c r="N40" s="418">
        <v>48390</v>
      </c>
      <c r="O40" s="175" t="s">
        <v>4</v>
      </c>
      <c r="P40" s="419">
        <v>2.110032876712329E-2</v>
      </c>
      <c r="Q40" s="420">
        <v>372681.39180000004</v>
      </c>
      <c r="R40" s="219"/>
      <c r="T40" s="174">
        <v>31</v>
      </c>
      <c r="U40" s="218" t="s">
        <v>177</v>
      </c>
      <c r="V40" s="180"/>
      <c r="W40" s="180"/>
      <c r="X40" s="180"/>
      <c r="Y40" s="214"/>
    </row>
    <row r="41" spans="1:25" x14ac:dyDescent="0.2">
      <c r="A41" s="203"/>
      <c r="B41" s="174">
        <v>32</v>
      </c>
      <c r="C41" s="175" t="s">
        <v>177</v>
      </c>
      <c r="D41" s="218" t="s">
        <v>178</v>
      </c>
      <c r="E41" s="418">
        <v>1181021</v>
      </c>
      <c r="F41" s="175" t="s">
        <v>244</v>
      </c>
      <c r="G41" s="419">
        <v>8.1000000000000017E-4</v>
      </c>
      <c r="H41" s="420">
        <v>350125.48566000006</v>
      </c>
      <c r="I41" s="213"/>
      <c r="K41" s="174">
        <v>32</v>
      </c>
      <c r="L41" s="175" t="s">
        <v>177</v>
      </c>
      <c r="M41" s="218" t="s">
        <v>178</v>
      </c>
      <c r="N41" s="418">
        <v>1181021</v>
      </c>
      <c r="O41" s="175" t="s">
        <v>244</v>
      </c>
      <c r="P41" s="419">
        <v>7.6989041095890424E-4</v>
      </c>
      <c r="Q41" s="420">
        <v>331878.71121000004</v>
      </c>
      <c r="R41" s="213"/>
      <c r="T41" s="174">
        <v>32</v>
      </c>
      <c r="U41" s="218" t="s">
        <v>177</v>
      </c>
      <c r="V41" s="180"/>
      <c r="W41" s="180"/>
      <c r="X41" s="180"/>
      <c r="Y41" s="214"/>
    </row>
    <row r="42" spans="1:25" x14ac:dyDescent="0.2">
      <c r="A42" s="203"/>
      <c r="B42" s="174">
        <v>33</v>
      </c>
      <c r="C42" s="228" t="s">
        <v>58</v>
      </c>
      <c r="D42" s="211"/>
      <c r="E42" s="237"/>
      <c r="F42" s="175"/>
      <c r="G42" s="212"/>
      <c r="H42" s="230">
        <v>743303.91366000008</v>
      </c>
      <c r="I42" s="213"/>
      <c r="K42" s="174">
        <v>33</v>
      </c>
      <c r="L42" s="228" t="s">
        <v>58</v>
      </c>
      <c r="M42" s="211"/>
      <c r="N42" s="237"/>
      <c r="O42" s="175"/>
      <c r="P42" s="212"/>
      <c r="Q42" s="230">
        <v>704560.10301000008</v>
      </c>
      <c r="R42" s="213"/>
      <c r="T42" s="174">
        <v>33</v>
      </c>
      <c r="U42" s="228" t="s">
        <v>58</v>
      </c>
      <c r="V42" s="221">
        <v>38743.810649999999</v>
      </c>
      <c r="W42" s="180"/>
      <c r="X42" s="180"/>
      <c r="Y42" s="214">
        <v>5.4990071797253182E-2</v>
      </c>
    </row>
    <row r="43" spans="1:25" x14ac:dyDescent="0.2">
      <c r="A43" s="203"/>
      <c r="B43" s="174">
        <v>34</v>
      </c>
      <c r="C43" s="238"/>
      <c r="D43" s="211"/>
      <c r="E43" s="237"/>
      <c r="F43" s="175"/>
      <c r="G43" s="212"/>
      <c r="H43" s="230"/>
      <c r="I43" s="213"/>
      <c r="K43" s="174">
        <v>34</v>
      </c>
      <c r="L43" s="238"/>
      <c r="M43" s="211"/>
      <c r="N43" s="237"/>
      <c r="O43" s="175"/>
      <c r="P43" s="212"/>
      <c r="Q43" s="230"/>
      <c r="R43" s="213"/>
      <c r="T43" s="174">
        <v>34</v>
      </c>
      <c r="U43" s="238"/>
      <c r="V43" s="211"/>
      <c r="W43" s="237"/>
      <c r="X43" s="175"/>
      <c r="Y43" s="214"/>
    </row>
    <row r="44" spans="1:25" x14ac:dyDescent="0.2">
      <c r="A44" s="203"/>
      <c r="B44" s="174">
        <v>35</v>
      </c>
      <c r="C44" s="175" t="s">
        <v>245</v>
      </c>
      <c r="D44" s="175" t="s">
        <v>46</v>
      </c>
      <c r="E44" s="418">
        <v>15000</v>
      </c>
      <c r="F44" s="175" t="s">
        <v>4</v>
      </c>
      <c r="G44" s="212"/>
      <c r="H44" s="420">
        <v>88059.6</v>
      </c>
      <c r="I44" s="213"/>
      <c r="K44" s="174">
        <v>35</v>
      </c>
      <c r="L44" s="175"/>
      <c r="M44" s="175"/>
      <c r="N44" s="223"/>
      <c r="O44" s="175"/>
      <c r="P44" s="212"/>
      <c r="Q44" s="224"/>
      <c r="R44" s="213"/>
      <c r="T44" s="174">
        <v>35</v>
      </c>
      <c r="U44" s="175" t="s">
        <v>245</v>
      </c>
      <c r="V44" s="175" t="s">
        <v>246</v>
      </c>
      <c r="W44" s="223"/>
      <c r="X44" s="175"/>
      <c r="Y44" s="214" t="s">
        <v>246</v>
      </c>
    </row>
    <row r="45" spans="1:25" x14ac:dyDescent="0.2">
      <c r="A45" s="203"/>
      <c r="B45" s="174">
        <v>36</v>
      </c>
      <c r="C45" s="175" t="s">
        <v>245</v>
      </c>
      <c r="D45" s="218" t="s">
        <v>178</v>
      </c>
      <c r="E45" s="418">
        <v>60000</v>
      </c>
      <c r="F45" s="175" t="s">
        <v>4</v>
      </c>
      <c r="G45" s="212"/>
      <c r="H45" s="420">
        <v>172166.39999999999</v>
      </c>
      <c r="I45" s="219"/>
      <c r="J45" s="220"/>
      <c r="K45" s="174">
        <v>36</v>
      </c>
      <c r="L45" s="175"/>
      <c r="M45" s="218"/>
      <c r="N45" s="223"/>
      <c r="O45" s="175"/>
      <c r="P45" s="212"/>
      <c r="Q45" s="224"/>
      <c r="R45" s="219"/>
      <c r="T45" s="174">
        <v>36</v>
      </c>
      <c r="U45" s="175" t="s">
        <v>245</v>
      </c>
      <c r="V45" s="175" t="s">
        <v>246</v>
      </c>
      <c r="W45" s="223"/>
      <c r="X45" s="175"/>
      <c r="Y45" s="214" t="s">
        <v>246</v>
      </c>
    </row>
    <row r="46" spans="1:25" x14ac:dyDescent="0.2">
      <c r="A46" s="203"/>
      <c r="B46" s="174">
        <v>37</v>
      </c>
      <c r="C46" s="228" t="s">
        <v>58</v>
      </c>
      <c r="D46" s="211"/>
      <c r="E46" s="237"/>
      <c r="F46" s="175"/>
      <c r="G46" s="212"/>
      <c r="H46" s="230">
        <v>260226</v>
      </c>
      <c r="I46" s="219"/>
      <c r="J46" s="220"/>
      <c r="K46" s="174">
        <v>37</v>
      </c>
      <c r="L46" s="228"/>
      <c r="M46" s="211"/>
      <c r="N46" s="237"/>
      <c r="O46" s="175"/>
      <c r="P46" s="212"/>
      <c r="Q46" s="230"/>
      <c r="R46" s="219"/>
      <c r="T46" s="174">
        <v>37</v>
      </c>
      <c r="U46" s="228" t="s">
        <v>58</v>
      </c>
      <c r="V46" s="211"/>
      <c r="W46" s="237"/>
      <c r="X46" s="175"/>
      <c r="Y46" s="214"/>
    </row>
    <row r="47" spans="1:25" x14ac:dyDescent="0.2">
      <c r="A47" s="203"/>
      <c r="B47" s="174">
        <v>38</v>
      </c>
      <c r="C47" s="228"/>
      <c r="D47" s="211"/>
      <c r="E47" s="223"/>
      <c r="F47" s="175"/>
      <c r="G47" s="229"/>
      <c r="H47" s="230"/>
      <c r="I47" s="213"/>
      <c r="K47" s="174">
        <v>38</v>
      </c>
      <c r="L47" s="228"/>
      <c r="M47" s="211"/>
      <c r="N47" s="223"/>
      <c r="O47" s="175"/>
      <c r="P47" s="229"/>
      <c r="Q47" s="230"/>
      <c r="R47" s="213"/>
      <c r="T47" s="174">
        <v>38</v>
      </c>
      <c r="U47" s="228"/>
      <c r="V47" s="211"/>
      <c r="W47" s="223"/>
      <c r="X47" s="175"/>
      <c r="Y47" s="214"/>
    </row>
    <row r="48" spans="1:25" x14ac:dyDescent="0.2">
      <c r="A48" s="203"/>
      <c r="B48" s="174">
        <v>39</v>
      </c>
      <c r="C48" s="211" t="s">
        <v>179</v>
      </c>
      <c r="D48" s="211"/>
      <c r="E48" s="237"/>
      <c r="F48" s="175"/>
      <c r="G48" s="212"/>
      <c r="H48" s="230"/>
      <c r="I48" s="213"/>
      <c r="K48" s="174">
        <v>39</v>
      </c>
      <c r="L48" s="211" t="s">
        <v>179</v>
      </c>
      <c r="M48" s="211"/>
      <c r="N48" s="237"/>
      <c r="O48" s="175"/>
      <c r="P48" s="212"/>
      <c r="Q48" s="230"/>
      <c r="R48" s="213"/>
      <c r="T48" s="174">
        <v>39</v>
      </c>
      <c r="U48" s="211" t="s">
        <v>179</v>
      </c>
      <c r="V48" s="211"/>
      <c r="W48" s="237"/>
      <c r="X48" s="175"/>
      <c r="Y48" s="214"/>
    </row>
    <row r="49" spans="1:25" x14ac:dyDescent="0.2">
      <c r="A49" s="203"/>
      <c r="B49" s="174">
        <v>40</v>
      </c>
      <c r="C49" s="175" t="s">
        <v>70</v>
      </c>
      <c r="D49" s="175" t="s">
        <v>46</v>
      </c>
      <c r="E49" s="418">
        <v>107356</v>
      </c>
      <c r="F49" s="175" t="s">
        <v>4</v>
      </c>
      <c r="G49" s="419">
        <v>9.3553442622950803E-2</v>
      </c>
      <c r="H49" s="420">
        <v>3675929.5593599994</v>
      </c>
      <c r="I49" s="213"/>
      <c r="K49" s="174">
        <v>40</v>
      </c>
      <c r="L49" s="175" t="s">
        <v>70</v>
      </c>
      <c r="M49" s="175" t="s">
        <v>46</v>
      </c>
      <c r="N49" s="418">
        <v>107356</v>
      </c>
      <c r="O49" s="175" t="s">
        <v>4</v>
      </c>
      <c r="P49" s="419">
        <v>9.3809753424657513E-2</v>
      </c>
      <c r="Q49" s="420">
        <v>3675929.5593599994</v>
      </c>
      <c r="R49" s="213"/>
      <c r="T49" s="174">
        <v>40</v>
      </c>
      <c r="U49" s="175" t="s">
        <v>70</v>
      </c>
      <c r="V49" s="180"/>
      <c r="W49" s="180"/>
      <c r="X49" s="180"/>
      <c r="Y49" s="214"/>
    </row>
    <row r="50" spans="1:25" x14ac:dyDescent="0.2">
      <c r="A50" s="203"/>
      <c r="B50" s="174">
        <v>41</v>
      </c>
      <c r="C50" s="175" t="s">
        <v>70</v>
      </c>
      <c r="D50" s="218" t="s">
        <v>178</v>
      </c>
      <c r="E50" s="418">
        <v>12882750</v>
      </c>
      <c r="F50" s="175" t="s">
        <v>244</v>
      </c>
      <c r="G50" s="419">
        <v>7.8180821917808209E-4</v>
      </c>
      <c r="H50" s="420">
        <v>3676221.5399999996</v>
      </c>
      <c r="I50" s="213"/>
      <c r="K50" s="174">
        <v>41</v>
      </c>
      <c r="L50" s="175" t="s">
        <v>70</v>
      </c>
      <c r="M50" s="218" t="s">
        <v>178</v>
      </c>
      <c r="N50" s="418">
        <v>12882750</v>
      </c>
      <c r="O50" s="175" t="s">
        <v>244</v>
      </c>
      <c r="P50" s="419">
        <v>7.8180821917808209E-4</v>
      </c>
      <c r="Q50" s="420">
        <v>3676221.5399999996</v>
      </c>
      <c r="R50" s="213"/>
      <c r="T50" s="174">
        <v>41</v>
      </c>
      <c r="U50" s="175" t="s">
        <v>70</v>
      </c>
      <c r="V50" s="180"/>
      <c r="W50" s="180"/>
      <c r="X50" s="180"/>
      <c r="Y50" s="214"/>
    </row>
    <row r="51" spans="1:25" x14ac:dyDescent="0.2">
      <c r="A51" s="203"/>
      <c r="B51" s="174">
        <v>42</v>
      </c>
      <c r="C51" s="228" t="s">
        <v>58</v>
      </c>
      <c r="D51" s="211"/>
      <c r="E51" s="237"/>
      <c r="F51" s="175"/>
      <c r="G51" s="212"/>
      <c r="H51" s="230">
        <v>7352151.0993599985</v>
      </c>
      <c r="I51" s="219"/>
      <c r="J51" s="220"/>
      <c r="K51" s="174">
        <v>42</v>
      </c>
      <c r="L51" s="228" t="s">
        <v>58</v>
      </c>
      <c r="M51" s="211"/>
      <c r="N51" s="237"/>
      <c r="O51" s="175"/>
      <c r="P51" s="212"/>
      <c r="Q51" s="230">
        <v>7352151.0993599985</v>
      </c>
      <c r="R51" s="219"/>
      <c r="T51" s="174">
        <v>42</v>
      </c>
      <c r="U51" s="228" t="s">
        <v>58</v>
      </c>
      <c r="V51" s="221">
        <v>0</v>
      </c>
      <c r="W51" s="180"/>
      <c r="X51" s="180"/>
      <c r="Y51" s="214">
        <v>0</v>
      </c>
    </row>
    <row r="52" spans="1:25" x14ac:dyDescent="0.2">
      <c r="A52" s="203"/>
      <c r="B52" s="174">
        <v>43</v>
      </c>
      <c r="C52" s="228"/>
      <c r="D52" s="211"/>
      <c r="E52" s="237"/>
      <c r="F52" s="175"/>
      <c r="G52" s="212"/>
      <c r="H52" s="230"/>
      <c r="I52" s="219"/>
      <c r="J52" s="220"/>
      <c r="K52" s="174">
        <v>43</v>
      </c>
      <c r="L52" s="228"/>
      <c r="M52" s="211"/>
      <c r="N52" s="237"/>
      <c r="O52" s="175"/>
      <c r="P52" s="212"/>
      <c r="Q52" s="230"/>
      <c r="R52" s="219"/>
      <c r="T52" s="174">
        <v>43</v>
      </c>
      <c r="U52" s="228"/>
      <c r="V52" s="180"/>
      <c r="W52" s="180"/>
      <c r="X52" s="180"/>
      <c r="Y52" s="214"/>
    </row>
    <row r="53" spans="1:25" x14ac:dyDescent="0.2">
      <c r="A53" s="203"/>
      <c r="B53" s="174">
        <v>44</v>
      </c>
      <c r="C53" s="211" t="s">
        <v>180</v>
      </c>
      <c r="D53" s="180"/>
      <c r="E53" s="237"/>
      <c r="F53" s="175"/>
      <c r="G53" s="212"/>
      <c r="H53" s="180"/>
      <c r="I53" s="213"/>
      <c r="K53" s="174">
        <v>44</v>
      </c>
      <c r="L53" s="211" t="s">
        <v>180</v>
      </c>
      <c r="M53" s="180"/>
      <c r="N53" s="237"/>
      <c r="O53" s="175"/>
      <c r="P53" s="212"/>
      <c r="Q53" s="180"/>
      <c r="R53" s="213"/>
      <c r="T53" s="174">
        <v>44</v>
      </c>
      <c r="U53" s="211" t="s">
        <v>180</v>
      </c>
      <c r="V53" s="180"/>
      <c r="W53" s="180"/>
      <c r="X53" s="180"/>
      <c r="Y53" s="214"/>
    </row>
    <row r="54" spans="1:25" s="240" customFormat="1" x14ac:dyDescent="0.2">
      <c r="A54" s="239"/>
      <c r="B54" s="174">
        <v>45</v>
      </c>
      <c r="C54" s="175" t="s">
        <v>67</v>
      </c>
      <c r="D54" s="175" t="s">
        <v>8</v>
      </c>
      <c r="E54" s="467"/>
      <c r="F54" s="468"/>
      <c r="G54" s="469"/>
      <c r="H54" s="448"/>
      <c r="I54" s="213"/>
      <c r="J54" s="163"/>
      <c r="K54" s="174">
        <v>45</v>
      </c>
      <c r="L54" s="175" t="s">
        <v>67</v>
      </c>
      <c r="M54" s="175" t="s">
        <v>8</v>
      </c>
      <c r="N54" s="467"/>
      <c r="O54" s="468"/>
      <c r="P54" s="469"/>
      <c r="Q54" s="448"/>
      <c r="R54" s="213"/>
      <c r="T54" s="174">
        <v>45</v>
      </c>
      <c r="U54" s="175" t="s">
        <v>67</v>
      </c>
      <c r="V54" s="180"/>
      <c r="W54" s="180"/>
      <c r="X54" s="180"/>
      <c r="Y54" s="214"/>
    </row>
    <row r="55" spans="1:25" x14ac:dyDescent="0.2">
      <c r="A55" s="203"/>
      <c r="B55" s="174">
        <v>46</v>
      </c>
      <c r="C55" s="228" t="s">
        <v>58</v>
      </c>
      <c r="D55" s="211"/>
      <c r="E55" s="237"/>
      <c r="F55" s="175"/>
      <c r="G55" s="212"/>
      <c r="H55" s="466"/>
      <c r="I55" s="213"/>
      <c r="K55" s="174">
        <v>46</v>
      </c>
      <c r="L55" s="228" t="s">
        <v>58</v>
      </c>
      <c r="M55" s="211"/>
      <c r="N55" s="237"/>
      <c r="O55" s="175"/>
      <c r="P55" s="212"/>
      <c r="Q55" s="466"/>
      <c r="R55" s="213"/>
      <c r="T55" s="174">
        <v>46</v>
      </c>
      <c r="U55" s="228" t="s">
        <v>58</v>
      </c>
      <c r="V55" s="497"/>
      <c r="W55" s="180"/>
      <c r="X55" s="180"/>
      <c r="Y55" s="498"/>
    </row>
    <row r="56" spans="1:25" x14ac:dyDescent="0.2">
      <c r="A56" s="203"/>
      <c r="B56" s="174">
        <v>47</v>
      </c>
      <c r="C56" s="228"/>
      <c r="D56" s="211"/>
      <c r="E56" s="237"/>
      <c r="F56" s="175"/>
      <c r="G56" s="212"/>
      <c r="H56" s="230"/>
      <c r="I56" s="213"/>
      <c r="K56" s="174">
        <v>47</v>
      </c>
      <c r="L56" s="228"/>
      <c r="M56" s="211"/>
      <c r="N56" s="237"/>
      <c r="O56" s="175"/>
      <c r="P56" s="212"/>
      <c r="Q56" s="230"/>
      <c r="R56" s="213"/>
      <c r="T56" s="174">
        <v>47</v>
      </c>
      <c r="U56" s="228"/>
      <c r="V56" s="180"/>
      <c r="W56" s="180"/>
      <c r="X56" s="180"/>
      <c r="Y56" s="214"/>
    </row>
    <row r="57" spans="1:25" x14ac:dyDescent="0.2">
      <c r="A57" s="203"/>
      <c r="B57" s="174">
        <v>48</v>
      </c>
      <c r="C57" s="211" t="s">
        <v>181</v>
      </c>
      <c r="D57" s="175"/>
      <c r="E57" s="237"/>
      <c r="F57" s="175"/>
      <c r="G57" s="212"/>
      <c r="H57" s="224"/>
      <c r="I57" s="219"/>
      <c r="J57" s="220"/>
      <c r="K57" s="174">
        <v>48</v>
      </c>
      <c r="L57" s="211" t="s">
        <v>181</v>
      </c>
      <c r="M57" s="175"/>
      <c r="N57" s="237"/>
      <c r="O57" s="175"/>
      <c r="P57" s="212"/>
      <c r="Q57" s="224"/>
      <c r="R57" s="219"/>
      <c r="T57" s="174">
        <v>48</v>
      </c>
      <c r="U57" s="211" t="s">
        <v>181</v>
      </c>
      <c r="V57" s="180"/>
      <c r="W57" s="180"/>
      <c r="X57" s="180"/>
      <c r="Y57" s="214"/>
    </row>
    <row r="58" spans="1:25" x14ac:dyDescent="0.2">
      <c r="A58" s="203"/>
      <c r="B58" s="174">
        <v>49</v>
      </c>
      <c r="C58" s="211"/>
      <c r="D58" s="175"/>
      <c r="E58" s="237"/>
      <c r="F58" s="175"/>
      <c r="G58" s="212"/>
      <c r="H58" s="224"/>
      <c r="I58" s="219"/>
      <c r="J58" s="220"/>
      <c r="K58" s="174">
        <v>49</v>
      </c>
      <c r="L58" s="211"/>
      <c r="M58" s="175"/>
      <c r="N58" s="237"/>
      <c r="O58" s="175"/>
      <c r="P58" s="212"/>
      <c r="Q58" s="224"/>
      <c r="R58" s="219"/>
      <c r="T58" s="174">
        <v>49</v>
      </c>
      <c r="U58" s="211"/>
      <c r="V58" s="180"/>
      <c r="W58" s="180"/>
      <c r="X58" s="180"/>
      <c r="Y58" s="214"/>
    </row>
    <row r="59" spans="1:25" x14ac:dyDescent="0.2">
      <c r="A59" s="203"/>
      <c r="B59" s="174">
        <v>50</v>
      </c>
      <c r="C59" s="175" t="s">
        <v>182</v>
      </c>
      <c r="D59" s="175" t="s">
        <v>8</v>
      </c>
      <c r="E59" s="418">
        <v>113577</v>
      </c>
      <c r="F59" s="175" t="s">
        <v>4</v>
      </c>
      <c r="G59" s="419">
        <v>0.22263295812358694</v>
      </c>
      <c r="H59" s="420">
        <v>3843469.4896900002</v>
      </c>
      <c r="I59" s="213"/>
      <c r="K59" s="174">
        <v>50</v>
      </c>
      <c r="L59" s="175" t="s">
        <v>182</v>
      </c>
      <c r="M59" s="175" t="s">
        <v>8</v>
      </c>
      <c r="N59" s="418">
        <v>113577</v>
      </c>
      <c r="O59" s="175" t="s">
        <v>4</v>
      </c>
      <c r="P59" s="419">
        <v>0.23419999999999999</v>
      </c>
      <c r="Q59" s="420">
        <v>4016559.7434</v>
      </c>
      <c r="R59" s="213"/>
      <c r="T59" s="174">
        <v>50</v>
      </c>
      <c r="U59" s="175" t="s">
        <v>182</v>
      </c>
      <c r="V59" s="180"/>
      <c r="W59" s="180"/>
      <c r="X59" s="180"/>
      <c r="Y59" s="214"/>
    </row>
    <row r="60" spans="1:25" x14ac:dyDescent="0.2">
      <c r="A60" s="203"/>
      <c r="B60" s="174">
        <v>51</v>
      </c>
      <c r="C60" s="175" t="s">
        <v>183</v>
      </c>
      <c r="D60" s="175" t="s">
        <v>8</v>
      </c>
      <c r="E60" s="418">
        <v>13873</v>
      </c>
      <c r="F60" s="175" t="s">
        <v>4</v>
      </c>
      <c r="G60" s="419">
        <v>0.45826028256325224</v>
      </c>
      <c r="H60" s="420">
        <v>2326824.8333999994</v>
      </c>
      <c r="I60" s="213"/>
      <c r="K60" s="174">
        <v>51</v>
      </c>
      <c r="L60" s="175" t="s">
        <v>183</v>
      </c>
      <c r="M60" s="175" t="s">
        <v>8</v>
      </c>
      <c r="N60" s="418">
        <v>19846</v>
      </c>
      <c r="O60" s="175" t="s">
        <v>4</v>
      </c>
      <c r="P60" s="419">
        <v>0.37547980821917809</v>
      </c>
      <c r="Q60" s="420">
        <v>2719896.8799800002</v>
      </c>
      <c r="R60" s="213"/>
      <c r="T60" s="174">
        <v>51</v>
      </c>
      <c r="U60" s="175" t="s">
        <v>183</v>
      </c>
      <c r="V60" s="180"/>
      <c r="W60" s="180"/>
      <c r="X60" s="180"/>
      <c r="Y60" s="214"/>
    </row>
    <row r="61" spans="1:25" x14ac:dyDescent="0.2">
      <c r="A61" s="203"/>
      <c r="B61" s="174">
        <v>52</v>
      </c>
      <c r="C61" s="228" t="s">
        <v>58</v>
      </c>
      <c r="D61" s="211"/>
      <c r="E61" s="237"/>
      <c r="F61" s="241"/>
      <c r="G61" s="212"/>
      <c r="H61" s="230">
        <v>6170294.3230900001</v>
      </c>
      <c r="I61" s="213"/>
      <c r="K61" s="174">
        <v>52</v>
      </c>
      <c r="L61" s="228" t="s">
        <v>58</v>
      </c>
      <c r="M61" s="211"/>
      <c r="N61" s="237"/>
      <c r="O61" s="241"/>
      <c r="P61" s="212"/>
      <c r="Q61" s="230">
        <v>6736456.6233799998</v>
      </c>
      <c r="R61" s="213"/>
      <c r="T61" s="174">
        <v>52</v>
      </c>
      <c r="U61" s="228" t="s">
        <v>58</v>
      </c>
      <c r="V61" s="221">
        <v>-566162.30028999969</v>
      </c>
      <c r="W61" s="180"/>
      <c r="X61" s="180"/>
      <c r="Y61" s="214">
        <v>-8.4044525474273629E-2</v>
      </c>
    </row>
    <row r="62" spans="1:25" x14ac:dyDescent="0.2">
      <c r="A62" s="203"/>
      <c r="B62" s="174">
        <v>53</v>
      </c>
      <c r="C62" s="180"/>
      <c r="D62" s="180"/>
      <c r="E62" s="237"/>
      <c r="F62" s="241"/>
      <c r="G62" s="212"/>
      <c r="H62" s="180"/>
      <c r="I62" s="213"/>
      <c r="K62" s="174">
        <v>53</v>
      </c>
      <c r="L62" s="180"/>
      <c r="M62" s="180"/>
      <c r="N62" s="237"/>
      <c r="O62" s="241"/>
      <c r="P62" s="212"/>
      <c r="Q62" s="180"/>
      <c r="R62" s="213"/>
      <c r="T62" s="174">
        <v>53</v>
      </c>
      <c r="U62" s="180"/>
      <c r="V62" s="180"/>
      <c r="W62" s="180"/>
      <c r="X62" s="180"/>
      <c r="Y62" s="214"/>
    </row>
    <row r="63" spans="1:25" x14ac:dyDescent="0.2">
      <c r="A63" s="203"/>
      <c r="B63" s="174">
        <v>54</v>
      </c>
      <c r="C63" s="211" t="s">
        <v>247</v>
      </c>
      <c r="D63" s="175"/>
      <c r="E63" s="237"/>
      <c r="F63" s="175"/>
      <c r="G63" s="212"/>
      <c r="H63" s="224"/>
      <c r="I63" s="219"/>
      <c r="J63" s="220"/>
      <c r="K63" s="174">
        <v>54</v>
      </c>
      <c r="L63" s="211" t="s">
        <v>247</v>
      </c>
      <c r="M63" s="175"/>
      <c r="N63" s="237"/>
      <c r="O63" s="175"/>
      <c r="P63" s="212"/>
      <c r="Q63" s="224"/>
      <c r="R63" s="219"/>
      <c r="T63" s="174">
        <v>54</v>
      </c>
      <c r="U63" s="211" t="s">
        <v>247</v>
      </c>
      <c r="V63" s="180"/>
      <c r="W63" s="180"/>
      <c r="X63" s="180"/>
      <c r="Y63" s="214"/>
    </row>
    <row r="64" spans="1:25" x14ac:dyDescent="0.2">
      <c r="A64" s="203"/>
      <c r="B64" s="174">
        <v>55</v>
      </c>
      <c r="C64" s="175" t="s">
        <v>72</v>
      </c>
      <c r="D64" s="175" t="s">
        <v>8</v>
      </c>
      <c r="E64" s="470"/>
      <c r="F64" s="446"/>
      <c r="G64" s="471"/>
      <c r="H64" s="448"/>
      <c r="I64" s="219"/>
      <c r="J64" s="220"/>
      <c r="K64" s="174">
        <v>55</v>
      </c>
      <c r="L64" s="175" t="s">
        <v>72</v>
      </c>
      <c r="M64" s="175" t="s">
        <v>8</v>
      </c>
      <c r="N64" s="470"/>
      <c r="O64" s="446"/>
      <c r="P64" s="471"/>
      <c r="Q64" s="448"/>
      <c r="R64" s="219"/>
      <c r="T64" s="174">
        <v>55</v>
      </c>
      <c r="U64" s="175" t="s">
        <v>72</v>
      </c>
      <c r="V64" s="180"/>
      <c r="W64" s="180"/>
      <c r="X64" s="180"/>
      <c r="Y64" s="214"/>
    </row>
    <row r="65" spans="2:25" x14ac:dyDescent="0.2">
      <c r="B65" s="174">
        <v>56</v>
      </c>
      <c r="C65" s="226" t="s">
        <v>248</v>
      </c>
      <c r="D65" s="242" t="s">
        <v>8</v>
      </c>
      <c r="E65" s="472"/>
      <c r="F65" s="458"/>
      <c r="G65" s="473"/>
      <c r="H65" s="474"/>
      <c r="I65" s="213"/>
      <c r="K65" s="174">
        <v>56</v>
      </c>
      <c r="L65" s="226" t="s">
        <v>248</v>
      </c>
      <c r="M65" s="242" t="s">
        <v>8</v>
      </c>
      <c r="N65" s="472"/>
      <c r="O65" s="458"/>
      <c r="P65" s="473"/>
      <c r="Q65" s="474"/>
      <c r="R65" s="213"/>
      <c r="T65" s="174">
        <v>56</v>
      </c>
      <c r="U65" s="226" t="s">
        <v>248</v>
      </c>
      <c r="V65" s="180"/>
      <c r="W65" s="180"/>
      <c r="X65" s="180"/>
      <c r="Y65" s="214"/>
    </row>
    <row r="66" spans="2:25" x14ac:dyDescent="0.2">
      <c r="B66" s="174">
        <v>57</v>
      </c>
      <c r="C66" s="228" t="s">
        <v>58</v>
      </c>
      <c r="D66" s="175"/>
      <c r="E66" s="223"/>
      <c r="F66" s="175"/>
      <c r="G66" s="243"/>
      <c r="H66" s="466"/>
      <c r="I66" s="213"/>
      <c r="K66" s="174">
        <v>57</v>
      </c>
      <c r="L66" s="228" t="s">
        <v>58</v>
      </c>
      <c r="M66" s="175"/>
      <c r="N66" s="223"/>
      <c r="O66" s="175"/>
      <c r="P66" s="243"/>
      <c r="Q66" s="466"/>
      <c r="R66" s="213"/>
      <c r="T66" s="174">
        <v>57</v>
      </c>
      <c r="U66" s="228" t="s">
        <v>58</v>
      </c>
      <c r="V66" s="497"/>
      <c r="W66" s="180"/>
      <c r="X66" s="180"/>
      <c r="Y66" s="498"/>
    </row>
    <row r="67" spans="2:25" x14ac:dyDescent="0.2">
      <c r="B67" s="174">
        <v>58</v>
      </c>
      <c r="C67" s="228"/>
      <c r="D67" s="211"/>
      <c r="E67" s="223"/>
      <c r="F67" s="175"/>
      <c r="G67" s="229"/>
      <c r="H67" s="230"/>
      <c r="I67" s="244"/>
      <c r="K67" s="174">
        <v>58</v>
      </c>
      <c r="L67" s="228"/>
      <c r="M67" s="211"/>
      <c r="N67" s="223"/>
      <c r="O67" s="175"/>
      <c r="P67" s="229"/>
      <c r="Q67" s="230"/>
      <c r="R67" s="244"/>
      <c r="T67" s="174">
        <v>58</v>
      </c>
      <c r="U67" s="228"/>
      <c r="V67" s="180"/>
      <c r="W67" s="180"/>
      <c r="X67" s="180"/>
      <c r="Y67" s="214"/>
    </row>
    <row r="68" spans="2:25" x14ac:dyDescent="0.2">
      <c r="B68" s="174">
        <v>59</v>
      </c>
      <c r="C68" s="228"/>
      <c r="D68" s="211"/>
      <c r="E68" s="223"/>
      <c r="F68" s="175"/>
      <c r="G68" s="229"/>
      <c r="H68" s="230"/>
      <c r="I68" s="244"/>
      <c r="K68" s="174">
        <v>59</v>
      </c>
      <c r="L68" s="228"/>
      <c r="M68" s="211"/>
      <c r="N68" s="223"/>
      <c r="O68" s="175"/>
      <c r="P68" s="229"/>
      <c r="Q68" s="230"/>
      <c r="R68" s="244"/>
      <c r="T68" s="174">
        <v>59</v>
      </c>
      <c r="U68" s="228"/>
      <c r="V68" s="180"/>
      <c r="W68" s="180"/>
      <c r="X68" s="180"/>
      <c r="Y68" s="214"/>
    </row>
    <row r="69" spans="2:25" x14ac:dyDescent="0.2">
      <c r="B69" s="174">
        <v>60</v>
      </c>
      <c r="C69" s="245" t="s">
        <v>249</v>
      </c>
      <c r="D69" s="211"/>
      <c r="E69" s="246"/>
      <c r="F69" s="211"/>
      <c r="G69" s="229"/>
      <c r="H69" s="230">
        <v>121435790.4279424</v>
      </c>
      <c r="I69" s="244"/>
      <c r="J69" s="247"/>
      <c r="K69" s="174">
        <v>60</v>
      </c>
      <c r="L69" s="245" t="s">
        <v>249</v>
      </c>
      <c r="M69" s="211"/>
      <c r="N69" s="246"/>
      <c r="O69" s="211"/>
      <c r="P69" s="229"/>
      <c r="Q69" s="230">
        <v>132117546.70839059</v>
      </c>
      <c r="R69" s="244"/>
      <c r="T69" s="174">
        <v>60</v>
      </c>
      <c r="U69" s="245" t="s">
        <v>249</v>
      </c>
      <c r="V69" s="248">
        <v>-10681756.280448198</v>
      </c>
      <c r="W69" s="180"/>
      <c r="X69" s="180"/>
      <c r="Y69" s="214">
        <v>-8.0850398350379118E-2</v>
      </c>
    </row>
    <row r="70" spans="2:25" x14ac:dyDescent="0.2">
      <c r="B70" s="174">
        <v>61</v>
      </c>
      <c r="C70" s="228"/>
      <c r="D70" s="211"/>
      <c r="E70" s="237"/>
      <c r="F70" s="175"/>
      <c r="G70" s="212"/>
      <c r="H70" s="230"/>
      <c r="I70" s="244"/>
      <c r="K70" s="174">
        <v>61</v>
      </c>
      <c r="L70" s="228"/>
      <c r="M70" s="211"/>
      <c r="N70" s="237"/>
      <c r="O70" s="175"/>
      <c r="P70" s="212"/>
      <c r="Q70" s="230"/>
      <c r="R70" s="244"/>
      <c r="T70" s="174">
        <v>61</v>
      </c>
      <c r="U70" s="228"/>
      <c r="V70" s="180"/>
      <c r="W70" s="180"/>
      <c r="X70" s="180"/>
      <c r="Y70" s="214"/>
    </row>
    <row r="71" spans="2:25" x14ac:dyDescent="0.2">
      <c r="B71" s="174">
        <v>62</v>
      </c>
      <c r="C71" s="211" t="s">
        <v>184</v>
      </c>
      <c r="D71" s="175"/>
      <c r="E71" s="223"/>
      <c r="F71" s="175"/>
      <c r="G71" s="212"/>
      <c r="H71" s="224"/>
      <c r="I71" s="213"/>
      <c r="K71" s="174">
        <v>62</v>
      </c>
      <c r="L71" s="211" t="s">
        <v>184</v>
      </c>
      <c r="M71" s="175"/>
      <c r="N71" s="223"/>
      <c r="O71" s="175"/>
      <c r="P71" s="212"/>
      <c r="Q71" s="224"/>
      <c r="R71" s="213"/>
      <c r="T71" s="174">
        <v>62</v>
      </c>
      <c r="U71" s="211" t="s">
        <v>184</v>
      </c>
      <c r="V71" s="180"/>
      <c r="W71" s="180"/>
      <c r="X71" s="180"/>
      <c r="Y71" s="214"/>
    </row>
    <row r="72" spans="2:25" x14ac:dyDescent="0.2">
      <c r="B72" s="174">
        <v>63</v>
      </c>
      <c r="C72" s="211"/>
      <c r="D72" s="175"/>
      <c r="E72" s="249"/>
      <c r="F72" s="175"/>
      <c r="G72" s="212"/>
      <c r="H72" s="224"/>
      <c r="I72" s="213"/>
      <c r="K72" s="174">
        <v>63</v>
      </c>
      <c r="L72" s="211"/>
      <c r="M72" s="175"/>
      <c r="N72" s="249"/>
      <c r="O72" s="175"/>
      <c r="P72" s="212"/>
      <c r="Q72" s="224"/>
      <c r="R72" s="213"/>
      <c r="T72" s="174">
        <v>63</v>
      </c>
      <c r="U72" s="211"/>
      <c r="V72" s="180"/>
      <c r="W72" s="180"/>
      <c r="X72" s="180"/>
      <c r="Y72" s="214"/>
    </row>
    <row r="73" spans="2:25" x14ac:dyDescent="0.2">
      <c r="B73" s="174">
        <v>64</v>
      </c>
      <c r="C73" s="211" t="s">
        <v>185</v>
      </c>
      <c r="D73" s="175"/>
      <c r="E73" s="223"/>
      <c r="F73" s="175"/>
      <c r="G73" s="212"/>
      <c r="H73" s="224"/>
      <c r="I73" s="250"/>
      <c r="K73" s="174">
        <v>64</v>
      </c>
      <c r="L73" s="211" t="s">
        <v>185</v>
      </c>
      <c r="M73" s="175"/>
      <c r="N73" s="223"/>
      <c r="O73" s="175"/>
      <c r="P73" s="212"/>
      <c r="Q73" s="224"/>
      <c r="R73" s="250"/>
      <c r="T73" s="174">
        <v>64</v>
      </c>
      <c r="U73" s="211" t="s">
        <v>185</v>
      </c>
      <c r="V73" s="180"/>
      <c r="W73" s="180"/>
      <c r="X73" s="180"/>
      <c r="Y73" s="214"/>
    </row>
    <row r="74" spans="2:25" x14ac:dyDescent="0.2">
      <c r="B74" s="174">
        <v>65</v>
      </c>
      <c r="C74" s="251" t="s">
        <v>185</v>
      </c>
      <c r="D74" s="175" t="s">
        <v>2</v>
      </c>
      <c r="E74" s="418">
        <v>91540818</v>
      </c>
      <c r="F74" s="175" t="s">
        <v>244</v>
      </c>
      <c r="G74" s="475"/>
      <c r="H74" s="476"/>
      <c r="I74" s="477"/>
      <c r="K74" s="174">
        <v>65</v>
      </c>
      <c r="L74" s="251" t="s">
        <v>185</v>
      </c>
      <c r="M74" s="175" t="s">
        <v>2</v>
      </c>
      <c r="N74" s="418">
        <v>94967833.175608829</v>
      </c>
      <c r="O74" s="175" t="s">
        <v>244</v>
      </c>
      <c r="P74" s="475"/>
      <c r="Q74" s="495"/>
      <c r="R74" s="477"/>
      <c r="T74" s="174">
        <v>65</v>
      </c>
      <c r="U74" s="175" t="s">
        <v>185</v>
      </c>
      <c r="V74" s="180"/>
      <c r="W74" s="180"/>
      <c r="X74" s="180"/>
      <c r="Y74" s="225"/>
    </row>
    <row r="75" spans="2:25" x14ac:dyDescent="0.2">
      <c r="B75" s="174">
        <v>66</v>
      </c>
      <c r="C75" s="228" t="s">
        <v>58</v>
      </c>
      <c r="D75" s="175"/>
      <c r="E75" s="223"/>
      <c r="F75" s="175"/>
      <c r="G75" s="252"/>
      <c r="H75" s="253"/>
      <c r="I75" s="478"/>
      <c r="K75" s="174">
        <v>66</v>
      </c>
      <c r="L75" s="228" t="s">
        <v>58</v>
      </c>
      <c r="M75" s="175"/>
      <c r="N75" s="223"/>
      <c r="O75" s="175"/>
      <c r="P75" s="252"/>
      <c r="Q75" s="253"/>
      <c r="R75" s="478"/>
      <c r="T75" s="174">
        <v>66</v>
      </c>
      <c r="U75" s="228" t="s">
        <v>58</v>
      </c>
      <c r="V75" s="180"/>
      <c r="W75" s="499"/>
      <c r="X75" s="500"/>
      <c r="Y75" s="501"/>
    </row>
    <row r="76" spans="2:25" x14ac:dyDescent="0.2">
      <c r="B76" s="174">
        <v>67</v>
      </c>
      <c r="C76" s="175"/>
      <c r="D76" s="175"/>
      <c r="E76" s="223"/>
      <c r="F76" s="175"/>
      <c r="G76" s="252"/>
      <c r="H76" s="224"/>
      <c r="I76" s="213"/>
      <c r="K76" s="174">
        <v>67</v>
      </c>
      <c r="L76" s="175"/>
      <c r="M76" s="175"/>
      <c r="N76" s="223"/>
      <c r="O76" s="175"/>
      <c r="P76" s="252"/>
      <c r="Q76" s="224"/>
      <c r="R76" s="213"/>
      <c r="T76" s="174">
        <v>67</v>
      </c>
      <c r="U76" s="175"/>
      <c r="V76" s="180"/>
      <c r="W76" s="221"/>
      <c r="X76" s="221"/>
      <c r="Y76" s="227"/>
    </row>
    <row r="77" spans="2:25" x14ac:dyDescent="0.2">
      <c r="B77" s="174">
        <v>68</v>
      </c>
      <c r="C77" s="211" t="s">
        <v>186</v>
      </c>
      <c r="D77" s="175"/>
      <c r="E77" s="223"/>
      <c r="F77" s="175"/>
      <c r="G77" s="252"/>
      <c r="H77" s="224"/>
      <c r="I77" s="213"/>
      <c r="K77" s="174">
        <v>68</v>
      </c>
      <c r="L77" s="211" t="s">
        <v>186</v>
      </c>
      <c r="M77" s="175"/>
      <c r="N77" s="223"/>
      <c r="O77" s="175"/>
      <c r="P77" s="252"/>
      <c r="Q77" s="224"/>
      <c r="R77" s="213"/>
      <c r="T77" s="174">
        <v>68</v>
      </c>
      <c r="U77" s="211" t="s">
        <v>186</v>
      </c>
      <c r="V77" s="180"/>
      <c r="W77" s="221"/>
      <c r="X77" s="221"/>
      <c r="Y77" s="225"/>
    </row>
    <row r="78" spans="2:25" x14ac:dyDescent="0.2">
      <c r="B78" s="174">
        <v>69</v>
      </c>
      <c r="C78" s="175" t="s">
        <v>187</v>
      </c>
      <c r="D78" s="175" t="s">
        <v>71</v>
      </c>
      <c r="E78" s="470"/>
      <c r="F78" s="446"/>
      <c r="G78" s="471"/>
      <c r="H78" s="479"/>
      <c r="I78" s="480"/>
      <c r="K78" s="174">
        <v>69</v>
      </c>
      <c r="L78" s="175" t="s">
        <v>187</v>
      </c>
      <c r="M78" s="175" t="s">
        <v>71</v>
      </c>
      <c r="N78" s="470"/>
      <c r="O78" s="446"/>
      <c r="P78" s="471"/>
      <c r="Q78" s="489"/>
      <c r="R78" s="480"/>
      <c r="T78" s="174">
        <v>69</v>
      </c>
      <c r="U78" s="175" t="s">
        <v>187</v>
      </c>
      <c r="V78" s="180"/>
      <c r="W78" s="502"/>
      <c r="X78" s="503"/>
      <c r="Y78" s="504"/>
    </row>
    <row r="79" spans="2:25" x14ac:dyDescent="0.2">
      <c r="B79" s="174">
        <v>70</v>
      </c>
      <c r="C79" s="175" t="s">
        <v>188</v>
      </c>
      <c r="D79" s="218" t="s">
        <v>189</v>
      </c>
      <c r="E79" s="472"/>
      <c r="F79" s="458"/>
      <c r="G79" s="473"/>
      <c r="H79" s="481"/>
      <c r="I79" s="482"/>
      <c r="K79" s="174">
        <v>70</v>
      </c>
      <c r="L79" s="175" t="s">
        <v>188</v>
      </c>
      <c r="M79" s="218" t="s">
        <v>189</v>
      </c>
      <c r="N79" s="472"/>
      <c r="O79" s="458"/>
      <c r="P79" s="473"/>
      <c r="Q79" s="491"/>
      <c r="R79" s="482"/>
      <c r="T79" s="174">
        <v>70</v>
      </c>
      <c r="U79" s="175" t="s">
        <v>188</v>
      </c>
      <c r="V79" s="180"/>
      <c r="W79" s="505"/>
      <c r="X79" s="506"/>
      <c r="Y79" s="507"/>
    </row>
    <row r="80" spans="2:25" x14ac:dyDescent="0.2">
      <c r="B80" s="174">
        <v>71</v>
      </c>
      <c r="C80" s="228" t="s">
        <v>58</v>
      </c>
      <c r="D80" s="218"/>
      <c r="E80" s="237"/>
      <c r="F80" s="175"/>
      <c r="G80" s="212"/>
      <c r="H80" s="224"/>
      <c r="I80" s="254">
        <v>216187.10257762001</v>
      </c>
      <c r="K80" s="174">
        <v>71</v>
      </c>
      <c r="L80" s="228" t="s">
        <v>58</v>
      </c>
      <c r="M80" s="218"/>
      <c r="N80" s="237"/>
      <c r="O80" s="175"/>
      <c r="P80" s="212"/>
      <c r="Q80" s="224"/>
      <c r="R80" s="254">
        <v>252205.61735784303</v>
      </c>
      <c r="T80" s="174">
        <v>71</v>
      </c>
      <c r="U80" s="228" t="s">
        <v>58</v>
      </c>
      <c r="V80" s="180"/>
      <c r="W80" s="221">
        <v>-36018.51478022302</v>
      </c>
      <c r="X80" s="221"/>
      <c r="Y80" s="227">
        <v>-0.14281408621092684</v>
      </c>
    </row>
    <row r="81" spans="2:25" x14ac:dyDescent="0.2">
      <c r="B81" s="174">
        <v>72</v>
      </c>
      <c r="C81" s="175"/>
      <c r="D81" s="175"/>
      <c r="E81" s="237"/>
      <c r="F81" s="175"/>
      <c r="G81" s="212"/>
      <c r="H81" s="224"/>
      <c r="I81" s="213"/>
      <c r="K81" s="174">
        <v>72</v>
      </c>
      <c r="L81" s="175"/>
      <c r="M81" s="175"/>
      <c r="N81" s="237"/>
      <c r="O81" s="175"/>
      <c r="P81" s="212"/>
      <c r="Q81" s="224"/>
      <c r="R81" s="213"/>
      <c r="T81" s="174">
        <v>72</v>
      </c>
      <c r="U81" s="175"/>
      <c r="V81" s="180"/>
      <c r="W81" s="180"/>
      <c r="X81" s="180"/>
      <c r="Y81" s="214"/>
    </row>
    <row r="82" spans="2:25" x14ac:dyDescent="0.2">
      <c r="B82" s="174">
        <v>73</v>
      </c>
      <c r="C82" s="211" t="s">
        <v>190</v>
      </c>
      <c r="D82" s="180"/>
      <c r="E82" s="223"/>
      <c r="F82" s="175"/>
      <c r="G82" s="212"/>
      <c r="H82" s="180"/>
      <c r="I82" s="181"/>
      <c r="K82" s="174">
        <v>73</v>
      </c>
      <c r="L82" s="211" t="s">
        <v>190</v>
      </c>
      <c r="M82" s="180"/>
      <c r="N82" s="223"/>
      <c r="O82" s="175"/>
      <c r="P82" s="212"/>
      <c r="Q82" s="180"/>
      <c r="R82" s="181"/>
      <c r="T82" s="174">
        <v>73</v>
      </c>
      <c r="U82" s="211" t="s">
        <v>190</v>
      </c>
      <c r="V82" s="180"/>
      <c r="W82" s="221"/>
      <c r="X82" s="221"/>
      <c r="Y82" s="214"/>
    </row>
    <row r="83" spans="2:25" x14ac:dyDescent="0.2">
      <c r="B83" s="174">
        <v>74</v>
      </c>
      <c r="C83" s="180" t="s">
        <v>191</v>
      </c>
      <c r="D83" s="180"/>
      <c r="E83" s="418">
        <v>91567938.107999995</v>
      </c>
      <c r="F83" s="175" t="s">
        <v>244</v>
      </c>
      <c r="G83" s="419">
        <v>3.4632057630879322E-2</v>
      </c>
      <c r="H83" s="420"/>
      <c r="I83" s="423">
        <v>3171186.1096970467</v>
      </c>
      <c r="K83" s="174">
        <v>74</v>
      </c>
      <c r="L83" s="180" t="s">
        <v>191</v>
      </c>
      <c r="M83" s="180"/>
      <c r="N83" s="418">
        <v>94347029.201700002</v>
      </c>
      <c r="O83" s="175" t="s">
        <v>244</v>
      </c>
      <c r="P83" s="419">
        <v>2.8363974774370925E-2</v>
      </c>
      <c r="Q83" s="420"/>
      <c r="R83" s="423">
        <v>2676056.7563138558</v>
      </c>
      <c r="T83" s="174">
        <v>74</v>
      </c>
      <c r="U83" s="180" t="s">
        <v>191</v>
      </c>
      <c r="V83" s="180"/>
      <c r="W83" s="255">
        <v>495129.35338319093</v>
      </c>
      <c r="X83" s="255"/>
      <c r="Y83" s="225">
        <v>0.18502199260721536</v>
      </c>
    </row>
    <row r="84" spans="2:25" x14ac:dyDescent="0.2">
      <c r="B84" s="174">
        <v>75</v>
      </c>
      <c r="C84" s="180" t="s">
        <v>192</v>
      </c>
      <c r="D84" s="180"/>
      <c r="E84" s="483"/>
      <c r="F84" s="484"/>
      <c r="G84" s="485"/>
      <c r="H84" s="486"/>
      <c r="I84" s="487"/>
      <c r="K84" s="174">
        <v>75</v>
      </c>
      <c r="L84" s="180" t="s">
        <v>192</v>
      </c>
      <c r="M84" s="180"/>
      <c r="N84" s="483"/>
      <c r="O84" s="484"/>
      <c r="P84" s="485"/>
      <c r="Q84" s="486"/>
      <c r="R84" s="487"/>
      <c r="T84" s="174">
        <v>75</v>
      </c>
      <c r="U84" s="180" t="s">
        <v>192</v>
      </c>
      <c r="V84" s="180"/>
      <c r="W84" s="499"/>
      <c r="X84" s="500"/>
      <c r="Y84" s="501"/>
    </row>
    <row r="85" spans="2:25" x14ac:dyDescent="0.2">
      <c r="B85" s="174">
        <v>76</v>
      </c>
      <c r="C85" s="228" t="s">
        <v>58</v>
      </c>
      <c r="D85" s="175"/>
      <c r="E85" s="237"/>
      <c r="F85" s="175"/>
      <c r="G85" s="212"/>
      <c r="H85" s="224"/>
      <c r="I85" s="254">
        <v>3718555.4984074864</v>
      </c>
      <c r="K85" s="174">
        <v>76</v>
      </c>
      <c r="L85" s="228" t="s">
        <v>58</v>
      </c>
      <c r="M85" s="175"/>
      <c r="N85" s="237"/>
      <c r="O85" s="175"/>
      <c r="P85" s="212"/>
      <c r="Q85" s="224"/>
      <c r="R85" s="254">
        <v>3306643.916315238</v>
      </c>
      <c r="T85" s="174">
        <v>76</v>
      </c>
      <c r="U85" s="228" t="s">
        <v>58</v>
      </c>
      <c r="V85" s="180"/>
      <c r="W85" s="221">
        <v>411911.58209224837</v>
      </c>
      <c r="X85" s="221"/>
      <c r="Y85" s="227">
        <v>0.12457089197292899</v>
      </c>
    </row>
    <row r="86" spans="2:25" x14ac:dyDescent="0.2">
      <c r="B86" s="174">
        <v>77</v>
      </c>
      <c r="C86" s="175"/>
      <c r="D86" s="175"/>
      <c r="E86" s="237"/>
      <c r="F86" s="175"/>
      <c r="G86" s="212"/>
      <c r="H86" s="224"/>
      <c r="I86" s="213"/>
      <c r="K86" s="174">
        <v>77</v>
      </c>
      <c r="L86" s="175"/>
      <c r="M86" s="175"/>
      <c r="N86" s="237"/>
      <c r="O86" s="175"/>
      <c r="P86" s="212"/>
      <c r="Q86" s="224"/>
      <c r="R86" s="213"/>
      <c r="T86" s="174">
        <v>77</v>
      </c>
      <c r="U86" s="175"/>
      <c r="V86" s="180"/>
      <c r="W86" s="221"/>
      <c r="X86" s="221"/>
      <c r="Y86" s="214"/>
    </row>
    <row r="87" spans="2:25" x14ac:dyDescent="0.2">
      <c r="B87" s="174">
        <v>78</v>
      </c>
      <c r="C87" s="211" t="s">
        <v>193</v>
      </c>
      <c r="D87" s="180"/>
      <c r="E87" s="237"/>
      <c r="F87" s="175"/>
      <c r="G87" s="212"/>
      <c r="H87" s="180"/>
      <c r="I87" s="181"/>
      <c r="K87" s="174">
        <v>78</v>
      </c>
      <c r="L87" s="211" t="s">
        <v>193</v>
      </c>
      <c r="M87" s="180"/>
      <c r="N87" s="237"/>
      <c r="O87" s="175"/>
      <c r="P87" s="212"/>
      <c r="Q87" s="180"/>
      <c r="R87" s="181"/>
      <c r="T87" s="174">
        <v>78</v>
      </c>
      <c r="U87" s="211" t="s">
        <v>193</v>
      </c>
      <c r="V87" s="180"/>
      <c r="W87" s="221"/>
      <c r="X87" s="221"/>
      <c r="Y87" s="225"/>
    </row>
    <row r="88" spans="2:25" x14ac:dyDescent="0.2">
      <c r="B88" s="174">
        <v>79</v>
      </c>
      <c r="C88" s="175" t="s">
        <v>10</v>
      </c>
      <c r="D88" s="175" t="s">
        <v>2</v>
      </c>
      <c r="E88" s="470"/>
      <c r="F88" s="446"/>
      <c r="G88" s="488"/>
      <c r="H88" s="489"/>
      <c r="I88" s="480"/>
      <c r="K88" s="174">
        <v>79</v>
      </c>
      <c r="L88" s="175" t="s">
        <v>10</v>
      </c>
      <c r="M88" s="175" t="s">
        <v>2</v>
      </c>
      <c r="N88" s="470"/>
      <c r="O88" s="446"/>
      <c r="P88" s="488"/>
      <c r="Q88" s="489"/>
      <c r="R88" s="480"/>
      <c r="T88" s="174">
        <v>79</v>
      </c>
      <c r="U88" s="175" t="s">
        <v>10</v>
      </c>
      <c r="V88" s="180"/>
      <c r="W88" s="502"/>
      <c r="X88" s="503"/>
      <c r="Y88" s="504"/>
    </row>
    <row r="89" spans="2:25" x14ac:dyDescent="0.2">
      <c r="B89" s="174">
        <v>80</v>
      </c>
      <c r="C89" s="175" t="s">
        <v>9</v>
      </c>
      <c r="D89" s="175" t="s">
        <v>2</v>
      </c>
      <c r="E89" s="472"/>
      <c r="F89" s="458"/>
      <c r="G89" s="490"/>
      <c r="H89" s="491"/>
      <c r="I89" s="492"/>
      <c r="K89" s="174">
        <v>80</v>
      </c>
      <c r="L89" s="175" t="s">
        <v>9</v>
      </c>
      <c r="M89" s="175" t="s">
        <v>2</v>
      </c>
      <c r="N89" s="472"/>
      <c r="O89" s="458"/>
      <c r="P89" s="490"/>
      <c r="Q89" s="491"/>
      <c r="R89" s="492"/>
      <c r="T89" s="174">
        <v>80</v>
      </c>
      <c r="U89" s="175" t="s">
        <v>9</v>
      </c>
      <c r="V89" s="180"/>
      <c r="W89" s="505"/>
      <c r="X89" s="506"/>
      <c r="Y89" s="507"/>
    </row>
    <row r="90" spans="2:25" x14ac:dyDescent="0.2">
      <c r="B90" s="174">
        <v>81</v>
      </c>
      <c r="C90" s="228" t="s">
        <v>58</v>
      </c>
      <c r="D90" s="175"/>
      <c r="E90" s="223"/>
      <c r="F90" s="175"/>
      <c r="G90" s="212"/>
      <c r="H90" s="224"/>
      <c r="I90" s="254">
        <v>3641670.0051343888</v>
      </c>
      <c r="K90" s="174">
        <v>81</v>
      </c>
      <c r="L90" s="228" t="s">
        <v>58</v>
      </c>
      <c r="M90" s="175"/>
      <c r="N90" s="223"/>
      <c r="O90" s="175"/>
      <c r="P90" s="212"/>
      <c r="Q90" s="224"/>
      <c r="R90" s="254">
        <v>-6123373.739256829</v>
      </c>
      <c r="T90" s="174">
        <v>81</v>
      </c>
      <c r="U90" s="228" t="s">
        <v>58</v>
      </c>
      <c r="V90" s="180"/>
      <c r="W90" s="221">
        <v>9765043.7443912178</v>
      </c>
      <c r="X90" s="221"/>
      <c r="Y90" s="227">
        <v>-1.5947162724672044</v>
      </c>
    </row>
    <row r="91" spans="2:25" x14ac:dyDescent="0.2">
      <c r="B91" s="174">
        <v>82</v>
      </c>
      <c r="C91" s="175"/>
      <c r="D91" s="175"/>
      <c r="E91" s="237"/>
      <c r="F91" s="175"/>
      <c r="G91" s="212"/>
      <c r="H91" s="224"/>
      <c r="I91" s="213"/>
      <c r="K91" s="174">
        <v>82</v>
      </c>
      <c r="L91" s="175"/>
      <c r="M91" s="175"/>
      <c r="N91" s="237"/>
      <c r="O91" s="175"/>
      <c r="P91" s="212"/>
      <c r="Q91" s="224"/>
      <c r="R91" s="213"/>
      <c r="T91" s="174">
        <v>82</v>
      </c>
      <c r="U91" s="175"/>
      <c r="V91" s="180"/>
      <c r="W91" s="221"/>
      <c r="X91" s="221"/>
      <c r="Y91" s="214"/>
    </row>
    <row r="92" spans="2:25" x14ac:dyDescent="0.2">
      <c r="B92" s="174">
        <v>83</v>
      </c>
      <c r="C92" s="211" t="s">
        <v>194</v>
      </c>
      <c r="D92" s="175"/>
      <c r="E92" s="237"/>
      <c r="F92" s="175"/>
      <c r="G92" s="212"/>
      <c r="H92" s="224"/>
      <c r="I92" s="250"/>
      <c r="K92" s="174">
        <v>83</v>
      </c>
      <c r="L92" s="211" t="s">
        <v>194</v>
      </c>
      <c r="M92" s="175"/>
      <c r="N92" s="237"/>
      <c r="O92" s="175"/>
      <c r="P92" s="212"/>
      <c r="Q92" s="224"/>
      <c r="R92" s="250"/>
      <c r="T92" s="174">
        <v>83</v>
      </c>
      <c r="U92" s="211" t="s">
        <v>194</v>
      </c>
      <c r="V92" s="180"/>
      <c r="W92" s="221"/>
      <c r="X92" s="221"/>
      <c r="Y92" s="214"/>
    </row>
    <row r="93" spans="2:25" x14ac:dyDescent="0.2">
      <c r="B93" s="174">
        <v>84</v>
      </c>
      <c r="C93" s="256" t="s">
        <v>195</v>
      </c>
      <c r="D93" s="180" t="s">
        <v>2</v>
      </c>
      <c r="E93" s="483"/>
      <c r="F93" s="484"/>
      <c r="G93" s="493"/>
      <c r="H93" s="486"/>
      <c r="I93" s="494"/>
      <c r="K93" s="174">
        <v>84</v>
      </c>
      <c r="L93" s="256" t="s">
        <v>195</v>
      </c>
      <c r="M93" s="180" t="s">
        <v>2</v>
      </c>
      <c r="N93" s="483"/>
      <c r="O93" s="484"/>
      <c r="P93" s="485"/>
      <c r="Q93" s="486"/>
      <c r="R93" s="494"/>
      <c r="T93" s="174">
        <v>84</v>
      </c>
      <c r="U93" s="180" t="s">
        <v>195</v>
      </c>
      <c r="V93" s="180"/>
      <c r="W93" s="221"/>
      <c r="X93" s="221"/>
      <c r="Y93" s="214"/>
    </row>
    <row r="94" spans="2:25" x14ac:dyDescent="0.2">
      <c r="B94" s="174">
        <v>85</v>
      </c>
      <c r="C94" s="180" t="s">
        <v>58</v>
      </c>
      <c r="D94" s="180"/>
      <c r="E94" s="237"/>
      <c r="F94" s="175"/>
      <c r="G94" s="212"/>
      <c r="H94" s="230"/>
      <c r="I94" s="466"/>
      <c r="K94" s="174">
        <v>85</v>
      </c>
      <c r="L94" s="180" t="s">
        <v>58</v>
      </c>
      <c r="M94" s="180"/>
      <c r="N94" s="237"/>
      <c r="O94" s="175"/>
      <c r="P94" s="212"/>
      <c r="Q94" s="230"/>
      <c r="R94" s="466"/>
      <c r="T94" s="174">
        <v>85</v>
      </c>
      <c r="U94" s="180" t="s">
        <v>58</v>
      </c>
      <c r="V94" s="180"/>
      <c r="W94" s="508"/>
      <c r="X94" s="509"/>
      <c r="Y94" s="510"/>
    </row>
    <row r="95" spans="2:25" x14ac:dyDescent="0.2">
      <c r="B95" s="174">
        <v>86</v>
      </c>
      <c r="C95" s="180"/>
      <c r="D95" s="180"/>
      <c r="E95" s="237"/>
      <c r="F95" s="175"/>
      <c r="G95" s="212"/>
      <c r="H95" s="180"/>
      <c r="I95" s="181"/>
      <c r="K95" s="174">
        <v>86</v>
      </c>
      <c r="L95" s="180"/>
      <c r="M95" s="180"/>
      <c r="N95" s="237"/>
      <c r="O95" s="175"/>
      <c r="P95" s="212"/>
      <c r="Q95" s="180"/>
      <c r="R95" s="181"/>
      <c r="T95" s="174">
        <v>86</v>
      </c>
      <c r="U95" s="180"/>
      <c r="V95" s="180"/>
      <c r="W95" s="221"/>
      <c r="X95" s="221"/>
      <c r="Y95" s="214"/>
    </row>
    <row r="96" spans="2:25" x14ac:dyDescent="0.2">
      <c r="B96" s="174">
        <v>87</v>
      </c>
      <c r="C96" s="211" t="s">
        <v>125</v>
      </c>
      <c r="D96" s="180"/>
      <c r="E96" s="237"/>
      <c r="F96" s="175"/>
      <c r="G96" s="212"/>
      <c r="H96" s="180"/>
      <c r="I96" s="181"/>
      <c r="K96" s="174">
        <v>87</v>
      </c>
      <c r="L96" s="211" t="s">
        <v>125</v>
      </c>
      <c r="M96" s="180"/>
      <c r="N96" s="237"/>
      <c r="O96" s="175"/>
      <c r="P96" s="212"/>
      <c r="Q96" s="180"/>
      <c r="R96" s="181"/>
      <c r="T96" s="174">
        <v>87</v>
      </c>
      <c r="U96" s="211" t="s">
        <v>125</v>
      </c>
      <c r="V96" s="180"/>
      <c r="W96" s="221"/>
      <c r="X96" s="221"/>
      <c r="Y96" s="214"/>
    </row>
    <row r="97" spans="1:28" x14ac:dyDescent="0.2">
      <c r="B97" s="174">
        <v>88</v>
      </c>
      <c r="C97" s="175" t="s">
        <v>196</v>
      </c>
      <c r="D97" s="175" t="s">
        <v>2</v>
      </c>
      <c r="E97" s="257"/>
      <c r="F97" s="257"/>
      <c r="G97" s="257"/>
      <c r="H97" s="257"/>
      <c r="I97" s="496"/>
      <c r="K97" s="174">
        <v>88</v>
      </c>
      <c r="L97" s="175" t="s">
        <v>196</v>
      </c>
      <c r="M97" s="175" t="s">
        <v>2</v>
      </c>
      <c r="N97" s="257"/>
      <c r="O97" s="257"/>
      <c r="P97" s="257"/>
      <c r="Q97" s="257"/>
      <c r="R97" s="496"/>
      <c r="T97" s="174">
        <v>88</v>
      </c>
      <c r="U97" s="175" t="s">
        <v>196</v>
      </c>
      <c r="V97" s="180"/>
      <c r="W97" s="221"/>
      <c r="X97" s="221"/>
      <c r="Y97" s="214"/>
    </row>
    <row r="98" spans="1:28" x14ac:dyDescent="0.2">
      <c r="B98" s="174">
        <v>89</v>
      </c>
      <c r="C98" s="228" t="s">
        <v>58</v>
      </c>
      <c r="D98" s="180"/>
      <c r="E98" s="237"/>
      <c r="F98" s="175"/>
      <c r="G98" s="212"/>
      <c r="H98" s="180"/>
      <c r="I98" s="478"/>
      <c r="K98" s="174">
        <v>89</v>
      </c>
      <c r="L98" s="228" t="s">
        <v>58</v>
      </c>
      <c r="M98" s="180"/>
      <c r="N98" s="237"/>
      <c r="O98" s="175"/>
      <c r="P98" s="212"/>
      <c r="Q98" s="180"/>
      <c r="R98" s="478"/>
      <c r="T98" s="174">
        <v>89</v>
      </c>
      <c r="U98" s="228" t="s">
        <v>58</v>
      </c>
      <c r="V98" s="180"/>
      <c r="W98" s="508"/>
      <c r="X98" s="509"/>
      <c r="Y98" s="510"/>
    </row>
    <row r="99" spans="1:28" x14ac:dyDescent="0.2">
      <c r="B99" s="174">
        <v>90</v>
      </c>
      <c r="C99" s="180"/>
      <c r="D99" s="180"/>
      <c r="E99" s="237"/>
      <c r="F99" s="175"/>
      <c r="G99" s="212"/>
      <c r="H99" s="180"/>
      <c r="I99" s="181"/>
      <c r="K99" s="174">
        <v>90</v>
      </c>
      <c r="L99" s="180"/>
      <c r="M99" s="180"/>
      <c r="N99" s="237"/>
      <c r="O99" s="175"/>
      <c r="P99" s="212"/>
      <c r="Q99" s="180"/>
      <c r="R99" s="181"/>
      <c r="T99" s="174">
        <v>90</v>
      </c>
      <c r="U99" s="180"/>
      <c r="V99" s="180"/>
      <c r="W99" s="221"/>
      <c r="X99" s="221"/>
      <c r="Y99" s="214"/>
    </row>
    <row r="100" spans="1:28" x14ac:dyDescent="0.2">
      <c r="A100" s="215"/>
      <c r="B100" s="174">
        <v>91</v>
      </c>
      <c r="C100" s="238" t="s">
        <v>250</v>
      </c>
      <c r="D100" s="211"/>
      <c r="E100" s="246">
        <v>91540818</v>
      </c>
      <c r="F100" s="211" t="s">
        <v>244</v>
      </c>
      <c r="G100" s="258"/>
      <c r="H100" s="230"/>
      <c r="I100" s="244">
        <v>348100903.63468373</v>
      </c>
      <c r="J100" s="259"/>
      <c r="K100" s="174">
        <v>91</v>
      </c>
      <c r="L100" s="238" t="s">
        <v>250</v>
      </c>
      <c r="M100" s="211"/>
      <c r="N100" s="246">
        <v>94967833.175608829</v>
      </c>
      <c r="O100" s="211" t="s">
        <v>244</v>
      </c>
      <c r="P100" s="258"/>
      <c r="Q100" s="230"/>
      <c r="R100" s="244">
        <v>407679909.39073342</v>
      </c>
      <c r="T100" s="174">
        <v>91</v>
      </c>
      <c r="U100" s="238" t="s">
        <v>250</v>
      </c>
      <c r="V100" s="180"/>
      <c r="W100" s="248">
        <v>-59579005.756049693</v>
      </c>
      <c r="X100" s="221"/>
      <c r="Y100" s="260">
        <v>-0.14614162823252413</v>
      </c>
    </row>
    <row r="101" spans="1:28" x14ac:dyDescent="0.2">
      <c r="A101" s="215"/>
      <c r="B101" s="174">
        <v>92</v>
      </c>
      <c r="C101" s="238" t="s">
        <v>249</v>
      </c>
      <c r="D101" s="211"/>
      <c r="E101" s="261"/>
      <c r="F101" s="211"/>
      <c r="G101" s="229"/>
      <c r="H101" s="262">
        <v>121435790.4279424</v>
      </c>
      <c r="I101" s="263"/>
      <c r="J101" s="259"/>
      <c r="K101" s="174">
        <v>92</v>
      </c>
      <c r="L101" s="238" t="s">
        <v>249</v>
      </c>
      <c r="M101" s="211"/>
      <c r="N101" s="261"/>
      <c r="O101" s="211"/>
      <c r="P101" s="229"/>
      <c r="Q101" s="262">
        <v>132117546.70839059</v>
      </c>
      <c r="R101" s="263"/>
      <c r="T101" s="174">
        <v>92</v>
      </c>
      <c r="U101" s="238" t="s">
        <v>249</v>
      </c>
      <c r="V101" s="248">
        <v>-10681756.280448198</v>
      </c>
      <c r="W101" s="180"/>
      <c r="X101" s="180"/>
      <c r="Y101" s="260">
        <v>-8.0850398350379118E-2</v>
      </c>
    </row>
    <row r="102" spans="1:28" x14ac:dyDescent="0.2">
      <c r="A102" s="215"/>
      <c r="B102" s="174">
        <v>93</v>
      </c>
      <c r="C102" s="238" t="s">
        <v>251</v>
      </c>
      <c r="D102" s="175"/>
      <c r="E102" s="264"/>
      <c r="F102" s="175"/>
      <c r="G102" s="212"/>
      <c r="H102" s="265"/>
      <c r="I102" s="266">
        <v>469536694.06262612</v>
      </c>
      <c r="J102" s="259"/>
      <c r="K102" s="174">
        <v>93</v>
      </c>
      <c r="L102" s="238" t="s">
        <v>251</v>
      </c>
      <c r="M102" s="175"/>
      <c r="N102" s="264"/>
      <c r="O102" s="175"/>
      <c r="P102" s="212"/>
      <c r="Q102" s="265"/>
      <c r="R102" s="266">
        <v>539797456.09912395</v>
      </c>
      <c r="T102" s="174">
        <v>93</v>
      </c>
      <c r="U102" s="238" t="s">
        <v>251</v>
      </c>
      <c r="V102" s="180"/>
      <c r="W102" s="180"/>
      <c r="X102" s="248">
        <v>-70260762.036497831</v>
      </c>
      <c r="Y102" s="260">
        <v>-0.13016134337542287</v>
      </c>
    </row>
    <row r="103" spans="1:28" x14ac:dyDescent="0.2">
      <c r="B103" s="174">
        <v>94</v>
      </c>
      <c r="C103" s="238" t="s">
        <v>252</v>
      </c>
      <c r="D103" s="180"/>
      <c r="E103" s="418">
        <v>905704400</v>
      </c>
      <c r="F103" s="175" t="s">
        <v>253</v>
      </c>
      <c r="G103" s="258"/>
      <c r="H103" s="267"/>
      <c r="I103" s="268"/>
      <c r="K103" s="174">
        <v>94</v>
      </c>
      <c r="L103" s="238" t="s">
        <v>252</v>
      </c>
      <c r="M103" s="180"/>
      <c r="N103" s="418">
        <v>940086580</v>
      </c>
      <c r="O103" s="175" t="s">
        <v>253</v>
      </c>
      <c r="P103" s="258"/>
      <c r="Q103" s="267"/>
      <c r="R103" s="268"/>
      <c r="T103" s="174">
        <v>94</v>
      </c>
      <c r="U103" s="238" t="s">
        <v>252</v>
      </c>
      <c r="V103" s="180"/>
      <c r="W103" s="231"/>
      <c r="X103" s="231"/>
      <c r="Y103" s="214"/>
      <c r="AB103" s="269"/>
    </row>
    <row r="104" spans="1:28" x14ac:dyDescent="0.2">
      <c r="B104" s="174">
        <v>95</v>
      </c>
      <c r="C104" s="238" t="s">
        <v>254</v>
      </c>
      <c r="D104" s="270">
        <v>1.0600495180193792E-2</v>
      </c>
      <c r="E104" s="246"/>
      <c r="F104" s="175"/>
      <c r="G104" s="212"/>
      <c r="H104" s="271"/>
      <c r="I104" s="272"/>
      <c r="K104" s="174">
        <v>95</v>
      </c>
      <c r="L104" s="238" t="s">
        <v>254</v>
      </c>
      <c r="M104" s="270">
        <v>1.0100000637428219E-2</v>
      </c>
      <c r="N104" s="246"/>
      <c r="O104" s="175"/>
      <c r="P104" s="212"/>
      <c r="Q104" s="271"/>
      <c r="R104" s="272"/>
      <c r="T104" s="174">
        <v>95</v>
      </c>
      <c r="U104" s="238" t="s">
        <v>255</v>
      </c>
      <c r="V104" s="180"/>
      <c r="W104" s="180"/>
      <c r="X104" s="180"/>
      <c r="Y104" s="181"/>
    </row>
    <row r="105" spans="1:28" x14ac:dyDescent="0.2">
      <c r="B105" s="174">
        <v>96</v>
      </c>
      <c r="C105" s="238" t="s">
        <v>256</v>
      </c>
      <c r="D105" s="180"/>
      <c r="E105" s="273"/>
      <c r="F105" s="180"/>
      <c r="G105" s="180"/>
      <c r="H105" s="267"/>
      <c r="I105" s="274"/>
      <c r="K105" s="174">
        <v>96</v>
      </c>
      <c r="L105" s="238" t="s">
        <v>256</v>
      </c>
      <c r="M105" s="180"/>
      <c r="N105" s="273"/>
      <c r="O105" s="180"/>
      <c r="P105" s="180"/>
      <c r="Q105" s="267"/>
      <c r="R105" s="274"/>
      <c r="T105" s="174">
        <v>96</v>
      </c>
      <c r="U105" s="238" t="s">
        <v>256</v>
      </c>
      <c r="V105" s="180"/>
      <c r="W105" s="180"/>
      <c r="X105" s="180"/>
      <c r="Y105" s="181"/>
    </row>
    <row r="106" spans="1:28" x14ac:dyDescent="0.2">
      <c r="B106" s="174">
        <v>97</v>
      </c>
      <c r="C106" s="175" t="s">
        <v>3</v>
      </c>
      <c r="D106" s="175"/>
      <c r="E106" s="177"/>
      <c r="F106" s="175"/>
      <c r="G106" s="252">
        <v>0.13407883458216874</v>
      </c>
      <c r="H106" s="267"/>
      <c r="I106" s="274"/>
      <c r="K106" s="174">
        <v>97</v>
      </c>
      <c r="L106" s="175" t="s">
        <v>3</v>
      </c>
      <c r="M106" s="175"/>
      <c r="N106" s="177"/>
      <c r="O106" s="175"/>
      <c r="P106" s="252">
        <v>0.14053763719123677</v>
      </c>
      <c r="Q106" s="267"/>
      <c r="R106" s="274"/>
      <c r="T106" s="174">
        <v>97</v>
      </c>
      <c r="U106" s="175" t="s">
        <v>3</v>
      </c>
      <c r="V106" s="275">
        <v>-6.4588026090680317E-3</v>
      </c>
      <c r="W106" s="180"/>
      <c r="X106" s="180"/>
      <c r="Y106" s="214">
        <v>-4.5957814135434823E-2</v>
      </c>
    </row>
    <row r="107" spans="1:28" x14ac:dyDescent="0.2">
      <c r="B107" s="174">
        <v>98</v>
      </c>
      <c r="C107" s="175" t="s">
        <v>2</v>
      </c>
      <c r="D107" s="175"/>
      <c r="E107" s="177"/>
      <c r="F107" s="175"/>
      <c r="G107" s="252">
        <v>0.38434273217032372</v>
      </c>
      <c r="H107" s="276"/>
      <c r="I107" s="277"/>
      <c r="K107" s="174">
        <v>98</v>
      </c>
      <c r="L107" s="175" t="s">
        <v>2</v>
      </c>
      <c r="M107" s="175"/>
      <c r="N107" s="177"/>
      <c r="O107" s="175"/>
      <c r="P107" s="252">
        <v>0.43366208822035668</v>
      </c>
      <c r="Q107" s="276"/>
      <c r="R107" s="277"/>
      <c r="T107" s="174">
        <v>98</v>
      </c>
      <c r="U107" s="175" t="s">
        <v>2</v>
      </c>
      <c r="V107" s="180"/>
      <c r="W107" s="275">
        <v>-4.9319356050032959E-2</v>
      </c>
      <c r="X107" s="275"/>
      <c r="Y107" s="214">
        <v>-0.11372761740005347</v>
      </c>
    </row>
    <row r="108" spans="1:28" x14ac:dyDescent="0.2">
      <c r="B108" s="278">
        <v>99</v>
      </c>
      <c r="C108" s="279" t="s">
        <v>11</v>
      </c>
      <c r="D108" s="279"/>
      <c r="E108" s="279"/>
      <c r="F108" s="279"/>
      <c r="G108" s="280">
        <v>0.5184215667524924</v>
      </c>
      <c r="H108" s="279"/>
      <c r="I108" s="281"/>
      <c r="K108" s="278">
        <v>99</v>
      </c>
      <c r="L108" s="279" t="s">
        <v>11</v>
      </c>
      <c r="M108" s="279"/>
      <c r="N108" s="279"/>
      <c r="O108" s="279"/>
      <c r="P108" s="280">
        <v>0.57419972541159348</v>
      </c>
      <c r="Q108" s="279"/>
      <c r="R108" s="281"/>
      <c r="T108" s="278">
        <v>99</v>
      </c>
      <c r="U108" s="279" t="s">
        <v>11</v>
      </c>
      <c r="V108" s="282"/>
      <c r="W108" s="282"/>
      <c r="X108" s="283">
        <v>-5.5778158659101074E-2</v>
      </c>
      <c r="Y108" s="284">
        <v>-9.7140691976330365E-2</v>
      </c>
    </row>
    <row r="109" spans="1:28" x14ac:dyDescent="0.2">
      <c r="A109" s="216"/>
      <c r="B109" s="216"/>
      <c r="C109" s="216"/>
      <c r="E109" s="286"/>
      <c r="V109" s="256"/>
      <c r="W109" s="256"/>
      <c r="X109" s="256"/>
      <c r="Y109" s="256"/>
    </row>
    <row r="110" spans="1:28" x14ac:dyDescent="0.2">
      <c r="A110" s="216"/>
      <c r="B110" s="216"/>
      <c r="C110" s="216"/>
      <c r="E110" s="286"/>
      <c r="V110" s="256"/>
      <c r="W110" s="256"/>
      <c r="X110" s="256"/>
      <c r="Y110" s="256"/>
    </row>
    <row r="111" spans="1:28" x14ac:dyDescent="0.2">
      <c r="E111" s="289"/>
      <c r="H111" s="289"/>
      <c r="V111" s="256"/>
      <c r="W111" s="256"/>
      <c r="X111" s="256"/>
      <c r="Y111" s="256"/>
    </row>
    <row r="113" spans="5:8" x14ac:dyDescent="0.2">
      <c r="E113" s="286"/>
      <c r="H113" s="286"/>
    </row>
  </sheetData>
  <mergeCells count="7">
    <mergeCell ref="T4:Y4"/>
    <mergeCell ref="T6:Y6"/>
    <mergeCell ref="T7:Y7"/>
    <mergeCell ref="B4:I4"/>
    <mergeCell ref="K4:R4"/>
    <mergeCell ref="B6:I6"/>
    <mergeCell ref="K6:R6"/>
  </mergeCells>
  <pageMargins left="0.25" right="0.25" top="0.75" bottom="0.75" header="0.3" footer="0.3"/>
  <pageSetup scale="45" fitToWidth="3" orientation="portrait" r:id="rId1"/>
  <headerFooter>
    <oddFooter>&amp;L&amp;F
&amp;A&amp;RPage &amp;P of &amp;N</oddFooter>
  </headerFooter>
  <colBreaks count="2" manualBreakCount="2">
    <brk id="9" max="113" man="1"/>
    <brk id="18" max="113" man="1"/>
  </colBreaks>
  <customProperties>
    <customPr name="EpmWorksheetKeyString_GUID" r:id="rId2"/>
  </customPropertie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9"/>
  <sheetViews>
    <sheetView zoomScaleNormal="100" workbookViewId="0">
      <selection activeCell="N41" sqref="N41"/>
    </sheetView>
  </sheetViews>
  <sheetFormatPr defaultColWidth="9.140625" defaultRowHeight="11.25" x14ac:dyDescent="0.2"/>
  <cols>
    <col min="1" max="1" width="4.85546875" style="23" bestFit="1" customWidth="1"/>
    <col min="2" max="2" width="53.7109375" style="23" bestFit="1" customWidth="1"/>
    <col min="3" max="3" width="9.5703125" style="23" bestFit="1" customWidth="1"/>
    <col min="4" max="5" width="12" style="23" bestFit="1" customWidth="1"/>
    <col min="6" max="7" width="12.28515625" style="23" bestFit="1" customWidth="1"/>
    <col min="8" max="9" width="11" style="23" bestFit="1" customWidth="1"/>
    <col min="10" max="10" width="12" style="23" bestFit="1" customWidth="1"/>
    <col min="11" max="11" width="8.7109375" style="23" bestFit="1" customWidth="1"/>
    <col min="12" max="16384" width="9.140625" style="23"/>
  </cols>
  <sheetData>
    <row r="2" spans="1:14" x14ac:dyDescent="0.2">
      <c r="A2" s="24" t="s">
        <v>75</v>
      </c>
      <c r="B2" s="24"/>
      <c r="C2" s="24"/>
      <c r="D2" s="24"/>
      <c r="E2" s="24"/>
      <c r="F2" s="24"/>
      <c r="G2" s="24"/>
      <c r="H2" s="24"/>
      <c r="I2" s="24"/>
    </row>
    <row r="3" spans="1:14" x14ac:dyDescent="0.2">
      <c r="A3" s="402" t="s">
        <v>326</v>
      </c>
      <c r="B3" s="24"/>
      <c r="C3" s="24"/>
      <c r="D3" s="24"/>
      <c r="E3" s="24"/>
      <c r="F3" s="24"/>
      <c r="G3" s="24"/>
      <c r="H3" s="24"/>
      <c r="I3" s="24"/>
    </row>
    <row r="4" spans="1:14" x14ac:dyDescent="0.2">
      <c r="A4" s="403" t="s">
        <v>227</v>
      </c>
      <c r="B4" s="24"/>
      <c r="C4" s="24"/>
      <c r="D4" s="24"/>
      <c r="E4" s="24"/>
      <c r="F4" s="24"/>
      <c r="G4" s="24"/>
      <c r="H4" s="24"/>
      <c r="I4" s="24"/>
      <c r="N4" s="83"/>
    </row>
    <row r="5" spans="1:14" x14ac:dyDescent="0.2">
      <c r="A5" s="403" t="s">
        <v>334</v>
      </c>
      <c r="B5" s="24"/>
      <c r="C5" s="24"/>
      <c r="D5" s="24"/>
      <c r="E5" s="24"/>
      <c r="F5" s="24"/>
      <c r="G5" s="24"/>
      <c r="H5" s="24"/>
      <c r="I5" s="24"/>
    </row>
    <row r="6" spans="1:14" x14ac:dyDescent="0.2">
      <c r="A6" s="24"/>
      <c r="B6" s="24"/>
      <c r="C6" s="24"/>
      <c r="D6" s="24"/>
      <c r="E6" s="24"/>
      <c r="F6" s="24"/>
      <c r="G6" s="24"/>
      <c r="H6" s="24"/>
      <c r="I6" s="24"/>
      <c r="N6" s="83"/>
    </row>
    <row r="7" spans="1:14" x14ac:dyDescent="0.2">
      <c r="B7" s="91" t="s">
        <v>50</v>
      </c>
      <c r="C7" s="91" t="s">
        <v>51</v>
      </c>
      <c r="D7" s="91" t="s">
        <v>52</v>
      </c>
      <c r="E7" s="91" t="s">
        <v>90</v>
      </c>
      <c r="F7" s="91" t="s">
        <v>131</v>
      </c>
      <c r="G7" s="91" t="s">
        <v>132</v>
      </c>
      <c r="H7" s="92" t="s">
        <v>133</v>
      </c>
      <c r="I7" s="91" t="s">
        <v>53</v>
      </c>
      <c r="J7" s="91" t="s">
        <v>92</v>
      </c>
      <c r="K7" s="91" t="s">
        <v>93</v>
      </c>
    </row>
    <row r="8" spans="1:14" ht="33.75" x14ac:dyDescent="0.2">
      <c r="A8" s="26" t="s">
        <v>76</v>
      </c>
      <c r="B8" s="93" t="s">
        <v>26</v>
      </c>
      <c r="C8" s="94" t="s">
        <v>134</v>
      </c>
      <c r="D8" s="94" t="s">
        <v>11</v>
      </c>
      <c r="E8" s="32" t="s">
        <v>135</v>
      </c>
      <c r="F8" s="33" t="s">
        <v>136</v>
      </c>
      <c r="G8" s="33" t="s">
        <v>137</v>
      </c>
      <c r="H8" s="33" t="s">
        <v>138</v>
      </c>
      <c r="I8" s="33" t="s">
        <v>139</v>
      </c>
      <c r="J8" s="33" t="s">
        <v>140</v>
      </c>
      <c r="K8" s="34" t="s">
        <v>141</v>
      </c>
    </row>
    <row r="9" spans="1:14" x14ac:dyDescent="0.2">
      <c r="A9" s="27">
        <v>1</v>
      </c>
      <c r="B9" s="52" t="s">
        <v>142</v>
      </c>
      <c r="C9" s="95" t="s">
        <v>143</v>
      </c>
      <c r="D9" s="96">
        <f>SUM(E9:K9)</f>
        <v>1140752508.5224547</v>
      </c>
      <c r="E9" s="424">
        <v>620844874.32387149</v>
      </c>
      <c r="F9" s="425">
        <v>222203870.67539161</v>
      </c>
      <c r="G9" s="425">
        <v>82012496.764967203</v>
      </c>
      <c r="H9" s="425">
        <v>88879730.522698998</v>
      </c>
      <c r="I9" s="425">
        <v>7491654.8276905455</v>
      </c>
      <c r="J9" s="425">
        <v>119319881.4078348</v>
      </c>
      <c r="K9" s="35">
        <v>0</v>
      </c>
    </row>
    <row r="10" spans="1:14" x14ac:dyDescent="0.2">
      <c r="A10" s="27">
        <f>A9+1</f>
        <v>2</v>
      </c>
      <c r="B10" s="52" t="s">
        <v>32</v>
      </c>
      <c r="C10" s="45"/>
      <c r="D10" s="96"/>
      <c r="E10" s="36">
        <f>E9/$D9</f>
        <v>0.54424151574123025</v>
      </c>
      <c r="F10" s="37">
        <f t="shared" ref="F10:K10" si="0">F9/$D9</f>
        <v>0.19478709800357868</v>
      </c>
      <c r="G10" s="37">
        <f t="shared" si="0"/>
        <v>7.1893330194112703E-2</v>
      </c>
      <c r="H10" s="37">
        <f t="shared" si="0"/>
        <v>7.7913245737955328E-2</v>
      </c>
      <c r="I10" s="37">
        <f t="shared" si="0"/>
        <v>6.5672920039369599E-3</v>
      </c>
      <c r="J10" s="37">
        <f t="shared" si="0"/>
        <v>0.10459751831918596</v>
      </c>
      <c r="K10" s="38">
        <f t="shared" si="0"/>
        <v>0</v>
      </c>
    </row>
    <row r="11" spans="1:14" x14ac:dyDescent="0.2">
      <c r="A11" s="27">
        <f>A10+1</f>
        <v>3</v>
      </c>
      <c r="B11" s="52"/>
      <c r="C11" s="45"/>
      <c r="D11" s="96"/>
      <c r="E11" s="39"/>
      <c r="F11" s="40"/>
      <c r="G11" s="40"/>
      <c r="H11" s="40"/>
      <c r="I11" s="40"/>
      <c r="J11" s="40"/>
      <c r="K11" s="41"/>
    </row>
    <row r="12" spans="1:14" x14ac:dyDescent="0.2">
      <c r="A12" s="27">
        <f t="shared" ref="A12:A55" si="1">A11+1</f>
        <v>4</v>
      </c>
      <c r="B12" s="52" t="s">
        <v>144</v>
      </c>
      <c r="C12" s="95" t="s">
        <v>143</v>
      </c>
      <c r="D12" s="96">
        <f>SUM(E12:K12)</f>
        <v>953115343.37899733</v>
      </c>
      <c r="E12" s="424">
        <v>620844874.32387149</v>
      </c>
      <c r="F12" s="425">
        <v>222166912.14539161</v>
      </c>
      <c r="G12" s="425">
        <v>62517991.156948172</v>
      </c>
      <c r="H12" s="425">
        <v>19992939.502740223</v>
      </c>
      <c r="I12" s="425">
        <v>5773170.4876905456</v>
      </c>
      <c r="J12" s="425">
        <v>21819455.762355208</v>
      </c>
      <c r="K12" s="35">
        <v>0</v>
      </c>
    </row>
    <row r="13" spans="1:14" x14ac:dyDescent="0.2">
      <c r="A13" s="27">
        <f t="shared" si="1"/>
        <v>5</v>
      </c>
      <c r="B13" s="52" t="s">
        <v>32</v>
      </c>
      <c r="C13" s="45"/>
      <c r="D13" s="96"/>
      <c r="E13" s="36">
        <f>E12/$D12</f>
        <v>0.65138482832816846</v>
      </c>
      <c r="F13" s="37">
        <f t="shared" ref="F13" si="2">F12/$D12</f>
        <v>0.23309551534210171</v>
      </c>
      <c r="G13" s="37">
        <f t="shared" ref="G13" si="3">G12/$D12</f>
        <v>6.5593311020792661E-2</v>
      </c>
      <c r="H13" s="37">
        <f t="shared" ref="H13" si="4">H12/$D12</f>
        <v>2.0976411345830386E-2</v>
      </c>
      <c r="I13" s="37">
        <f t="shared" ref="I13" si="5">I12/$D12</f>
        <v>6.0571582734398376E-3</v>
      </c>
      <c r="J13" s="37">
        <f t="shared" ref="J13" si="6">J12/$D12</f>
        <v>2.2892775689666876E-2</v>
      </c>
      <c r="K13" s="38">
        <f t="shared" ref="K13" si="7">K12/$D12</f>
        <v>0</v>
      </c>
    </row>
    <row r="14" spans="1:14" x14ac:dyDescent="0.2">
      <c r="A14" s="27">
        <f t="shared" si="1"/>
        <v>6</v>
      </c>
      <c r="B14" s="52"/>
      <c r="C14" s="45"/>
      <c r="D14" s="96"/>
      <c r="E14" s="39"/>
      <c r="F14" s="40"/>
      <c r="G14" s="40"/>
      <c r="H14" s="40"/>
      <c r="I14" s="40"/>
      <c r="J14" s="40"/>
      <c r="K14" s="41"/>
    </row>
    <row r="15" spans="1:14" x14ac:dyDescent="0.2">
      <c r="A15" s="27">
        <f t="shared" si="1"/>
        <v>7</v>
      </c>
      <c r="B15" s="52" t="s">
        <v>145</v>
      </c>
      <c r="C15" s="95" t="s">
        <v>143</v>
      </c>
      <c r="D15" s="96">
        <f t="shared" ref="D15:D21" si="8">SUM(E15:K15)</f>
        <v>716143122.74986231</v>
      </c>
      <c r="E15" s="424">
        <v>424612257.90986878</v>
      </c>
      <c r="F15" s="425">
        <v>146721274.39194626</v>
      </c>
      <c r="G15" s="425">
        <v>44979557.172003679</v>
      </c>
      <c r="H15" s="425">
        <v>41765772.219842479</v>
      </c>
      <c r="I15" s="425">
        <v>4315203.25819562</v>
      </c>
      <c r="J15" s="425">
        <v>53749057.798005626</v>
      </c>
      <c r="K15" s="35">
        <v>0</v>
      </c>
    </row>
    <row r="16" spans="1:14" x14ac:dyDescent="0.2">
      <c r="A16" s="27">
        <f t="shared" si="1"/>
        <v>8</v>
      </c>
      <c r="B16" s="52" t="s">
        <v>32</v>
      </c>
      <c r="C16" s="45"/>
      <c r="D16" s="96"/>
      <c r="E16" s="36">
        <f>E15/$D15</f>
        <v>0.5929153606606361</v>
      </c>
      <c r="F16" s="37">
        <f t="shared" ref="F16" si="9">F15/$D15</f>
        <v>0.20487702769323909</v>
      </c>
      <c r="G16" s="37">
        <f t="shared" ref="G16" si="10">G15/$D15</f>
        <v>6.2808055740715865E-2</v>
      </c>
      <c r="H16" s="37">
        <f t="shared" ref="H16" si="11">H15/$D15</f>
        <v>5.8320426312926575E-2</v>
      </c>
      <c r="I16" s="37">
        <f t="shared" ref="I16" si="12">I15/$D15</f>
        <v>6.0256157199778818E-3</v>
      </c>
      <c r="J16" s="37">
        <f t="shared" ref="J16" si="13">J15/$D15</f>
        <v>7.5053513872504696E-2</v>
      </c>
      <c r="K16" s="38">
        <f t="shared" ref="K16" si="14">K15/$D15</f>
        <v>0</v>
      </c>
    </row>
    <row r="17" spans="1:11" x14ac:dyDescent="0.2">
      <c r="A17" s="27">
        <f t="shared" si="1"/>
        <v>9</v>
      </c>
      <c r="B17" s="52"/>
      <c r="C17" s="45"/>
      <c r="D17" s="96"/>
      <c r="E17" s="39"/>
      <c r="F17" s="40"/>
      <c r="G17" s="40"/>
      <c r="H17" s="40"/>
      <c r="I17" s="40"/>
      <c r="J17" s="40"/>
      <c r="K17" s="41"/>
    </row>
    <row r="18" spans="1:11" x14ac:dyDescent="0.2">
      <c r="A18" s="27">
        <f t="shared" si="1"/>
        <v>10</v>
      </c>
      <c r="B18" s="52" t="s">
        <v>146</v>
      </c>
      <c r="C18" s="95" t="s">
        <v>143</v>
      </c>
      <c r="D18" s="96">
        <f t="shared" si="8"/>
        <v>633843859.46692252</v>
      </c>
      <c r="E18" s="424">
        <v>424612257.90986878</v>
      </c>
      <c r="F18" s="425">
        <v>146697982.93194625</v>
      </c>
      <c r="G18" s="425">
        <v>36289085.62542785</v>
      </c>
      <c r="H18" s="425">
        <v>11243304.220912216</v>
      </c>
      <c r="I18" s="425">
        <v>3670961.1381956204</v>
      </c>
      <c r="J18" s="425">
        <v>11330267.640571874</v>
      </c>
      <c r="K18" s="35">
        <v>0</v>
      </c>
    </row>
    <row r="19" spans="1:11" x14ac:dyDescent="0.2">
      <c r="A19" s="27">
        <f t="shared" si="1"/>
        <v>11</v>
      </c>
      <c r="B19" s="52" t="s">
        <v>32</v>
      </c>
      <c r="C19" s="45"/>
      <c r="D19" s="96"/>
      <c r="E19" s="36">
        <f>E18/$D18</f>
        <v>0.66990040459960853</v>
      </c>
      <c r="F19" s="37">
        <f t="shared" ref="F19" si="15">F18/$D18</f>
        <v>0.23144183025662293</v>
      </c>
      <c r="G19" s="37">
        <f t="shared" ref="G19" si="16">G18/$D18</f>
        <v>5.7252405436171327E-2</v>
      </c>
      <c r="H19" s="37">
        <f t="shared" ref="H19" si="17">H18/$D18</f>
        <v>1.7738286887196631E-2</v>
      </c>
      <c r="I19" s="37">
        <f t="shared" ref="I19" si="18">I18/$D18</f>
        <v>5.7915858667195808E-3</v>
      </c>
      <c r="J19" s="37">
        <f t="shared" ref="J19" si="19">J18/$D18</f>
        <v>1.7875486953681137E-2</v>
      </c>
      <c r="K19" s="38">
        <f t="shared" ref="K19" si="20">K18/$D18</f>
        <v>0</v>
      </c>
    </row>
    <row r="20" spans="1:11" x14ac:dyDescent="0.2">
      <c r="A20" s="27">
        <f t="shared" si="1"/>
        <v>12</v>
      </c>
      <c r="B20" s="52"/>
      <c r="C20" s="45"/>
      <c r="D20" s="96"/>
      <c r="E20" s="39"/>
      <c r="F20" s="40"/>
      <c r="G20" s="40"/>
      <c r="H20" s="40"/>
      <c r="I20" s="40"/>
      <c r="J20" s="40"/>
      <c r="K20" s="41"/>
    </row>
    <row r="21" spans="1:11" x14ac:dyDescent="0.2">
      <c r="A21" s="27">
        <f t="shared" si="1"/>
        <v>13</v>
      </c>
      <c r="B21" s="52" t="s">
        <v>147</v>
      </c>
      <c r="C21" s="95" t="s">
        <v>143</v>
      </c>
      <c r="D21" s="96">
        <f t="shared" si="8"/>
        <v>9513986.6299762093</v>
      </c>
      <c r="E21" s="425">
        <v>6800522.7102754265</v>
      </c>
      <c r="F21" s="425">
        <v>2215708.7608185471</v>
      </c>
      <c r="G21" s="425">
        <v>486433.94146557047</v>
      </c>
      <c r="H21" s="425">
        <v>8063.8863333333338</v>
      </c>
      <c r="I21" s="425">
        <v>3257.331083333333</v>
      </c>
      <c r="J21" s="425">
        <v>0</v>
      </c>
      <c r="K21" s="35">
        <v>0</v>
      </c>
    </row>
    <row r="22" spans="1:11" x14ac:dyDescent="0.2">
      <c r="A22" s="27">
        <f t="shared" si="1"/>
        <v>14</v>
      </c>
      <c r="B22" s="97" t="s">
        <v>32</v>
      </c>
      <c r="C22" s="46"/>
      <c r="D22" s="98"/>
      <c r="E22" s="42">
        <f>E21/$D21</f>
        <v>0.71479212392927571</v>
      </c>
      <c r="F22" s="43">
        <f t="shared" ref="F22" si="21">F21/$D21</f>
        <v>0.23288962314046133</v>
      </c>
      <c r="G22" s="43">
        <f t="shared" ref="G22" si="22">G21/$D21</f>
        <v>5.1128297777183952E-2</v>
      </c>
      <c r="H22" s="43">
        <f t="shared" ref="H22" si="23">H21/$D21</f>
        <v>8.4758226461303097E-4</v>
      </c>
      <c r="I22" s="43">
        <f t="shared" ref="I22" si="24">I21/$D21</f>
        <v>3.4237288846615484E-4</v>
      </c>
      <c r="J22" s="43">
        <f t="shared" ref="J22" si="25">J21/$D21</f>
        <v>0</v>
      </c>
      <c r="K22" s="44">
        <f t="shared" ref="K22" si="26">K21/$D21</f>
        <v>0</v>
      </c>
    </row>
    <row r="23" spans="1:11" x14ac:dyDescent="0.2">
      <c r="A23" s="27">
        <f t="shared" si="1"/>
        <v>15</v>
      </c>
      <c r="B23" s="99"/>
      <c r="C23" s="99"/>
      <c r="D23" s="99"/>
      <c r="E23" s="100"/>
      <c r="F23" s="100"/>
      <c r="G23" s="100"/>
      <c r="H23" s="100"/>
      <c r="I23" s="100"/>
      <c r="J23" s="100"/>
      <c r="K23" s="100"/>
    </row>
    <row r="24" spans="1:11" x14ac:dyDescent="0.2">
      <c r="A24" s="27">
        <f t="shared" si="1"/>
        <v>16</v>
      </c>
      <c r="B24" s="101" t="s">
        <v>148</v>
      </c>
      <c r="C24" s="99"/>
      <c r="D24" s="99"/>
      <c r="E24" s="99"/>
      <c r="F24" s="99"/>
      <c r="G24" s="99"/>
      <c r="H24" s="99"/>
      <c r="I24" s="99"/>
      <c r="J24" s="99"/>
      <c r="K24" s="99"/>
    </row>
    <row r="25" spans="1:11" x14ac:dyDescent="0.2">
      <c r="A25" s="27">
        <f t="shared" si="1"/>
        <v>17</v>
      </c>
      <c r="B25" s="102" t="s">
        <v>26</v>
      </c>
      <c r="C25" s="102" t="s">
        <v>149</v>
      </c>
      <c r="D25" s="94" t="s">
        <v>11</v>
      </c>
      <c r="E25" s="103" t="s">
        <v>144</v>
      </c>
      <c r="F25" s="103" t="s">
        <v>150</v>
      </c>
      <c r="G25" s="103" t="s">
        <v>151</v>
      </c>
      <c r="H25" s="104" t="s">
        <v>152</v>
      </c>
      <c r="I25" s="99"/>
      <c r="J25" s="99"/>
      <c r="K25" s="99"/>
    </row>
    <row r="26" spans="1:11" x14ac:dyDescent="0.2">
      <c r="A26" s="27">
        <f t="shared" si="1"/>
        <v>18</v>
      </c>
      <c r="B26" s="105" t="s">
        <v>153</v>
      </c>
      <c r="C26" s="105" t="s">
        <v>154</v>
      </c>
      <c r="D26" s="106">
        <f>SUM(E26:H26)</f>
        <v>1</v>
      </c>
      <c r="E26" s="426">
        <v>0.27745620077450889</v>
      </c>
      <c r="F26" s="426">
        <v>0.42662186752804077</v>
      </c>
      <c r="G26" s="426">
        <v>0.29592193169745035</v>
      </c>
      <c r="H26" s="427">
        <v>0</v>
      </c>
      <c r="I26" s="99"/>
      <c r="J26" s="99"/>
      <c r="K26" s="99"/>
    </row>
    <row r="27" spans="1:11" x14ac:dyDescent="0.2">
      <c r="A27" s="27">
        <f t="shared" si="1"/>
        <v>19</v>
      </c>
      <c r="B27" s="45" t="s">
        <v>155</v>
      </c>
      <c r="C27" s="45" t="s">
        <v>156</v>
      </c>
      <c r="D27" s="107">
        <f t="shared" ref="D27:D30" si="27">SUM(E27:H27)</f>
        <v>1</v>
      </c>
      <c r="E27" s="428"/>
      <c r="F27" s="429">
        <v>9.2976695787655078E-2</v>
      </c>
      <c r="G27" s="429">
        <v>0.69702330421234493</v>
      </c>
      <c r="H27" s="430">
        <v>0.20999999999999996</v>
      </c>
      <c r="I27" s="99"/>
      <c r="J27" s="99"/>
      <c r="K27" s="99"/>
    </row>
    <row r="28" spans="1:11" x14ac:dyDescent="0.2">
      <c r="A28" s="27">
        <f t="shared" si="1"/>
        <v>20</v>
      </c>
      <c r="B28" s="45" t="s">
        <v>157</v>
      </c>
      <c r="C28" s="45" t="s">
        <v>158</v>
      </c>
      <c r="D28" s="107">
        <f t="shared" si="27"/>
        <v>1</v>
      </c>
      <c r="E28" s="428"/>
      <c r="F28" s="429">
        <v>9.2976695787655078E-2</v>
      </c>
      <c r="G28" s="429">
        <v>0.69702330421234493</v>
      </c>
      <c r="H28" s="430">
        <v>0.20999999999999996</v>
      </c>
      <c r="I28" s="99"/>
      <c r="J28" s="99"/>
      <c r="K28" s="99"/>
    </row>
    <row r="29" spans="1:11" x14ac:dyDescent="0.2">
      <c r="A29" s="27">
        <f t="shared" si="1"/>
        <v>21</v>
      </c>
      <c r="B29" s="45" t="s">
        <v>159</v>
      </c>
      <c r="C29" s="45" t="s">
        <v>160</v>
      </c>
      <c r="D29" s="107">
        <f t="shared" si="27"/>
        <v>0</v>
      </c>
      <c r="E29" s="428"/>
      <c r="F29" s="428"/>
      <c r="G29" s="431"/>
      <c r="H29" s="430"/>
      <c r="I29" s="99"/>
      <c r="J29" s="99"/>
      <c r="K29" s="99"/>
    </row>
    <row r="30" spans="1:11" x14ac:dyDescent="0.2">
      <c r="A30" s="27">
        <f t="shared" si="1"/>
        <v>22</v>
      </c>
      <c r="B30" s="46" t="s">
        <v>161</v>
      </c>
      <c r="C30" s="46" t="s">
        <v>162</v>
      </c>
      <c r="D30" s="108">
        <f t="shared" si="27"/>
        <v>1</v>
      </c>
      <c r="E30" s="432"/>
      <c r="F30" s="433">
        <v>1</v>
      </c>
      <c r="G30" s="433"/>
      <c r="H30" s="434">
        <v>0</v>
      </c>
      <c r="I30" s="99"/>
      <c r="J30" s="99"/>
      <c r="K30" s="99"/>
    </row>
    <row r="31" spans="1:11" x14ac:dyDescent="0.2">
      <c r="A31" s="27">
        <f t="shared" si="1"/>
        <v>23</v>
      </c>
      <c r="B31" s="49"/>
      <c r="C31" s="49"/>
      <c r="D31" s="109"/>
      <c r="E31" s="49"/>
      <c r="F31" s="49"/>
      <c r="G31" s="49"/>
      <c r="H31" s="49"/>
      <c r="I31" s="99"/>
      <c r="J31" s="99"/>
      <c r="K31" s="99"/>
    </row>
    <row r="32" spans="1:11" x14ac:dyDescent="0.2">
      <c r="A32" s="27">
        <f t="shared" si="1"/>
        <v>24</v>
      </c>
      <c r="B32" s="50" t="s">
        <v>163</v>
      </c>
      <c r="C32" s="49"/>
      <c r="D32" s="99"/>
      <c r="E32" s="99"/>
      <c r="F32" s="99"/>
      <c r="G32" s="99"/>
      <c r="H32" s="99"/>
      <c r="I32" s="99"/>
      <c r="J32" s="99"/>
      <c r="K32" s="99"/>
    </row>
    <row r="33" spans="1:11" x14ac:dyDescent="0.2">
      <c r="A33" s="27">
        <f t="shared" si="1"/>
        <v>25</v>
      </c>
      <c r="B33" s="102" t="s">
        <v>26</v>
      </c>
      <c r="C33" s="102" t="s">
        <v>149</v>
      </c>
      <c r="D33" s="94" t="s">
        <v>11</v>
      </c>
      <c r="E33" s="110" t="s">
        <v>144</v>
      </c>
      <c r="F33" s="110" t="s">
        <v>150</v>
      </c>
      <c r="G33" s="110" t="s">
        <v>151</v>
      </c>
      <c r="H33" s="111" t="s">
        <v>152</v>
      </c>
      <c r="I33" s="99"/>
      <c r="J33" s="99"/>
      <c r="K33" s="99"/>
    </row>
    <row r="34" spans="1:11" x14ac:dyDescent="0.2">
      <c r="A34" s="27">
        <f t="shared" si="1"/>
        <v>26</v>
      </c>
      <c r="B34" s="45" t="s">
        <v>153</v>
      </c>
      <c r="C34" s="45" t="s">
        <v>154</v>
      </c>
      <c r="D34" s="435">
        <v>120331553.95709854</v>
      </c>
      <c r="E34" s="86">
        <f>E26*D34</f>
        <v>33386735.794229385</v>
      </c>
      <c r="F34" s="86">
        <f>F26*D34</f>
        <v>51336072.271728583</v>
      </c>
      <c r="G34" s="86">
        <f>G26*D34</f>
        <v>35608745.891140573</v>
      </c>
      <c r="H34" s="87">
        <f>H26*D34</f>
        <v>0</v>
      </c>
      <c r="I34" s="99"/>
      <c r="J34" s="99"/>
      <c r="K34" s="99"/>
    </row>
    <row r="35" spans="1:11" x14ac:dyDescent="0.2">
      <c r="A35" s="27">
        <f t="shared" si="1"/>
        <v>27</v>
      </c>
      <c r="B35" s="45" t="s">
        <v>155</v>
      </c>
      <c r="C35" s="45" t="s">
        <v>156</v>
      </c>
      <c r="D35" s="435">
        <v>6844028.2941000005</v>
      </c>
      <c r="E35" s="86">
        <f t="shared" ref="E35:E38" si="28">E27*D35</f>
        <v>0</v>
      </c>
      <c r="F35" s="86">
        <f t="shared" ref="F35:F38" si="29">F27*D35</f>
        <v>636335.13666263968</v>
      </c>
      <c r="G35" s="86">
        <f t="shared" ref="G35:G38" si="30">G27*D35</f>
        <v>4770447.2156763608</v>
      </c>
      <c r="H35" s="88">
        <f t="shared" ref="H35:H38" si="31">H27*D35</f>
        <v>1437245.9417609998</v>
      </c>
      <c r="I35" s="99"/>
      <c r="J35" s="99"/>
      <c r="K35" s="99"/>
    </row>
    <row r="36" spans="1:11" x14ac:dyDescent="0.2">
      <c r="A36" s="27">
        <f t="shared" si="1"/>
        <v>28</v>
      </c>
      <c r="B36" s="45" t="s">
        <v>157</v>
      </c>
      <c r="C36" s="45" t="s">
        <v>158</v>
      </c>
      <c r="D36" s="435">
        <v>521597.32604999997</v>
      </c>
      <c r="E36" s="86">
        <f t="shared" si="28"/>
        <v>0</v>
      </c>
      <c r="F36" s="86">
        <f t="shared" si="29"/>
        <v>48496.395907805185</v>
      </c>
      <c r="G36" s="86">
        <f t="shared" si="30"/>
        <v>363565.49167169479</v>
      </c>
      <c r="H36" s="88">
        <f t="shared" si="31"/>
        <v>109535.43847049998</v>
      </c>
      <c r="I36" s="99"/>
      <c r="J36" s="99"/>
      <c r="K36" s="99"/>
    </row>
    <row r="37" spans="1:11" x14ac:dyDescent="0.2">
      <c r="A37" s="27">
        <f t="shared" si="1"/>
        <v>29</v>
      </c>
      <c r="B37" s="45" t="s">
        <v>159</v>
      </c>
      <c r="C37" s="45" t="s">
        <v>160</v>
      </c>
      <c r="D37" s="435"/>
      <c r="E37" s="86">
        <f t="shared" si="28"/>
        <v>0</v>
      </c>
      <c r="F37" s="86">
        <f t="shared" si="29"/>
        <v>0</v>
      </c>
      <c r="G37" s="86">
        <f t="shared" si="30"/>
        <v>0</v>
      </c>
      <c r="H37" s="88">
        <f t="shared" si="31"/>
        <v>0</v>
      </c>
      <c r="I37" s="99"/>
      <c r="J37" s="99"/>
      <c r="K37" s="99"/>
    </row>
    <row r="38" spans="1:11" x14ac:dyDescent="0.2">
      <c r="A38" s="27">
        <f t="shared" si="1"/>
        <v>30</v>
      </c>
      <c r="B38" s="46" t="s">
        <v>164</v>
      </c>
      <c r="C38" s="46" t="s">
        <v>162</v>
      </c>
      <c r="D38" s="435">
        <v>5438883.0993599985</v>
      </c>
      <c r="E38" s="86">
        <f t="shared" si="28"/>
        <v>0</v>
      </c>
      <c r="F38" s="86">
        <f t="shared" si="29"/>
        <v>5438883.0993599985</v>
      </c>
      <c r="G38" s="86">
        <f t="shared" si="30"/>
        <v>0</v>
      </c>
      <c r="H38" s="89">
        <f t="shared" si="31"/>
        <v>0</v>
      </c>
      <c r="I38" s="99"/>
      <c r="J38" s="99"/>
      <c r="K38" s="99"/>
    </row>
    <row r="39" spans="1:11" x14ac:dyDescent="0.2">
      <c r="A39" s="27">
        <f t="shared" si="1"/>
        <v>31</v>
      </c>
      <c r="B39" s="112" t="s">
        <v>11</v>
      </c>
      <c r="C39" s="112"/>
      <c r="D39" s="113">
        <f>SUM(D34:D38)</f>
        <v>133136062.67660855</v>
      </c>
      <c r="E39" s="114">
        <f t="shared" ref="E39:H39" si="32">SUM(E34:E38)</f>
        <v>33386735.794229385</v>
      </c>
      <c r="F39" s="114">
        <f t="shared" si="32"/>
        <v>57459786.903659023</v>
      </c>
      <c r="G39" s="114">
        <f t="shared" si="32"/>
        <v>40742758.598488629</v>
      </c>
      <c r="H39" s="115">
        <f t="shared" si="32"/>
        <v>1546781.3802314999</v>
      </c>
      <c r="I39" s="99"/>
      <c r="J39" s="99"/>
      <c r="K39" s="99"/>
    </row>
    <row r="40" spans="1:11" x14ac:dyDescent="0.2">
      <c r="A40" s="27">
        <f t="shared" si="1"/>
        <v>32</v>
      </c>
      <c r="B40" s="49"/>
      <c r="C40" s="49"/>
      <c r="D40" s="99"/>
      <c r="E40" s="99"/>
      <c r="F40" s="99"/>
      <c r="G40" s="99"/>
      <c r="H40" s="99"/>
      <c r="I40" s="99"/>
      <c r="J40" s="99"/>
      <c r="K40" s="99"/>
    </row>
    <row r="41" spans="1:11" s="25" customFormat="1" ht="54.75" customHeight="1" x14ac:dyDescent="0.2">
      <c r="A41" s="27">
        <f t="shared" si="1"/>
        <v>33</v>
      </c>
      <c r="B41" s="116" t="s">
        <v>26</v>
      </c>
      <c r="C41" s="117"/>
      <c r="D41" s="94" t="s">
        <v>11</v>
      </c>
      <c r="E41" s="32" t="s">
        <v>135</v>
      </c>
      <c r="F41" s="33" t="s">
        <v>136</v>
      </c>
      <c r="G41" s="33" t="s">
        <v>137</v>
      </c>
      <c r="H41" s="33" t="s">
        <v>138</v>
      </c>
      <c r="I41" s="33" t="s">
        <v>139</v>
      </c>
      <c r="J41" s="33" t="s">
        <v>140</v>
      </c>
      <c r="K41" s="34" t="s">
        <v>141</v>
      </c>
    </row>
    <row r="42" spans="1:11" x14ac:dyDescent="0.2">
      <c r="A42" s="27">
        <f t="shared" si="1"/>
        <v>34</v>
      </c>
      <c r="B42" s="52"/>
      <c r="C42" s="49"/>
      <c r="D42" s="45"/>
      <c r="E42" s="49"/>
      <c r="F42" s="49"/>
      <c r="G42" s="49"/>
      <c r="H42" s="49"/>
      <c r="I42" s="49"/>
      <c r="J42" s="49"/>
      <c r="K42" s="118"/>
    </row>
    <row r="43" spans="1:11" x14ac:dyDescent="0.2">
      <c r="A43" s="27">
        <f t="shared" si="1"/>
        <v>35</v>
      </c>
      <c r="B43" s="52" t="s">
        <v>144</v>
      </c>
      <c r="C43" s="49"/>
      <c r="D43" s="119">
        <f>E39</f>
        <v>33386735.794229385</v>
      </c>
      <c r="E43" s="120">
        <f>D43*E13</f>
        <v>21747613.163762026</v>
      </c>
      <c r="F43" s="120">
        <f>D43*F13</f>
        <v>7782298.3855464915</v>
      </c>
      <c r="G43" s="120">
        <f>D43*G13</f>
        <v>2189946.5449199192</v>
      </c>
      <c r="H43" s="120">
        <f>D43*H13</f>
        <v>700333.90351431468</v>
      </c>
      <c r="I43" s="120">
        <f>D43*I13</f>
        <v>202228.74293916649</v>
      </c>
      <c r="J43" s="120">
        <f>D43*J13</f>
        <v>764315.05354746536</v>
      </c>
      <c r="K43" s="121">
        <f>D43*K13</f>
        <v>0</v>
      </c>
    </row>
    <row r="44" spans="1:11" x14ac:dyDescent="0.2">
      <c r="A44" s="27">
        <f t="shared" si="1"/>
        <v>36</v>
      </c>
      <c r="B44" s="52" t="s">
        <v>150</v>
      </c>
      <c r="C44" s="49"/>
      <c r="D44" s="119">
        <f>F39</f>
        <v>57459786.903659023</v>
      </c>
      <c r="E44" s="120">
        <f>D44*E19</f>
        <v>38492334.494968466</v>
      </c>
      <c r="F44" s="120">
        <f>D44*F19</f>
        <v>13298598.247138377</v>
      </c>
      <c r="G44" s="120">
        <f>D44*G19</f>
        <v>3289711.0160842938</v>
      </c>
      <c r="H44" s="120">
        <f>D44*H19</f>
        <v>1019238.1845742876</v>
      </c>
      <c r="I44" s="120">
        <f>D44*I19</f>
        <v>332783.28973595047</v>
      </c>
      <c r="J44" s="120">
        <f>D44*J19</f>
        <v>1027121.6711576551</v>
      </c>
      <c r="K44" s="121">
        <f>D44*K19</f>
        <v>0</v>
      </c>
    </row>
    <row r="45" spans="1:11" x14ac:dyDescent="0.2">
      <c r="A45" s="27">
        <f t="shared" si="1"/>
        <v>37</v>
      </c>
      <c r="B45" s="52" t="s">
        <v>151</v>
      </c>
      <c r="C45" s="49"/>
      <c r="D45" s="119">
        <f>G39</f>
        <v>40742758.598488629</v>
      </c>
      <c r="E45" s="120">
        <f>D45*E22</f>
        <v>29122602.953351449</v>
      </c>
      <c r="F45" s="120">
        <f>D45*F22</f>
        <v>9488565.6957048066</v>
      </c>
      <c r="G45" s="120">
        <f>D45*G22</f>
        <v>2083107.8938874486</v>
      </c>
      <c r="H45" s="120">
        <f>D45*H22</f>
        <v>34532.839599489031</v>
      </c>
      <c r="I45" s="120">
        <f>D45*I22</f>
        <v>13949.215945443819</v>
      </c>
      <c r="J45" s="120">
        <f>D45*J22</f>
        <v>0</v>
      </c>
      <c r="K45" s="121">
        <f>D45*K22</f>
        <v>0</v>
      </c>
    </row>
    <row r="46" spans="1:11" x14ac:dyDescent="0.2">
      <c r="A46" s="27">
        <f t="shared" si="1"/>
        <v>38</v>
      </c>
      <c r="B46" s="52" t="s">
        <v>152</v>
      </c>
      <c r="C46" s="49"/>
      <c r="D46" s="119">
        <f>H39</f>
        <v>1546781.3802314999</v>
      </c>
      <c r="E46" s="120">
        <f>D46*E10</f>
        <v>841822.64289750368</v>
      </c>
      <c r="F46" s="120">
        <f>D46*F10</f>
        <v>301293.05630126386</v>
      </c>
      <c r="G46" s="120">
        <f>D46*G10</f>
        <v>111203.26450708862</v>
      </c>
      <c r="H46" s="120">
        <f>D46*H10</f>
        <v>120514.75778087057</v>
      </c>
      <c r="I46" s="120">
        <f>D46*I10</f>
        <v>10158.164990232905</v>
      </c>
      <c r="J46" s="120">
        <f>D46*J10</f>
        <v>161789.49375454005</v>
      </c>
      <c r="K46" s="121">
        <f>D46*K10</f>
        <v>0</v>
      </c>
    </row>
    <row r="47" spans="1:11" x14ac:dyDescent="0.2">
      <c r="A47" s="27">
        <f t="shared" si="1"/>
        <v>39</v>
      </c>
      <c r="B47" s="52"/>
      <c r="C47" s="49"/>
      <c r="D47" s="122"/>
      <c r="E47" s="123"/>
      <c r="F47" s="123"/>
      <c r="G47" s="123"/>
      <c r="H47" s="123"/>
      <c r="I47" s="123"/>
      <c r="J47" s="123"/>
      <c r="K47" s="124"/>
    </row>
    <row r="48" spans="1:11" x14ac:dyDescent="0.2">
      <c r="A48" s="27">
        <f t="shared" si="1"/>
        <v>40</v>
      </c>
      <c r="B48" s="47" t="s">
        <v>11</v>
      </c>
      <c r="C48" s="125"/>
      <c r="D48" s="126">
        <f>SUM(D43:D46)</f>
        <v>133136062.67660853</v>
      </c>
      <c r="E48" s="127">
        <f t="shared" ref="E48:K48" si="33">SUM(E43:E46)</f>
        <v>90204373.254979447</v>
      </c>
      <c r="F48" s="127">
        <f t="shared" si="33"/>
        <v>30870755.384690937</v>
      </c>
      <c r="G48" s="127">
        <f t="shared" si="33"/>
        <v>7673968.71939875</v>
      </c>
      <c r="H48" s="127">
        <f t="shared" si="33"/>
        <v>1874619.685468962</v>
      </c>
      <c r="I48" s="127">
        <f t="shared" si="33"/>
        <v>559119.41361079377</v>
      </c>
      <c r="J48" s="127">
        <f t="shared" si="33"/>
        <v>1953226.2184596607</v>
      </c>
      <c r="K48" s="128">
        <f t="shared" si="33"/>
        <v>0</v>
      </c>
    </row>
    <row r="49" spans="1:11" x14ac:dyDescent="0.2">
      <c r="A49" s="27">
        <f t="shared" si="1"/>
        <v>41</v>
      </c>
      <c r="B49" s="48"/>
      <c r="C49" s="49"/>
      <c r="D49" s="40"/>
      <c r="E49" s="40"/>
      <c r="F49" s="40"/>
      <c r="G49" s="40"/>
      <c r="H49" s="40"/>
      <c r="I49" s="40"/>
      <c r="J49" s="40"/>
      <c r="K49" s="40"/>
    </row>
    <row r="50" spans="1:11" x14ac:dyDescent="0.2">
      <c r="A50" s="27">
        <f t="shared" si="1"/>
        <v>42</v>
      </c>
      <c r="B50" s="47" t="s">
        <v>144</v>
      </c>
      <c r="C50" s="125"/>
      <c r="D50" s="129">
        <f>SUM(E50:K50)</f>
        <v>953115343.37899733</v>
      </c>
      <c r="E50" s="290">
        <f>E12</f>
        <v>620844874.32387149</v>
      </c>
      <c r="F50" s="290">
        <f t="shared" ref="F50:J50" si="34">F12</f>
        <v>222166912.14539161</v>
      </c>
      <c r="G50" s="290">
        <f t="shared" si="34"/>
        <v>62517991.156948172</v>
      </c>
      <c r="H50" s="290">
        <f t="shared" si="34"/>
        <v>19992939.502740223</v>
      </c>
      <c r="I50" s="290">
        <f t="shared" si="34"/>
        <v>5773170.4876905456</v>
      </c>
      <c r="J50" s="290">
        <f t="shared" si="34"/>
        <v>21819455.762355208</v>
      </c>
      <c r="K50" s="130">
        <v>0</v>
      </c>
    </row>
    <row r="51" spans="1:11" x14ac:dyDescent="0.2">
      <c r="A51" s="27">
        <f t="shared" si="1"/>
        <v>43</v>
      </c>
      <c r="B51" s="49"/>
      <c r="C51" s="49"/>
      <c r="D51" s="40"/>
      <c r="E51" s="40"/>
      <c r="F51" s="40"/>
      <c r="G51" s="40"/>
      <c r="H51" s="40"/>
      <c r="I51" s="40"/>
      <c r="J51" s="40"/>
      <c r="K51" s="40"/>
    </row>
    <row r="52" spans="1:11" x14ac:dyDescent="0.2">
      <c r="A52" s="27">
        <f t="shared" si="1"/>
        <v>44</v>
      </c>
      <c r="B52" s="50" t="s">
        <v>165</v>
      </c>
      <c r="C52" s="49"/>
      <c r="D52" s="40"/>
      <c r="E52" s="40"/>
      <c r="F52" s="40"/>
      <c r="G52" s="40"/>
      <c r="H52" s="40"/>
      <c r="I52" s="40"/>
      <c r="J52" s="40"/>
      <c r="K52" s="40"/>
    </row>
    <row r="53" spans="1:11" x14ac:dyDescent="0.2">
      <c r="A53" s="27">
        <f t="shared" si="1"/>
        <v>45</v>
      </c>
      <c r="B53" s="51" t="s">
        <v>166</v>
      </c>
      <c r="C53" s="48"/>
      <c r="D53" s="131"/>
      <c r="E53" s="132">
        <f>ROUND(SUM(E43:E45)/E50,5)</f>
        <v>0.14394000000000001</v>
      </c>
      <c r="F53" s="132">
        <f>ROUND(SUM(F43:F45)/F50,5)</f>
        <v>0.1376</v>
      </c>
      <c r="G53" s="132">
        <f t="shared" ref="G53:H53" si="35">ROUND(SUM(G43:G45)/G50,5)</f>
        <v>0.12096999999999999</v>
      </c>
      <c r="H53" s="132">
        <f t="shared" si="35"/>
        <v>8.7739999999999999E-2</v>
      </c>
      <c r="I53" s="132">
        <f>ROUND(SUM(I43:I45)/I50,5)</f>
        <v>9.5089999999999994E-2</v>
      </c>
      <c r="J53" s="132">
        <f>ROUND(SUM(J43:J45)/J50,5)</f>
        <v>8.2100000000000006E-2</v>
      </c>
      <c r="K53" s="133"/>
    </row>
    <row r="54" spans="1:11" x14ac:dyDescent="0.2">
      <c r="A54" s="27">
        <f t="shared" si="1"/>
        <v>46</v>
      </c>
      <c r="B54" s="52" t="s">
        <v>167</v>
      </c>
      <c r="C54" s="49"/>
      <c r="D54" s="134"/>
      <c r="E54" s="135">
        <f>ROUND($D$46/$D$9,5)</f>
        <v>1.3600000000000001E-3</v>
      </c>
      <c r="F54" s="135">
        <f t="shared" ref="F54:J54" si="36">ROUND($D$46/$D$9,5)</f>
        <v>1.3600000000000001E-3</v>
      </c>
      <c r="G54" s="135">
        <f t="shared" si="36"/>
        <v>1.3600000000000001E-3</v>
      </c>
      <c r="H54" s="135">
        <f t="shared" si="36"/>
        <v>1.3600000000000001E-3</v>
      </c>
      <c r="I54" s="135">
        <f t="shared" si="36"/>
        <v>1.3600000000000001E-3</v>
      </c>
      <c r="J54" s="135">
        <f t="shared" si="36"/>
        <v>1.3600000000000001E-3</v>
      </c>
      <c r="K54" s="136"/>
    </row>
    <row r="55" spans="1:11" x14ac:dyDescent="0.2">
      <c r="A55" s="27">
        <f t="shared" si="1"/>
        <v>47</v>
      </c>
      <c r="B55" s="47" t="s">
        <v>11</v>
      </c>
      <c r="C55" s="125"/>
      <c r="D55" s="137"/>
      <c r="E55" s="138">
        <f>SUM(E53:E54)</f>
        <v>0.14530000000000001</v>
      </c>
      <c r="F55" s="138">
        <f t="shared" ref="F55:K55" si="37">SUM(F53:F54)</f>
        <v>0.13896</v>
      </c>
      <c r="G55" s="138">
        <f t="shared" si="37"/>
        <v>0.12232999999999999</v>
      </c>
      <c r="H55" s="138">
        <f t="shared" si="37"/>
        <v>8.9099999999999999E-2</v>
      </c>
      <c r="I55" s="138">
        <f t="shared" si="37"/>
        <v>9.6449999999999994E-2</v>
      </c>
      <c r="J55" s="138">
        <f t="shared" si="37"/>
        <v>8.3460000000000006E-2</v>
      </c>
      <c r="K55" s="139">
        <f t="shared" si="37"/>
        <v>0</v>
      </c>
    </row>
    <row r="56" spans="1:11" x14ac:dyDescent="0.2">
      <c r="A56" s="27"/>
    </row>
    <row r="57" spans="1:11" x14ac:dyDescent="0.2">
      <c r="A57" s="27"/>
      <c r="B57" s="4" t="s">
        <v>333</v>
      </c>
      <c r="E57" s="53"/>
      <c r="F57" s="53"/>
      <c r="G57" s="53"/>
      <c r="H57" s="53"/>
      <c r="I57" s="53"/>
      <c r="J57" s="53"/>
      <c r="K57" s="53"/>
    </row>
    <row r="58" spans="1:11" x14ac:dyDescent="0.2">
      <c r="A58" s="27"/>
      <c r="E58" s="53"/>
      <c r="F58" s="53"/>
      <c r="G58" s="53"/>
      <c r="H58" s="53"/>
      <c r="I58" s="53"/>
      <c r="J58" s="53"/>
      <c r="K58" s="53"/>
    </row>
    <row r="59" spans="1:11" x14ac:dyDescent="0.2">
      <c r="E59" s="53"/>
      <c r="F59" s="53"/>
      <c r="G59" s="53"/>
      <c r="H59" s="53"/>
      <c r="I59" s="53"/>
      <c r="J59" s="53"/>
      <c r="K59" s="53"/>
    </row>
  </sheetData>
  <pageMargins left="0.25" right="0.25" top="1" bottom="1" header="0.5" footer="0.5"/>
  <pageSetup scale="68" orientation="landscape" blackAndWhite="1" r:id="rId1"/>
  <headerFooter alignWithMargins="0">
    <oddFooter>&amp;CPage# &amp;P of &amp;N&amp;R&amp;F
&amp;A</oddFooter>
  </headerFooter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B28" sqref="B28"/>
    </sheetView>
  </sheetViews>
  <sheetFormatPr defaultRowHeight="11.25" x14ac:dyDescent="0.2"/>
  <cols>
    <col min="1" max="1" width="7" style="291" customWidth="1"/>
    <col min="2" max="2" width="61.28515625" style="291" customWidth="1"/>
    <col min="3" max="3" width="3.85546875" style="291" customWidth="1"/>
    <col min="4" max="4" width="9.140625" style="291"/>
    <col min="5" max="5" width="14.5703125" style="291" customWidth="1"/>
    <col min="6" max="16384" width="9.140625" style="291"/>
  </cols>
  <sheetData>
    <row r="1" spans="1:5" x14ac:dyDescent="0.2">
      <c r="A1" s="79"/>
      <c r="B1" s="79"/>
      <c r="C1" s="79"/>
      <c r="D1" s="79"/>
      <c r="E1" s="82"/>
    </row>
    <row r="2" spans="1:5" x14ac:dyDescent="0.2">
      <c r="A2" s="61"/>
      <c r="B2" s="526" t="s">
        <v>224</v>
      </c>
      <c r="C2" s="526"/>
      <c r="D2" s="526"/>
      <c r="E2" s="526"/>
    </row>
    <row r="3" spans="1:5" x14ac:dyDescent="0.2">
      <c r="A3" s="81"/>
      <c r="B3" s="527" t="s">
        <v>223</v>
      </c>
      <c r="C3" s="527"/>
      <c r="D3" s="527"/>
      <c r="E3" s="527"/>
    </row>
    <row r="4" spans="1:5" x14ac:dyDescent="0.2">
      <c r="A4" s="80"/>
      <c r="B4" s="528" t="s">
        <v>222</v>
      </c>
      <c r="C4" s="528"/>
      <c r="D4" s="528"/>
      <c r="E4" s="528"/>
    </row>
    <row r="5" spans="1:5" x14ac:dyDescent="0.2">
      <c r="A5" s="80"/>
      <c r="B5" s="528" t="s">
        <v>221</v>
      </c>
      <c r="C5" s="528"/>
      <c r="D5" s="528"/>
      <c r="E5" s="528"/>
    </row>
    <row r="6" spans="1:5" x14ac:dyDescent="0.2">
      <c r="A6" s="79"/>
      <c r="B6" s="79"/>
      <c r="C6" s="79"/>
      <c r="D6" s="79"/>
      <c r="E6" s="79"/>
    </row>
    <row r="7" spans="1:5" x14ac:dyDescent="0.2">
      <c r="A7" s="158" t="s">
        <v>220</v>
      </c>
      <c r="B7" s="79"/>
      <c r="C7" s="79"/>
      <c r="D7" s="79"/>
      <c r="E7" s="79"/>
    </row>
    <row r="8" spans="1:5" x14ac:dyDescent="0.2">
      <c r="A8" s="78" t="s">
        <v>219</v>
      </c>
      <c r="B8" s="77" t="s">
        <v>218</v>
      </c>
      <c r="C8" s="76"/>
      <c r="D8" s="76"/>
      <c r="E8" s="75" t="s">
        <v>217</v>
      </c>
    </row>
    <row r="9" spans="1:5" x14ac:dyDescent="0.2">
      <c r="A9" s="66"/>
      <c r="B9" s="66"/>
      <c r="C9" s="66"/>
      <c r="D9" s="66"/>
      <c r="E9" s="65"/>
    </row>
    <row r="10" spans="1:5" x14ac:dyDescent="0.2">
      <c r="A10" s="65">
        <v>1</v>
      </c>
      <c r="B10" s="68" t="s">
        <v>216</v>
      </c>
      <c r="C10" s="66"/>
      <c r="D10" s="66"/>
      <c r="E10" s="74">
        <v>4.1980000000000003E-3</v>
      </c>
    </row>
    <row r="11" spans="1:5" x14ac:dyDescent="0.2">
      <c r="A11" s="65">
        <v>2</v>
      </c>
      <c r="B11" s="68" t="s">
        <v>215</v>
      </c>
      <c r="C11" s="66"/>
      <c r="D11" s="66"/>
      <c r="E11" s="73">
        <v>4.0000000000000001E-3</v>
      </c>
    </row>
    <row r="12" spans="1:5" x14ac:dyDescent="0.2">
      <c r="A12" s="65">
        <v>3</v>
      </c>
      <c r="B12" s="68" t="str">
        <f>"STATE UTILITY TAX - NET OF BAD DEBTS ( "&amp;D12*100&amp;"% - ( LINE 1 * "&amp;D12*100&amp;"%) )"</f>
        <v>STATE UTILITY TAX - NET OF BAD DEBTS ( 3.852% - ( LINE 1 * 3.852%) )</v>
      </c>
      <c r="C12" s="66"/>
      <c r="D12" s="70">
        <v>3.8519999999999999E-2</v>
      </c>
      <c r="E12" s="72">
        <f>ROUND(D12-(D12*E10),6)</f>
        <v>3.8358000000000003E-2</v>
      </c>
    </row>
    <row r="13" spans="1:5" x14ac:dyDescent="0.2">
      <c r="A13" s="65">
        <v>4</v>
      </c>
      <c r="B13" s="68"/>
      <c r="C13" s="66"/>
      <c r="D13" s="66"/>
      <c r="E13" s="71"/>
    </row>
    <row r="14" spans="1:5" x14ac:dyDescent="0.2">
      <c r="A14" s="65">
        <v>5</v>
      </c>
      <c r="B14" s="68" t="s">
        <v>214</v>
      </c>
      <c r="C14" s="66"/>
      <c r="D14" s="66"/>
      <c r="E14" s="69">
        <f>ROUND(SUM(E10:E12),6)</f>
        <v>4.6556E-2</v>
      </c>
    </row>
    <row r="15" spans="1:5" x14ac:dyDescent="0.2">
      <c r="A15" s="65">
        <v>6</v>
      </c>
      <c r="B15" s="66"/>
      <c r="C15" s="66"/>
      <c r="D15" s="66"/>
      <c r="E15" s="69"/>
    </row>
    <row r="16" spans="1:5" x14ac:dyDescent="0.2">
      <c r="A16" s="65">
        <v>7</v>
      </c>
      <c r="B16" s="66" t="s">
        <v>213</v>
      </c>
      <c r="C16" s="66"/>
      <c r="D16" s="66"/>
      <c r="E16" s="69">
        <f>ROUND(1-E14,6)</f>
        <v>0.95344399999999996</v>
      </c>
    </row>
    <row r="17" spans="1:5" x14ac:dyDescent="0.2">
      <c r="A17" s="65">
        <v>8</v>
      </c>
      <c r="B17" s="68" t="s">
        <v>212</v>
      </c>
      <c r="C17" s="66"/>
      <c r="D17" s="70">
        <v>0.21</v>
      </c>
      <c r="E17" s="69">
        <f>ROUND((E16)*D17,6)</f>
        <v>0.20022300000000001</v>
      </c>
    </row>
    <row r="18" spans="1:5" x14ac:dyDescent="0.2">
      <c r="A18" s="65">
        <v>9</v>
      </c>
      <c r="B18" s="68" t="s">
        <v>211</v>
      </c>
      <c r="C18" s="66"/>
      <c r="D18" s="66"/>
      <c r="E18" s="67">
        <f>ROUND(1-E17-E14,6)</f>
        <v>0.75322100000000003</v>
      </c>
    </row>
    <row r="19" spans="1:5" x14ac:dyDescent="0.2">
      <c r="A19" s="66"/>
      <c r="B19" s="66"/>
      <c r="C19" s="66"/>
      <c r="D19" s="66"/>
      <c r="E19" s="65"/>
    </row>
    <row r="20" spans="1:5" x14ac:dyDescent="0.2">
      <c r="A20" s="61"/>
      <c r="B20" s="61"/>
      <c r="C20" s="61"/>
      <c r="D20" s="61"/>
      <c r="E20" s="61"/>
    </row>
    <row r="21" spans="1:5" x14ac:dyDescent="0.2">
      <c r="A21" s="61"/>
      <c r="B21" s="61"/>
      <c r="C21" s="61"/>
      <c r="D21" s="61"/>
      <c r="E21" s="64"/>
    </row>
    <row r="22" spans="1:5" ht="12" thickBot="1" x14ac:dyDescent="0.25">
      <c r="A22" s="61"/>
      <c r="B22" s="61" t="s">
        <v>39</v>
      </c>
      <c r="C22" s="61"/>
      <c r="D22" s="61"/>
      <c r="E22" s="63">
        <f>1/E16</f>
        <v>1.0488292967389801</v>
      </c>
    </row>
    <row r="23" spans="1:5" ht="12" thickTop="1" x14ac:dyDescent="0.2">
      <c r="A23" s="61"/>
      <c r="B23" s="61"/>
      <c r="C23" s="61"/>
      <c r="D23" s="61"/>
      <c r="E23" s="61"/>
    </row>
    <row r="24" spans="1:5" x14ac:dyDescent="0.2">
      <c r="A24" s="61"/>
      <c r="B24" s="61"/>
      <c r="C24" s="61"/>
      <c r="D24" s="61"/>
      <c r="E24" s="61"/>
    </row>
    <row r="25" spans="1:5" x14ac:dyDescent="0.2">
      <c r="A25" s="61"/>
      <c r="B25" s="62" t="s">
        <v>210</v>
      </c>
      <c r="C25" s="61"/>
      <c r="D25" s="61"/>
      <c r="E25" s="61"/>
    </row>
  </sheetData>
  <mergeCells count="4">
    <mergeCell ref="B2:E2"/>
    <mergeCell ref="B3:E3"/>
    <mergeCell ref="B4:E4"/>
    <mergeCell ref="B5:E5"/>
  </mergeCells>
  <pageMargins left="0.7" right="0.7" top="0.75" bottom="0.75" header="0.3" footer="0.3"/>
  <pageSetup scale="93" orientation="portrait" horizontalDpi="90" verticalDpi="90" r:id="rId1"/>
  <headerFooter>
    <oddFooter>&amp;L&amp;F
&amp;A&amp;C&amp;P&amp;R&amp;D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S68"/>
  <sheetViews>
    <sheetView zoomScaleNormal="100" workbookViewId="0">
      <selection activeCell="D36" sqref="D36"/>
    </sheetView>
  </sheetViews>
  <sheetFormatPr defaultColWidth="9.140625" defaultRowHeight="11.25" x14ac:dyDescent="0.2"/>
  <cols>
    <col min="1" max="1" width="2.140625" style="4" customWidth="1"/>
    <col min="2" max="2" width="4.42578125" style="4" customWidth="1"/>
    <col min="3" max="3" width="54.7109375" style="4" bestFit="1" customWidth="1"/>
    <col min="4" max="5" width="11.5703125" style="4" bestFit="1" customWidth="1"/>
    <col min="6" max="6" width="10.5703125" style="4" bestFit="1" customWidth="1"/>
    <col min="7" max="7" width="11.5703125" style="4" bestFit="1" customWidth="1"/>
    <col min="8" max="8" width="10.7109375" style="4" bestFit="1" customWidth="1"/>
    <col min="9" max="10" width="9.85546875" style="4" bestFit="1" customWidth="1"/>
    <col min="11" max="11" width="11.42578125" style="4" customWidth="1"/>
    <col min="12" max="12" width="3.7109375" style="4" customWidth="1"/>
    <col min="13" max="13" width="11.5703125" style="4" bestFit="1" customWidth="1"/>
    <col min="14" max="14" width="3.7109375" style="4" customWidth="1"/>
    <col min="15" max="15" width="3.42578125" style="4" customWidth="1"/>
    <col min="16" max="16" width="3.85546875" style="4" bestFit="1" customWidth="1"/>
    <col min="17" max="17" width="9.140625" style="4"/>
    <col min="18" max="18" width="12" style="4" customWidth="1"/>
    <col min="19" max="16384" width="9.140625" style="4"/>
  </cols>
  <sheetData>
    <row r="1" spans="2:18" ht="12.75" customHeight="1" x14ac:dyDescent="0.2">
      <c r="B1" s="11" t="s">
        <v>13</v>
      </c>
      <c r="C1" s="1"/>
      <c r="D1" s="1"/>
      <c r="E1" s="1"/>
      <c r="F1" s="11"/>
      <c r="G1" s="1"/>
      <c r="H1" s="1"/>
      <c r="I1" s="1"/>
      <c r="J1" s="11"/>
      <c r="K1" s="11"/>
      <c r="L1" s="22"/>
      <c r="M1" s="22"/>
      <c r="N1" s="22"/>
      <c r="O1" s="22"/>
    </row>
    <row r="2" spans="2:18" ht="11.25" customHeight="1" x14ac:dyDescent="0.2">
      <c r="B2" s="11" t="s">
        <v>330</v>
      </c>
      <c r="C2" s="3"/>
      <c r="D2" s="3"/>
      <c r="E2" s="159"/>
      <c r="F2" s="11"/>
      <c r="G2" s="3"/>
      <c r="H2" s="3"/>
      <c r="I2" s="3"/>
      <c r="J2" s="11"/>
      <c r="K2" s="11"/>
      <c r="L2" s="22"/>
      <c r="M2" s="22"/>
      <c r="N2" s="22"/>
      <c r="O2" s="22"/>
    </row>
    <row r="3" spans="2:18" ht="11.25" customHeight="1" x14ac:dyDescent="0.2">
      <c r="B3" s="11" t="s">
        <v>329</v>
      </c>
      <c r="C3" s="1"/>
      <c r="D3" s="1"/>
      <c r="E3" s="1"/>
      <c r="F3" s="11"/>
      <c r="G3" s="1"/>
      <c r="H3" s="1"/>
      <c r="I3" s="1"/>
      <c r="J3" s="11"/>
      <c r="K3" s="11"/>
      <c r="L3" s="22"/>
      <c r="M3" s="22"/>
      <c r="N3" s="22"/>
      <c r="O3" s="22"/>
    </row>
    <row r="4" spans="2:18" ht="11.25" customHeight="1" x14ac:dyDescent="0.2">
      <c r="B4" s="11" t="s">
        <v>320</v>
      </c>
      <c r="C4" s="1"/>
      <c r="D4" s="1"/>
      <c r="E4" s="1"/>
      <c r="F4" s="11"/>
      <c r="G4" s="1"/>
      <c r="H4" s="1"/>
      <c r="I4" s="1"/>
      <c r="J4" s="11"/>
      <c r="K4" s="11"/>
      <c r="L4" s="22"/>
      <c r="M4" s="22"/>
      <c r="N4" s="22"/>
      <c r="O4" s="22"/>
    </row>
    <row r="5" spans="2:18" ht="12.75" customHeight="1" x14ac:dyDescent="0.2">
      <c r="L5" s="22"/>
      <c r="M5" s="22"/>
      <c r="N5" s="22"/>
      <c r="O5" s="22"/>
    </row>
    <row r="6" spans="2:18" x14ac:dyDescent="0.2">
      <c r="D6" s="140"/>
      <c r="E6" s="55" t="s">
        <v>16</v>
      </c>
      <c r="F6" s="56"/>
      <c r="G6" s="55" t="s">
        <v>17</v>
      </c>
      <c r="H6" s="56"/>
      <c r="I6" s="55" t="s">
        <v>56</v>
      </c>
      <c r="J6" s="57"/>
      <c r="K6" s="56"/>
      <c r="L6" s="22"/>
      <c r="M6" s="22"/>
      <c r="N6" s="22"/>
      <c r="O6" s="22"/>
    </row>
    <row r="7" spans="2:18" x14ac:dyDescent="0.2">
      <c r="B7" s="15" t="s">
        <v>15</v>
      </c>
      <c r="C7" s="15" t="s">
        <v>26</v>
      </c>
      <c r="D7" s="141" t="s">
        <v>11</v>
      </c>
      <c r="E7" s="54">
        <v>23</v>
      </c>
      <c r="F7" s="54">
        <v>16</v>
      </c>
      <c r="G7" s="54">
        <v>31</v>
      </c>
      <c r="H7" s="54">
        <v>41</v>
      </c>
      <c r="I7" s="54">
        <v>85</v>
      </c>
      <c r="J7" s="54">
        <v>86</v>
      </c>
      <c r="K7" s="54">
        <v>87</v>
      </c>
      <c r="L7" s="22"/>
      <c r="M7" s="28"/>
      <c r="N7" s="28"/>
      <c r="O7" s="28"/>
    </row>
    <row r="8" spans="2:18" x14ac:dyDescent="0.2">
      <c r="B8" s="5"/>
      <c r="C8" s="142" t="s">
        <v>14</v>
      </c>
      <c r="D8" s="5"/>
      <c r="E8" s="5"/>
      <c r="F8" s="5"/>
      <c r="G8" s="5"/>
      <c r="H8" s="5"/>
      <c r="I8" s="5"/>
      <c r="J8" s="5"/>
      <c r="K8" s="5"/>
      <c r="L8" s="22"/>
      <c r="M8" s="28"/>
      <c r="N8" s="28"/>
      <c r="O8" s="28"/>
    </row>
    <row r="9" spans="2:18" x14ac:dyDescent="0.2">
      <c r="B9" s="143">
        <v>1</v>
      </c>
      <c r="C9" s="4" t="s">
        <v>37</v>
      </c>
      <c r="D9" s="5"/>
      <c r="E9" s="410">
        <v>0</v>
      </c>
      <c r="F9" s="410">
        <v>0</v>
      </c>
      <c r="G9" s="410">
        <v>0</v>
      </c>
      <c r="H9" s="410">
        <v>1</v>
      </c>
      <c r="I9" s="410">
        <v>1</v>
      </c>
      <c r="J9" s="410">
        <v>1</v>
      </c>
      <c r="K9" s="410">
        <v>1</v>
      </c>
      <c r="L9" s="22"/>
      <c r="M9" s="28"/>
      <c r="N9" s="28"/>
      <c r="O9" s="28"/>
    </row>
    <row r="10" spans="2:18" x14ac:dyDescent="0.2">
      <c r="B10" s="143">
        <f>B9+1</f>
        <v>2</v>
      </c>
      <c r="C10" s="4" t="s">
        <v>36</v>
      </c>
      <c r="D10" s="13"/>
      <c r="E10" s="411">
        <v>0.14921000000000001</v>
      </c>
      <c r="F10" s="411">
        <v>0.14921000000000001</v>
      </c>
      <c r="G10" s="411">
        <v>0.14147000000000001</v>
      </c>
      <c r="H10" s="411">
        <v>3.9320000000000001E-2</v>
      </c>
      <c r="I10" s="411">
        <v>7.5170000000000001E-2</v>
      </c>
      <c r="J10" s="411">
        <v>8.6999999999999994E-2</v>
      </c>
      <c r="K10" s="411">
        <v>8.3220000000000002E-2</v>
      </c>
      <c r="L10" s="22"/>
      <c r="M10" s="28"/>
      <c r="N10" s="28"/>
      <c r="O10" s="28"/>
    </row>
    <row r="11" spans="2:18" x14ac:dyDescent="0.2">
      <c r="B11" s="143">
        <f>B10+1</f>
        <v>3</v>
      </c>
      <c r="C11" s="4" t="s">
        <v>319</v>
      </c>
      <c r="D11" s="20">
        <f>SUM(E11:K11)</f>
        <v>5120424</v>
      </c>
      <c r="E11" s="59">
        <f>'F2023 Forecast '!$N20</f>
        <v>0</v>
      </c>
      <c r="F11" s="59">
        <f>'F2023 Forecast '!$N21</f>
        <v>0</v>
      </c>
      <c r="G11" s="59">
        <f>'F2023 Forecast '!$N22</f>
        <v>0</v>
      </c>
      <c r="H11" s="59">
        <f>'F2023 Forecast '!$N23</f>
        <v>4954236</v>
      </c>
      <c r="I11" s="59">
        <f>'F2023 Forecast '!$N24</f>
        <v>132036</v>
      </c>
      <c r="J11" s="59">
        <f>'F2023 Forecast '!$N25</f>
        <v>34152</v>
      </c>
      <c r="K11" s="59">
        <f>'F2023 Forecast '!$N26</f>
        <v>0</v>
      </c>
      <c r="L11" s="22"/>
      <c r="M11" s="144"/>
      <c r="N11" s="28"/>
      <c r="O11" s="28"/>
      <c r="R11" s="145"/>
    </row>
    <row r="12" spans="2:18" x14ac:dyDescent="0.2">
      <c r="B12" s="143">
        <f>B11+1</f>
        <v>4</v>
      </c>
      <c r="C12" s="4" t="s">
        <v>226</v>
      </c>
      <c r="D12" s="60">
        <f>SUM(E12:K12)</f>
        <v>895560443</v>
      </c>
      <c r="E12" s="59">
        <f>'F2023 Forecast '!$N8</f>
        <v>558669681</v>
      </c>
      <c r="F12" s="59">
        <f>'F2023 Forecast '!$N9</f>
        <v>6996</v>
      </c>
      <c r="G12" s="59">
        <f>'F2023 Forecast '!$N10</f>
        <v>231772233</v>
      </c>
      <c r="H12" s="59">
        <f>'F2023 Forecast '!$N11</f>
        <v>62094943</v>
      </c>
      <c r="I12" s="59">
        <f>'F2023 Forecast '!$N12</f>
        <v>17262378</v>
      </c>
      <c r="J12" s="59">
        <f>'F2023 Forecast '!$N13</f>
        <v>4915802</v>
      </c>
      <c r="K12" s="59">
        <f>'F2023 Forecast '!$N14</f>
        <v>20838410</v>
      </c>
      <c r="L12" s="22"/>
      <c r="M12" s="144"/>
      <c r="N12" s="28"/>
      <c r="O12" s="28"/>
      <c r="R12" s="145"/>
    </row>
    <row r="13" spans="2:18" x14ac:dyDescent="0.2">
      <c r="B13" s="143"/>
      <c r="D13" s="60"/>
      <c r="E13" s="146"/>
      <c r="F13" s="146"/>
      <c r="G13" s="146"/>
      <c r="H13" s="146"/>
      <c r="I13" s="146"/>
      <c r="J13" s="146"/>
      <c r="K13" s="146"/>
      <c r="L13" s="22"/>
      <c r="M13" s="28"/>
      <c r="N13" s="28"/>
      <c r="O13" s="28"/>
      <c r="R13" s="145"/>
    </row>
    <row r="14" spans="2:18" x14ac:dyDescent="0.2">
      <c r="B14" s="143">
        <f>B12+1</f>
        <v>5</v>
      </c>
      <c r="C14" s="4" t="s">
        <v>77</v>
      </c>
      <c r="D14" s="147"/>
      <c r="E14" s="148">
        <f>'2022 GRC Gas Cost Allocation'!E53</f>
        <v>0.14394000000000001</v>
      </c>
      <c r="F14" s="148">
        <f>'2022 GRC Gas Cost Allocation'!E53</f>
        <v>0.14394000000000001</v>
      </c>
      <c r="G14" s="148">
        <f>'2022 GRC Gas Cost Allocation'!F53</f>
        <v>0.1376</v>
      </c>
      <c r="H14" s="148">
        <f>'2022 GRC Gas Cost Allocation'!G53</f>
        <v>0.12096999999999999</v>
      </c>
      <c r="I14" s="148">
        <f>'2022 GRC Gas Cost Allocation'!H53</f>
        <v>8.7739999999999999E-2</v>
      </c>
      <c r="J14" s="148">
        <f>'2022 GRC Gas Cost Allocation'!I53</f>
        <v>9.5089999999999994E-2</v>
      </c>
      <c r="K14" s="148">
        <f>'2022 GRC Gas Cost Allocation'!J53</f>
        <v>8.2100000000000006E-2</v>
      </c>
      <c r="L14" s="22"/>
      <c r="M14" s="144"/>
      <c r="N14" s="28"/>
      <c r="O14" s="28"/>
      <c r="R14" s="145"/>
    </row>
    <row r="15" spans="2:18" x14ac:dyDescent="0.2">
      <c r="B15" s="143">
        <f>B14+1</f>
        <v>6</v>
      </c>
      <c r="C15" s="4" t="s">
        <v>82</v>
      </c>
      <c r="D15" s="9">
        <f>SUM(E15:K15)</f>
        <v>123512283.52179001</v>
      </c>
      <c r="E15" s="9">
        <f>E12*E14</f>
        <v>80414913.883140013</v>
      </c>
      <c r="F15" s="9">
        <f t="shared" ref="F15:K15" si="0">F12*F14</f>
        <v>1007.0042400000001</v>
      </c>
      <c r="G15" s="9">
        <f t="shared" si="0"/>
        <v>31891859.2608</v>
      </c>
      <c r="H15" s="9">
        <f t="shared" si="0"/>
        <v>7511625.25471</v>
      </c>
      <c r="I15" s="9">
        <f t="shared" si="0"/>
        <v>1514601.0457200001</v>
      </c>
      <c r="J15" s="9">
        <f t="shared" si="0"/>
        <v>467443.61218</v>
      </c>
      <c r="K15" s="9">
        <f t="shared" si="0"/>
        <v>1710833.4610000001</v>
      </c>
      <c r="L15" s="22"/>
      <c r="M15" s="28"/>
      <c r="N15" s="28"/>
      <c r="O15" s="28"/>
      <c r="R15" s="145"/>
    </row>
    <row r="16" spans="2:18" x14ac:dyDescent="0.2">
      <c r="B16" s="143"/>
      <c r="F16" s="149"/>
      <c r="L16" s="22"/>
      <c r="M16" s="28"/>
      <c r="N16" s="28"/>
      <c r="O16" s="28"/>
      <c r="R16" s="145"/>
    </row>
    <row r="17" spans="2:18" x14ac:dyDescent="0.2">
      <c r="B17" s="143">
        <f>B15+1</f>
        <v>7</v>
      </c>
      <c r="C17" s="4" t="s">
        <v>80</v>
      </c>
      <c r="D17" s="12">
        <v>121435790.4279424</v>
      </c>
      <c r="E17" s="9">
        <f>$D17*(E15/$D15)</f>
        <v>79062975.366909504</v>
      </c>
      <c r="F17" s="9">
        <f>$D17*(F15/$D15)</f>
        <v>990.07444734932517</v>
      </c>
      <c r="G17" s="9">
        <f t="shared" ref="G17:K17" si="1">$D17*(G15/$D15)</f>
        <v>31355692.139468066</v>
      </c>
      <c r="H17" s="9">
        <f t="shared" si="1"/>
        <v>7385339.53218731</v>
      </c>
      <c r="I17" s="9">
        <f t="shared" si="1"/>
        <v>1489137.5167357181</v>
      </c>
      <c r="J17" s="9">
        <f t="shared" si="1"/>
        <v>459584.93282618729</v>
      </c>
      <c r="K17" s="9">
        <f t="shared" si="1"/>
        <v>1682070.8653682612</v>
      </c>
      <c r="L17" s="22"/>
      <c r="M17" s="150"/>
      <c r="N17" s="28"/>
      <c r="O17" s="28"/>
      <c r="R17" s="145"/>
    </row>
    <row r="18" spans="2:18" x14ac:dyDescent="0.2">
      <c r="B18" s="143">
        <f>B17+1</f>
        <v>8</v>
      </c>
      <c r="C18" s="4" t="s">
        <v>78</v>
      </c>
      <c r="D18" s="7">
        <f>SUM(E18:K18)</f>
        <v>1.0000000000000002</v>
      </c>
      <c r="E18" s="7">
        <f>E17/$D$17</f>
        <v>0.65106814958168302</v>
      </c>
      <c r="F18" s="7">
        <f t="shared" ref="F18:K18" si="2">F17/$D$17</f>
        <v>8.1530695675490816E-6</v>
      </c>
      <c r="G18" s="7">
        <f t="shared" si="2"/>
        <v>0.25820799641497716</v>
      </c>
      <c r="H18" s="7">
        <f t="shared" si="2"/>
        <v>6.0816827610387439E-2</v>
      </c>
      <c r="I18" s="7">
        <f t="shared" si="2"/>
        <v>1.2262756403923132E-2</v>
      </c>
      <c r="J18" s="7">
        <f t="shared" si="2"/>
        <v>3.784592097655888E-3</v>
      </c>
      <c r="K18" s="7">
        <f t="shared" si="2"/>
        <v>1.3851524821805883E-2</v>
      </c>
      <c r="L18" s="22"/>
      <c r="M18" s="28"/>
      <c r="N18" s="28"/>
      <c r="O18" s="28"/>
      <c r="R18" s="145"/>
    </row>
    <row r="19" spans="2:18" x14ac:dyDescent="0.2">
      <c r="B19" s="143"/>
      <c r="L19" s="22"/>
      <c r="M19" s="28"/>
      <c r="N19" s="28"/>
      <c r="O19" s="28"/>
      <c r="R19" s="145"/>
    </row>
    <row r="20" spans="2:18" x14ac:dyDescent="0.2">
      <c r="B20" s="143">
        <f>B18+1</f>
        <v>9</v>
      </c>
      <c r="C20" s="4" t="s">
        <v>79</v>
      </c>
      <c r="E20" s="6">
        <v>0</v>
      </c>
      <c r="F20" s="6">
        <v>0</v>
      </c>
      <c r="G20" s="6">
        <v>0</v>
      </c>
      <c r="H20" s="6">
        <v>1</v>
      </c>
      <c r="I20" s="6">
        <v>1</v>
      </c>
      <c r="J20" s="6">
        <v>1</v>
      </c>
      <c r="K20" s="6">
        <v>1</v>
      </c>
      <c r="L20" s="22"/>
      <c r="M20" s="144"/>
      <c r="N20" s="28"/>
      <c r="O20" s="28"/>
      <c r="R20" s="145"/>
    </row>
    <row r="21" spans="2:18" x14ac:dyDescent="0.2">
      <c r="B21" s="143">
        <f>B20+1</f>
        <v>10</v>
      </c>
      <c r="C21" s="4" t="s">
        <v>83</v>
      </c>
      <c r="D21" s="9">
        <f>SUM(E21:K21)</f>
        <v>5120424</v>
      </c>
      <c r="E21" s="9">
        <f>E20*E11</f>
        <v>0</v>
      </c>
      <c r="F21" s="9">
        <f t="shared" ref="F21:G21" si="3">F20*F11</f>
        <v>0</v>
      </c>
      <c r="G21" s="9">
        <f t="shared" si="3"/>
        <v>0</v>
      </c>
      <c r="H21" s="9">
        <f>H20*H11</f>
        <v>4954236</v>
      </c>
      <c r="I21" s="9">
        <f t="shared" ref="I21:K21" si="4">I20*I11</f>
        <v>132036</v>
      </c>
      <c r="J21" s="9">
        <f t="shared" si="4"/>
        <v>34152</v>
      </c>
      <c r="K21" s="9">
        <f t="shared" si="4"/>
        <v>0</v>
      </c>
      <c r="L21" s="22"/>
      <c r="M21" s="28"/>
      <c r="N21" s="28"/>
      <c r="O21" s="28"/>
      <c r="R21" s="145"/>
    </row>
    <row r="22" spans="2:18" x14ac:dyDescent="0.2">
      <c r="B22" s="143"/>
      <c r="L22" s="22"/>
      <c r="M22" s="28"/>
      <c r="N22" s="28"/>
      <c r="O22" s="28"/>
      <c r="R22" s="145"/>
    </row>
    <row r="23" spans="2:18" x14ac:dyDescent="0.2">
      <c r="B23" s="143">
        <f>B21+1</f>
        <v>11</v>
      </c>
      <c r="C23" s="4" t="s">
        <v>84</v>
      </c>
      <c r="D23" s="9">
        <f>SUM(E23:K23)</f>
        <v>116315366.4279424</v>
      </c>
      <c r="E23" s="9">
        <f>E17-E21</f>
        <v>79062975.366909504</v>
      </c>
      <c r="F23" s="9">
        <f t="shared" ref="F23:K23" si="5">F17-F21</f>
        <v>990.07444734932517</v>
      </c>
      <c r="G23" s="9">
        <f t="shared" si="5"/>
        <v>31355692.139468066</v>
      </c>
      <c r="H23" s="9">
        <f>H17-H21</f>
        <v>2431103.53218731</v>
      </c>
      <c r="I23" s="9">
        <f t="shared" si="5"/>
        <v>1357101.5167357181</v>
      </c>
      <c r="J23" s="9">
        <f t="shared" si="5"/>
        <v>425432.93282618729</v>
      </c>
      <c r="K23" s="9">
        <f t="shared" si="5"/>
        <v>1682070.8653682612</v>
      </c>
      <c r="L23" s="22"/>
      <c r="M23" s="28"/>
      <c r="N23" s="28"/>
      <c r="O23" s="28"/>
      <c r="R23" s="145"/>
    </row>
    <row r="24" spans="2:18" x14ac:dyDescent="0.2">
      <c r="B24" s="143">
        <f>B23+1</f>
        <v>12</v>
      </c>
      <c r="C24" s="4" t="s">
        <v>85</v>
      </c>
      <c r="E24" s="151">
        <f>ROUND(E23/E12,5)</f>
        <v>0.14152000000000001</v>
      </c>
      <c r="F24" s="151">
        <f t="shared" ref="F24:K24" si="6">ROUND(F23/F12,5)</f>
        <v>0.14152000000000001</v>
      </c>
      <c r="G24" s="151">
        <f t="shared" si="6"/>
        <v>0.13528999999999999</v>
      </c>
      <c r="H24" s="151">
        <f t="shared" si="6"/>
        <v>3.9149999999999997E-2</v>
      </c>
      <c r="I24" s="151">
        <f t="shared" si="6"/>
        <v>7.8619999999999995E-2</v>
      </c>
      <c r="J24" s="151">
        <f t="shared" si="6"/>
        <v>8.6540000000000006E-2</v>
      </c>
      <c r="K24" s="151">
        <f t="shared" si="6"/>
        <v>8.072E-2</v>
      </c>
      <c r="L24" s="22"/>
      <c r="M24" s="28"/>
      <c r="N24" s="28"/>
      <c r="O24" s="28"/>
      <c r="R24" s="145"/>
    </row>
    <row r="25" spans="2:18" x14ac:dyDescent="0.2">
      <c r="B25" s="143">
        <f>B24+1</f>
        <v>13</v>
      </c>
      <c r="C25" s="4" t="s">
        <v>86</v>
      </c>
      <c r="F25" s="149">
        <f>ROUND(F24*19,2)</f>
        <v>2.69</v>
      </c>
      <c r="L25" s="22"/>
      <c r="M25" s="28"/>
      <c r="N25" s="28"/>
      <c r="O25" s="28"/>
      <c r="R25" s="145"/>
    </row>
    <row r="26" spans="2:18" x14ac:dyDescent="0.2">
      <c r="B26" s="143"/>
      <c r="F26" s="149"/>
      <c r="L26" s="22"/>
      <c r="M26" s="28"/>
      <c r="N26" s="28"/>
      <c r="O26" s="28"/>
      <c r="R26" s="145"/>
    </row>
    <row r="27" spans="2:18" x14ac:dyDescent="0.2">
      <c r="B27" s="143">
        <f>B25+1</f>
        <v>14</v>
      </c>
      <c r="C27" s="4" t="s">
        <v>87</v>
      </c>
      <c r="D27" s="9">
        <f>SUM(E27:K27)</f>
        <v>121436487.8687</v>
      </c>
      <c r="E27" s="9">
        <f>(E24*E12)+(E20*E11)</f>
        <v>79062933.255120009</v>
      </c>
      <c r="F27" s="9">
        <f t="shared" ref="F27:K27" si="7">(F24*F12)+(F20*F11)</f>
        <v>990.07392000000004</v>
      </c>
      <c r="G27" s="9">
        <f t="shared" si="7"/>
        <v>31356465.402569998</v>
      </c>
      <c r="H27" s="9">
        <f t="shared" si="7"/>
        <v>7385253.0184499994</v>
      </c>
      <c r="I27" s="9">
        <f t="shared" si="7"/>
        <v>1489204.15836</v>
      </c>
      <c r="J27" s="9">
        <f t="shared" si="7"/>
        <v>459565.50508000003</v>
      </c>
      <c r="K27" s="9">
        <f t="shared" si="7"/>
        <v>1682076.4552</v>
      </c>
      <c r="L27" s="22"/>
      <c r="M27" s="28"/>
      <c r="N27" s="28"/>
      <c r="O27" s="28"/>
      <c r="R27" s="145"/>
    </row>
    <row r="28" spans="2:18" x14ac:dyDescent="0.2">
      <c r="B28" s="143">
        <f>B27+1</f>
        <v>15</v>
      </c>
      <c r="C28" s="4" t="s">
        <v>112</v>
      </c>
      <c r="D28" s="13"/>
      <c r="E28" s="8">
        <f>ROUND(E24-E10,5)</f>
        <v>-7.6899999999999998E-3</v>
      </c>
      <c r="F28" s="8">
        <f t="shared" ref="F28:K28" si="8">ROUND(F24-F10,5)</f>
        <v>-7.6899999999999998E-3</v>
      </c>
      <c r="G28" s="8">
        <f t="shared" si="8"/>
        <v>-6.1799999999999997E-3</v>
      </c>
      <c r="H28" s="8">
        <f t="shared" si="8"/>
        <v>-1.7000000000000001E-4</v>
      </c>
      <c r="I28" s="8">
        <f t="shared" si="8"/>
        <v>3.4499999999999999E-3</v>
      </c>
      <c r="J28" s="8">
        <f t="shared" si="8"/>
        <v>-4.6000000000000001E-4</v>
      </c>
      <c r="K28" s="8">
        <f t="shared" si="8"/>
        <v>-2.5000000000000001E-3</v>
      </c>
      <c r="L28" s="22"/>
      <c r="M28" s="28"/>
      <c r="N28" s="28"/>
      <c r="O28" s="28"/>
      <c r="R28" s="145"/>
    </row>
    <row r="29" spans="2:18" x14ac:dyDescent="0.2">
      <c r="B29" s="143">
        <f>B28+1</f>
        <v>16</v>
      </c>
      <c r="C29" s="4" t="s">
        <v>111</v>
      </c>
      <c r="E29" s="7">
        <f>E28/E10</f>
        <v>-5.1538100663494402E-2</v>
      </c>
      <c r="F29" s="7">
        <f t="shared" ref="F29:K29" si="9">F28/F10</f>
        <v>-5.1538100663494402E-2</v>
      </c>
      <c r="G29" s="7">
        <f t="shared" si="9"/>
        <v>-4.3684173322965994E-2</v>
      </c>
      <c r="H29" s="7">
        <f t="shared" si="9"/>
        <v>-4.3234994913530014E-3</v>
      </c>
      <c r="I29" s="7">
        <f t="shared" si="9"/>
        <v>4.5895969136623652E-2</v>
      </c>
      <c r="J29" s="7">
        <f t="shared" si="9"/>
        <v>-5.2873563218390806E-3</v>
      </c>
      <c r="K29" s="7">
        <f t="shared" si="9"/>
        <v>-3.0040855563566449E-2</v>
      </c>
      <c r="L29" s="22"/>
      <c r="M29" s="28"/>
      <c r="N29" s="28"/>
      <c r="O29" s="28"/>
      <c r="R29" s="145"/>
    </row>
    <row r="30" spans="2:18" x14ac:dyDescent="0.2">
      <c r="D30" s="9"/>
    </row>
    <row r="31" spans="2:18" x14ac:dyDescent="0.2">
      <c r="C31" s="18" t="s">
        <v>20</v>
      </c>
      <c r="L31" s="22"/>
      <c r="M31" s="22"/>
      <c r="N31" s="22"/>
      <c r="O31" s="22"/>
    </row>
    <row r="32" spans="2:18" x14ac:dyDescent="0.2">
      <c r="B32" s="4">
        <f>B29+1</f>
        <v>17</v>
      </c>
      <c r="C32" s="4" t="s">
        <v>28</v>
      </c>
      <c r="E32" s="411">
        <v>0.43773000000000001</v>
      </c>
      <c r="F32" s="411">
        <v>0.43773000000000001</v>
      </c>
      <c r="G32" s="411">
        <v>0.43773000000000001</v>
      </c>
      <c r="H32" s="411">
        <v>0.43773000000000001</v>
      </c>
      <c r="I32" s="411">
        <v>0.43773000000000001</v>
      </c>
      <c r="J32" s="411">
        <v>0.43773000000000001</v>
      </c>
      <c r="K32" s="411">
        <v>0.43773000000000001</v>
      </c>
      <c r="L32" s="22"/>
      <c r="M32" s="22"/>
      <c r="N32" s="22"/>
      <c r="O32" s="22"/>
    </row>
    <row r="33" spans="2:19" x14ac:dyDescent="0.2">
      <c r="B33" s="4">
        <f>B32+1</f>
        <v>18</v>
      </c>
      <c r="C33" s="4" t="str">
        <f>+C12</f>
        <v>Projected Volume Nov. 23 - Oct. 24 (therms)</v>
      </c>
      <c r="D33" s="60">
        <f>SUM(E33:K33)</f>
        <v>895560443</v>
      </c>
      <c r="E33" s="60">
        <f t="shared" ref="E33:K33" si="10">E12</f>
        <v>558669681</v>
      </c>
      <c r="F33" s="60">
        <f t="shared" si="10"/>
        <v>6996</v>
      </c>
      <c r="G33" s="60">
        <f t="shared" si="10"/>
        <v>231772233</v>
      </c>
      <c r="H33" s="60">
        <f t="shared" si="10"/>
        <v>62094943</v>
      </c>
      <c r="I33" s="60">
        <f t="shared" si="10"/>
        <v>17262378</v>
      </c>
      <c r="J33" s="60">
        <f t="shared" si="10"/>
        <v>4915802</v>
      </c>
      <c r="K33" s="60">
        <f t="shared" si="10"/>
        <v>20838410</v>
      </c>
      <c r="L33" s="22"/>
      <c r="M33" s="22"/>
      <c r="N33" s="22"/>
      <c r="O33" s="22"/>
    </row>
    <row r="34" spans="2:19" x14ac:dyDescent="0.2">
      <c r="B34" s="4">
        <f>B33+1</f>
        <v>19</v>
      </c>
      <c r="C34" s="4" t="s">
        <v>113</v>
      </c>
      <c r="D34" s="9">
        <f>SUM(E34:K34)</f>
        <v>392013672.71438992</v>
      </c>
      <c r="E34" s="9">
        <f>E32*E33</f>
        <v>244546479.46413001</v>
      </c>
      <c r="F34" s="9">
        <f t="shared" ref="F34:K34" si="11">F32*F33</f>
        <v>3062.3590800000002</v>
      </c>
      <c r="G34" s="9">
        <f t="shared" si="11"/>
        <v>101453659.55109</v>
      </c>
      <c r="H34" s="9">
        <f t="shared" si="11"/>
        <v>27180819.399390001</v>
      </c>
      <c r="I34" s="9">
        <f t="shared" si="11"/>
        <v>7556260.7219400005</v>
      </c>
      <c r="J34" s="9">
        <f t="shared" si="11"/>
        <v>2151794.0094599999</v>
      </c>
      <c r="K34" s="9">
        <f t="shared" si="11"/>
        <v>9121597.2093000002</v>
      </c>
      <c r="L34" s="22"/>
      <c r="M34" s="22"/>
      <c r="N34" s="22"/>
      <c r="O34" s="22"/>
    </row>
    <row r="35" spans="2:19" x14ac:dyDescent="0.2">
      <c r="D35" s="9"/>
      <c r="E35" s="9"/>
      <c r="F35" s="9"/>
      <c r="G35" s="9"/>
      <c r="H35" s="9"/>
      <c r="I35" s="9"/>
      <c r="J35" s="9"/>
      <c r="K35" s="9"/>
      <c r="L35" s="22"/>
      <c r="M35" s="22"/>
      <c r="N35" s="22"/>
      <c r="O35" s="22"/>
    </row>
    <row r="36" spans="2:19" x14ac:dyDescent="0.2">
      <c r="B36" s="4">
        <f>B34+1</f>
        <v>20</v>
      </c>
      <c r="C36" s="4" t="s">
        <v>47</v>
      </c>
      <c r="D36" s="12">
        <v>348100903.63468373</v>
      </c>
      <c r="E36" s="9"/>
      <c r="F36" s="9"/>
      <c r="G36" s="9"/>
      <c r="H36" s="9"/>
      <c r="I36" s="9"/>
      <c r="J36" s="9"/>
      <c r="K36" s="9"/>
      <c r="L36" s="22"/>
      <c r="M36" s="150"/>
      <c r="N36" s="22"/>
      <c r="O36" s="22"/>
    </row>
    <row r="37" spans="2:19" x14ac:dyDescent="0.2">
      <c r="B37" s="4">
        <f>B36+1</f>
        <v>21</v>
      </c>
      <c r="C37" s="4" t="s">
        <v>114</v>
      </c>
      <c r="D37" s="8">
        <f>ROUND(D36/D33,5)</f>
        <v>0.38869999999999999</v>
      </c>
      <c r="E37" s="8">
        <f>$D$37</f>
        <v>0.38869999999999999</v>
      </c>
      <c r="F37" s="8">
        <f t="shared" ref="F37:K37" si="12">$D$37</f>
        <v>0.38869999999999999</v>
      </c>
      <c r="G37" s="8">
        <f t="shared" si="12"/>
        <v>0.38869999999999999</v>
      </c>
      <c r="H37" s="8">
        <f t="shared" si="12"/>
        <v>0.38869999999999999</v>
      </c>
      <c r="I37" s="8">
        <f t="shared" si="12"/>
        <v>0.38869999999999999</v>
      </c>
      <c r="J37" s="8">
        <f t="shared" si="12"/>
        <v>0.38869999999999999</v>
      </c>
      <c r="K37" s="8">
        <f t="shared" si="12"/>
        <v>0.38869999999999999</v>
      </c>
      <c r="L37" s="22"/>
      <c r="M37" s="22"/>
      <c r="N37" s="22"/>
      <c r="O37" s="22"/>
      <c r="R37" s="152"/>
      <c r="S37" s="30"/>
    </row>
    <row r="38" spans="2:19" x14ac:dyDescent="0.2">
      <c r="B38" s="4">
        <f>B37+1</f>
        <v>22</v>
      </c>
      <c r="C38" s="4" t="s">
        <v>115</v>
      </c>
      <c r="D38" s="9">
        <f>SUM(E38:K38)</f>
        <v>348104343</v>
      </c>
      <c r="E38" s="9">
        <f>ROUND(E33*E37,0)</f>
        <v>217154905</v>
      </c>
      <c r="F38" s="9">
        <f t="shared" ref="F38:K38" si="13">ROUND(F33*F37,0)</f>
        <v>2719</v>
      </c>
      <c r="G38" s="9">
        <f t="shared" si="13"/>
        <v>90089867</v>
      </c>
      <c r="H38" s="9">
        <f t="shared" si="13"/>
        <v>24136304</v>
      </c>
      <c r="I38" s="9">
        <f t="shared" si="13"/>
        <v>6709886</v>
      </c>
      <c r="J38" s="9">
        <f t="shared" si="13"/>
        <v>1910772</v>
      </c>
      <c r="K38" s="9">
        <f t="shared" si="13"/>
        <v>8099890</v>
      </c>
      <c r="L38" s="22"/>
      <c r="M38" s="22"/>
      <c r="N38" s="22"/>
      <c r="O38" s="22"/>
    </row>
    <row r="39" spans="2:19" x14ac:dyDescent="0.2">
      <c r="B39" s="4">
        <f>B38+1</f>
        <v>23</v>
      </c>
      <c r="C39" s="4" t="s">
        <v>116</v>
      </c>
      <c r="F39" s="29">
        <f>ROUND(F37*19,2)</f>
        <v>7.39</v>
      </c>
      <c r="L39" s="22"/>
      <c r="M39" s="22"/>
      <c r="N39" s="22"/>
      <c r="O39" s="22"/>
    </row>
    <row r="40" spans="2:19" x14ac:dyDescent="0.2">
      <c r="B40" s="143">
        <f>B39+1</f>
        <v>24</v>
      </c>
      <c r="C40" s="4" t="s">
        <v>117</v>
      </c>
      <c r="E40" s="152">
        <f>E37-E32</f>
        <v>-4.9030000000000018E-2</v>
      </c>
      <c r="F40" s="152">
        <f>F37-F32</f>
        <v>-4.9030000000000018E-2</v>
      </c>
      <c r="G40" s="152">
        <f t="shared" ref="G40:K40" si="14">G37-G32</f>
        <v>-4.9030000000000018E-2</v>
      </c>
      <c r="H40" s="152">
        <f t="shared" si="14"/>
        <v>-4.9030000000000018E-2</v>
      </c>
      <c r="I40" s="152">
        <f t="shared" si="14"/>
        <v>-4.9030000000000018E-2</v>
      </c>
      <c r="J40" s="152">
        <f t="shared" si="14"/>
        <v>-4.9030000000000018E-2</v>
      </c>
      <c r="K40" s="152">
        <f t="shared" si="14"/>
        <v>-4.9030000000000018E-2</v>
      </c>
      <c r="L40" s="22"/>
      <c r="M40" s="22"/>
      <c r="N40" s="22"/>
      <c r="O40" s="22"/>
    </row>
    <row r="41" spans="2:19" x14ac:dyDescent="0.2">
      <c r="B41" s="143">
        <f>B40+1</f>
        <v>25</v>
      </c>
      <c r="C41" s="4" t="s">
        <v>25</v>
      </c>
      <c r="E41" s="7">
        <f t="shared" ref="E41:K41" si="15">E40/E32</f>
        <v>-0.11200968633632609</v>
      </c>
      <c r="F41" s="7">
        <f t="shared" si="15"/>
        <v>-0.11200968633632609</v>
      </c>
      <c r="G41" s="7">
        <f t="shared" si="15"/>
        <v>-0.11200968633632609</v>
      </c>
      <c r="H41" s="7">
        <f t="shared" si="15"/>
        <v>-0.11200968633632609</v>
      </c>
      <c r="I41" s="7">
        <f t="shared" si="15"/>
        <v>-0.11200968633632609</v>
      </c>
      <c r="J41" s="7">
        <f t="shared" si="15"/>
        <v>-0.11200968633632609</v>
      </c>
      <c r="K41" s="7">
        <f t="shared" si="15"/>
        <v>-0.11200968633632609</v>
      </c>
      <c r="L41" s="22"/>
      <c r="M41" s="22"/>
      <c r="N41" s="22"/>
      <c r="O41" s="22"/>
    </row>
    <row r="43" spans="2:19" ht="12.75" customHeight="1" x14ac:dyDescent="0.2">
      <c r="C43" s="18" t="s">
        <v>29</v>
      </c>
      <c r="L43" s="22"/>
      <c r="M43" s="22"/>
      <c r="N43" s="22"/>
      <c r="O43" s="22"/>
      <c r="P43" s="153"/>
      <c r="Q43" s="153"/>
      <c r="R43" s="153"/>
      <c r="S43" s="153"/>
    </row>
    <row r="44" spans="2:19" ht="12.75" customHeight="1" x14ac:dyDescent="0.2">
      <c r="B44" s="4">
        <f>B41+1</f>
        <v>26</v>
      </c>
      <c r="C44" s="4" t="s">
        <v>118</v>
      </c>
      <c r="E44" s="149">
        <f t="shared" ref="E44:G44" si="16">E20</f>
        <v>0</v>
      </c>
      <c r="F44" s="149">
        <f t="shared" si="16"/>
        <v>0</v>
      </c>
      <c r="G44" s="149">
        <f t="shared" si="16"/>
        <v>0</v>
      </c>
      <c r="H44" s="149">
        <f>H20</f>
        <v>1</v>
      </c>
      <c r="I44" s="149">
        <f t="shared" ref="I44:K44" si="17">I20</f>
        <v>1</v>
      </c>
      <c r="J44" s="149">
        <f t="shared" si="17"/>
        <v>1</v>
      </c>
      <c r="K44" s="149">
        <f t="shared" si="17"/>
        <v>1</v>
      </c>
      <c r="L44" s="22"/>
      <c r="M44" s="22"/>
      <c r="N44" s="22"/>
      <c r="O44" s="22"/>
      <c r="P44" s="153"/>
      <c r="Q44" s="153"/>
      <c r="R44" s="153"/>
      <c r="S44" s="153"/>
    </row>
    <row r="45" spans="2:19" ht="12.75" customHeight="1" x14ac:dyDescent="0.2">
      <c r="B45" s="143">
        <f>B44+1</f>
        <v>27</v>
      </c>
      <c r="C45" s="4" t="s">
        <v>39</v>
      </c>
      <c r="D45" s="154">
        <f>'Conversion Factor'!E22-1</f>
        <v>4.8829296738980066E-2</v>
      </c>
      <c r="L45" s="22"/>
      <c r="M45" s="22"/>
      <c r="N45" s="22"/>
      <c r="O45" s="22"/>
      <c r="P45" s="153"/>
      <c r="Q45" s="153"/>
      <c r="R45" s="153"/>
      <c r="S45" s="153"/>
    </row>
    <row r="46" spans="2:19" ht="12.75" customHeight="1" x14ac:dyDescent="0.2">
      <c r="B46" s="143">
        <f>B45+1</f>
        <v>28</v>
      </c>
      <c r="C46" s="4" t="s">
        <v>119</v>
      </c>
      <c r="E46" s="149">
        <f>ROUND(E44*(1+$D$45),2)</f>
        <v>0</v>
      </c>
      <c r="F46" s="149">
        <f t="shared" ref="F46:K46" si="18">ROUND(F44*(1+$D$45),2)</f>
        <v>0</v>
      </c>
      <c r="G46" s="149">
        <f t="shared" si="18"/>
        <v>0</v>
      </c>
      <c r="H46" s="149">
        <f>ROUND(H44*(1+$D$45),2)</f>
        <v>1.05</v>
      </c>
      <c r="I46" s="149">
        <f t="shared" si="18"/>
        <v>1.05</v>
      </c>
      <c r="J46" s="149">
        <f t="shared" si="18"/>
        <v>1.05</v>
      </c>
      <c r="K46" s="149">
        <f t="shared" si="18"/>
        <v>1.05</v>
      </c>
      <c r="L46" s="22"/>
      <c r="M46" s="22"/>
      <c r="N46" s="22"/>
      <c r="O46" s="22"/>
      <c r="P46" s="153"/>
      <c r="Q46" s="153"/>
      <c r="R46" s="153"/>
      <c r="S46" s="153"/>
    </row>
    <row r="47" spans="2:19" ht="12.75" customHeight="1" x14ac:dyDescent="0.2">
      <c r="C47" s="18"/>
      <c r="L47" s="22"/>
      <c r="M47" s="22"/>
      <c r="N47" s="22"/>
      <c r="O47" s="22"/>
      <c r="P47" s="153"/>
      <c r="Q47" s="153"/>
      <c r="R47" s="153"/>
      <c r="S47" s="153"/>
    </row>
    <row r="48" spans="2:19" x14ac:dyDescent="0.2">
      <c r="B48" s="143">
        <f>B46+1</f>
        <v>29</v>
      </c>
      <c r="C48" s="4" t="s">
        <v>120</v>
      </c>
      <c r="E48" s="152">
        <f>E24</f>
        <v>0.14152000000000001</v>
      </c>
      <c r="F48" s="152">
        <f t="shared" ref="F48:K48" si="19">F24</f>
        <v>0.14152000000000001</v>
      </c>
      <c r="G48" s="152">
        <f t="shared" si="19"/>
        <v>0.13528999999999999</v>
      </c>
      <c r="H48" s="152">
        <f t="shared" si="19"/>
        <v>3.9149999999999997E-2</v>
      </c>
      <c r="I48" s="152">
        <f t="shared" si="19"/>
        <v>7.8619999999999995E-2</v>
      </c>
      <c r="J48" s="152">
        <f t="shared" si="19"/>
        <v>8.6540000000000006E-2</v>
      </c>
      <c r="K48" s="152">
        <f t="shared" si="19"/>
        <v>8.072E-2</v>
      </c>
      <c r="L48" s="22"/>
      <c r="M48" s="22"/>
      <c r="N48" s="22"/>
      <c r="O48" s="22"/>
      <c r="P48" s="153"/>
      <c r="Q48" s="153"/>
      <c r="R48" s="153"/>
      <c r="S48" s="153"/>
    </row>
    <row r="49" spans="2:19" x14ac:dyDescent="0.2">
      <c r="B49" s="143">
        <f t="shared" ref="B49:B56" si="20">B48+1</f>
        <v>30</v>
      </c>
      <c r="C49" s="4" t="s">
        <v>121</v>
      </c>
      <c r="E49" s="152">
        <f>E37</f>
        <v>0.38869999999999999</v>
      </c>
      <c r="F49" s="152">
        <f t="shared" ref="F49:K49" si="21">F37</f>
        <v>0.38869999999999999</v>
      </c>
      <c r="G49" s="152">
        <f t="shared" si="21"/>
        <v>0.38869999999999999</v>
      </c>
      <c r="H49" s="152">
        <f t="shared" si="21"/>
        <v>0.38869999999999999</v>
      </c>
      <c r="I49" s="152">
        <f t="shared" si="21"/>
        <v>0.38869999999999999</v>
      </c>
      <c r="J49" s="152">
        <f t="shared" si="21"/>
        <v>0.38869999999999999</v>
      </c>
      <c r="K49" s="152">
        <f t="shared" si="21"/>
        <v>0.38869999999999999</v>
      </c>
      <c r="L49" s="22"/>
      <c r="M49" s="22"/>
      <c r="N49" s="22"/>
      <c r="O49" s="22"/>
      <c r="P49" s="153"/>
      <c r="Q49" s="153"/>
      <c r="R49" s="153"/>
      <c r="S49" s="153"/>
    </row>
    <row r="50" spans="2:19" x14ac:dyDescent="0.2">
      <c r="B50" s="143">
        <f t="shared" si="20"/>
        <v>31</v>
      </c>
      <c r="C50" s="4" t="s">
        <v>35</v>
      </c>
      <c r="E50" s="16">
        <f>SUM(E48:E49)</f>
        <v>0.53022000000000002</v>
      </c>
      <c r="F50" s="16">
        <f t="shared" ref="F50:K50" si="22">SUM(F48:F49)</f>
        <v>0.53022000000000002</v>
      </c>
      <c r="G50" s="16">
        <f t="shared" si="22"/>
        <v>0.52398999999999996</v>
      </c>
      <c r="H50" s="16">
        <f t="shared" si="22"/>
        <v>0.42785000000000001</v>
      </c>
      <c r="I50" s="16">
        <f t="shared" si="22"/>
        <v>0.46731999999999996</v>
      </c>
      <c r="J50" s="16">
        <f t="shared" si="22"/>
        <v>0.47524</v>
      </c>
      <c r="K50" s="16">
        <f t="shared" si="22"/>
        <v>0.46942</v>
      </c>
      <c r="L50" s="22"/>
      <c r="M50" s="22"/>
      <c r="N50" s="22"/>
      <c r="O50" s="22"/>
      <c r="P50" s="153"/>
      <c r="Q50" s="153"/>
      <c r="R50" s="153"/>
      <c r="S50" s="153"/>
    </row>
    <row r="51" spans="2:19" x14ac:dyDescent="0.2">
      <c r="B51" s="143"/>
      <c r="E51" s="152"/>
      <c r="F51" s="152"/>
      <c r="G51" s="152"/>
      <c r="H51" s="152"/>
      <c r="I51" s="152"/>
      <c r="J51" s="152"/>
      <c r="K51" s="152"/>
      <c r="L51" s="22"/>
      <c r="M51" s="22"/>
      <c r="N51" s="22"/>
      <c r="O51" s="22"/>
      <c r="P51" s="153"/>
      <c r="Q51" s="153"/>
      <c r="R51" s="153"/>
      <c r="S51" s="153"/>
    </row>
    <row r="52" spans="2:19" x14ac:dyDescent="0.2">
      <c r="B52" s="143">
        <f>B50+1</f>
        <v>32</v>
      </c>
      <c r="C52" s="4" t="s">
        <v>122</v>
      </c>
      <c r="E52" s="292">
        <f>ROUND(E50*(1+$D$45),5)</f>
        <v>0.55610999999999999</v>
      </c>
      <c r="F52" s="292">
        <f t="shared" ref="F52:K52" si="23">ROUND(F50*(1+$D$45),5)</f>
        <v>0.55610999999999999</v>
      </c>
      <c r="G52" s="292">
        <f t="shared" si="23"/>
        <v>0.54957999999999996</v>
      </c>
      <c r="H52" s="292">
        <f t="shared" si="23"/>
        <v>0.44874000000000003</v>
      </c>
      <c r="I52" s="292">
        <f t="shared" si="23"/>
        <v>0.49014000000000002</v>
      </c>
      <c r="J52" s="292">
        <f t="shared" si="23"/>
        <v>0.49845</v>
      </c>
      <c r="K52" s="292">
        <f t="shared" si="23"/>
        <v>0.49234</v>
      </c>
      <c r="L52" s="22"/>
      <c r="M52" s="22"/>
      <c r="N52" s="22"/>
      <c r="O52" s="22"/>
      <c r="P52" s="153"/>
      <c r="Q52" s="153"/>
      <c r="R52" s="153"/>
      <c r="S52" s="153"/>
    </row>
    <row r="53" spans="2:19" x14ac:dyDescent="0.2">
      <c r="B53" s="143">
        <f t="shared" si="20"/>
        <v>33</v>
      </c>
      <c r="C53" s="4" t="s">
        <v>123</v>
      </c>
      <c r="E53" s="152"/>
      <c r="F53" s="155">
        <f>ROUND(F52*19,2)</f>
        <v>10.57</v>
      </c>
      <c r="G53" s="152"/>
      <c r="H53" s="152"/>
      <c r="I53" s="152"/>
      <c r="J53" s="152"/>
      <c r="K53" s="152"/>
      <c r="L53" s="22"/>
      <c r="M53" s="22"/>
      <c r="N53" s="22"/>
      <c r="O53" s="22"/>
      <c r="P53" s="153"/>
      <c r="Q53" s="153"/>
      <c r="R53" s="153"/>
      <c r="S53" s="153"/>
    </row>
    <row r="54" spans="2:19" x14ac:dyDescent="0.2">
      <c r="B54" s="143">
        <f t="shared" si="20"/>
        <v>34</v>
      </c>
      <c r="C54" s="4" t="s">
        <v>38</v>
      </c>
      <c r="D54" s="156"/>
      <c r="E54" s="412">
        <v>0.61617999999999995</v>
      </c>
      <c r="F54" s="412">
        <v>0.61617999999999995</v>
      </c>
      <c r="G54" s="412">
        <v>0.60804999999999998</v>
      </c>
      <c r="H54" s="412">
        <v>0.50080999999999998</v>
      </c>
      <c r="I54" s="412">
        <v>0.53844999999999998</v>
      </c>
      <c r="J54" s="412">
        <v>0.55086999999999997</v>
      </c>
      <c r="K54" s="412">
        <v>0.54690000000000005</v>
      </c>
      <c r="L54" s="22"/>
      <c r="M54" s="22"/>
      <c r="N54" s="22"/>
      <c r="O54" s="22"/>
      <c r="P54" s="153"/>
      <c r="Q54" s="153"/>
      <c r="R54" s="153"/>
      <c r="S54" s="153"/>
    </row>
    <row r="55" spans="2:19" x14ac:dyDescent="0.2">
      <c r="B55" s="143">
        <f t="shared" si="20"/>
        <v>35</v>
      </c>
      <c r="C55" s="4" t="s">
        <v>124</v>
      </c>
      <c r="E55" s="16">
        <f>E52-E54</f>
        <v>-6.0069999999999957E-2</v>
      </c>
      <c r="F55" s="16">
        <f t="shared" ref="F55:K55" si="24">F52-F54</f>
        <v>-6.0069999999999957E-2</v>
      </c>
      <c r="G55" s="16">
        <f t="shared" si="24"/>
        <v>-5.8470000000000022E-2</v>
      </c>
      <c r="H55" s="16">
        <f t="shared" si="24"/>
        <v>-5.206999999999995E-2</v>
      </c>
      <c r="I55" s="16">
        <f t="shared" si="24"/>
        <v>-4.8309999999999964E-2</v>
      </c>
      <c r="J55" s="16">
        <f t="shared" si="24"/>
        <v>-5.2419999999999967E-2</v>
      </c>
      <c r="K55" s="16">
        <f t="shared" si="24"/>
        <v>-5.4560000000000053E-2</v>
      </c>
      <c r="L55" s="22"/>
      <c r="M55" s="22"/>
      <c r="N55" s="22"/>
      <c r="O55" s="22"/>
      <c r="P55" s="153"/>
      <c r="Q55" s="153"/>
      <c r="R55" s="153"/>
      <c r="S55" s="153"/>
    </row>
    <row r="56" spans="2:19" x14ac:dyDescent="0.2">
      <c r="B56" s="143">
        <f t="shared" si="20"/>
        <v>36</v>
      </c>
      <c r="C56" s="4" t="s">
        <v>25</v>
      </c>
      <c r="E56" s="7">
        <f>E55/E54</f>
        <v>-9.7487747086890134E-2</v>
      </c>
      <c r="F56" s="7">
        <f t="shared" ref="F56:K56" si="25">F55/F54</f>
        <v>-9.7487747086890134E-2</v>
      </c>
      <c r="G56" s="7">
        <f t="shared" si="25"/>
        <v>-9.6159855275059658E-2</v>
      </c>
      <c r="H56" s="7">
        <f t="shared" si="25"/>
        <v>-0.10397156606297787</v>
      </c>
      <c r="I56" s="7">
        <f t="shared" si="25"/>
        <v>-8.9720494010585877E-2</v>
      </c>
      <c r="J56" s="7">
        <f t="shared" si="25"/>
        <v>-9.5158567357089635E-2</v>
      </c>
      <c r="K56" s="7">
        <f t="shared" si="25"/>
        <v>-9.9762296580727827E-2</v>
      </c>
      <c r="L56" s="22"/>
      <c r="M56" s="22"/>
      <c r="N56" s="22"/>
      <c r="O56" s="22"/>
      <c r="P56" s="153"/>
      <c r="Q56" s="153"/>
      <c r="R56" s="153"/>
      <c r="S56" s="153"/>
    </row>
    <row r="57" spans="2:19" x14ac:dyDescent="0.2">
      <c r="L57" s="157"/>
      <c r="M57" s="157"/>
      <c r="N57" s="157"/>
      <c r="P57" s="153"/>
    </row>
    <row r="58" spans="2:19" x14ac:dyDescent="0.2">
      <c r="C58" s="4" t="s">
        <v>331</v>
      </c>
      <c r="E58" s="152"/>
      <c r="L58" s="22"/>
      <c r="M58" s="22"/>
      <c r="N58" s="22"/>
      <c r="O58" s="22"/>
    </row>
    <row r="59" spans="2:19" x14ac:dyDescent="0.2">
      <c r="C59" s="4" t="s">
        <v>81</v>
      </c>
      <c r="E59" s="152"/>
      <c r="L59" s="22"/>
      <c r="M59" s="22"/>
      <c r="N59" s="22"/>
      <c r="O59" s="22"/>
    </row>
    <row r="60" spans="2:19" x14ac:dyDescent="0.2">
      <c r="E60" s="152"/>
      <c r="L60" s="22"/>
      <c r="M60" s="22"/>
      <c r="N60" s="22"/>
      <c r="O60" s="22"/>
    </row>
    <row r="61" spans="2:19" x14ac:dyDescent="0.2">
      <c r="E61" s="152"/>
      <c r="L61" s="22"/>
      <c r="M61" s="22"/>
      <c r="N61" s="22"/>
      <c r="O61" s="22"/>
    </row>
    <row r="62" spans="2:19" x14ac:dyDescent="0.2">
      <c r="D62" s="9"/>
      <c r="E62" s="152"/>
      <c r="F62" s="9"/>
      <c r="G62" s="9"/>
      <c r="H62" s="9"/>
      <c r="I62" s="9"/>
      <c r="J62" s="9"/>
      <c r="K62" s="9"/>
      <c r="L62" s="22"/>
      <c r="M62" s="22"/>
      <c r="N62" s="22"/>
      <c r="O62" s="22"/>
    </row>
    <row r="63" spans="2:19" x14ac:dyDescent="0.2">
      <c r="D63" s="30"/>
      <c r="L63" s="22"/>
      <c r="M63" s="22"/>
      <c r="N63" s="22"/>
      <c r="O63" s="22"/>
    </row>
    <row r="64" spans="2:19" x14ac:dyDescent="0.2">
      <c r="E64" s="152"/>
      <c r="F64" s="152"/>
      <c r="G64" s="152"/>
      <c r="H64" s="152"/>
      <c r="I64" s="152"/>
      <c r="J64" s="152"/>
      <c r="K64" s="152"/>
      <c r="L64" s="22"/>
      <c r="M64" s="22"/>
      <c r="N64" s="22"/>
      <c r="O64" s="22"/>
    </row>
    <row r="65" spans="12:15" x14ac:dyDescent="0.2">
      <c r="L65" s="22"/>
      <c r="M65" s="22"/>
      <c r="N65" s="22"/>
      <c r="O65" s="22"/>
    </row>
    <row r="66" spans="12:15" x14ac:dyDescent="0.2">
      <c r="L66" s="22"/>
      <c r="M66" s="22"/>
      <c r="N66" s="22"/>
      <c r="O66" s="22"/>
    </row>
    <row r="67" spans="12:15" x14ac:dyDescent="0.2">
      <c r="L67" s="22"/>
      <c r="M67" s="22"/>
      <c r="N67" s="22"/>
      <c r="O67" s="22"/>
    </row>
    <row r="68" spans="12:15" x14ac:dyDescent="0.2">
      <c r="L68" s="22"/>
      <c r="M68" s="22"/>
      <c r="N68" s="22"/>
      <c r="O68" s="22"/>
    </row>
  </sheetData>
  <phoneticPr fontId="13" type="noConversion"/>
  <printOptions horizontalCentered="1"/>
  <pageMargins left="0.5" right="0.5" top="1" bottom="0.6" header="0.5" footer="0.3"/>
  <pageSetup scale="75" orientation="landscape" blackAndWhite="1" r:id="rId1"/>
  <headerFooter alignWithMargins="0">
    <oddFooter>&amp;CPage# &amp;P of &amp;N&amp;R&amp;F
&amp;A</oddFooter>
  </headerFooter>
  <customProperties>
    <customPr name="_pios_id" r:id="rId2"/>
    <customPr name="EpmWorksheetKeyString_GUID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7"/>
  <sheetViews>
    <sheetView zoomScale="90" zoomScaleNormal="90" workbookViewId="0">
      <pane xSplit="3" ySplit="9" topLeftCell="D10" activePane="bottomRight" state="frozenSplit"/>
      <selection activeCell="Q37" sqref="Q37"/>
      <selection pane="topRight" activeCell="Q37" sqref="Q37"/>
      <selection pane="bottomLeft" activeCell="Q37" sqref="Q37"/>
      <selection pane="bottomRight" activeCell="U15" sqref="U15"/>
    </sheetView>
  </sheetViews>
  <sheetFormatPr defaultRowHeight="15" x14ac:dyDescent="0.25"/>
  <cols>
    <col min="1" max="1" width="2.85546875" style="293" customWidth="1"/>
    <col min="2" max="2" width="37.5703125" style="293" customWidth="1"/>
    <col min="3" max="3" width="8.42578125" style="293" bestFit="1" customWidth="1"/>
    <col min="4" max="4" width="15" style="293" bestFit="1" customWidth="1"/>
    <col min="5" max="5" width="14.5703125" style="293" bestFit="1" customWidth="1"/>
    <col min="6" max="6" width="10.5703125" style="293" bestFit="1" customWidth="1"/>
    <col min="7" max="7" width="15" style="293" customWidth="1"/>
    <col min="8" max="9" width="14.5703125" style="293" bestFit="1" customWidth="1"/>
    <col min="10" max="10" width="13.28515625" style="293" bestFit="1" customWidth="1"/>
    <col min="11" max="11" width="13.28515625" style="293" customWidth="1"/>
    <col min="12" max="12" width="13.28515625" style="293" bestFit="1" customWidth="1"/>
    <col min="13" max="13" width="12.140625" style="293" bestFit="1" customWidth="1"/>
    <col min="14" max="14" width="13.28515625" style="293" bestFit="1" customWidth="1"/>
    <col min="15" max="15" width="14" style="293" bestFit="1" customWidth="1"/>
    <col min="16" max="17" width="14" style="293" customWidth="1"/>
    <col min="18" max="18" width="12.85546875" style="293" bestFit="1" customWidth="1"/>
    <col min="19" max="19" width="13.28515625" style="293" bestFit="1" customWidth="1"/>
    <col min="20" max="20" width="16.140625" style="293" bestFit="1" customWidth="1"/>
    <col min="21" max="21" width="16.42578125" style="293" bestFit="1" customWidth="1"/>
    <col min="22" max="22" width="9.85546875" style="293" bestFit="1" customWidth="1"/>
    <col min="23" max="23" width="16.42578125" style="293" bestFit="1" customWidth="1"/>
    <col min="24" max="24" width="11.28515625" style="293" bestFit="1" customWidth="1"/>
    <col min="25" max="25" width="16.42578125" style="293" bestFit="1" customWidth="1"/>
    <col min="26" max="26" width="9.85546875" style="293" bestFit="1" customWidth="1"/>
    <col min="27" max="16384" width="9.140625" style="293"/>
  </cols>
  <sheetData>
    <row r="1" spans="2:26" x14ac:dyDescent="0.25">
      <c r="B1" s="511" t="s">
        <v>13</v>
      </c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</row>
    <row r="2" spans="2:26" x14ac:dyDescent="0.25">
      <c r="B2" s="511" t="s">
        <v>279</v>
      </c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1"/>
      <c r="R2" s="511"/>
      <c r="S2" s="511"/>
      <c r="T2" s="511"/>
      <c r="U2" s="511"/>
      <c r="V2" s="511"/>
      <c r="W2" s="511"/>
      <c r="X2" s="511"/>
      <c r="Y2" s="511"/>
      <c r="Z2" s="511"/>
    </row>
    <row r="3" spans="2:26" x14ac:dyDescent="0.25">
      <c r="B3" s="512" t="s">
        <v>127</v>
      </c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</row>
    <row r="4" spans="2:26" x14ac:dyDescent="0.25">
      <c r="B4" s="512" t="s">
        <v>320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</row>
    <row r="5" spans="2:26" x14ac:dyDescent="0.25">
      <c r="F5" s="294"/>
      <c r="O5" s="294"/>
      <c r="P5" s="294"/>
      <c r="Q5" s="294"/>
    </row>
    <row r="6" spans="2:26" x14ac:dyDescent="0.25">
      <c r="F6" s="294"/>
      <c r="G6" s="295" t="s">
        <v>73</v>
      </c>
      <c r="O6" s="294"/>
      <c r="P6" s="294"/>
      <c r="Q6" s="294"/>
    </row>
    <row r="7" spans="2:26" x14ac:dyDescent="0.25">
      <c r="B7" s="295"/>
      <c r="C7" s="295"/>
      <c r="D7" s="295" t="s">
        <v>280</v>
      </c>
      <c r="E7" s="295" t="str">
        <f>D7</f>
        <v>UG-220067</v>
      </c>
      <c r="F7" s="295" t="s">
        <v>281</v>
      </c>
      <c r="G7" s="295" t="s">
        <v>201</v>
      </c>
      <c r="H7" s="294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6" t="s">
        <v>282</v>
      </c>
      <c r="U7" s="296" t="s">
        <v>283</v>
      </c>
      <c r="V7" s="295" t="str">
        <f>U7</f>
        <v>Sch. 101</v>
      </c>
      <c r="W7" s="296" t="s">
        <v>284</v>
      </c>
      <c r="X7" s="295" t="str">
        <f>W7</f>
        <v>Sch. 106</v>
      </c>
      <c r="Y7" s="297" t="s">
        <v>11</v>
      </c>
      <c r="Z7" s="295" t="s">
        <v>11</v>
      </c>
    </row>
    <row r="8" spans="2:26" x14ac:dyDescent="0.25">
      <c r="B8" s="295"/>
      <c r="C8" s="295" t="s">
        <v>0</v>
      </c>
      <c r="D8" s="295" t="s">
        <v>48</v>
      </c>
      <c r="E8" s="295" t="s">
        <v>285</v>
      </c>
      <c r="F8" s="295" t="s">
        <v>0</v>
      </c>
      <c r="G8" s="296" t="s">
        <v>286</v>
      </c>
      <c r="H8" s="294" t="s">
        <v>285</v>
      </c>
      <c r="I8" s="295" t="s">
        <v>283</v>
      </c>
      <c r="J8" s="295" t="s">
        <v>284</v>
      </c>
      <c r="K8" s="295" t="s">
        <v>287</v>
      </c>
      <c r="L8" s="295" t="s">
        <v>288</v>
      </c>
      <c r="M8" s="295" t="s">
        <v>289</v>
      </c>
      <c r="N8" s="295" t="s">
        <v>290</v>
      </c>
      <c r="O8" s="295" t="s">
        <v>291</v>
      </c>
      <c r="P8" s="295" t="s">
        <v>292</v>
      </c>
      <c r="Q8" s="295" t="s">
        <v>293</v>
      </c>
      <c r="R8" s="295" t="s">
        <v>294</v>
      </c>
      <c r="S8" s="295" t="s">
        <v>295</v>
      </c>
      <c r="T8" s="295" t="s">
        <v>88</v>
      </c>
      <c r="U8" s="295" t="s">
        <v>296</v>
      </c>
      <c r="V8" s="295" t="s">
        <v>296</v>
      </c>
      <c r="W8" s="295" t="s">
        <v>297</v>
      </c>
      <c r="X8" s="295" t="s">
        <v>297</v>
      </c>
      <c r="Y8" s="295" t="s">
        <v>296</v>
      </c>
      <c r="Z8" s="295" t="s">
        <v>296</v>
      </c>
    </row>
    <row r="9" spans="2:26" ht="17.25" x14ac:dyDescent="0.25">
      <c r="B9" s="298" t="s">
        <v>49</v>
      </c>
      <c r="C9" s="298" t="s">
        <v>12</v>
      </c>
      <c r="D9" s="298" t="s">
        <v>321</v>
      </c>
      <c r="E9" s="298" t="s">
        <v>322</v>
      </c>
      <c r="F9" s="298" t="s">
        <v>89</v>
      </c>
      <c r="G9" s="299" t="s">
        <v>298</v>
      </c>
      <c r="H9" s="298" t="s">
        <v>27</v>
      </c>
      <c r="I9" s="298" t="s">
        <v>27</v>
      </c>
      <c r="J9" s="298" t="s">
        <v>27</v>
      </c>
      <c r="K9" s="298" t="s">
        <v>27</v>
      </c>
      <c r="L9" s="298" t="s">
        <v>27</v>
      </c>
      <c r="M9" s="298" t="s">
        <v>27</v>
      </c>
      <c r="N9" s="298" t="s">
        <v>27</v>
      </c>
      <c r="O9" s="298" t="s">
        <v>27</v>
      </c>
      <c r="P9" s="298" t="s">
        <v>27</v>
      </c>
      <c r="Q9" s="298" t="s">
        <v>27</v>
      </c>
      <c r="R9" s="298" t="s">
        <v>27</v>
      </c>
      <c r="S9" s="298" t="s">
        <v>27</v>
      </c>
      <c r="T9" s="300" t="s">
        <v>323</v>
      </c>
      <c r="U9" s="298" t="s">
        <v>299</v>
      </c>
      <c r="V9" s="298" t="s">
        <v>300</v>
      </c>
      <c r="W9" s="298" t="s">
        <v>299</v>
      </c>
      <c r="X9" s="298" t="s">
        <v>300</v>
      </c>
      <c r="Y9" s="298" t="s">
        <v>299</v>
      </c>
      <c r="Z9" s="298" t="s">
        <v>300</v>
      </c>
    </row>
    <row r="10" spans="2:26" x14ac:dyDescent="0.25">
      <c r="B10" s="295" t="s">
        <v>50</v>
      </c>
      <c r="C10" s="295" t="s">
        <v>51</v>
      </c>
      <c r="D10" s="301" t="s">
        <v>52</v>
      </c>
      <c r="E10" s="302" t="s">
        <v>90</v>
      </c>
      <c r="F10" s="295" t="s">
        <v>128</v>
      </c>
      <c r="G10" s="295" t="s">
        <v>91</v>
      </c>
      <c r="H10" s="295" t="s">
        <v>129</v>
      </c>
      <c r="I10" s="295" t="s">
        <v>53</v>
      </c>
      <c r="J10" s="295" t="s">
        <v>92</v>
      </c>
      <c r="K10" s="295" t="s">
        <v>93</v>
      </c>
      <c r="L10" s="295" t="s">
        <v>94</v>
      </c>
      <c r="M10" s="302" t="s">
        <v>95</v>
      </c>
      <c r="N10" s="302" t="s">
        <v>96</v>
      </c>
      <c r="O10" s="302" t="s">
        <v>97</v>
      </c>
      <c r="P10" s="302" t="s">
        <v>98</v>
      </c>
      <c r="Q10" s="302" t="s">
        <v>99</v>
      </c>
      <c r="R10" s="302" t="s">
        <v>100</v>
      </c>
      <c r="S10" s="302" t="s">
        <v>301</v>
      </c>
      <c r="T10" s="303" t="s">
        <v>302</v>
      </c>
      <c r="U10" s="295" t="s">
        <v>130</v>
      </c>
      <c r="V10" s="295" t="s">
        <v>303</v>
      </c>
      <c r="W10" s="295" t="s">
        <v>304</v>
      </c>
      <c r="X10" s="295" t="s">
        <v>305</v>
      </c>
      <c r="Y10" s="295" t="s">
        <v>306</v>
      </c>
      <c r="Z10" s="295" t="s">
        <v>307</v>
      </c>
    </row>
    <row r="11" spans="2:26" x14ac:dyDescent="0.25">
      <c r="B11" s="293" t="s">
        <v>16</v>
      </c>
      <c r="C11" s="294" t="s">
        <v>101</v>
      </c>
      <c r="D11" s="413">
        <v>620836684.05687141</v>
      </c>
      <c r="E11" s="310">
        <v>403613457.09474093</v>
      </c>
      <c r="F11" s="305">
        <f t="shared" ref="F11:F16" si="0">(E11)/D11</f>
        <v>0.6501121268436002</v>
      </c>
      <c r="G11" s="413">
        <v>558669681</v>
      </c>
      <c r="H11" s="306">
        <f>F11*G11</f>
        <v>363197934.51794565</v>
      </c>
      <c r="I11" s="304">
        <f>'Sch. 101'!G10</f>
        <v>385588227.13</v>
      </c>
      <c r="J11" s="310">
        <v>22547908.329999998</v>
      </c>
      <c r="K11" s="310">
        <v>18618472.394449353</v>
      </c>
      <c r="L11" s="310">
        <v>16061753.328750001</v>
      </c>
      <c r="M11" s="310">
        <v>1765396.19196</v>
      </c>
      <c r="N11" s="310">
        <v>12765602.210849999</v>
      </c>
      <c r="O11" s="310">
        <v>1821263.1600599999</v>
      </c>
      <c r="P11" s="310">
        <v>-949738.45769999991</v>
      </c>
      <c r="Q11" s="310">
        <v>27179279.98065</v>
      </c>
      <c r="R11" s="310">
        <v>-765377.46296999999</v>
      </c>
      <c r="S11" s="310">
        <v>2592227.3199999998</v>
      </c>
      <c r="T11" s="307">
        <f t="shared" ref="T11:T23" si="1">SUM(H11:S11)</f>
        <v>850422948.64399505</v>
      </c>
      <c r="U11" s="304">
        <f>'Sch. 101'!I10</f>
        <v>-74906430.829999983</v>
      </c>
      <c r="V11" s="308">
        <f>U11/T11</f>
        <v>-8.8081384620956868E-2</v>
      </c>
      <c r="W11" s="310">
        <v>-135248343.07999998</v>
      </c>
      <c r="X11" s="308">
        <f>W11/T11</f>
        <v>-0.1590365632720217</v>
      </c>
      <c r="Y11" s="309">
        <f>U11+W11</f>
        <v>-210154773.90999997</v>
      </c>
      <c r="Z11" s="308">
        <f>Y11/T11</f>
        <v>-0.24711794789297858</v>
      </c>
    </row>
    <row r="12" spans="2:26" x14ac:dyDescent="0.25">
      <c r="B12" s="293" t="s">
        <v>102</v>
      </c>
      <c r="C12" s="294">
        <v>16</v>
      </c>
      <c r="D12" s="413">
        <v>8190.2669999999998</v>
      </c>
      <c r="E12" s="310">
        <v>5233.1499999999996</v>
      </c>
      <c r="F12" s="305">
        <f t="shared" si="0"/>
        <v>0.63894742381414427</v>
      </c>
      <c r="G12" s="413">
        <v>6996</v>
      </c>
      <c r="H12" s="306">
        <f t="shared" ref="H12:H23" si="2">F12*G12</f>
        <v>4470.0761770037534</v>
      </c>
      <c r="I12" s="304">
        <f>'Sch. 101'!G13</f>
        <v>4310.8</v>
      </c>
      <c r="J12" s="310">
        <v>282.36</v>
      </c>
      <c r="K12" s="310">
        <v>299.14527789473709</v>
      </c>
      <c r="L12" s="310">
        <v>201.13500000000002</v>
      </c>
      <c r="M12" s="310"/>
      <c r="N12" s="310">
        <v>159.8586</v>
      </c>
      <c r="O12" s="310">
        <v>22.80696</v>
      </c>
      <c r="P12" s="310">
        <v>-11.8932</v>
      </c>
      <c r="Q12" s="310">
        <v>340.35539999999997</v>
      </c>
      <c r="R12" s="310">
        <v>-9.5845199999999995</v>
      </c>
      <c r="S12" s="310"/>
      <c r="T12" s="307">
        <f t="shared" si="1"/>
        <v>10065.059694898489</v>
      </c>
      <c r="U12" s="304">
        <f>'Sch. 101'!I13</f>
        <v>-420.25</v>
      </c>
      <c r="V12" s="308">
        <f t="shared" ref="V12:V23" si="3">U12/T12</f>
        <v>-4.1753353953082384E-2</v>
      </c>
      <c r="W12" s="310">
        <v>-1693.6599999999999</v>
      </c>
      <c r="X12" s="308">
        <f t="shared" ref="X12:X23" si="4">W12/T12</f>
        <v>-0.16827123249536585</v>
      </c>
      <c r="Y12" s="309">
        <f t="shared" ref="Y12:Y23" si="5">U12+W12</f>
        <v>-2113.91</v>
      </c>
      <c r="Z12" s="308">
        <f t="shared" ref="Z12:Z23" si="6">Y12/T12</f>
        <v>-0.21002458644844824</v>
      </c>
    </row>
    <row r="13" spans="2:26" x14ac:dyDescent="0.25">
      <c r="B13" s="293" t="s">
        <v>24</v>
      </c>
      <c r="C13" s="294">
        <v>31</v>
      </c>
      <c r="D13" s="413">
        <v>222166912.14539161</v>
      </c>
      <c r="E13" s="310">
        <v>122121000.06</v>
      </c>
      <c r="F13" s="305">
        <f t="shared" si="0"/>
        <v>0.54968131339054194</v>
      </c>
      <c r="G13" s="413">
        <v>231772233</v>
      </c>
      <c r="H13" s="306">
        <f t="shared" si="2"/>
        <v>127400865.44289871</v>
      </c>
      <c r="I13" s="304">
        <f>'Sch. 101'!G16</f>
        <v>140929106.28</v>
      </c>
      <c r="J13" s="310">
        <v>9352009.5999999996</v>
      </c>
      <c r="K13" s="310">
        <v>6905260.5375939459</v>
      </c>
      <c r="L13" s="310">
        <v>6663451.6987500004</v>
      </c>
      <c r="M13" s="310">
        <v>618831.86210999999</v>
      </c>
      <c r="N13" s="310">
        <v>5824436.2152899997</v>
      </c>
      <c r="O13" s="310">
        <v>697634.42133000004</v>
      </c>
      <c r="P13" s="310">
        <v>-363882.40581000003</v>
      </c>
      <c r="Q13" s="310">
        <v>10408890.984029999</v>
      </c>
      <c r="R13" s="310">
        <v>-340705.18251000001</v>
      </c>
      <c r="S13" s="310">
        <v>-4127863.47</v>
      </c>
      <c r="T13" s="307">
        <f t="shared" si="1"/>
        <v>303968035.98368269</v>
      </c>
      <c r="U13" s="304">
        <f>'Sch. 101'!I16</f>
        <v>-13551722.469999999</v>
      </c>
      <c r="V13" s="308">
        <f t="shared" si="3"/>
        <v>-4.4582722081763455E-2</v>
      </c>
      <c r="W13" s="310">
        <v>-55752810.649999999</v>
      </c>
      <c r="X13" s="308">
        <f t="shared" si="4"/>
        <v>-0.18341668876326478</v>
      </c>
      <c r="Y13" s="309">
        <f t="shared" si="5"/>
        <v>-69304533.120000005</v>
      </c>
      <c r="Z13" s="308">
        <f t="shared" si="6"/>
        <v>-0.22799941084502826</v>
      </c>
    </row>
    <row r="14" spans="2:26" x14ac:dyDescent="0.25">
      <c r="B14" s="293" t="s">
        <v>18</v>
      </c>
      <c r="C14" s="294">
        <v>41</v>
      </c>
      <c r="D14" s="413">
        <v>62517991.156948164</v>
      </c>
      <c r="E14" s="310">
        <v>17786398.291046247</v>
      </c>
      <c r="F14" s="305">
        <f t="shared" si="0"/>
        <v>0.28450047677306872</v>
      </c>
      <c r="G14" s="413">
        <v>62094943</v>
      </c>
      <c r="H14" s="306">
        <f t="shared" si="2"/>
        <v>17666040.888696525</v>
      </c>
      <c r="I14" s="304">
        <f>'Sch. 101'!G21</f>
        <v>36299716.199999996</v>
      </c>
      <c r="J14" s="310">
        <v>2501184.2999999998</v>
      </c>
      <c r="K14" s="310">
        <v>1678870.9278105255</v>
      </c>
      <c r="L14" s="310">
        <v>1785229.6112500001</v>
      </c>
      <c r="M14" s="310">
        <v>80102.476469999994</v>
      </c>
      <c r="N14" s="310">
        <v>623433.22771999997</v>
      </c>
      <c r="O14" s="310">
        <v>140955.52061000001</v>
      </c>
      <c r="P14" s="310">
        <v>-46571.207249999999</v>
      </c>
      <c r="Q14" s="310">
        <v>1333178.4262099999</v>
      </c>
      <c r="R14" s="310">
        <v>-34773.168079999996</v>
      </c>
      <c r="S14" s="310">
        <v>-2213449.0699999998</v>
      </c>
      <c r="T14" s="307">
        <f t="shared" si="1"/>
        <v>59813918.133437045</v>
      </c>
      <c r="U14" s="304">
        <f>'Sch. 101'!I21</f>
        <v>-3233283.6799999997</v>
      </c>
      <c r="V14" s="308">
        <f t="shared" si="3"/>
        <v>-5.4055707783378544E-2</v>
      </c>
      <c r="W14" s="310">
        <v>-14685454.02</v>
      </c>
      <c r="X14" s="308">
        <f t="shared" si="4"/>
        <v>-0.24551901093051065</v>
      </c>
      <c r="Y14" s="309">
        <f t="shared" si="5"/>
        <v>-17918737.699999999</v>
      </c>
      <c r="Z14" s="308">
        <f t="shared" si="6"/>
        <v>-0.29957471871388919</v>
      </c>
    </row>
    <row r="15" spans="2:26" x14ac:dyDescent="0.25">
      <c r="B15" s="293" t="s">
        <v>56</v>
      </c>
      <c r="C15" s="294">
        <v>85</v>
      </c>
      <c r="D15" s="413">
        <v>19992939.502740219</v>
      </c>
      <c r="E15" s="310">
        <v>2272313.06</v>
      </c>
      <c r="F15" s="305">
        <f t="shared" si="0"/>
        <v>0.11365577631486147</v>
      </c>
      <c r="G15" s="413">
        <v>17262378</v>
      </c>
      <c r="H15" s="306">
        <f t="shared" si="2"/>
        <v>1961968.9726305858</v>
      </c>
      <c r="I15" s="304">
        <f>'Sch. 101'!G26</f>
        <v>9433565.2300000004</v>
      </c>
      <c r="J15" s="310">
        <v>694292.84</v>
      </c>
      <c r="K15" s="310">
        <v>1264301.4497745382</v>
      </c>
      <c r="L15" s="310">
        <v>446059.84751999995</v>
      </c>
      <c r="M15" s="310">
        <v>10632.452929682517</v>
      </c>
      <c r="N15" s="310">
        <v>91317.979620000013</v>
      </c>
      <c r="O15" s="310">
        <v>31762.775519999999</v>
      </c>
      <c r="P15" s="310">
        <v>-7768.0700999999999</v>
      </c>
      <c r="Q15" s="310">
        <v>220440.56706</v>
      </c>
      <c r="R15" s="310">
        <v>-4660.8420599999999</v>
      </c>
      <c r="S15" s="310"/>
      <c r="T15" s="307">
        <f t="shared" si="1"/>
        <v>14141913.202894807</v>
      </c>
      <c r="U15" s="304">
        <f>'Sch. 101'!I26</f>
        <v>-833945.48000000045</v>
      </c>
      <c r="V15" s="308">
        <f t="shared" si="3"/>
        <v>-5.8969777853628343E-2</v>
      </c>
      <c r="W15" s="310">
        <v>-3944280.75</v>
      </c>
      <c r="X15" s="308">
        <f t="shared" si="4"/>
        <v>-0.27890715304295727</v>
      </c>
      <c r="Y15" s="309">
        <f t="shared" si="5"/>
        <v>-4778226.2300000004</v>
      </c>
      <c r="Z15" s="308">
        <f t="shared" si="6"/>
        <v>-0.3378769308965856</v>
      </c>
    </row>
    <row r="16" spans="2:26" x14ac:dyDescent="0.25">
      <c r="B16" s="293" t="s">
        <v>64</v>
      </c>
      <c r="C16" s="294">
        <v>86</v>
      </c>
      <c r="D16" s="413">
        <v>5773170.4876905456</v>
      </c>
      <c r="E16" s="310">
        <v>1192875.52</v>
      </c>
      <c r="F16" s="305">
        <f t="shared" si="0"/>
        <v>0.20662398980654192</v>
      </c>
      <c r="G16" s="413">
        <v>4915802</v>
      </c>
      <c r="H16" s="306">
        <f t="shared" si="2"/>
        <v>1015722.6223389785</v>
      </c>
      <c r="I16" s="304">
        <f>'Sch. 101'!G31</f>
        <v>2743827.45</v>
      </c>
      <c r="J16" s="310">
        <v>197861.03</v>
      </c>
      <c r="K16" s="310">
        <v>172083.67993999983</v>
      </c>
      <c r="L16" s="310">
        <v>127024.32367999999</v>
      </c>
      <c r="M16" s="310">
        <v>5505.6982399999997</v>
      </c>
      <c r="N16" s="310">
        <v>33083.347459999997</v>
      </c>
      <c r="O16" s="310">
        <v>2408.74298</v>
      </c>
      <c r="P16" s="310">
        <v>-1769.6887200000001</v>
      </c>
      <c r="Q16" s="310">
        <v>51173.498820000001</v>
      </c>
      <c r="R16" s="310">
        <v>-1622.2146600000001</v>
      </c>
      <c r="S16" s="310">
        <v>-130515.55</v>
      </c>
      <c r="T16" s="307">
        <f t="shared" si="1"/>
        <v>4214782.9400789784</v>
      </c>
      <c r="U16" s="304">
        <f>'Sch. 101'!I31</f>
        <v>-257686.34000000032</v>
      </c>
      <c r="V16" s="308">
        <f t="shared" si="3"/>
        <v>-6.1138697689416877E-2</v>
      </c>
      <c r="W16" s="310">
        <v>-1131961.73</v>
      </c>
      <c r="X16" s="308">
        <f t="shared" si="4"/>
        <v>-0.26856940110391281</v>
      </c>
      <c r="Y16" s="309">
        <f t="shared" si="5"/>
        <v>-1389648.0700000003</v>
      </c>
      <c r="Z16" s="308">
        <f t="shared" si="6"/>
        <v>-0.32970809879332968</v>
      </c>
    </row>
    <row r="17" spans="2:26" x14ac:dyDescent="0.25">
      <c r="B17" s="293" t="s">
        <v>103</v>
      </c>
      <c r="C17" s="294">
        <v>87</v>
      </c>
      <c r="D17" s="413">
        <v>21819455.762355208</v>
      </c>
      <c r="E17" s="310">
        <v>1509849.77</v>
      </c>
      <c r="F17" s="305">
        <f>(E17)/D17</f>
        <v>6.9197407416775353E-2</v>
      </c>
      <c r="G17" s="413">
        <v>20838410</v>
      </c>
      <c r="H17" s="306">
        <f t="shared" si="2"/>
        <v>1441963.9466878057</v>
      </c>
      <c r="I17" s="304">
        <f>'Sch. 101'!G36</f>
        <v>11396526.43</v>
      </c>
      <c r="J17" s="310">
        <v>838120.85</v>
      </c>
      <c r="K17" s="310">
        <v>255924.1808792213</v>
      </c>
      <c r="L17" s="310">
        <v>538464.51439999999</v>
      </c>
      <c r="M17" s="310">
        <v>5693.2632755742006</v>
      </c>
      <c r="N17" s="310">
        <v>78560.805699999997</v>
      </c>
      <c r="O17" s="310">
        <v>16644.756359352024</v>
      </c>
      <c r="P17" s="310">
        <v>-4321.7868064121949</v>
      </c>
      <c r="Q17" s="310">
        <v>125409.71587828953</v>
      </c>
      <c r="R17" s="310">
        <v>-2917.3773999999999</v>
      </c>
      <c r="S17" s="310"/>
      <c r="T17" s="307">
        <f t="shared" si="1"/>
        <v>14690069.298973832</v>
      </c>
      <c r="U17" s="304">
        <f>'Sch. 101'!I36</f>
        <v>-1136943.6500000004</v>
      </c>
      <c r="V17" s="308">
        <f t="shared" si="3"/>
        <v>-7.7395390509112233E-2</v>
      </c>
      <c r="W17" s="310">
        <v>-4733028.0599999996</v>
      </c>
      <c r="X17" s="308">
        <f t="shared" si="4"/>
        <v>-0.32219235754936998</v>
      </c>
      <c r="Y17" s="309">
        <f t="shared" si="5"/>
        <v>-5869971.71</v>
      </c>
      <c r="Z17" s="308">
        <f t="shared" si="6"/>
        <v>-0.39958774805848218</v>
      </c>
    </row>
    <row r="18" spans="2:26" x14ac:dyDescent="0.25">
      <c r="B18" s="293" t="s">
        <v>104</v>
      </c>
      <c r="C18" s="294" t="s">
        <v>105</v>
      </c>
      <c r="D18" s="413">
        <v>36958.529999999992</v>
      </c>
      <c r="E18" s="310">
        <v>23981.98</v>
      </c>
      <c r="F18" s="305">
        <f>(E18)/D18</f>
        <v>0.64888890331947735</v>
      </c>
      <c r="G18" s="413">
        <v>0</v>
      </c>
      <c r="H18" s="306">
        <f t="shared" si="2"/>
        <v>0</v>
      </c>
      <c r="I18" s="310"/>
      <c r="J18" s="310"/>
      <c r="K18" s="310">
        <v>-3473.1245599999997</v>
      </c>
      <c r="L18" s="310"/>
      <c r="M18" s="310">
        <v>0</v>
      </c>
      <c r="N18" s="310">
        <v>0</v>
      </c>
      <c r="O18" s="310">
        <v>0</v>
      </c>
      <c r="P18" s="310">
        <v>0</v>
      </c>
      <c r="Q18" s="310">
        <v>0</v>
      </c>
      <c r="R18" s="310">
        <v>0</v>
      </c>
      <c r="S18" s="310">
        <v>0</v>
      </c>
      <c r="T18" s="307">
        <f t="shared" si="1"/>
        <v>-3473.1245599999997</v>
      </c>
      <c r="U18" s="304"/>
      <c r="V18" s="308">
        <f t="shared" si="3"/>
        <v>0</v>
      </c>
      <c r="W18" s="304"/>
      <c r="X18" s="308">
        <f t="shared" si="4"/>
        <v>0</v>
      </c>
      <c r="Y18" s="309">
        <f t="shared" si="5"/>
        <v>0</v>
      </c>
      <c r="Z18" s="308">
        <f t="shared" si="6"/>
        <v>0</v>
      </c>
    </row>
    <row r="19" spans="2:26" x14ac:dyDescent="0.25">
      <c r="B19" s="293" t="s">
        <v>106</v>
      </c>
      <c r="C19" s="294" t="s">
        <v>62</v>
      </c>
      <c r="D19" s="413">
        <v>19494505.608019032</v>
      </c>
      <c r="E19" s="310">
        <v>4475398.7622919884</v>
      </c>
      <c r="F19" s="305">
        <f t="shared" ref="F19:F24" si="7">(E19)/D19</f>
        <v>0.22957231397810063</v>
      </c>
      <c r="G19" s="413">
        <v>21384289</v>
      </c>
      <c r="H19" s="306">
        <f>F19*G19</f>
        <v>4909240.7085064435</v>
      </c>
      <c r="I19" s="310"/>
      <c r="J19" s="310"/>
      <c r="K19" s="310">
        <v>949419.45432999916</v>
      </c>
      <c r="L19" s="310"/>
      <c r="M19" s="310">
        <v>27585.732809999998</v>
      </c>
      <c r="N19" s="310">
        <v>214698.26156000001</v>
      </c>
      <c r="O19" s="310">
        <v>0</v>
      </c>
      <c r="P19" s="310">
        <v>-16038.21675</v>
      </c>
      <c r="Q19" s="310">
        <v>459120.68482999998</v>
      </c>
      <c r="R19" s="310">
        <v>-11975.20184</v>
      </c>
      <c r="S19" s="310">
        <v>-646481.66999999993</v>
      </c>
      <c r="T19" s="307">
        <f t="shared" si="1"/>
        <v>5885569.7534464421</v>
      </c>
      <c r="U19" s="304"/>
      <c r="V19" s="308">
        <f t="shared" si="3"/>
        <v>0</v>
      </c>
      <c r="W19" s="304"/>
      <c r="X19" s="308">
        <f t="shared" si="4"/>
        <v>0</v>
      </c>
      <c r="Y19" s="309">
        <f t="shared" si="5"/>
        <v>0</v>
      </c>
      <c r="Z19" s="308">
        <f t="shared" si="6"/>
        <v>0</v>
      </c>
    </row>
    <row r="20" spans="2:26" x14ac:dyDescent="0.25">
      <c r="B20" s="293" t="s">
        <v>107</v>
      </c>
      <c r="C20" s="294" t="s">
        <v>63</v>
      </c>
      <c r="D20" s="413">
        <v>68886791.019958794</v>
      </c>
      <c r="E20" s="310">
        <v>7339677.3100000005</v>
      </c>
      <c r="F20" s="305">
        <f t="shared" si="7"/>
        <v>0.1065469475544804</v>
      </c>
      <c r="G20" s="413">
        <v>63341836</v>
      </c>
      <c r="H20" s="306">
        <f t="shared" si="2"/>
        <v>6748879.2782964986</v>
      </c>
      <c r="I20" s="310"/>
      <c r="J20" s="310"/>
      <c r="K20" s="310">
        <v>1629895.5646367241</v>
      </c>
      <c r="L20" s="310"/>
      <c r="M20" s="310">
        <v>37306.194389539523</v>
      </c>
      <c r="N20" s="310">
        <v>335078.31244000001</v>
      </c>
      <c r="O20" s="310">
        <v>0</v>
      </c>
      <c r="P20" s="310">
        <v>-28503.8262</v>
      </c>
      <c r="Q20" s="310">
        <v>808875.24572000001</v>
      </c>
      <c r="R20" s="310">
        <v>-17102.295720000002</v>
      </c>
      <c r="S20" s="310"/>
      <c r="T20" s="307">
        <f t="shared" si="1"/>
        <v>9514428.4735627621</v>
      </c>
      <c r="U20" s="304"/>
      <c r="V20" s="308">
        <f t="shared" si="3"/>
        <v>0</v>
      </c>
      <c r="W20" s="304"/>
      <c r="X20" s="308">
        <f t="shared" si="4"/>
        <v>0</v>
      </c>
      <c r="Y20" s="309">
        <f t="shared" si="5"/>
        <v>0</v>
      </c>
      <c r="Z20" s="308">
        <f t="shared" si="6"/>
        <v>0</v>
      </c>
    </row>
    <row r="21" spans="2:26" x14ac:dyDescent="0.25">
      <c r="B21" s="293" t="s">
        <v>108</v>
      </c>
      <c r="C21" s="294" t="s">
        <v>65</v>
      </c>
      <c r="D21" s="413">
        <v>1718484.3400000003</v>
      </c>
      <c r="E21" s="310">
        <v>367155.5</v>
      </c>
      <c r="F21" s="305">
        <f t="shared" si="7"/>
        <v>0.21365076856039314</v>
      </c>
      <c r="G21" s="413">
        <v>1197109</v>
      </c>
      <c r="H21" s="306">
        <f t="shared" si="2"/>
        <v>255763.25790056368</v>
      </c>
      <c r="I21" s="310"/>
      <c r="J21" s="310"/>
      <c r="K21" s="310">
        <v>-19648.190270000021</v>
      </c>
      <c r="L21" s="310"/>
      <c r="M21" s="310">
        <v>1340.76208</v>
      </c>
      <c r="N21" s="310">
        <v>8056.5435699999998</v>
      </c>
      <c r="O21" s="310">
        <v>0</v>
      </c>
      <c r="P21" s="310">
        <v>-430.95924000000002</v>
      </c>
      <c r="Q21" s="310">
        <v>12461.904690000001</v>
      </c>
      <c r="R21" s="310">
        <v>-395.04597000000001</v>
      </c>
      <c r="S21" s="310">
        <v>-28853</v>
      </c>
      <c r="T21" s="307">
        <f t="shared" si="1"/>
        <v>228295.27276056365</v>
      </c>
      <c r="U21" s="304"/>
      <c r="V21" s="308">
        <f t="shared" si="3"/>
        <v>0</v>
      </c>
      <c r="W21" s="304"/>
      <c r="X21" s="308">
        <f t="shared" si="4"/>
        <v>0</v>
      </c>
      <c r="Y21" s="309">
        <f t="shared" si="5"/>
        <v>0</v>
      </c>
      <c r="Z21" s="308">
        <f t="shared" si="6"/>
        <v>0</v>
      </c>
    </row>
    <row r="22" spans="2:26" x14ac:dyDescent="0.25">
      <c r="B22" s="293" t="s">
        <v>109</v>
      </c>
      <c r="C22" s="294" t="s">
        <v>66</v>
      </c>
      <c r="D22" s="413">
        <v>97500425.645479575</v>
      </c>
      <c r="E22" s="310">
        <v>4790056.76</v>
      </c>
      <c r="F22" s="305">
        <f>(E22)/D22</f>
        <v>4.9128572806616068E-2</v>
      </c>
      <c r="G22" s="413">
        <v>124707675</v>
      </c>
      <c r="H22" s="306">
        <f t="shared" si="2"/>
        <v>6126710.0907813143</v>
      </c>
      <c r="I22" s="304"/>
      <c r="J22" s="310"/>
      <c r="K22" s="310">
        <v>6556973.8070298694</v>
      </c>
      <c r="L22" s="310"/>
      <c r="M22" s="310">
        <v>27666.177388667486</v>
      </c>
      <c r="N22" s="310">
        <v>470147.93475000001</v>
      </c>
      <c r="O22" s="310">
        <v>0</v>
      </c>
      <c r="P22" s="310">
        <v>-18634.247555659411</v>
      </c>
      <c r="Q22" s="310">
        <v>540055.56266420404</v>
      </c>
      <c r="R22" s="310">
        <v>-17459.074499999999</v>
      </c>
      <c r="S22" s="310"/>
      <c r="T22" s="307">
        <f t="shared" si="1"/>
        <v>13685460.250558395</v>
      </c>
      <c r="U22" s="304"/>
      <c r="V22" s="308">
        <f t="shared" si="3"/>
        <v>0</v>
      </c>
      <c r="W22" s="304"/>
      <c r="X22" s="308">
        <f t="shared" si="4"/>
        <v>0</v>
      </c>
      <c r="Y22" s="309">
        <f t="shared" si="5"/>
        <v>0</v>
      </c>
      <c r="Z22" s="308">
        <f t="shared" si="6"/>
        <v>0</v>
      </c>
    </row>
    <row r="23" spans="2:26" x14ac:dyDescent="0.25">
      <c r="B23" s="293" t="s">
        <v>110</v>
      </c>
      <c r="D23" s="413">
        <v>32154478.538398605</v>
      </c>
      <c r="E23" s="310">
        <v>1699064.4523564125</v>
      </c>
      <c r="F23" s="311">
        <f t="shared" si="7"/>
        <v>5.2840678175744761E-2</v>
      </c>
      <c r="G23" s="413">
        <v>32000271</v>
      </c>
      <c r="H23" s="306">
        <f t="shared" si="2"/>
        <v>1690916.021447618</v>
      </c>
      <c r="I23" s="304"/>
      <c r="J23" s="310"/>
      <c r="K23" s="310">
        <v>244321.92173769884</v>
      </c>
      <c r="L23" s="310"/>
      <c r="M23" s="310"/>
      <c r="N23" s="310">
        <v>30080.25474</v>
      </c>
      <c r="O23" s="310">
        <v>0</v>
      </c>
      <c r="P23" s="310">
        <v>0</v>
      </c>
      <c r="Q23" s="310">
        <v>0</v>
      </c>
      <c r="R23" s="310">
        <v>-2240.0189699999996</v>
      </c>
      <c r="S23" s="310"/>
      <c r="T23" s="307">
        <f t="shared" si="1"/>
        <v>1963078.1789553168</v>
      </c>
      <c r="U23" s="304"/>
      <c r="V23" s="308">
        <f t="shared" si="3"/>
        <v>0</v>
      </c>
      <c r="W23" s="304"/>
      <c r="X23" s="308">
        <f t="shared" si="4"/>
        <v>0</v>
      </c>
      <c r="Y23" s="309">
        <f t="shared" si="5"/>
        <v>0</v>
      </c>
      <c r="Z23" s="308">
        <f t="shared" si="6"/>
        <v>0</v>
      </c>
    </row>
    <row r="24" spans="2:26" x14ac:dyDescent="0.25">
      <c r="B24" s="293" t="s">
        <v>11</v>
      </c>
      <c r="D24" s="312">
        <f>SUM(D11:D23)</f>
        <v>1172906987.060853</v>
      </c>
      <c r="E24" s="313">
        <f>SUM(E11:E23)</f>
        <v>567196461.71043551</v>
      </c>
      <c r="F24" s="305">
        <f t="shared" si="7"/>
        <v>0.48358179119706113</v>
      </c>
      <c r="G24" s="312">
        <f>SUM(G11:G23)</f>
        <v>1138191623</v>
      </c>
      <c r="H24" s="313">
        <f>SUM(H11:H23)</f>
        <v>532420475.82430762</v>
      </c>
      <c r="I24" s="313">
        <f t="shared" ref="I24:L24" si="8">SUM(I11:I23)</f>
        <v>586395279.5200001</v>
      </c>
      <c r="J24" s="313">
        <f t="shared" si="8"/>
        <v>36131659.310000002</v>
      </c>
      <c r="K24" s="313">
        <f t="shared" si="8"/>
        <v>38252701.748629779</v>
      </c>
      <c r="L24" s="313">
        <f t="shared" si="8"/>
        <v>25622184.459350001</v>
      </c>
      <c r="M24" s="313">
        <f>SUM(M11:M23)</f>
        <v>2580060.8116534636</v>
      </c>
      <c r="N24" s="313">
        <f>SUM(N11:N23)</f>
        <v>20474654.952299997</v>
      </c>
      <c r="O24" s="313">
        <f>SUM(O11:O23)</f>
        <v>2710692.1838193517</v>
      </c>
      <c r="P24" s="313">
        <f t="shared" ref="P24:Q24" si="9">SUM(P11:P23)</f>
        <v>-1437670.7593320713</v>
      </c>
      <c r="Q24" s="313">
        <f t="shared" si="9"/>
        <v>41139226.925952494</v>
      </c>
      <c r="R24" s="313">
        <f>SUM(R11:R23)</f>
        <v>-1199237.4692000004</v>
      </c>
      <c r="S24" s="313">
        <f t="shared" ref="S24:T24" si="10">SUM(S11:S23)</f>
        <v>-4554935.4399999995</v>
      </c>
      <c r="T24" s="314">
        <f t="shared" si="10"/>
        <v>1278535092.0674806</v>
      </c>
      <c r="U24" s="313">
        <f>SUM(U11:U23)</f>
        <v>-93920432.700000003</v>
      </c>
      <c r="V24" s="315">
        <f>U24/T24</f>
        <v>-7.3459409352717969E-2</v>
      </c>
      <c r="W24" s="313">
        <f>SUM(W11:W23)</f>
        <v>-215497571.94999999</v>
      </c>
      <c r="X24" s="315">
        <f>W24/T24</f>
        <v>-0.16855037713632509</v>
      </c>
      <c r="Y24" s="313">
        <f>SUM(Y11:Y23)</f>
        <v>-309418004.64999992</v>
      </c>
      <c r="Z24" s="315">
        <f>Y24/T24</f>
        <v>-0.24200978648904301</v>
      </c>
    </row>
    <row r="25" spans="2:26" x14ac:dyDescent="0.25">
      <c r="D25" s="316"/>
      <c r="E25" s="306"/>
      <c r="G25" s="316"/>
      <c r="M25" s="306"/>
      <c r="R25" s="306"/>
      <c r="S25" s="306"/>
      <c r="T25" s="306"/>
      <c r="V25" s="317"/>
      <c r="X25" s="317"/>
      <c r="Z25" s="317"/>
    </row>
    <row r="26" spans="2:26" s="322" customFormat="1" x14ac:dyDescent="0.25">
      <c r="B26" s="318" t="s">
        <v>308</v>
      </c>
      <c r="C26" s="319"/>
      <c r="D26" s="320"/>
      <c r="E26" s="321"/>
      <c r="U26" s="323"/>
      <c r="V26" s="324"/>
      <c r="W26" s="323"/>
      <c r="X26" s="324"/>
      <c r="Y26" s="323"/>
      <c r="Z26" s="324"/>
    </row>
    <row r="27" spans="2:26" s="322" customFormat="1" x14ac:dyDescent="0.25">
      <c r="B27" s="325" t="s">
        <v>16</v>
      </c>
      <c r="C27" s="326" t="s">
        <v>309</v>
      </c>
      <c r="D27" s="327">
        <f>D11+D12</f>
        <v>620844874.32387137</v>
      </c>
      <c r="E27" s="328">
        <f>E11+E12</f>
        <v>403618690.2447409</v>
      </c>
      <c r="F27" s="305">
        <f t="shared" ref="F27:F34" si="11">(E27)/D27</f>
        <v>0.65011197955737365</v>
      </c>
      <c r="G27" s="327">
        <f>G11+G12</f>
        <v>558676677</v>
      </c>
      <c r="H27" s="328">
        <f>H11+H12</f>
        <v>363202404.59412265</v>
      </c>
      <c r="I27" s="328">
        <f t="shared" ref="I27:S27" si="12">I11+I12</f>
        <v>385592537.93000001</v>
      </c>
      <c r="J27" s="328">
        <f t="shared" si="12"/>
        <v>22548190.689999998</v>
      </c>
      <c r="K27" s="328">
        <f t="shared" si="12"/>
        <v>18618771.539727248</v>
      </c>
      <c r="L27" s="328">
        <f t="shared" si="12"/>
        <v>16061954.463750001</v>
      </c>
      <c r="M27" s="328">
        <f t="shared" si="12"/>
        <v>1765396.19196</v>
      </c>
      <c r="N27" s="328">
        <f t="shared" si="12"/>
        <v>12765762.069449998</v>
      </c>
      <c r="O27" s="328">
        <f t="shared" si="12"/>
        <v>1821285.9670199999</v>
      </c>
      <c r="P27" s="328">
        <f t="shared" si="12"/>
        <v>-949750.35089999996</v>
      </c>
      <c r="Q27" s="328">
        <f t="shared" si="12"/>
        <v>27179620.33605</v>
      </c>
      <c r="R27" s="328">
        <f t="shared" si="12"/>
        <v>-765387.04749000003</v>
      </c>
      <c r="S27" s="328">
        <f t="shared" si="12"/>
        <v>2592227.3199999998</v>
      </c>
      <c r="T27" s="328">
        <f>T11+T12</f>
        <v>850433013.70368993</v>
      </c>
      <c r="U27" s="306">
        <f>SUM(U11:U12)</f>
        <v>-74906851.079999983</v>
      </c>
      <c r="V27" s="308">
        <f t="shared" ref="V27:V34" si="13">U27/T27</f>
        <v>-8.8080836318637112E-2</v>
      </c>
      <c r="W27" s="306">
        <f>SUM(W11:W12)</f>
        <v>-135250036.73999998</v>
      </c>
      <c r="X27" s="308">
        <f>W27/T27</f>
        <v>-0.1590366725663406</v>
      </c>
      <c r="Y27" s="306">
        <f>SUM(Y11:Y12)</f>
        <v>-210156887.81999996</v>
      </c>
      <c r="Z27" s="308">
        <f>Y27/T27</f>
        <v>-0.24711750888497772</v>
      </c>
    </row>
    <row r="28" spans="2:26" s="322" customFormat="1" x14ac:dyDescent="0.25">
      <c r="B28" s="329" t="s">
        <v>310</v>
      </c>
      <c r="C28" s="326" t="s">
        <v>311</v>
      </c>
      <c r="D28" s="327">
        <f>D13+D18</f>
        <v>222203870.67539161</v>
      </c>
      <c r="E28" s="328">
        <f>E13+E18</f>
        <v>122144982.04000001</v>
      </c>
      <c r="F28" s="305">
        <f t="shared" si="11"/>
        <v>0.54969781430331843</v>
      </c>
      <c r="G28" s="327">
        <f t="shared" ref="G28:S32" si="14">G13+G18</f>
        <v>231772233</v>
      </c>
      <c r="H28" s="328">
        <f t="shared" si="14"/>
        <v>127400865.44289871</v>
      </c>
      <c r="I28" s="328">
        <f t="shared" si="14"/>
        <v>140929106.28</v>
      </c>
      <c r="J28" s="328">
        <f t="shared" si="14"/>
        <v>9352009.5999999996</v>
      </c>
      <c r="K28" s="328">
        <f t="shared" si="14"/>
        <v>6901787.4130339455</v>
      </c>
      <c r="L28" s="328">
        <f t="shared" si="14"/>
        <v>6663451.6987500004</v>
      </c>
      <c r="M28" s="328">
        <f t="shared" si="14"/>
        <v>618831.86210999999</v>
      </c>
      <c r="N28" s="328">
        <f t="shared" si="14"/>
        <v>5824436.2152899997</v>
      </c>
      <c r="O28" s="328">
        <f t="shared" si="14"/>
        <v>697634.42133000004</v>
      </c>
      <c r="P28" s="328">
        <f t="shared" si="14"/>
        <v>-363882.40581000003</v>
      </c>
      <c r="Q28" s="328">
        <f t="shared" si="14"/>
        <v>10408890.984029999</v>
      </c>
      <c r="R28" s="328">
        <f t="shared" si="14"/>
        <v>-340705.18251000001</v>
      </c>
      <c r="S28" s="328">
        <f t="shared" si="14"/>
        <v>-4127863.47</v>
      </c>
      <c r="T28" s="328">
        <f>T13+T18</f>
        <v>303964562.85912269</v>
      </c>
      <c r="U28" s="306">
        <f>SUM(U13,U18)</f>
        <v>-13551722.469999999</v>
      </c>
      <c r="V28" s="308">
        <f t="shared" si="13"/>
        <v>-4.4583231487680897E-2</v>
      </c>
      <c r="W28" s="306">
        <f>SUM(W13,W18)</f>
        <v>-55752810.649999999</v>
      </c>
      <c r="X28" s="308">
        <f t="shared" ref="X28:X33" si="15">W28/T28</f>
        <v>-0.1834187844977164</v>
      </c>
      <c r="Y28" s="306">
        <f>SUM(Y13,Y18)</f>
        <v>-69304533.120000005</v>
      </c>
      <c r="Z28" s="308">
        <f t="shared" ref="Z28:Z33" si="16">Y28/T28</f>
        <v>-0.22800201598539732</v>
      </c>
    </row>
    <row r="29" spans="2:26" s="322" customFormat="1" x14ac:dyDescent="0.25">
      <c r="B29" s="325" t="s">
        <v>312</v>
      </c>
      <c r="C29" s="326" t="s">
        <v>313</v>
      </c>
      <c r="D29" s="327">
        <f t="shared" ref="D29:E32" si="17">D14+D19</f>
        <v>82012496.764967203</v>
      </c>
      <c r="E29" s="328">
        <f t="shared" si="17"/>
        <v>22261797.053338237</v>
      </c>
      <c r="F29" s="305">
        <f t="shared" si="11"/>
        <v>0.27144396197492282</v>
      </c>
      <c r="G29" s="327">
        <f t="shared" si="14"/>
        <v>83479232</v>
      </c>
      <c r="H29" s="328">
        <f t="shared" si="14"/>
        <v>22575281.597202968</v>
      </c>
      <c r="I29" s="328">
        <f t="shared" si="14"/>
        <v>36299716.199999996</v>
      </c>
      <c r="J29" s="328">
        <f t="shared" si="14"/>
        <v>2501184.2999999998</v>
      </c>
      <c r="K29" s="328">
        <f t="shared" si="14"/>
        <v>2628290.3821405247</v>
      </c>
      <c r="L29" s="328">
        <f t="shared" si="14"/>
        <v>1785229.6112500001</v>
      </c>
      <c r="M29" s="328">
        <f t="shared" si="14"/>
        <v>107688.20928</v>
      </c>
      <c r="N29" s="328">
        <f t="shared" si="14"/>
        <v>838131.48927999998</v>
      </c>
      <c r="O29" s="328">
        <f t="shared" si="14"/>
        <v>140955.52061000001</v>
      </c>
      <c r="P29" s="328">
        <f t="shared" si="14"/>
        <v>-62609.423999999999</v>
      </c>
      <c r="Q29" s="328">
        <f t="shared" si="14"/>
        <v>1792299.1110399999</v>
      </c>
      <c r="R29" s="328">
        <f t="shared" si="14"/>
        <v>-46748.369919999997</v>
      </c>
      <c r="S29" s="328">
        <f t="shared" si="14"/>
        <v>-2859930.7399999998</v>
      </c>
      <c r="T29" s="328">
        <f>T14+T19</f>
        <v>65699487.88688349</v>
      </c>
      <c r="U29" s="306">
        <f>SUM(U14,U19)</f>
        <v>-3233283.6799999997</v>
      </c>
      <c r="V29" s="308">
        <f t="shared" si="13"/>
        <v>-4.9213225003622983E-2</v>
      </c>
      <c r="W29" s="306">
        <f>SUM(W14,W19)</f>
        <v>-14685454.02</v>
      </c>
      <c r="X29" s="308">
        <f t="shared" si="15"/>
        <v>-0.22352463454942489</v>
      </c>
      <c r="Y29" s="306">
        <f>SUM(Y14,Y19)</f>
        <v>-17918737.699999999</v>
      </c>
      <c r="Z29" s="308">
        <f t="shared" si="16"/>
        <v>-0.27273785955304786</v>
      </c>
    </row>
    <row r="30" spans="2:26" s="322" customFormat="1" x14ac:dyDescent="0.25">
      <c r="B30" s="325" t="s">
        <v>56</v>
      </c>
      <c r="C30" s="326" t="s">
        <v>314</v>
      </c>
      <c r="D30" s="327">
        <f t="shared" si="17"/>
        <v>88879730.522699013</v>
      </c>
      <c r="E30" s="328">
        <f t="shared" si="17"/>
        <v>9611990.370000001</v>
      </c>
      <c r="F30" s="305">
        <f t="shared" si="11"/>
        <v>0.10814603412355298</v>
      </c>
      <c r="G30" s="327">
        <f t="shared" si="14"/>
        <v>80604214</v>
      </c>
      <c r="H30" s="328">
        <f t="shared" si="14"/>
        <v>8710848.2509270851</v>
      </c>
      <c r="I30" s="328">
        <f t="shared" si="14"/>
        <v>9433565.2300000004</v>
      </c>
      <c r="J30" s="328">
        <f t="shared" si="14"/>
        <v>694292.84</v>
      </c>
      <c r="K30" s="328">
        <f t="shared" si="14"/>
        <v>2894197.0144112622</v>
      </c>
      <c r="L30" s="328">
        <f t="shared" si="14"/>
        <v>446059.84751999995</v>
      </c>
      <c r="M30" s="328">
        <f t="shared" si="14"/>
        <v>47938.647319222044</v>
      </c>
      <c r="N30" s="328">
        <f t="shared" si="14"/>
        <v>426396.29206000001</v>
      </c>
      <c r="O30" s="328">
        <f t="shared" si="14"/>
        <v>31762.775519999999</v>
      </c>
      <c r="P30" s="328">
        <f t="shared" si="14"/>
        <v>-36271.8963</v>
      </c>
      <c r="Q30" s="328">
        <f t="shared" si="14"/>
        <v>1029315.81278</v>
      </c>
      <c r="R30" s="328">
        <f t="shared" si="14"/>
        <v>-21763.137780000001</v>
      </c>
      <c r="S30" s="328">
        <f t="shared" si="14"/>
        <v>0</v>
      </c>
      <c r="T30" s="328">
        <f>T15+T20</f>
        <v>23656341.676457569</v>
      </c>
      <c r="U30" s="306">
        <f>SUM(U15,U20)</f>
        <v>-833945.48000000045</v>
      </c>
      <c r="V30" s="308">
        <f t="shared" si="13"/>
        <v>-3.5252512472371426E-2</v>
      </c>
      <c r="W30" s="306">
        <f>SUM(W15,W20)</f>
        <v>-3944280.75</v>
      </c>
      <c r="X30" s="308">
        <f t="shared" si="15"/>
        <v>-0.16673248991517942</v>
      </c>
      <c r="Y30" s="306">
        <f>SUM(Y15,Y20)</f>
        <v>-4778226.2300000004</v>
      </c>
      <c r="Z30" s="308">
        <f t="shared" si="16"/>
        <v>-0.20198500238755085</v>
      </c>
    </row>
    <row r="31" spans="2:26" s="322" customFormat="1" x14ac:dyDescent="0.25">
      <c r="B31" s="325" t="s">
        <v>315</v>
      </c>
      <c r="C31" s="326" t="s">
        <v>316</v>
      </c>
      <c r="D31" s="327">
        <f t="shared" si="17"/>
        <v>7491654.8276905455</v>
      </c>
      <c r="E31" s="328">
        <f t="shared" si="17"/>
        <v>1560031.02</v>
      </c>
      <c r="F31" s="305">
        <f t="shared" si="11"/>
        <v>0.20823583785972574</v>
      </c>
      <c r="G31" s="327">
        <f t="shared" si="14"/>
        <v>6112911</v>
      </c>
      <c r="H31" s="328">
        <f t="shared" si="14"/>
        <v>1271485.8802395421</v>
      </c>
      <c r="I31" s="328">
        <f t="shared" si="14"/>
        <v>2743827.45</v>
      </c>
      <c r="J31" s="328">
        <f t="shared" si="14"/>
        <v>197861.03</v>
      </c>
      <c r="K31" s="328">
        <f t="shared" si="14"/>
        <v>152435.48966999981</v>
      </c>
      <c r="L31" s="328">
        <f t="shared" si="14"/>
        <v>127024.32367999999</v>
      </c>
      <c r="M31" s="328">
        <f t="shared" si="14"/>
        <v>6846.4603200000001</v>
      </c>
      <c r="N31" s="328">
        <f t="shared" si="14"/>
        <v>41139.891029999999</v>
      </c>
      <c r="O31" s="328">
        <f t="shared" si="14"/>
        <v>2408.74298</v>
      </c>
      <c r="P31" s="328">
        <f t="shared" si="14"/>
        <v>-2200.6479600000002</v>
      </c>
      <c r="Q31" s="328">
        <f t="shared" si="14"/>
        <v>63635.403510000004</v>
      </c>
      <c r="R31" s="328">
        <f t="shared" si="14"/>
        <v>-2017.2606300000002</v>
      </c>
      <c r="S31" s="328">
        <f t="shared" si="14"/>
        <v>-159368.54999999999</v>
      </c>
      <c r="T31" s="328">
        <f>T16+T21</f>
        <v>4443078.212839542</v>
      </c>
      <c r="U31" s="306">
        <f>SUM(U16,U21)</f>
        <v>-257686.34000000032</v>
      </c>
      <c r="V31" s="308">
        <f t="shared" si="13"/>
        <v>-5.7997254978618684E-2</v>
      </c>
      <c r="W31" s="306">
        <f>SUM(W16,W21)</f>
        <v>-1131961.73</v>
      </c>
      <c r="X31" s="308">
        <f t="shared" si="15"/>
        <v>-0.25476970599546811</v>
      </c>
      <c r="Y31" s="306">
        <f>SUM(Y16,Y21)</f>
        <v>-1389648.0700000003</v>
      </c>
      <c r="Z31" s="308">
        <f t="shared" si="16"/>
        <v>-0.31276696097408679</v>
      </c>
    </row>
    <row r="32" spans="2:26" s="322" customFormat="1" x14ac:dyDescent="0.25">
      <c r="B32" s="330" t="s">
        <v>317</v>
      </c>
      <c r="C32" s="326" t="s">
        <v>318</v>
      </c>
      <c r="D32" s="327">
        <f t="shared" si="17"/>
        <v>119319881.40783478</v>
      </c>
      <c r="E32" s="328">
        <f t="shared" si="17"/>
        <v>6299906.5299999993</v>
      </c>
      <c r="F32" s="305">
        <f t="shared" si="11"/>
        <v>5.2798464561550719E-2</v>
      </c>
      <c r="G32" s="327">
        <f t="shared" si="14"/>
        <v>145546085</v>
      </c>
      <c r="H32" s="328">
        <f t="shared" si="14"/>
        <v>7568674.0374691198</v>
      </c>
      <c r="I32" s="328">
        <f t="shared" si="14"/>
        <v>11396526.43</v>
      </c>
      <c r="J32" s="328">
        <f t="shared" si="14"/>
        <v>838120.85</v>
      </c>
      <c r="K32" s="328">
        <f t="shared" si="14"/>
        <v>6812897.9879090907</v>
      </c>
      <c r="L32" s="328">
        <f t="shared" si="14"/>
        <v>538464.51439999999</v>
      </c>
      <c r="M32" s="328">
        <f t="shared" si="14"/>
        <v>33359.440664241687</v>
      </c>
      <c r="N32" s="328">
        <f t="shared" si="14"/>
        <v>548708.74045000004</v>
      </c>
      <c r="O32" s="328">
        <f t="shared" si="14"/>
        <v>16644.756359352024</v>
      </c>
      <c r="P32" s="328">
        <f t="shared" si="14"/>
        <v>-22956.034362071605</v>
      </c>
      <c r="Q32" s="328">
        <f t="shared" si="14"/>
        <v>665465.27854249359</v>
      </c>
      <c r="R32" s="328">
        <f t="shared" si="14"/>
        <v>-20376.4519</v>
      </c>
      <c r="S32" s="328">
        <f t="shared" si="14"/>
        <v>0</v>
      </c>
      <c r="T32" s="328">
        <f>T17+T22</f>
        <v>28375529.549532227</v>
      </c>
      <c r="U32" s="306">
        <f>SUM(U17,U22)</f>
        <v>-1136943.6500000004</v>
      </c>
      <c r="V32" s="308">
        <f t="shared" si="13"/>
        <v>-4.0067750912466865E-2</v>
      </c>
      <c r="W32" s="306">
        <f>SUM(W17,W22)</f>
        <v>-4733028.0599999996</v>
      </c>
      <c r="X32" s="308">
        <f t="shared" si="15"/>
        <v>-0.1667996381085344</v>
      </c>
      <c r="Y32" s="306">
        <f>SUM(Y17,Y22)</f>
        <v>-5869971.71</v>
      </c>
      <c r="Z32" s="308">
        <f t="shared" si="16"/>
        <v>-0.20686738902100127</v>
      </c>
    </row>
    <row r="33" spans="2:26" s="322" customFormat="1" x14ac:dyDescent="0.25">
      <c r="B33" s="330" t="s">
        <v>110</v>
      </c>
      <c r="C33" s="325"/>
      <c r="D33" s="327">
        <f>D23</f>
        <v>32154478.538398605</v>
      </c>
      <c r="E33" s="328">
        <f>E23</f>
        <v>1699064.4523564125</v>
      </c>
      <c r="F33" s="305">
        <f t="shared" si="11"/>
        <v>5.2840678175744761E-2</v>
      </c>
      <c r="G33" s="327">
        <f>G23</f>
        <v>32000271</v>
      </c>
      <c r="H33" s="328">
        <f>H23</f>
        <v>1690916.021447618</v>
      </c>
      <c r="I33" s="328">
        <f t="shared" ref="I33:S33" si="18">I23</f>
        <v>0</v>
      </c>
      <c r="J33" s="328">
        <f t="shared" si="18"/>
        <v>0</v>
      </c>
      <c r="K33" s="328">
        <f t="shared" si="18"/>
        <v>244321.92173769884</v>
      </c>
      <c r="L33" s="328">
        <f t="shared" si="18"/>
        <v>0</v>
      </c>
      <c r="M33" s="328">
        <f t="shared" si="18"/>
        <v>0</v>
      </c>
      <c r="N33" s="328">
        <f t="shared" si="18"/>
        <v>30080.25474</v>
      </c>
      <c r="O33" s="328">
        <f t="shared" si="18"/>
        <v>0</v>
      </c>
      <c r="P33" s="328">
        <f t="shared" si="18"/>
        <v>0</v>
      </c>
      <c r="Q33" s="328">
        <f t="shared" si="18"/>
        <v>0</v>
      </c>
      <c r="R33" s="328">
        <f t="shared" si="18"/>
        <v>-2240.0189699999996</v>
      </c>
      <c r="S33" s="328">
        <f t="shared" si="18"/>
        <v>0</v>
      </c>
      <c r="T33" s="328">
        <f>T23</f>
        <v>1963078.1789553168</v>
      </c>
      <c r="U33" s="306">
        <f>U23</f>
        <v>0</v>
      </c>
      <c r="V33" s="308">
        <f t="shared" si="13"/>
        <v>0</v>
      </c>
      <c r="W33" s="306">
        <f>W23</f>
        <v>0</v>
      </c>
      <c r="X33" s="308">
        <f t="shared" si="15"/>
        <v>0</v>
      </c>
      <c r="Y33" s="306">
        <f>Y23</f>
        <v>0</v>
      </c>
      <c r="Z33" s="308">
        <f t="shared" si="16"/>
        <v>0</v>
      </c>
    </row>
    <row r="34" spans="2:26" s="322" customFormat="1" x14ac:dyDescent="0.25">
      <c r="B34" s="330" t="s">
        <v>11</v>
      </c>
      <c r="C34" s="330"/>
      <c r="D34" s="331">
        <f>SUM(D27:D33)</f>
        <v>1172906987.0608532</v>
      </c>
      <c r="E34" s="332">
        <f>SUM(E27:E33)</f>
        <v>567196461.71043563</v>
      </c>
      <c r="F34" s="333">
        <f t="shared" si="11"/>
        <v>0.48358179119706113</v>
      </c>
      <c r="G34" s="331">
        <f>SUM(G27:G33)</f>
        <v>1138191623</v>
      </c>
      <c r="H34" s="332">
        <f>SUM(H27:H33)</f>
        <v>532420475.82430768</v>
      </c>
      <c r="I34" s="332">
        <f t="shared" ref="I34:S34" si="19">SUM(I27:I33)</f>
        <v>586395279.5200001</v>
      </c>
      <c r="J34" s="332">
        <f t="shared" si="19"/>
        <v>36131659.310000002</v>
      </c>
      <c r="K34" s="332">
        <f t="shared" si="19"/>
        <v>38252701.748629779</v>
      </c>
      <c r="L34" s="332">
        <f t="shared" si="19"/>
        <v>25622184.459350001</v>
      </c>
      <c r="M34" s="332">
        <f t="shared" si="19"/>
        <v>2580060.8116534636</v>
      </c>
      <c r="N34" s="332">
        <f t="shared" si="19"/>
        <v>20474654.952299993</v>
      </c>
      <c r="O34" s="332">
        <f t="shared" si="19"/>
        <v>2710692.1838193517</v>
      </c>
      <c r="P34" s="332">
        <f t="shared" si="19"/>
        <v>-1437670.7593320715</v>
      </c>
      <c r="Q34" s="332">
        <f t="shared" si="19"/>
        <v>41139226.925952487</v>
      </c>
      <c r="R34" s="332">
        <f t="shared" si="19"/>
        <v>-1199237.4691999999</v>
      </c>
      <c r="S34" s="332">
        <f t="shared" si="19"/>
        <v>-4554935.4400000004</v>
      </c>
      <c r="T34" s="332">
        <f>SUM(T27:T33)</f>
        <v>1278535092.0674808</v>
      </c>
      <c r="U34" s="313">
        <f>SUM(U27:U33)</f>
        <v>-93920432.700000003</v>
      </c>
      <c r="V34" s="315">
        <f t="shared" si="13"/>
        <v>-7.3459409352717955E-2</v>
      </c>
      <c r="W34" s="313">
        <f>SUM(W27:W33)</f>
        <v>-215497571.94999999</v>
      </c>
      <c r="X34" s="315">
        <f>W34/T34</f>
        <v>-0.16855037713632506</v>
      </c>
      <c r="Y34" s="313">
        <f>SUM(Y27:Y33)</f>
        <v>-309418004.64999992</v>
      </c>
      <c r="Z34" s="315">
        <f>Y34/T34</f>
        <v>-0.24200978648904295</v>
      </c>
    </row>
    <row r="35" spans="2:26" s="322" customFormat="1" x14ac:dyDescent="0.25">
      <c r="B35" s="334"/>
      <c r="C35" s="334"/>
      <c r="D35" s="334"/>
      <c r="E35" s="334"/>
      <c r="F35" s="334"/>
      <c r="I35" s="335"/>
      <c r="M35" s="334"/>
      <c r="O35" s="334"/>
      <c r="P35" s="334"/>
      <c r="Q35" s="334"/>
      <c r="R35" s="334"/>
      <c r="S35" s="334"/>
      <c r="T35" s="334"/>
      <c r="U35" s="336"/>
    </row>
    <row r="36" spans="2:26" ht="17.25" x14ac:dyDescent="0.25">
      <c r="B36" s="293" t="s">
        <v>327</v>
      </c>
    </row>
    <row r="37" spans="2:26" ht="17.25" x14ac:dyDescent="0.25">
      <c r="B37" s="293" t="s">
        <v>328</v>
      </c>
    </row>
  </sheetData>
  <mergeCells count="4">
    <mergeCell ref="B1:Z1"/>
    <mergeCell ref="B2:Z2"/>
    <mergeCell ref="B3:Z3"/>
    <mergeCell ref="B4:Z4"/>
  </mergeCells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zoomScale="90" zoomScaleNormal="90" workbookViewId="0">
      <selection activeCell="S23" sqref="S23"/>
    </sheetView>
  </sheetViews>
  <sheetFormatPr defaultColWidth="9.140625" defaultRowHeight="15" x14ac:dyDescent="0.25"/>
  <cols>
    <col min="1" max="1" width="2.140625" style="338" customWidth="1"/>
    <col min="2" max="2" width="2.42578125" style="338" customWidth="1"/>
    <col min="3" max="3" width="34.85546875" style="338" customWidth="1"/>
    <col min="4" max="5" width="11.85546875" style="338" customWidth="1"/>
    <col min="6" max="6" width="2.5703125" style="340" customWidth="1"/>
    <col min="7" max="8" width="11.85546875" style="338" customWidth="1"/>
    <col min="9" max="9" width="2.5703125" style="338" customWidth="1"/>
    <col min="10" max="11" width="11.85546875" style="338" customWidth="1"/>
    <col min="12" max="12" width="2.5703125" style="338" customWidth="1"/>
    <col min="13" max="14" width="11.85546875" style="338" customWidth="1"/>
    <col min="15" max="16384" width="9.140625" style="338"/>
  </cols>
  <sheetData>
    <row r="1" spans="2:14" x14ac:dyDescent="0.25">
      <c r="B1" s="337" t="s">
        <v>13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2:14" x14ac:dyDescent="0.25">
      <c r="B2" s="337" t="str">
        <f>'Rate Impacts Sch 101_106'!B2:Z2</f>
        <v>2023 Gas Schedule 101 and 106 Purchased Gas Adjustment Filing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2:14" x14ac:dyDescent="0.25">
      <c r="B3" s="339" t="s">
        <v>257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</row>
    <row r="4" spans="2:14" x14ac:dyDescent="0.25">
      <c r="B4" s="339" t="str">
        <f>'Rate Impacts Sch 101_106'!B4:Z4</f>
        <v>Proposed Rates Effective November 1, 2023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</row>
    <row r="5" spans="2:14" x14ac:dyDescent="0.25">
      <c r="I5" s="341"/>
    </row>
    <row r="6" spans="2:14" x14ac:dyDescent="0.25">
      <c r="G6" s="342" t="s">
        <v>260</v>
      </c>
      <c r="H6" s="342"/>
      <c r="I6" s="341"/>
      <c r="J6" s="342" t="s">
        <v>261</v>
      </c>
      <c r="K6" s="342"/>
    </row>
    <row r="7" spans="2:14" x14ac:dyDescent="0.25">
      <c r="D7" s="343" t="s">
        <v>60</v>
      </c>
      <c r="E7" s="343"/>
      <c r="F7" s="344"/>
      <c r="G7" s="343" t="s">
        <v>262</v>
      </c>
      <c r="H7" s="343"/>
      <c r="I7" s="341"/>
      <c r="J7" s="343" t="s">
        <v>262</v>
      </c>
      <c r="K7" s="343"/>
      <c r="M7" s="343" t="s">
        <v>263</v>
      </c>
      <c r="N7" s="343"/>
    </row>
    <row r="8" spans="2:14" ht="17.25" x14ac:dyDescent="0.25">
      <c r="D8" s="345" t="s">
        <v>324</v>
      </c>
      <c r="E8" s="345" t="s">
        <v>57</v>
      </c>
      <c r="F8" s="346"/>
      <c r="G8" s="345" t="s">
        <v>21</v>
      </c>
      <c r="H8" s="345" t="s">
        <v>57</v>
      </c>
      <c r="I8" s="341"/>
      <c r="J8" s="345" t="s">
        <v>21</v>
      </c>
      <c r="K8" s="345" t="s">
        <v>57</v>
      </c>
      <c r="M8" s="345" t="s">
        <v>21</v>
      </c>
      <c r="N8" s="345" t="s">
        <v>57</v>
      </c>
    </row>
    <row r="9" spans="2:14" x14ac:dyDescent="0.25">
      <c r="B9" s="338" t="s">
        <v>33</v>
      </c>
      <c r="D9" s="347">
        <v>64</v>
      </c>
      <c r="E9" s="348"/>
      <c r="F9" s="349"/>
      <c r="G9" s="347">
        <v>64</v>
      </c>
      <c r="H9" s="348"/>
      <c r="I9" s="341"/>
      <c r="J9" s="347">
        <v>64</v>
      </c>
      <c r="K9" s="348"/>
      <c r="M9" s="347">
        <v>64</v>
      </c>
      <c r="N9" s="348"/>
    </row>
    <row r="10" spans="2:14" x14ac:dyDescent="0.25">
      <c r="D10" s="347"/>
      <c r="E10" s="348"/>
      <c r="F10" s="349"/>
      <c r="G10" s="347"/>
      <c r="H10" s="348"/>
      <c r="I10" s="341"/>
      <c r="J10" s="347"/>
      <c r="K10" s="348"/>
      <c r="M10" s="347"/>
      <c r="N10" s="348"/>
    </row>
    <row r="11" spans="2:14" x14ac:dyDescent="0.25">
      <c r="B11" s="338" t="s">
        <v>44</v>
      </c>
      <c r="D11" s="347"/>
      <c r="E11" s="348"/>
      <c r="F11" s="349"/>
      <c r="G11" s="347"/>
      <c r="H11" s="348"/>
      <c r="I11" s="341"/>
      <c r="J11" s="347"/>
      <c r="K11" s="348"/>
      <c r="M11" s="347"/>
      <c r="N11" s="348"/>
    </row>
    <row r="12" spans="2:14" x14ac:dyDescent="0.25">
      <c r="C12" s="338" t="s">
        <v>264</v>
      </c>
      <c r="D12" s="387">
        <v>12.5</v>
      </c>
      <c r="E12" s="348">
        <f>D12</f>
        <v>12.5</v>
      </c>
      <c r="F12" s="351"/>
      <c r="G12" s="352">
        <f>$D$12</f>
        <v>12.5</v>
      </c>
      <c r="H12" s="348">
        <f>G12</f>
        <v>12.5</v>
      </c>
      <c r="J12" s="352">
        <f>$D$12</f>
        <v>12.5</v>
      </c>
      <c r="K12" s="348">
        <f>J12</f>
        <v>12.5</v>
      </c>
      <c r="M12" s="352">
        <f>$D$12</f>
        <v>12.5</v>
      </c>
      <c r="N12" s="348">
        <f>M12</f>
        <v>12.5</v>
      </c>
    </row>
    <row r="13" spans="2:14" x14ac:dyDescent="0.25">
      <c r="C13" s="338" t="s">
        <v>58</v>
      </c>
      <c r="D13" s="353">
        <f>SUM(D12:D12)</f>
        <v>12.5</v>
      </c>
      <c r="E13" s="353">
        <f>SUM(E12:E12)</f>
        <v>12.5</v>
      </c>
      <c r="F13" s="351"/>
      <c r="G13" s="353">
        <f>SUM(G12:G12)</f>
        <v>12.5</v>
      </c>
      <c r="H13" s="353">
        <f>SUM(H12:H12)</f>
        <v>12.5</v>
      </c>
      <c r="J13" s="353">
        <f>SUM(J12:J12)</f>
        <v>12.5</v>
      </c>
      <c r="K13" s="353">
        <f>SUM(K12:K12)</f>
        <v>12.5</v>
      </c>
      <c r="M13" s="353">
        <f>SUM(M12:M12)</f>
        <v>12.5</v>
      </c>
      <c r="N13" s="353">
        <f>SUM(N12:N12)</f>
        <v>12.5</v>
      </c>
    </row>
    <row r="14" spans="2:14" x14ac:dyDescent="0.25">
      <c r="D14" s="354"/>
      <c r="E14" s="348"/>
      <c r="F14" s="351"/>
      <c r="G14" s="352"/>
      <c r="H14" s="348"/>
      <c r="J14" s="352"/>
      <c r="K14" s="348"/>
      <c r="M14" s="352"/>
      <c r="N14" s="348"/>
    </row>
    <row r="15" spans="2:14" x14ac:dyDescent="0.25">
      <c r="C15" s="338" t="s">
        <v>265</v>
      </c>
      <c r="D15" s="387">
        <v>-12.1</v>
      </c>
      <c r="E15" s="348">
        <f>D15</f>
        <v>-12.1</v>
      </c>
      <c r="F15" s="351"/>
      <c r="G15" s="355">
        <f>$D$15</f>
        <v>-12.1</v>
      </c>
      <c r="H15" s="348">
        <f>G15</f>
        <v>-12.1</v>
      </c>
      <c r="J15" s="355">
        <f>$D$15</f>
        <v>-12.1</v>
      </c>
      <c r="K15" s="348">
        <f>J15</f>
        <v>-12.1</v>
      </c>
      <c r="M15" s="355">
        <f>$D$15</f>
        <v>-12.1</v>
      </c>
      <c r="N15" s="348">
        <f>M15</f>
        <v>-12.1</v>
      </c>
    </row>
    <row r="16" spans="2:14" x14ac:dyDescent="0.25">
      <c r="D16" s="354"/>
      <c r="E16" s="348"/>
      <c r="F16" s="351"/>
      <c r="G16" s="352"/>
      <c r="H16" s="348"/>
      <c r="J16" s="352"/>
      <c r="K16" s="348"/>
      <c r="M16" s="352"/>
      <c r="N16" s="348"/>
    </row>
    <row r="17" spans="2:14" x14ac:dyDescent="0.25">
      <c r="B17" s="338" t="s">
        <v>45</v>
      </c>
      <c r="E17" s="348"/>
      <c r="H17" s="348"/>
      <c r="K17" s="348"/>
      <c r="N17" s="348"/>
    </row>
    <row r="18" spans="2:14" x14ac:dyDescent="0.25">
      <c r="C18" s="338" t="s">
        <v>266</v>
      </c>
      <c r="D18" s="414">
        <v>0.45612999999999998</v>
      </c>
      <c r="E18" s="348"/>
      <c r="F18" s="357"/>
      <c r="G18" s="358">
        <f>$D$18</f>
        <v>0.45612999999999998</v>
      </c>
      <c r="H18" s="348"/>
      <c r="J18" s="358">
        <f>$D$18</f>
        <v>0.45612999999999998</v>
      </c>
      <c r="K18" s="348"/>
      <c r="M18" s="358">
        <f>$D$18</f>
        <v>0.45612999999999998</v>
      </c>
      <c r="N18" s="348"/>
    </row>
    <row r="19" spans="2:14" x14ac:dyDescent="0.25">
      <c r="C19" s="338" t="s">
        <v>267</v>
      </c>
      <c r="D19" s="414">
        <v>0.24697</v>
      </c>
      <c r="E19" s="348"/>
      <c r="F19" s="357"/>
      <c r="G19" s="358">
        <f>$D$19</f>
        <v>0.24697</v>
      </c>
      <c r="H19" s="348"/>
      <c r="J19" s="358">
        <f>$D$19</f>
        <v>0.24697</v>
      </c>
      <c r="K19" s="348"/>
      <c r="M19" s="358">
        <f>$D$19</f>
        <v>0.24697</v>
      </c>
      <c r="N19" s="348"/>
    </row>
    <row r="20" spans="2:14" x14ac:dyDescent="0.25">
      <c r="C20" s="338" t="s">
        <v>268</v>
      </c>
      <c r="D20" s="415">
        <v>3.16E-3</v>
      </c>
      <c r="E20" s="348"/>
      <c r="F20" s="357"/>
      <c r="G20" s="359">
        <f>$D$20</f>
        <v>3.16E-3</v>
      </c>
      <c r="H20" s="348"/>
      <c r="J20" s="358">
        <f>$D$20</f>
        <v>3.16E-3</v>
      </c>
      <c r="K20" s="348"/>
      <c r="M20" s="359">
        <f>$D$20</f>
        <v>3.16E-3</v>
      </c>
      <c r="N20" s="348"/>
    </row>
    <row r="21" spans="2:14" x14ac:dyDescent="0.25">
      <c r="C21" s="338" t="s">
        <v>269</v>
      </c>
      <c r="D21" s="415">
        <v>0</v>
      </c>
      <c r="E21" s="348"/>
      <c r="F21" s="357"/>
      <c r="G21" s="358">
        <f>$D$21</f>
        <v>0</v>
      </c>
      <c r="H21" s="348"/>
      <c r="J21" s="359">
        <f>$D$21</f>
        <v>0</v>
      </c>
      <c r="K21" s="348"/>
      <c r="M21" s="359">
        <f>$D$21</f>
        <v>0</v>
      </c>
      <c r="N21" s="348"/>
    </row>
    <row r="22" spans="2:14" x14ac:dyDescent="0.25">
      <c r="C22" s="338" t="s">
        <v>270</v>
      </c>
      <c r="D22" s="414">
        <v>2.2849999999999999E-2</v>
      </c>
      <c r="E22" s="348"/>
      <c r="F22" s="357"/>
      <c r="G22" s="359">
        <f>$D$22</f>
        <v>2.2849999999999999E-2</v>
      </c>
      <c r="H22" s="348"/>
      <c r="J22" s="359">
        <f>$D$22</f>
        <v>2.2849999999999999E-2</v>
      </c>
      <c r="K22" s="348"/>
      <c r="M22" s="359">
        <f>$D$22</f>
        <v>2.2849999999999999E-2</v>
      </c>
      <c r="N22" s="348"/>
    </row>
    <row r="23" spans="2:14" x14ac:dyDescent="0.25">
      <c r="C23" s="338" t="s">
        <v>271</v>
      </c>
      <c r="D23" s="414">
        <v>3.2599999999999999E-3</v>
      </c>
      <c r="E23" s="348"/>
      <c r="F23" s="357"/>
      <c r="G23" s="359">
        <f>$D$23</f>
        <v>3.2599999999999999E-3</v>
      </c>
      <c r="H23" s="348"/>
      <c r="J23" s="359">
        <f>$D$23</f>
        <v>3.2599999999999999E-3</v>
      </c>
      <c r="K23" s="348"/>
      <c r="M23" s="359">
        <f>$D$23</f>
        <v>3.2599999999999999E-3</v>
      </c>
      <c r="N23" s="348"/>
    </row>
    <row r="24" spans="2:14" x14ac:dyDescent="0.25">
      <c r="C24" s="338" t="s">
        <v>272</v>
      </c>
      <c r="D24" s="414">
        <v>-1.6999999999999999E-3</v>
      </c>
      <c r="E24" s="348"/>
      <c r="F24" s="357"/>
      <c r="G24" s="359">
        <f>$D$24</f>
        <v>-1.6999999999999999E-3</v>
      </c>
      <c r="H24" s="348"/>
      <c r="J24" s="359">
        <f>$D$24</f>
        <v>-1.6999999999999999E-3</v>
      </c>
      <c r="K24" s="348"/>
      <c r="M24" s="359">
        <f>$D$24</f>
        <v>-1.6999999999999999E-3</v>
      </c>
      <c r="N24" s="348"/>
    </row>
    <row r="25" spans="2:14" x14ac:dyDescent="0.25">
      <c r="C25" s="338" t="s">
        <v>273</v>
      </c>
      <c r="D25" s="414">
        <v>4.8649999999999999E-2</v>
      </c>
      <c r="E25" s="348"/>
      <c r="F25" s="357"/>
      <c r="G25" s="359">
        <f>$D$25</f>
        <v>4.8649999999999999E-2</v>
      </c>
      <c r="H25" s="348"/>
      <c r="J25" s="359">
        <f>$D$25</f>
        <v>4.8649999999999999E-2</v>
      </c>
      <c r="K25" s="348"/>
      <c r="M25" s="359">
        <f>$D$25</f>
        <v>4.8649999999999999E-2</v>
      </c>
      <c r="N25" s="348"/>
    </row>
    <row r="26" spans="2:14" x14ac:dyDescent="0.25">
      <c r="C26" s="338" t="s">
        <v>274</v>
      </c>
      <c r="D26" s="414">
        <v>-1.3699999999999999E-3</v>
      </c>
      <c r="E26" s="348"/>
      <c r="F26" s="357"/>
      <c r="G26" s="359">
        <f>$D$26</f>
        <v>-1.3699999999999999E-3</v>
      </c>
      <c r="H26" s="348"/>
      <c r="J26" s="359">
        <f>$D$26</f>
        <v>-1.3699999999999999E-3</v>
      </c>
      <c r="K26" s="348"/>
      <c r="M26" s="359">
        <f>$D$26</f>
        <v>-1.3699999999999999E-3</v>
      </c>
      <c r="N26" s="348"/>
    </row>
    <row r="27" spans="2:14" x14ac:dyDescent="0.25">
      <c r="C27" s="338" t="s">
        <v>275</v>
      </c>
      <c r="D27" s="414">
        <v>4.64E-3</v>
      </c>
      <c r="E27" s="348"/>
      <c r="F27" s="357"/>
      <c r="G27" s="359">
        <f>$D$27</f>
        <v>4.64E-3</v>
      </c>
      <c r="H27" s="348"/>
      <c r="J27" s="359">
        <f>$D$27</f>
        <v>4.64E-3</v>
      </c>
      <c r="K27" s="348"/>
      <c r="M27" s="359">
        <f>$D$27</f>
        <v>4.64E-3</v>
      </c>
      <c r="N27" s="348"/>
    </row>
    <row r="28" spans="2:14" x14ac:dyDescent="0.25">
      <c r="C28" s="338" t="s">
        <v>58</v>
      </c>
      <c r="D28" s="360">
        <f>SUM(D18:D27)</f>
        <v>0.78259000000000001</v>
      </c>
      <c r="E28" s="348">
        <f>ROUND(D28*D$9,2)</f>
        <v>50.09</v>
      </c>
      <c r="F28" s="357"/>
      <c r="G28" s="360">
        <f>SUM(G18:G27)</f>
        <v>0.78259000000000001</v>
      </c>
      <c r="H28" s="348">
        <f>ROUND(G28*G$9,2)</f>
        <v>50.09</v>
      </c>
      <c r="J28" s="360">
        <f>SUM(J18:J27)</f>
        <v>0.78259000000000001</v>
      </c>
      <c r="K28" s="348">
        <f>ROUND(J28*J$9,2)</f>
        <v>50.09</v>
      </c>
      <c r="M28" s="361">
        <f>SUM(M18:M27)</f>
        <v>0.78259000000000001</v>
      </c>
      <c r="N28" s="348">
        <f>ROUND(M28*M$9,2)</f>
        <v>50.09</v>
      </c>
    </row>
    <row r="29" spans="2:14" x14ac:dyDescent="0.25">
      <c r="M29" s="362"/>
      <c r="N29" s="348"/>
    </row>
    <row r="30" spans="2:14" x14ac:dyDescent="0.25">
      <c r="C30" s="338" t="s">
        <v>276</v>
      </c>
      <c r="D30" s="414">
        <v>2.8750000000000001E-2</v>
      </c>
      <c r="E30" s="348">
        <f>ROUND(D30*D$9,2)</f>
        <v>1.84</v>
      </c>
      <c r="F30" s="357"/>
      <c r="G30" s="363">
        <f>$D$30</f>
        <v>2.8750000000000001E-2</v>
      </c>
      <c r="H30" s="348">
        <f>ROUND(G30*G$9,2)</f>
        <v>1.84</v>
      </c>
      <c r="J30" s="363">
        <f>$D$30</f>
        <v>2.8750000000000001E-2</v>
      </c>
      <c r="K30" s="348">
        <f>ROUND(J30*J$9,2)</f>
        <v>1.84</v>
      </c>
      <c r="M30" s="363">
        <f>$D$30</f>
        <v>2.8750000000000001E-2</v>
      </c>
      <c r="N30" s="348">
        <f>ROUND(M30*M$9,2)</f>
        <v>1.84</v>
      </c>
    </row>
    <row r="31" spans="2:14" x14ac:dyDescent="0.25">
      <c r="D31" s="358"/>
      <c r="E31" s="348"/>
      <c r="F31" s="357"/>
      <c r="G31" s="358"/>
      <c r="H31" s="348"/>
      <c r="J31" s="358"/>
      <c r="K31" s="348"/>
      <c r="M31" s="359"/>
      <c r="N31" s="348"/>
    </row>
    <row r="32" spans="2:14" x14ac:dyDescent="0.25">
      <c r="C32" s="338" t="s">
        <v>277</v>
      </c>
      <c r="D32" s="356">
        <f>'Sch. 101'!$E$10</f>
        <v>0.69018999999999997</v>
      </c>
      <c r="E32" s="348"/>
      <c r="F32" s="357"/>
      <c r="G32" s="356">
        <f>'Sch. 101'!$F$10</f>
        <v>0.55610999999999999</v>
      </c>
      <c r="H32" s="348"/>
      <c r="J32" s="358">
        <f>$D$32</f>
        <v>0.69018999999999997</v>
      </c>
      <c r="K32" s="348"/>
      <c r="M32" s="356">
        <f>'Sch. 101'!$F$10</f>
        <v>0.55610999999999999</v>
      </c>
      <c r="N32" s="348"/>
    </row>
    <row r="33" spans="2:14" x14ac:dyDescent="0.25">
      <c r="C33" s="338" t="s">
        <v>278</v>
      </c>
      <c r="D33" s="414">
        <v>4.036E-2</v>
      </c>
      <c r="E33" s="348"/>
      <c r="F33" s="357"/>
      <c r="G33" s="359">
        <f>$D$33</f>
        <v>4.036E-2</v>
      </c>
      <c r="H33" s="348"/>
      <c r="J33" s="414">
        <v>-0.20172999999999999</v>
      </c>
      <c r="K33" s="348"/>
      <c r="M33" s="414">
        <v>-0.20172999999999999</v>
      </c>
      <c r="N33" s="348"/>
    </row>
    <row r="34" spans="2:14" x14ac:dyDescent="0.25">
      <c r="C34" s="338" t="s">
        <v>58</v>
      </c>
      <c r="D34" s="360">
        <f>SUM(D32:D33)</f>
        <v>0.73054999999999992</v>
      </c>
      <c r="E34" s="348">
        <f>ROUND(D34*D$9,2)</f>
        <v>46.76</v>
      </c>
      <c r="F34" s="357"/>
      <c r="G34" s="360">
        <f>SUM(G32:G33)</f>
        <v>0.59646999999999994</v>
      </c>
      <c r="H34" s="348">
        <f>ROUND(G34*G$9,2)</f>
        <v>38.17</v>
      </c>
      <c r="J34" s="360">
        <f>SUM(J32:J33)</f>
        <v>0.48846000000000001</v>
      </c>
      <c r="K34" s="348">
        <f>ROUND(J34*J$9,2)</f>
        <v>31.26</v>
      </c>
      <c r="M34" s="360">
        <f>SUM(M32:M33)</f>
        <v>0.35438000000000003</v>
      </c>
      <c r="N34" s="348">
        <f>ROUND(M34*M$9,2)</f>
        <v>22.68</v>
      </c>
    </row>
    <row r="35" spans="2:14" x14ac:dyDescent="0.25">
      <c r="C35" s="338" t="s">
        <v>40</v>
      </c>
      <c r="D35" s="360">
        <f>D28+D30+D34</f>
        <v>1.54189</v>
      </c>
      <c r="E35" s="364">
        <f>SUM(E28,E30,E34)</f>
        <v>98.69</v>
      </c>
      <c r="F35" s="365"/>
      <c r="G35" s="360">
        <f>G28+G30+G34</f>
        <v>1.40781</v>
      </c>
      <c r="H35" s="364">
        <f>SUM(H28,H30,H34)</f>
        <v>90.100000000000009</v>
      </c>
      <c r="J35" s="360">
        <f>J28+J30+J34</f>
        <v>1.2998000000000001</v>
      </c>
      <c r="K35" s="364">
        <f>SUM(K28,K30,K34)</f>
        <v>83.190000000000012</v>
      </c>
      <c r="M35" s="360">
        <f>M28+M30+M34</f>
        <v>1.1657200000000001</v>
      </c>
      <c r="N35" s="364">
        <f>SUM(N28,N30,N34)</f>
        <v>74.610000000000014</v>
      </c>
    </row>
    <row r="36" spans="2:14" x14ac:dyDescent="0.25">
      <c r="E36" s="348"/>
      <c r="H36" s="348"/>
      <c r="K36" s="348"/>
      <c r="N36" s="348"/>
    </row>
    <row r="37" spans="2:14" x14ac:dyDescent="0.25">
      <c r="B37" s="338" t="s">
        <v>41</v>
      </c>
      <c r="D37" s="352"/>
      <c r="E37" s="348">
        <f>E13+E15+E35</f>
        <v>99.09</v>
      </c>
      <c r="F37" s="366"/>
      <c r="G37" s="352"/>
      <c r="H37" s="348">
        <f>H13+H15+H35</f>
        <v>90.500000000000014</v>
      </c>
      <c r="J37" s="352"/>
      <c r="K37" s="348">
        <f>K13+K15+K35</f>
        <v>83.590000000000018</v>
      </c>
      <c r="M37" s="352"/>
      <c r="N37" s="348">
        <f>N13+N15+N35</f>
        <v>75.010000000000019</v>
      </c>
    </row>
    <row r="38" spans="2:14" x14ac:dyDescent="0.25">
      <c r="B38" s="338" t="s">
        <v>42</v>
      </c>
      <c r="D38" s="352"/>
      <c r="E38" s="348"/>
      <c r="F38" s="366"/>
      <c r="G38" s="352"/>
      <c r="H38" s="348">
        <f>H37-$E37</f>
        <v>-8.5899999999999892</v>
      </c>
      <c r="J38" s="352"/>
      <c r="K38" s="348">
        <f>K37-$E37</f>
        <v>-15.499999999999986</v>
      </c>
      <c r="M38" s="352"/>
      <c r="N38" s="348">
        <f>N37-$E37</f>
        <v>-24.079999999999984</v>
      </c>
    </row>
    <row r="39" spans="2:14" x14ac:dyDescent="0.25">
      <c r="B39" s="338" t="s">
        <v>43</v>
      </c>
      <c r="D39" s="367"/>
      <c r="E39" s="367"/>
      <c r="F39" s="368"/>
      <c r="G39" s="367"/>
      <c r="H39" s="369">
        <f>H38/$E37</f>
        <v>-8.6688868705217373E-2</v>
      </c>
      <c r="J39" s="367"/>
      <c r="K39" s="369">
        <f>K38/$E37</f>
        <v>-0.15642345342617808</v>
      </c>
      <c r="M39" s="367"/>
      <c r="N39" s="369">
        <f>N38/$E37</f>
        <v>-0.24301140377434638</v>
      </c>
    </row>
    <row r="40" spans="2:14" x14ac:dyDescent="0.25">
      <c r="E40" s="348"/>
    </row>
    <row r="41" spans="2:14" x14ac:dyDescent="0.25">
      <c r="B41" s="338" t="s">
        <v>59</v>
      </c>
      <c r="D41" s="358">
        <f>D28+D30</f>
        <v>0.81134000000000006</v>
      </c>
      <c r="E41" s="348"/>
      <c r="F41" s="365"/>
      <c r="G41" s="358">
        <f>G28+G30</f>
        <v>0.81134000000000006</v>
      </c>
      <c r="J41" s="358">
        <f>J28+J30</f>
        <v>0.81134000000000006</v>
      </c>
      <c r="M41" s="358">
        <f>M28+M30</f>
        <v>0.81134000000000006</v>
      </c>
    </row>
    <row r="43" spans="2:14" ht="17.25" x14ac:dyDescent="0.25">
      <c r="B43" s="370" t="s">
        <v>325</v>
      </c>
    </row>
    <row r="47" spans="2:14" ht="14.25" customHeight="1" x14ac:dyDescent="0.25"/>
  </sheetData>
  <printOptions horizontalCentered="1"/>
  <pageMargins left="0.45" right="0.45" top="1" bottom="1" header="0.5" footer="0.5"/>
  <pageSetup scale="79" orientation="landscape" blackAndWhite="1" r:id="rId1"/>
  <headerFooter alignWithMargins="0">
    <oddFooter>&amp;L&amp;F  
&amp;A&amp;C&amp;P&amp;R&amp;D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>
      <pane ySplit="8" topLeftCell="A9" activePane="bottomLeft" state="frozen"/>
      <selection activeCell="Q37" sqref="Q37"/>
      <selection pane="bottomLeft" activeCell="K36" sqref="K36"/>
    </sheetView>
  </sheetViews>
  <sheetFormatPr defaultColWidth="8.7109375" defaultRowHeight="15" x14ac:dyDescent="0.25"/>
  <cols>
    <col min="1" max="1" width="3.28515625" style="362" customWidth="1"/>
    <col min="2" max="2" width="38.7109375" style="362" customWidth="1"/>
    <col min="3" max="3" width="9.140625" style="362" bestFit="1" customWidth="1"/>
    <col min="4" max="4" width="18.5703125" style="362" bestFit="1" customWidth="1"/>
    <col min="5" max="6" width="13.7109375" style="362" customWidth="1"/>
    <col min="7" max="8" width="14.42578125" style="362" customWidth="1"/>
    <col min="9" max="9" width="15.28515625" style="362" bestFit="1" customWidth="1"/>
    <col min="10" max="10" width="7.85546875" style="362" bestFit="1" customWidth="1"/>
    <col min="11" max="11" width="8.7109375" style="362"/>
    <col min="12" max="12" width="12.28515625" style="362" bestFit="1" customWidth="1"/>
    <col min="13" max="16384" width="8.7109375" style="362"/>
  </cols>
  <sheetData>
    <row r="1" spans="1:12" s="338" customFormat="1" ht="15" customHeight="1" x14ac:dyDescent="0.25">
      <c r="A1" s="513" t="s">
        <v>13</v>
      </c>
      <c r="B1" s="513"/>
      <c r="C1" s="513"/>
      <c r="D1" s="513"/>
      <c r="E1" s="513"/>
      <c r="F1" s="513"/>
      <c r="G1" s="513"/>
      <c r="H1" s="513"/>
      <c r="I1" s="513"/>
      <c r="J1" s="513"/>
      <c r="K1" s="339"/>
    </row>
    <row r="2" spans="1:12" s="338" customFormat="1" ht="15" customHeight="1" x14ac:dyDescent="0.25">
      <c r="A2" s="513" t="s">
        <v>258</v>
      </c>
      <c r="B2" s="513"/>
      <c r="C2" s="513"/>
      <c r="D2" s="513"/>
      <c r="E2" s="513"/>
      <c r="F2" s="513"/>
      <c r="G2" s="513"/>
      <c r="H2" s="513"/>
      <c r="I2" s="513"/>
      <c r="J2" s="513"/>
      <c r="K2" s="339"/>
    </row>
    <row r="3" spans="1:12" s="338" customFormat="1" ht="15" customHeight="1" x14ac:dyDescent="0.25">
      <c r="A3" s="513" t="s">
        <v>259</v>
      </c>
      <c r="B3" s="513"/>
      <c r="C3" s="513"/>
      <c r="D3" s="513"/>
      <c r="E3" s="513"/>
      <c r="F3" s="513"/>
      <c r="G3" s="513"/>
      <c r="H3" s="513"/>
      <c r="I3" s="513"/>
      <c r="J3" s="513"/>
      <c r="K3" s="339"/>
    </row>
    <row r="4" spans="1:12" s="338" customFormat="1" ht="15" customHeight="1" x14ac:dyDescent="0.25">
      <c r="A4" s="511" t="s">
        <v>320</v>
      </c>
      <c r="B4" s="511"/>
      <c r="C4" s="511"/>
      <c r="D4" s="511"/>
      <c r="E4" s="511"/>
      <c r="F4" s="511"/>
      <c r="G4" s="511"/>
      <c r="H4" s="511"/>
      <c r="I4" s="511"/>
      <c r="J4" s="511"/>
      <c r="K4" s="339"/>
    </row>
    <row r="5" spans="1:12" x14ac:dyDescent="0.25">
      <c r="E5" s="371"/>
      <c r="F5" s="371"/>
    </row>
    <row r="6" spans="1:12" x14ac:dyDescent="0.25">
      <c r="B6" s="297"/>
      <c r="C6" s="297"/>
      <c r="D6" s="297" t="s">
        <v>73</v>
      </c>
      <c r="E6" s="297" t="s">
        <v>30</v>
      </c>
      <c r="F6" s="297" t="s">
        <v>31</v>
      </c>
      <c r="G6" s="297" t="s">
        <v>73</v>
      </c>
      <c r="H6" s="297" t="s">
        <v>73</v>
      </c>
      <c r="I6" s="297" t="s">
        <v>197</v>
      </c>
      <c r="J6" s="297"/>
    </row>
    <row r="7" spans="1:12" x14ac:dyDescent="0.25">
      <c r="B7" s="297"/>
      <c r="C7" s="297"/>
      <c r="D7" s="297" t="s">
        <v>74</v>
      </c>
      <c r="E7" s="297" t="s">
        <v>197</v>
      </c>
      <c r="F7" s="297" t="s">
        <v>197</v>
      </c>
      <c r="G7" s="297" t="s">
        <v>27</v>
      </c>
      <c r="H7" s="297" t="s">
        <v>27</v>
      </c>
      <c r="I7" s="297" t="s">
        <v>27</v>
      </c>
      <c r="J7" s="297" t="s">
        <v>32</v>
      </c>
    </row>
    <row r="8" spans="1:12" x14ac:dyDescent="0.25">
      <c r="A8" s="372"/>
      <c r="B8" s="345" t="s">
        <v>26</v>
      </c>
      <c r="C8" s="345" t="s">
        <v>134</v>
      </c>
      <c r="D8" s="373" t="str">
        <f>'Rate Impacts Sch 101_106'!$T$7</f>
        <v>12ME Oct. 2024</v>
      </c>
      <c r="E8" s="300" t="s">
        <v>21</v>
      </c>
      <c r="F8" s="300" t="s">
        <v>21</v>
      </c>
      <c r="G8" s="300" t="s">
        <v>60</v>
      </c>
      <c r="H8" s="300" t="s">
        <v>198</v>
      </c>
      <c r="I8" s="300" t="s">
        <v>22</v>
      </c>
      <c r="J8" s="300" t="s">
        <v>22</v>
      </c>
    </row>
    <row r="9" spans="1:12" x14ac:dyDescent="0.25">
      <c r="A9" s="374" t="s">
        <v>199</v>
      </c>
      <c r="B9" s="338"/>
      <c r="C9" s="374"/>
      <c r="D9" s="297"/>
      <c r="E9" s="297"/>
      <c r="F9" s="297"/>
      <c r="G9" s="303"/>
      <c r="H9" s="303"/>
      <c r="I9" s="297"/>
      <c r="J9" s="297"/>
    </row>
    <row r="10" spans="1:12" x14ac:dyDescent="0.25">
      <c r="A10" s="338"/>
      <c r="B10" s="340" t="s">
        <v>200</v>
      </c>
      <c r="C10" s="340" t="s">
        <v>201</v>
      </c>
      <c r="D10" s="413">
        <v>558669681</v>
      </c>
      <c r="E10" s="375">
        <v>0.69018999999999997</v>
      </c>
      <c r="F10" s="376">
        <f>'Rates Summary '!$E$52</f>
        <v>0.55610999999999999</v>
      </c>
      <c r="G10" s="377">
        <f>ROUND(E10*D10,2)</f>
        <v>385588227.13</v>
      </c>
      <c r="H10" s="377">
        <f>ROUND(F10*D10,2)</f>
        <v>310681796.30000001</v>
      </c>
      <c r="I10" s="309">
        <f>H10-G10</f>
        <v>-74906430.829999983</v>
      </c>
      <c r="J10" s="378">
        <f>I10/G10</f>
        <v>-0.19426534722686303</v>
      </c>
      <c r="L10" s="309"/>
    </row>
    <row r="11" spans="1:12" x14ac:dyDescent="0.25">
      <c r="A11" s="338"/>
      <c r="B11" s="379"/>
      <c r="C11" s="379"/>
      <c r="D11" s="413"/>
      <c r="E11" s="375"/>
      <c r="F11" s="375"/>
      <c r="G11" s="377"/>
      <c r="H11" s="377"/>
      <c r="I11" s="309"/>
      <c r="J11" s="378"/>
    </row>
    <row r="12" spans="1:12" x14ac:dyDescent="0.25">
      <c r="A12" s="380" t="s">
        <v>202</v>
      </c>
      <c r="B12" s="338"/>
      <c r="C12" s="374"/>
      <c r="D12" s="413"/>
      <c r="E12" s="375"/>
      <c r="F12" s="375"/>
      <c r="G12" s="377"/>
      <c r="H12" s="377"/>
      <c r="I12" s="309"/>
      <c r="J12" s="378"/>
    </row>
    <row r="13" spans="1:12" x14ac:dyDescent="0.25">
      <c r="A13" s="338"/>
      <c r="B13" s="340" t="s">
        <v>200</v>
      </c>
      <c r="C13" s="381" t="s">
        <v>201</v>
      </c>
      <c r="D13" s="416">
        <v>6996</v>
      </c>
      <c r="E13" s="375">
        <v>0.61617999999999995</v>
      </c>
      <c r="F13" s="382">
        <f>'Rates Summary '!$F$52</f>
        <v>0.55610999999999999</v>
      </c>
      <c r="G13" s="377">
        <f>ROUND(E13*D13,2)</f>
        <v>4310.8</v>
      </c>
      <c r="H13" s="377">
        <f>ROUND(F13*D13,2)</f>
        <v>3890.55</v>
      </c>
      <c r="I13" s="309">
        <f>H13-G13</f>
        <v>-420.25</v>
      </c>
      <c r="J13" s="378">
        <f>I13/G13</f>
        <v>-9.7487705298320487E-2</v>
      </c>
      <c r="L13" s="309"/>
    </row>
    <row r="14" spans="1:12" x14ac:dyDescent="0.25">
      <c r="A14" s="338"/>
      <c r="D14" s="383"/>
      <c r="F14" s="383"/>
    </row>
    <row r="15" spans="1:12" x14ac:dyDescent="0.25">
      <c r="A15" s="374" t="s">
        <v>203</v>
      </c>
      <c r="B15" s="338"/>
      <c r="C15" s="379"/>
      <c r="D15" s="383"/>
      <c r="E15" s="375"/>
      <c r="F15" s="375"/>
      <c r="G15" s="377"/>
      <c r="H15" s="377"/>
      <c r="I15" s="309"/>
      <c r="J15" s="378"/>
    </row>
    <row r="16" spans="1:12" x14ac:dyDescent="0.25">
      <c r="A16" s="338"/>
      <c r="B16" s="340" t="s">
        <v>200</v>
      </c>
      <c r="C16" s="340" t="s">
        <v>201</v>
      </c>
      <c r="D16" s="413">
        <v>231772233</v>
      </c>
      <c r="E16" s="385">
        <v>0.60804999999999998</v>
      </c>
      <c r="F16" s="376">
        <f>'Rates Summary '!$G$52</f>
        <v>0.54957999999999996</v>
      </c>
      <c r="G16" s="377">
        <f>ROUND(E16*D16,2)</f>
        <v>140929106.28</v>
      </c>
      <c r="H16" s="377">
        <f>ROUND(F16*D16,2)</f>
        <v>127377383.81</v>
      </c>
      <c r="I16" s="309">
        <f>H16-G16</f>
        <v>-13551722.469999999</v>
      </c>
      <c r="J16" s="378">
        <f>I16/G16</f>
        <v>-9.6159855318143E-2</v>
      </c>
      <c r="L16" s="309"/>
    </row>
    <row r="17" spans="1:13" x14ac:dyDescent="0.25">
      <c r="A17" s="338"/>
      <c r="B17" s="340"/>
      <c r="C17" s="340"/>
      <c r="D17" s="383"/>
      <c r="E17" s="375"/>
      <c r="F17" s="375"/>
      <c r="G17" s="377"/>
      <c r="H17" s="377"/>
      <c r="I17" s="309"/>
      <c r="J17" s="378"/>
    </row>
    <row r="18" spans="1:13" x14ac:dyDescent="0.25">
      <c r="A18" s="380" t="s">
        <v>204</v>
      </c>
      <c r="B18" s="338"/>
      <c r="C18" s="379"/>
      <c r="D18" s="383"/>
      <c r="E18" s="375"/>
      <c r="F18" s="375"/>
      <c r="G18" s="377"/>
      <c r="H18" s="377"/>
      <c r="I18" s="309"/>
      <c r="J18" s="378"/>
    </row>
    <row r="19" spans="1:13" x14ac:dyDescent="0.25">
      <c r="A19" s="338"/>
      <c r="B19" s="386" t="s">
        <v>205</v>
      </c>
      <c r="C19" s="340" t="s">
        <v>201</v>
      </c>
      <c r="D19" s="413">
        <v>62094943</v>
      </c>
      <c r="E19" s="385">
        <v>0.50080999999999998</v>
      </c>
      <c r="F19" s="376">
        <f>'Rates Summary '!$H$52</f>
        <v>0.44874000000000003</v>
      </c>
      <c r="G19" s="377">
        <f t="shared" ref="G19:G20" si="0">ROUND(E19*D19,2)</f>
        <v>31097768.399999999</v>
      </c>
      <c r="H19" s="377">
        <f t="shared" ref="H19:H20" si="1">ROUND(F19*D19,2)</f>
        <v>27864484.719999999</v>
      </c>
      <c r="I19" s="309">
        <f t="shared" ref="I19:I20" si="2">H19-G19</f>
        <v>-3233283.6799999997</v>
      </c>
      <c r="J19" s="378">
        <f t="shared" ref="J19:J20" si="3">I19/G19</f>
        <v>-0.10397156601114824</v>
      </c>
    </row>
    <row r="20" spans="1:13" x14ac:dyDescent="0.25">
      <c r="A20" s="338"/>
      <c r="B20" s="386" t="s">
        <v>206</v>
      </c>
      <c r="C20" s="340" t="s">
        <v>3</v>
      </c>
      <c r="D20" s="413">
        <v>4954236</v>
      </c>
      <c r="E20" s="387">
        <v>1.05</v>
      </c>
      <c r="F20" s="350">
        <f>'Rates Summary '!$H$46</f>
        <v>1.05</v>
      </c>
      <c r="G20" s="377">
        <f t="shared" si="0"/>
        <v>5201947.8</v>
      </c>
      <c r="H20" s="377">
        <f t="shared" si="1"/>
        <v>5201947.8</v>
      </c>
      <c r="I20" s="309">
        <f t="shared" si="2"/>
        <v>0</v>
      </c>
      <c r="J20" s="378">
        <f t="shared" si="3"/>
        <v>0</v>
      </c>
    </row>
    <row r="21" spans="1:13" x14ac:dyDescent="0.25">
      <c r="A21" s="338"/>
      <c r="B21" s="386" t="s">
        <v>11</v>
      </c>
      <c r="C21" s="340"/>
      <c r="D21" s="383"/>
      <c r="E21" s="375"/>
      <c r="F21" s="375"/>
      <c r="G21" s="314">
        <f>SUM(G19:G20)</f>
        <v>36299716.199999996</v>
      </c>
      <c r="H21" s="314">
        <f t="shared" ref="H21:I21" si="4">SUM(H19:H20)</f>
        <v>33066432.52</v>
      </c>
      <c r="I21" s="314">
        <f t="shared" si="4"/>
        <v>-3233283.6799999997</v>
      </c>
      <c r="J21" s="388">
        <f>I21/G21</f>
        <v>-8.9071872137667013E-2</v>
      </c>
      <c r="L21" s="309"/>
    </row>
    <row r="22" spans="1:13" x14ac:dyDescent="0.25">
      <c r="A22" s="338"/>
      <c r="B22" s="386"/>
      <c r="C22" s="340"/>
      <c r="D22" s="383"/>
      <c r="E22" s="375"/>
      <c r="F22" s="375"/>
      <c r="G22" s="377"/>
      <c r="H22" s="377"/>
      <c r="I22" s="309"/>
      <c r="J22" s="378"/>
      <c r="L22" s="309"/>
    </row>
    <row r="23" spans="1:13" x14ac:dyDescent="0.25">
      <c r="A23" s="374" t="s">
        <v>207</v>
      </c>
      <c r="B23" s="338"/>
      <c r="C23" s="379"/>
      <c r="D23" s="383"/>
      <c r="E23" s="389"/>
      <c r="F23" s="375"/>
      <c r="G23" s="377"/>
      <c r="H23" s="377"/>
      <c r="I23" s="309"/>
      <c r="J23" s="390"/>
    </row>
    <row r="24" spans="1:13" s="338" customFormat="1" x14ac:dyDescent="0.25">
      <c r="B24" s="386" t="s">
        <v>205</v>
      </c>
      <c r="C24" s="340" t="s">
        <v>201</v>
      </c>
      <c r="D24" s="413">
        <v>17262378</v>
      </c>
      <c r="E24" s="385">
        <v>0.53844999999999998</v>
      </c>
      <c r="F24" s="376">
        <f>'Rates Summary '!$I$52</f>
        <v>0.49014000000000002</v>
      </c>
      <c r="G24" s="377">
        <f t="shared" ref="G24:G25" si="5">ROUND(E24*D24,2)</f>
        <v>9294927.4299999997</v>
      </c>
      <c r="H24" s="377">
        <f t="shared" ref="H24:H25" si="6">ROUND(F24*D24,2)</f>
        <v>8460981.9499999993</v>
      </c>
      <c r="I24" s="309">
        <f t="shared" ref="I24:I25" si="7">H24-G24</f>
        <v>-833945.48000000045</v>
      </c>
      <c r="J24" s="378">
        <f t="shared" ref="J24:J25" si="8">I24/G24</f>
        <v>-8.9720493923210812E-2</v>
      </c>
    </row>
    <row r="25" spans="1:13" s="338" customFormat="1" x14ac:dyDescent="0.25">
      <c r="B25" s="386" t="s">
        <v>206</v>
      </c>
      <c r="C25" s="340" t="s">
        <v>3</v>
      </c>
      <c r="D25" s="413">
        <v>132036</v>
      </c>
      <c r="E25" s="387">
        <v>1.05</v>
      </c>
      <c r="F25" s="350">
        <f>'Rates Summary '!$I$46</f>
        <v>1.05</v>
      </c>
      <c r="G25" s="377">
        <f t="shared" si="5"/>
        <v>138637.79999999999</v>
      </c>
      <c r="H25" s="377">
        <f t="shared" si="6"/>
        <v>138637.79999999999</v>
      </c>
      <c r="I25" s="309">
        <f t="shared" si="7"/>
        <v>0</v>
      </c>
      <c r="J25" s="378">
        <f t="shared" si="8"/>
        <v>0</v>
      </c>
      <c r="K25" s="369"/>
      <c r="L25" s="391"/>
      <c r="M25" s="392"/>
    </row>
    <row r="26" spans="1:13" s="338" customFormat="1" x14ac:dyDescent="0.25">
      <c r="B26" s="379" t="s">
        <v>11</v>
      </c>
      <c r="C26" s="379"/>
      <c r="D26" s="383"/>
      <c r="E26" s="393"/>
      <c r="F26" s="394"/>
      <c r="G26" s="314">
        <f>SUM(G24:G25)</f>
        <v>9433565.2300000004</v>
      </c>
      <c r="H26" s="314">
        <f t="shared" ref="H26:I26" si="9">SUM(H24:H25)</f>
        <v>8599619.75</v>
      </c>
      <c r="I26" s="314">
        <f t="shared" si="9"/>
        <v>-833945.48000000045</v>
      </c>
      <c r="J26" s="388">
        <f>I26/G26</f>
        <v>-8.8401941330510145E-2</v>
      </c>
      <c r="K26" s="369"/>
      <c r="L26" s="307"/>
    </row>
    <row r="27" spans="1:13" s="338" customFormat="1" x14ac:dyDescent="0.25">
      <c r="B27" s="379"/>
      <c r="C27" s="379"/>
      <c r="D27" s="383"/>
      <c r="E27" s="393"/>
      <c r="F27" s="394"/>
      <c r="G27" s="377"/>
      <c r="H27" s="377"/>
      <c r="I27" s="309"/>
      <c r="J27" s="378"/>
      <c r="K27" s="369"/>
      <c r="L27" s="307"/>
    </row>
    <row r="28" spans="1:13" x14ac:dyDescent="0.25">
      <c r="A28" s="374" t="s">
        <v>208</v>
      </c>
      <c r="B28" s="338"/>
      <c r="C28" s="379"/>
      <c r="D28" s="383"/>
      <c r="F28" s="383"/>
      <c r="G28" s="395"/>
      <c r="H28" s="395"/>
      <c r="I28" s="309"/>
    </row>
    <row r="29" spans="1:13" x14ac:dyDescent="0.25">
      <c r="A29" s="338"/>
      <c r="B29" s="386" t="s">
        <v>205</v>
      </c>
      <c r="C29" s="340" t="s">
        <v>201</v>
      </c>
      <c r="D29" s="413">
        <v>4915802</v>
      </c>
      <c r="E29" s="385">
        <v>0.55086999999999997</v>
      </c>
      <c r="F29" s="376">
        <f>'Rates Summary '!$J$52</f>
        <v>0.49845</v>
      </c>
      <c r="G29" s="377">
        <f t="shared" ref="G29:G30" si="10">ROUND(E29*D29,2)</f>
        <v>2707967.85</v>
      </c>
      <c r="H29" s="377">
        <f t="shared" ref="H29:H30" si="11">ROUND(F29*D29,2)</f>
        <v>2450281.5099999998</v>
      </c>
      <c r="I29" s="309">
        <f t="shared" ref="I29:I30" si="12">H29-G29</f>
        <v>-257686.34000000032</v>
      </c>
      <c r="J29" s="378">
        <f t="shared" ref="J29:J30" si="13">I29/G29</f>
        <v>-9.5158566967477223E-2</v>
      </c>
    </row>
    <row r="30" spans="1:13" x14ac:dyDescent="0.25">
      <c r="A30" s="338"/>
      <c r="B30" s="386" t="s">
        <v>206</v>
      </c>
      <c r="C30" s="340" t="s">
        <v>3</v>
      </c>
      <c r="D30" s="413">
        <v>34152</v>
      </c>
      <c r="E30" s="387">
        <v>1.05</v>
      </c>
      <c r="F30" s="350">
        <f>'Rates Summary '!$J$46</f>
        <v>1.05</v>
      </c>
      <c r="G30" s="377">
        <f t="shared" si="10"/>
        <v>35859.599999999999</v>
      </c>
      <c r="H30" s="377">
        <f t="shared" si="11"/>
        <v>35859.599999999999</v>
      </c>
      <c r="I30" s="309">
        <f t="shared" si="12"/>
        <v>0</v>
      </c>
      <c r="J30" s="378">
        <f t="shared" si="13"/>
        <v>0</v>
      </c>
    </row>
    <row r="31" spans="1:13" x14ac:dyDescent="0.25">
      <c r="A31" s="340"/>
      <c r="B31" s="379" t="s">
        <v>11</v>
      </c>
      <c r="C31" s="379"/>
      <c r="D31" s="383"/>
      <c r="F31" s="383"/>
      <c r="G31" s="314">
        <f>SUM(G29:G30)</f>
        <v>2743827.45</v>
      </c>
      <c r="H31" s="314">
        <f t="shared" ref="H31:I31" si="14">SUM(H29:H30)</f>
        <v>2486141.11</v>
      </c>
      <c r="I31" s="314">
        <f t="shared" si="14"/>
        <v>-257686.34000000032</v>
      </c>
      <c r="J31" s="388">
        <f>I31/G31</f>
        <v>-9.3914921654421196E-2</v>
      </c>
      <c r="L31" s="309"/>
    </row>
    <row r="32" spans="1:13" x14ac:dyDescent="0.25">
      <c r="A32" s="340"/>
      <c r="B32" s="379"/>
      <c r="C32" s="379"/>
      <c r="D32" s="383"/>
      <c r="F32" s="383"/>
      <c r="G32" s="377"/>
      <c r="H32" s="377"/>
      <c r="I32" s="309"/>
      <c r="J32" s="378"/>
      <c r="L32" s="309"/>
    </row>
    <row r="33" spans="1:12" x14ac:dyDescent="0.25">
      <c r="A33" s="374" t="s">
        <v>209</v>
      </c>
      <c r="B33" s="338"/>
      <c r="C33" s="379"/>
      <c r="D33" s="383"/>
      <c r="F33" s="383"/>
      <c r="G33" s="396"/>
      <c r="H33" s="396"/>
      <c r="I33" s="309"/>
    </row>
    <row r="34" spans="1:12" x14ac:dyDescent="0.25">
      <c r="A34" s="338"/>
      <c r="B34" s="386" t="s">
        <v>205</v>
      </c>
      <c r="C34" s="340" t="s">
        <v>201</v>
      </c>
      <c r="D34" s="413">
        <v>20838410</v>
      </c>
      <c r="E34" s="385">
        <v>0.54690000000000005</v>
      </c>
      <c r="F34" s="376">
        <f>'Rates Summary '!$K$52</f>
        <v>0.49234</v>
      </c>
      <c r="G34" s="377">
        <f t="shared" ref="G34:G35" si="15">ROUND(E34*D34,2)</f>
        <v>11396526.43</v>
      </c>
      <c r="H34" s="377">
        <f t="shared" ref="H34:H35" si="16">ROUND(F34*D34,2)</f>
        <v>10259582.779999999</v>
      </c>
      <c r="I34" s="309">
        <f t="shared" ref="I34:I35" si="17">H34-G34</f>
        <v>-1136943.6500000004</v>
      </c>
      <c r="J34" s="378">
        <f t="shared" ref="J34" si="18">I34/G34</f>
        <v>-9.9762296607072448E-2</v>
      </c>
    </row>
    <row r="35" spans="1:12" x14ac:dyDescent="0.25">
      <c r="A35" s="338"/>
      <c r="B35" s="386" t="s">
        <v>206</v>
      </c>
      <c r="C35" s="340" t="s">
        <v>3</v>
      </c>
      <c r="D35" s="413">
        <v>0</v>
      </c>
      <c r="E35" s="387">
        <v>1.05</v>
      </c>
      <c r="F35" s="350">
        <f>'Rates Summary '!$K$46</f>
        <v>1.05</v>
      </c>
      <c r="G35" s="377">
        <f t="shared" si="15"/>
        <v>0</v>
      </c>
      <c r="H35" s="377">
        <f t="shared" si="16"/>
        <v>0</v>
      </c>
      <c r="I35" s="309">
        <f t="shared" si="17"/>
        <v>0</v>
      </c>
      <c r="J35" s="378">
        <f>(F35-E35)/E35</f>
        <v>0</v>
      </c>
    </row>
    <row r="36" spans="1:12" x14ac:dyDescent="0.25">
      <c r="B36" s="386" t="s">
        <v>11</v>
      </c>
      <c r="D36" s="384"/>
      <c r="G36" s="314">
        <f>SUM(G34:G35)</f>
        <v>11396526.43</v>
      </c>
      <c r="H36" s="314">
        <f t="shared" ref="H36:I36" si="19">SUM(H34:H35)</f>
        <v>10259582.779999999</v>
      </c>
      <c r="I36" s="314">
        <f t="shared" si="19"/>
        <v>-1136943.6500000004</v>
      </c>
      <c r="J36" s="388">
        <f>I36/G36</f>
        <v>-9.9762296607072448E-2</v>
      </c>
      <c r="L36" s="309"/>
    </row>
    <row r="37" spans="1:12" x14ac:dyDescent="0.25">
      <c r="D37" s="384"/>
      <c r="G37" s="377"/>
      <c r="H37" s="377"/>
      <c r="I37" s="309"/>
      <c r="J37" s="378"/>
      <c r="L37" s="309"/>
    </row>
    <row r="38" spans="1:12" x14ac:dyDescent="0.25">
      <c r="A38" s="397" t="s">
        <v>11</v>
      </c>
      <c r="G38" s="398">
        <f>G10+G13+G16+G21+G26+G31+G36</f>
        <v>586395279.5200001</v>
      </c>
      <c r="H38" s="398">
        <f t="shared" ref="H38:I38" si="20">H10+H13+H16+H21+H26+H31+H36</f>
        <v>492474846.81999999</v>
      </c>
      <c r="I38" s="398">
        <f t="shared" si="20"/>
        <v>-93920432.700000003</v>
      </c>
      <c r="J38" s="388">
        <f>I38/G38</f>
        <v>-0.1601657379931154</v>
      </c>
    </row>
    <row r="39" spans="1:12" x14ac:dyDescent="0.25">
      <c r="B39" s="362" t="s">
        <v>201</v>
      </c>
      <c r="D39" s="399">
        <f>SUM(D10,D13,D16,D19,D24,D29,D34)</f>
        <v>895560443</v>
      </c>
    </row>
    <row r="40" spans="1:12" x14ac:dyDescent="0.25">
      <c r="B40" s="362" t="s">
        <v>3</v>
      </c>
      <c r="D40" s="399">
        <f>SUM(D20,D25,D30,D35)</f>
        <v>5120424</v>
      </c>
      <c r="I40" s="309"/>
    </row>
    <row r="41" spans="1:12" x14ac:dyDescent="0.25">
      <c r="I41" s="309"/>
    </row>
    <row r="42" spans="1:12" x14ac:dyDescent="0.25">
      <c r="G42" s="400"/>
      <c r="H42" s="400"/>
    </row>
  </sheetData>
  <mergeCells count="4">
    <mergeCell ref="A1:J1"/>
    <mergeCell ref="A2:J2"/>
    <mergeCell ref="A3:J3"/>
    <mergeCell ref="A4:J4"/>
  </mergeCells>
  <printOptions horizontalCentered="1"/>
  <pageMargins left="0.7" right="0.7" top="0.75" bottom="0.75" header="0.3" footer="0.3"/>
  <pageSetup scale="82" orientation="landscape" blackAndWhite="1" r:id="rId1"/>
  <headerFooter>
    <oddFooter>&amp;L&amp;F 
&amp;A&amp;C&amp;P&amp;R&amp;D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L33" sqref="L33"/>
    </sheetView>
  </sheetViews>
  <sheetFormatPr defaultRowHeight="15" x14ac:dyDescent="0.25"/>
  <cols>
    <col min="1" max="1" width="55.85546875" style="404" customWidth="1"/>
    <col min="2" max="2" width="16.140625" style="404" customWidth="1"/>
    <col min="3" max="16384" width="9.140625" style="404"/>
  </cols>
  <sheetData>
    <row r="1" spans="1:2" x14ac:dyDescent="0.25">
      <c r="A1" s="407" t="s">
        <v>13</v>
      </c>
    </row>
    <row r="2" spans="1:2" x14ac:dyDescent="0.25">
      <c r="A2" s="407" t="s">
        <v>340</v>
      </c>
    </row>
    <row r="3" spans="1:2" x14ac:dyDescent="0.25">
      <c r="A3" s="407" t="s">
        <v>339</v>
      </c>
    </row>
    <row r="4" spans="1:2" x14ac:dyDescent="0.25">
      <c r="A4" s="407" t="s">
        <v>320</v>
      </c>
    </row>
    <row r="7" spans="1:2" x14ac:dyDescent="0.25">
      <c r="A7" s="404" t="s">
        <v>342</v>
      </c>
      <c r="B7" s="406">
        <v>631690364.27253067</v>
      </c>
    </row>
    <row r="8" spans="1:2" x14ac:dyDescent="0.25">
      <c r="A8" s="404" t="s">
        <v>343</v>
      </c>
      <c r="B8" s="406">
        <v>449358983.75999999</v>
      </c>
    </row>
    <row r="9" spans="1:2" x14ac:dyDescent="0.25">
      <c r="A9" s="404" t="s">
        <v>344</v>
      </c>
      <c r="B9" s="406">
        <v>25762193.349999998</v>
      </c>
    </row>
    <row r="10" spans="1:2" x14ac:dyDescent="0.25">
      <c r="A10" s="404" t="s">
        <v>338</v>
      </c>
      <c r="B10" s="405">
        <f>SUM(B7:B9)</f>
        <v>1106811541.3825307</v>
      </c>
    </row>
    <row r="11" spans="1:2" x14ac:dyDescent="0.25">
      <c r="B11" s="406"/>
    </row>
    <row r="12" spans="1:2" x14ac:dyDescent="0.25">
      <c r="A12" s="404" t="s">
        <v>337</v>
      </c>
      <c r="B12" s="406">
        <f>B10*0.05</f>
        <v>55340577.069126539</v>
      </c>
    </row>
    <row r="13" spans="1:2" x14ac:dyDescent="0.25">
      <c r="A13" s="409" t="s">
        <v>345</v>
      </c>
      <c r="B13" s="440"/>
    </row>
    <row r="14" spans="1:2" x14ac:dyDescent="0.25">
      <c r="A14" s="404" t="s">
        <v>336</v>
      </c>
      <c r="B14" s="441"/>
    </row>
    <row r="15" spans="1:2" ht="15.75" thickBot="1" x14ac:dyDescent="0.3"/>
    <row r="16" spans="1:2" ht="15.75" thickBot="1" x14ac:dyDescent="0.3">
      <c r="A16" s="404" t="s">
        <v>341</v>
      </c>
      <c r="B16" s="442"/>
    </row>
    <row r="18" spans="1:3" x14ac:dyDescent="0.25">
      <c r="A18" s="438" t="s">
        <v>126</v>
      </c>
      <c r="B18" s="439"/>
      <c r="C18" s="408"/>
    </row>
  </sheetData>
  <pageMargins left="0.7" right="0.7" top="0.75" bottom="0.75" header="0.3" footer="0.3"/>
  <pageSetup orientation="portrait" horizontalDpi="90" verticalDpi="90" r:id="rId1"/>
  <headerFooter>
    <oddFooter>&amp;R&amp;F
&amp;A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2"/>
  <sheetViews>
    <sheetView zoomScaleNormal="100" workbookViewId="0">
      <selection activeCell="M36" sqref="M36"/>
    </sheetView>
  </sheetViews>
  <sheetFormatPr defaultColWidth="9.140625" defaultRowHeight="11.25" x14ac:dyDescent="0.2"/>
  <cols>
    <col min="1" max="1" width="35.5703125" style="4" customWidth="1"/>
    <col min="2" max="13" width="11.7109375" style="4" customWidth="1"/>
    <col min="14" max="14" width="16.28515625" style="4" bestFit="1" customWidth="1"/>
    <col min="15" max="15" width="11.28515625" style="4" bestFit="1" customWidth="1"/>
    <col min="16" max="16384" width="9.140625" style="4"/>
  </cols>
  <sheetData>
    <row r="1" spans="1:15" x14ac:dyDescent="0.2">
      <c r="A1" s="1" t="str">
        <f>'Rates Summary '!B1</f>
        <v>Puget Sound Energy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"/>
    </row>
    <row r="2" spans="1:15" x14ac:dyDescent="0.2">
      <c r="A2" s="401" t="str">
        <f>'Rates Summary '!B2</f>
        <v>2023 Gas Schedule 101 Purchased Gas Adjustment (PGA) Filing</v>
      </c>
      <c r="B2" s="2"/>
      <c r="C2" s="2"/>
      <c r="D2" s="2"/>
      <c r="E2" s="2"/>
      <c r="F2" s="159"/>
      <c r="G2" s="2"/>
      <c r="H2" s="2"/>
      <c r="I2" s="2"/>
      <c r="J2" s="2"/>
      <c r="K2" s="2"/>
      <c r="L2" s="2"/>
      <c r="M2" s="2"/>
      <c r="N2" s="17"/>
    </row>
    <row r="3" spans="1:15" x14ac:dyDescent="0.2">
      <c r="A3" s="1" t="s">
        <v>61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7"/>
    </row>
    <row r="4" spans="1:15" x14ac:dyDescent="0.2">
      <c r="A4" s="18"/>
      <c r="B4" s="10"/>
      <c r="C4" s="10"/>
      <c r="D4" s="10"/>
      <c r="E4" s="10"/>
      <c r="F4" s="10"/>
      <c r="G4" s="10"/>
      <c r="H4" s="10"/>
      <c r="I4" s="10"/>
      <c r="J4" s="10"/>
      <c r="K4" s="18"/>
      <c r="L4" s="10"/>
      <c r="M4" s="10"/>
      <c r="N4" s="10"/>
    </row>
    <row r="5" spans="1:15" x14ac:dyDescent="0.2">
      <c r="A5" s="18"/>
      <c r="B5" s="10"/>
      <c r="C5" s="10"/>
      <c r="D5" s="10"/>
      <c r="E5" s="10"/>
      <c r="F5" s="10"/>
      <c r="G5" s="10"/>
      <c r="H5" s="10"/>
      <c r="I5" s="10"/>
      <c r="J5" s="10"/>
      <c r="K5" s="18"/>
      <c r="L5" s="10"/>
      <c r="M5" s="10"/>
      <c r="N5" s="10"/>
    </row>
    <row r="6" spans="1:15" x14ac:dyDescent="0.2">
      <c r="A6" s="18" t="s">
        <v>34</v>
      </c>
      <c r="G6" s="18"/>
      <c r="H6" s="18"/>
      <c r="N6" s="160" t="str">
        <f>TEXT(B7,"MMM. YYYY")&amp;" - "&amp;TEXT(M7,"MMM. YYYY")</f>
        <v>Nov. 2023 - Oct. 2024</v>
      </c>
    </row>
    <row r="7" spans="1:15" x14ac:dyDescent="0.2">
      <c r="A7" s="15" t="s">
        <v>54</v>
      </c>
      <c r="B7" s="161">
        <v>45231</v>
      </c>
      <c r="C7" s="161">
        <f t="shared" ref="C7:M7" si="0">EDATE(B7,1)</f>
        <v>45261</v>
      </c>
      <c r="D7" s="161">
        <f t="shared" si="0"/>
        <v>45292</v>
      </c>
      <c r="E7" s="161">
        <f t="shared" si="0"/>
        <v>45323</v>
      </c>
      <c r="F7" s="161">
        <f t="shared" si="0"/>
        <v>45352</v>
      </c>
      <c r="G7" s="161">
        <f t="shared" si="0"/>
        <v>45383</v>
      </c>
      <c r="H7" s="161">
        <f t="shared" si="0"/>
        <v>45413</v>
      </c>
      <c r="I7" s="161">
        <f t="shared" si="0"/>
        <v>45444</v>
      </c>
      <c r="J7" s="161">
        <f t="shared" si="0"/>
        <v>45474</v>
      </c>
      <c r="K7" s="161">
        <f t="shared" si="0"/>
        <v>45505</v>
      </c>
      <c r="L7" s="161">
        <f t="shared" si="0"/>
        <v>45536</v>
      </c>
      <c r="M7" s="161">
        <f t="shared" si="0"/>
        <v>45566</v>
      </c>
      <c r="N7" s="15" t="s">
        <v>11</v>
      </c>
    </row>
    <row r="8" spans="1:15" x14ac:dyDescent="0.2">
      <c r="A8" s="14">
        <v>23</v>
      </c>
      <c r="B8" s="417">
        <v>65562560</v>
      </c>
      <c r="C8" s="417">
        <v>87632029</v>
      </c>
      <c r="D8" s="417">
        <v>85099134</v>
      </c>
      <c r="E8" s="417">
        <v>74985418</v>
      </c>
      <c r="F8" s="417">
        <v>68653480</v>
      </c>
      <c r="G8" s="417">
        <v>46949280</v>
      </c>
      <c r="H8" s="417">
        <v>27300857</v>
      </c>
      <c r="I8" s="417">
        <v>18661784</v>
      </c>
      <c r="J8" s="417">
        <v>14141387</v>
      </c>
      <c r="K8" s="417">
        <v>13556472</v>
      </c>
      <c r="L8" s="417">
        <v>17856721</v>
      </c>
      <c r="M8" s="417">
        <v>38270559</v>
      </c>
      <c r="N8" s="90">
        <f>SUM(B8:M8)</f>
        <v>558669681</v>
      </c>
      <c r="O8" s="19"/>
    </row>
    <row r="9" spans="1:15" x14ac:dyDescent="0.2">
      <c r="A9" s="14">
        <v>16</v>
      </c>
      <c r="B9" s="417">
        <v>583</v>
      </c>
      <c r="C9" s="417">
        <v>583</v>
      </c>
      <c r="D9" s="417">
        <v>583</v>
      </c>
      <c r="E9" s="417">
        <v>583</v>
      </c>
      <c r="F9" s="417">
        <v>583</v>
      </c>
      <c r="G9" s="417">
        <v>583</v>
      </c>
      <c r="H9" s="417">
        <v>583</v>
      </c>
      <c r="I9" s="417">
        <v>583</v>
      </c>
      <c r="J9" s="417">
        <v>583</v>
      </c>
      <c r="K9" s="417">
        <v>583</v>
      </c>
      <c r="L9" s="417">
        <v>583</v>
      </c>
      <c r="M9" s="417">
        <v>583</v>
      </c>
      <c r="N9" s="90">
        <f t="shared" ref="N9:N14" si="1">SUM(B9:M9)</f>
        <v>6996</v>
      </c>
      <c r="O9" s="19"/>
    </row>
    <row r="10" spans="1:15" x14ac:dyDescent="0.2">
      <c r="A10" s="14">
        <v>31</v>
      </c>
      <c r="B10" s="417">
        <v>28075770</v>
      </c>
      <c r="C10" s="417">
        <v>34266762</v>
      </c>
      <c r="D10" s="417">
        <v>29841972</v>
      </c>
      <c r="E10" s="417">
        <v>26959673</v>
      </c>
      <c r="F10" s="417">
        <v>23951671</v>
      </c>
      <c r="G10" s="417">
        <v>17138745</v>
      </c>
      <c r="H10" s="417">
        <v>12479173</v>
      </c>
      <c r="I10" s="417">
        <v>10007332</v>
      </c>
      <c r="J10" s="417">
        <v>8541920</v>
      </c>
      <c r="K10" s="417">
        <v>9385859</v>
      </c>
      <c r="L10" s="417">
        <v>11554397</v>
      </c>
      <c r="M10" s="417">
        <v>19568959</v>
      </c>
      <c r="N10" s="90">
        <f t="shared" si="1"/>
        <v>231772233</v>
      </c>
      <c r="O10" s="19"/>
    </row>
    <row r="11" spans="1:15" x14ac:dyDescent="0.2">
      <c r="A11" s="14">
        <v>41</v>
      </c>
      <c r="B11" s="417">
        <v>7466927</v>
      </c>
      <c r="C11" s="417">
        <v>8120651</v>
      </c>
      <c r="D11" s="417">
        <v>7027771</v>
      </c>
      <c r="E11" s="417">
        <v>6731689</v>
      </c>
      <c r="F11" s="417">
        <v>6193338</v>
      </c>
      <c r="G11" s="417">
        <v>4749198</v>
      </c>
      <c r="H11" s="417">
        <v>3794892</v>
      </c>
      <c r="I11" s="417">
        <v>3220044</v>
      </c>
      <c r="J11" s="417">
        <v>2633383</v>
      </c>
      <c r="K11" s="417">
        <v>2880961</v>
      </c>
      <c r="L11" s="417">
        <v>3593806</v>
      </c>
      <c r="M11" s="417">
        <v>5682283</v>
      </c>
      <c r="N11" s="90">
        <f t="shared" si="1"/>
        <v>62094943</v>
      </c>
      <c r="O11" s="19"/>
    </row>
    <row r="12" spans="1:15" x14ac:dyDescent="0.2">
      <c r="A12" s="14">
        <v>85</v>
      </c>
      <c r="B12" s="417">
        <v>1566880</v>
      </c>
      <c r="C12" s="417">
        <v>1847879</v>
      </c>
      <c r="D12" s="417">
        <v>1599575</v>
      </c>
      <c r="E12" s="417">
        <v>1594052</v>
      </c>
      <c r="F12" s="417">
        <v>1547353</v>
      </c>
      <c r="G12" s="417">
        <v>1330588</v>
      </c>
      <c r="H12" s="417">
        <v>1333543</v>
      </c>
      <c r="I12" s="417">
        <v>1228915</v>
      </c>
      <c r="J12" s="417">
        <v>1241425</v>
      </c>
      <c r="K12" s="417">
        <v>1346578</v>
      </c>
      <c r="L12" s="417">
        <v>1180877</v>
      </c>
      <c r="M12" s="417">
        <v>1444713</v>
      </c>
      <c r="N12" s="90">
        <f t="shared" si="1"/>
        <v>17262378</v>
      </c>
      <c r="O12" s="19"/>
    </row>
    <row r="13" spans="1:15" x14ac:dyDescent="0.2">
      <c r="A13" s="14">
        <v>86</v>
      </c>
      <c r="B13" s="417">
        <v>520057</v>
      </c>
      <c r="C13" s="417">
        <v>815418</v>
      </c>
      <c r="D13" s="417">
        <v>702664</v>
      </c>
      <c r="E13" s="417">
        <v>693062</v>
      </c>
      <c r="F13" s="417">
        <v>665938</v>
      </c>
      <c r="G13" s="417">
        <v>468531</v>
      </c>
      <c r="H13" s="417">
        <v>388605</v>
      </c>
      <c r="I13" s="417">
        <v>222624</v>
      </c>
      <c r="J13" s="417">
        <v>99487</v>
      </c>
      <c r="K13" s="417">
        <v>17695</v>
      </c>
      <c r="L13" s="417">
        <v>47188</v>
      </c>
      <c r="M13" s="417">
        <v>274533</v>
      </c>
      <c r="N13" s="90">
        <f t="shared" si="1"/>
        <v>4915802</v>
      </c>
      <c r="O13" s="19"/>
    </row>
    <row r="14" spans="1:15" x14ac:dyDescent="0.2">
      <c r="A14" s="5">
        <v>87</v>
      </c>
      <c r="B14" s="417">
        <v>2056906</v>
      </c>
      <c r="C14" s="417">
        <v>2445861</v>
      </c>
      <c r="D14" s="417">
        <v>1836059</v>
      </c>
      <c r="E14" s="417">
        <v>1824391</v>
      </c>
      <c r="F14" s="417">
        <v>1749044</v>
      </c>
      <c r="G14" s="417">
        <v>1402353</v>
      </c>
      <c r="H14" s="417">
        <v>1509483</v>
      </c>
      <c r="I14" s="417">
        <v>1358291</v>
      </c>
      <c r="J14" s="417">
        <v>1475182</v>
      </c>
      <c r="K14" s="417">
        <v>1610634</v>
      </c>
      <c r="L14" s="417">
        <v>1501333</v>
      </c>
      <c r="M14" s="417">
        <v>2068873</v>
      </c>
      <c r="N14" s="90">
        <f t="shared" si="1"/>
        <v>20838410</v>
      </c>
      <c r="O14" s="19"/>
    </row>
    <row r="15" spans="1:15" x14ac:dyDescent="0.2">
      <c r="A15" s="4" t="s">
        <v>1</v>
      </c>
      <c r="B15" s="85">
        <f t="shared" ref="B15:N15" si="2">SUM(B8:B14)</f>
        <v>105249683</v>
      </c>
      <c r="C15" s="85">
        <f t="shared" si="2"/>
        <v>135129183</v>
      </c>
      <c r="D15" s="85">
        <f t="shared" si="2"/>
        <v>126107758</v>
      </c>
      <c r="E15" s="85">
        <f t="shared" si="2"/>
        <v>112788868</v>
      </c>
      <c r="F15" s="85">
        <f t="shared" si="2"/>
        <v>102761407</v>
      </c>
      <c r="G15" s="85">
        <f t="shared" si="2"/>
        <v>72039278</v>
      </c>
      <c r="H15" s="85">
        <f t="shared" si="2"/>
        <v>46807136</v>
      </c>
      <c r="I15" s="85">
        <f t="shared" si="2"/>
        <v>34699573</v>
      </c>
      <c r="J15" s="85">
        <f t="shared" si="2"/>
        <v>28133367</v>
      </c>
      <c r="K15" s="85">
        <f t="shared" si="2"/>
        <v>28798782</v>
      </c>
      <c r="L15" s="85">
        <f t="shared" si="2"/>
        <v>35734905</v>
      </c>
      <c r="M15" s="85">
        <f t="shared" si="2"/>
        <v>67310503</v>
      </c>
      <c r="N15" s="85">
        <f t="shared" si="2"/>
        <v>895560443</v>
      </c>
      <c r="O15" s="19"/>
    </row>
    <row r="16" spans="1:15" x14ac:dyDescent="0.2">
      <c r="A16" s="58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9"/>
    </row>
    <row r="17" spans="1:14" s="13" customFormat="1" x14ac:dyDescent="0.2">
      <c r="A17" s="84"/>
      <c r="E17" s="21"/>
      <c r="F17" s="21"/>
      <c r="G17" s="21"/>
      <c r="H17" s="21"/>
      <c r="I17" s="21"/>
      <c r="J17" s="21"/>
      <c r="K17" s="21"/>
      <c r="L17" s="21"/>
      <c r="M17" s="21"/>
    </row>
    <row r="18" spans="1:14" s="13" customFormat="1" x14ac:dyDescent="0.2">
      <c r="A18" s="18" t="s">
        <v>225</v>
      </c>
      <c r="B18" s="4"/>
      <c r="C18" s="4"/>
      <c r="D18" s="4"/>
      <c r="E18" s="4"/>
      <c r="F18" s="4"/>
      <c r="G18" s="18"/>
      <c r="H18" s="18"/>
      <c r="I18" s="4"/>
      <c r="J18" s="4"/>
      <c r="K18" s="4"/>
      <c r="L18" s="4"/>
      <c r="M18" s="4"/>
      <c r="N18" s="160" t="str">
        <f>TEXT(B19,"MMM. YYYY")&amp;" - "&amp;TEXT(M19,"MMM. YYYY")</f>
        <v>Nov. 2023 - Oct. 2024</v>
      </c>
    </row>
    <row r="19" spans="1:14" s="13" customFormat="1" x14ac:dyDescent="0.2">
      <c r="A19" s="15" t="s">
        <v>54</v>
      </c>
      <c r="B19" s="161">
        <v>45231</v>
      </c>
      <c r="C19" s="161">
        <f t="shared" ref="C19" si="3">EDATE(B19,1)</f>
        <v>45261</v>
      </c>
      <c r="D19" s="161">
        <f t="shared" ref="D19" si="4">EDATE(C19,1)</f>
        <v>45292</v>
      </c>
      <c r="E19" s="161">
        <f t="shared" ref="E19" si="5">EDATE(D19,1)</f>
        <v>45323</v>
      </c>
      <c r="F19" s="161">
        <f t="shared" ref="F19" si="6">EDATE(E19,1)</f>
        <v>45352</v>
      </c>
      <c r="G19" s="161">
        <f t="shared" ref="G19" si="7">EDATE(F19,1)</f>
        <v>45383</v>
      </c>
      <c r="H19" s="161">
        <f t="shared" ref="H19" si="8">EDATE(G19,1)</f>
        <v>45413</v>
      </c>
      <c r="I19" s="161">
        <f t="shared" ref="I19" si="9">EDATE(H19,1)</f>
        <v>45444</v>
      </c>
      <c r="J19" s="161">
        <f t="shared" ref="J19" si="10">EDATE(I19,1)</f>
        <v>45474</v>
      </c>
      <c r="K19" s="161">
        <f t="shared" ref="K19" si="11">EDATE(J19,1)</f>
        <v>45505</v>
      </c>
      <c r="L19" s="161">
        <f t="shared" ref="L19" si="12">EDATE(K19,1)</f>
        <v>45536</v>
      </c>
      <c r="M19" s="161">
        <f t="shared" ref="M19" si="13">EDATE(L19,1)</f>
        <v>45566</v>
      </c>
      <c r="N19" s="15" t="s">
        <v>11</v>
      </c>
    </row>
    <row r="20" spans="1:14" s="13" customFormat="1" x14ac:dyDescent="0.2">
      <c r="A20" s="14">
        <v>23</v>
      </c>
      <c r="B20" s="417">
        <v>0</v>
      </c>
      <c r="C20" s="417">
        <v>0</v>
      </c>
      <c r="D20" s="417">
        <v>0</v>
      </c>
      <c r="E20" s="417">
        <v>0</v>
      </c>
      <c r="F20" s="417">
        <v>0</v>
      </c>
      <c r="G20" s="417">
        <v>0</v>
      </c>
      <c r="H20" s="417">
        <v>0</v>
      </c>
      <c r="I20" s="417">
        <v>0</v>
      </c>
      <c r="J20" s="417">
        <v>0</v>
      </c>
      <c r="K20" s="417">
        <v>0</v>
      </c>
      <c r="L20" s="417">
        <v>0</v>
      </c>
      <c r="M20" s="417">
        <v>0</v>
      </c>
      <c r="N20" s="90">
        <f>SUM(B20:M20)</f>
        <v>0</v>
      </c>
    </row>
    <row r="21" spans="1:14" s="13" customFormat="1" x14ac:dyDescent="0.2">
      <c r="A21" s="14">
        <v>16</v>
      </c>
      <c r="B21" s="417">
        <v>0</v>
      </c>
      <c r="C21" s="417">
        <v>0</v>
      </c>
      <c r="D21" s="417">
        <v>0</v>
      </c>
      <c r="E21" s="417">
        <v>0</v>
      </c>
      <c r="F21" s="417">
        <v>0</v>
      </c>
      <c r="G21" s="417">
        <v>0</v>
      </c>
      <c r="H21" s="417">
        <v>0</v>
      </c>
      <c r="I21" s="417">
        <v>0</v>
      </c>
      <c r="J21" s="417">
        <v>0</v>
      </c>
      <c r="K21" s="417">
        <v>0</v>
      </c>
      <c r="L21" s="417">
        <v>0</v>
      </c>
      <c r="M21" s="417">
        <v>0</v>
      </c>
      <c r="N21" s="90">
        <f t="shared" ref="N21:N26" si="14">SUM(B21:M21)</f>
        <v>0</v>
      </c>
    </row>
    <row r="22" spans="1:14" s="13" customFormat="1" x14ac:dyDescent="0.2">
      <c r="A22" s="14">
        <v>31</v>
      </c>
      <c r="B22" s="417">
        <v>0</v>
      </c>
      <c r="C22" s="417">
        <v>0</v>
      </c>
      <c r="D22" s="417">
        <v>0</v>
      </c>
      <c r="E22" s="417">
        <v>0</v>
      </c>
      <c r="F22" s="417">
        <v>0</v>
      </c>
      <c r="G22" s="417">
        <v>0</v>
      </c>
      <c r="H22" s="417">
        <v>0</v>
      </c>
      <c r="I22" s="417">
        <v>0</v>
      </c>
      <c r="J22" s="417">
        <v>0</v>
      </c>
      <c r="K22" s="417">
        <v>0</v>
      </c>
      <c r="L22" s="417">
        <v>0</v>
      </c>
      <c r="M22" s="417">
        <v>0</v>
      </c>
      <c r="N22" s="90">
        <f t="shared" si="14"/>
        <v>0</v>
      </c>
    </row>
    <row r="23" spans="1:14" s="13" customFormat="1" x14ac:dyDescent="0.2">
      <c r="A23" s="14">
        <v>41</v>
      </c>
      <c r="B23" s="417">
        <v>412853</v>
      </c>
      <c r="C23" s="417">
        <v>412853</v>
      </c>
      <c r="D23" s="417">
        <v>412853</v>
      </c>
      <c r="E23" s="417">
        <v>412853</v>
      </c>
      <c r="F23" s="417">
        <v>412853</v>
      </c>
      <c r="G23" s="417">
        <v>412853</v>
      </c>
      <c r="H23" s="417">
        <v>412853</v>
      </c>
      <c r="I23" s="417">
        <v>412853</v>
      </c>
      <c r="J23" s="417">
        <v>412853</v>
      </c>
      <c r="K23" s="417">
        <v>412853</v>
      </c>
      <c r="L23" s="417">
        <v>412853</v>
      </c>
      <c r="M23" s="417">
        <v>412853</v>
      </c>
      <c r="N23" s="90">
        <f t="shared" si="14"/>
        <v>4954236</v>
      </c>
    </row>
    <row r="24" spans="1:14" s="13" customFormat="1" x14ac:dyDescent="0.2">
      <c r="A24" s="14">
        <v>85</v>
      </c>
      <c r="B24" s="417">
        <v>11003</v>
      </c>
      <c r="C24" s="417">
        <v>11003</v>
      </c>
      <c r="D24" s="417">
        <v>11003</v>
      </c>
      <c r="E24" s="417">
        <v>11003</v>
      </c>
      <c r="F24" s="417">
        <v>11003</v>
      </c>
      <c r="G24" s="417">
        <v>11003</v>
      </c>
      <c r="H24" s="417">
        <v>11003</v>
      </c>
      <c r="I24" s="417">
        <v>11003</v>
      </c>
      <c r="J24" s="417">
        <v>11003</v>
      </c>
      <c r="K24" s="417">
        <v>11003</v>
      </c>
      <c r="L24" s="417">
        <v>11003</v>
      </c>
      <c r="M24" s="417">
        <v>11003</v>
      </c>
      <c r="N24" s="90">
        <f t="shared" si="14"/>
        <v>132036</v>
      </c>
    </row>
    <row r="25" spans="1:14" s="13" customFormat="1" x14ac:dyDescent="0.2">
      <c r="A25" s="14">
        <v>86</v>
      </c>
      <c r="B25" s="417">
        <v>2846</v>
      </c>
      <c r="C25" s="417">
        <v>2846</v>
      </c>
      <c r="D25" s="417">
        <v>2846</v>
      </c>
      <c r="E25" s="417">
        <v>2846</v>
      </c>
      <c r="F25" s="417">
        <v>2846</v>
      </c>
      <c r="G25" s="417">
        <v>2846</v>
      </c>
      <c r="H25" s="417">
        <v>2846</v>
      </c>
      <c r="I25" s="417">
        <v>2846</v>
      </c>
      <c r="J25" s="417">
        <v>2846</v>
      </c>
      <c r="K25" s="417">
        <v>2846</v>
      </c>
      <c r="L25" s="417">
        <v>2846</v>
      </c>
      <c r="M25" s="417">
        <v>2846</v>
      </c>
      <c r="N25" s="90">
        <f t="shared" si="14"/>
        <v>34152</v>
      </c>
    </row>
    <row r="26" spans="1:14" s="13" customFormat="1" x14ac:dyDescent="0.2">
      <c r="A26" s="5">
        <v>87</v>
      </c>
      <c r="B26" s="417">
        <v>0</v>
      </c>
      <c r="C26" s="417">
        <v>0</v>
      </c>
      <c r="D26" s="417">
        <v>0</v>
      </c>
      <c r="E26" s="417">
        <v>0</v>
      </c>
      <c r="F26" s="417">
        <v>0</v>
      </c>
      <c r="G26" s="417">
        <v>0</v>
      </c>
      <c r="H26" s="417">
        <v>0</v>
      </c>
      <c r="I26" s="417">
        <v>0</v>
      </c>
      <c r="J26" s="417">
        <v>0</v>
      </c>
      <c r="K26" s="417">
        <v>0</v>
      </c>
      <c r="L26" s="417">
        <v>0</v>
      </c>
      <c r="M26" s="417">
        <v>0</v>
      </c>
      <c r="N26" s="90">
        <f t="shared" si="14"/>
        <v>0</v>
      </c>
    </row>
    <row r="27" spans="1:14" s="13" customFormat="1" x14ac:dyDescent="0.2">
      <c r="A27" s="4" t="s">
        <v>11</v>
      </c>
      <c r="B27" s="85">
        <f t="shared" ref="B27:N27" si="15">SUM(B20:B26)</f>
        <v>426702</v>
      </c>
      <c r="C27" s="85">
        <f t="shared" si="15"/>
        <v>426702</v>
      </c>
      <c r="D27" s="85">
        <f t="shared" si="15"/>
        <v>426702</v>
      </c>
      <c r="E27" s="85">
        <f t="shared" si="15"/>
        <v>426702</v>
      </c>
      <c r="F27" s="85">
        <f t="shared" si="15"/>
        <v>426702</v>
      </c>
      <c r="G27" s="85">
        <f t="shared" si="15"/>
        <v>426702</v>
      </c>
      <c r="H27" s="85">
        <f t="shared" si="15"/>
        <v>426702</v>
      </c>
      <c r="I27" s="85">
        <f t="shared" si="15"/>
        <v>426702</v>
      </c>
      <c r="J27" s="85">
        <f t="shared" si="15"/>
        <v>426702</v>
      </c>
      <c r="K27" s="85">
        <f t="shared" si="15"/>
        <v>426702</v>
      </c>
      <c r="L27" s="85">
        <f t="shared" si="15"/>
        <v>426702</v>
      </c>
      <c r="M27" s="85">
        <f t="shared" si="15"/>
        <v>426702</v>
      </c>
      <c r="N27" s="85">
        <f t="shared" si="15"/>
        <v>5120424</v>
      </c>
    </row>
    <row r="28" spans="1:14" s="13" customFormat="1" x14ac:dyDescent="0.2">
      <c r="A28" s="58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</row>
    <row r="29" spans="1:14" x14ac:dyDescent="0.2">
      <c r="A29" s="22"/>
    </row>
    <row r="30" spans="1:14" x14ac:dyDescent="0.2">
      <c r="A30" s="18" t="s">
        <v>332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">
      <c r="B32" s="18"/>
      <c r="D32" s="31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">
      <c r="A33" s="1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">
      <c r="A34" s="1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">
      <c r="A35" s="14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">
      <c r="A36" s="14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">
      <c r="A37" s="1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">
      <c r="A38" s="14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1" spans="1:14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</sheetData>
  <phoneticPr fontId="13" type="noConversion"/>
  <printOptions horizontalCentered="1"/>
  <pageMargins left="0.75" right="0.75" top="1" bottom="1" header="0.5" footer="0.5"/>
  <pageSetup scale="64" orientation="landscape" blackAndWhite="1" r:id="rId1"/>
  <headerFooter alignWithMargins="0">
    <oddFooter>&amp;CPage# &amp;P of &amp;N&amp;R&amp;F 
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34B5C2-A7A6-4316-A27C-77D460DB0F0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1C0C67F-E683-406E-A747-B6761D4C6E0D}"/>
</file>

<file path=customXml/itemProps3.xml><?xml version="1.0" encoding="utf-8"?>
<ds:datastoreItem xmlns:ds="http://schemas.openxmlformats.org/officeDocument/2006/customXml" ds:itemID="{256AC621-CCC1-4574-BEBB-D7B6732785C6}"/>
</file>

<file path=customXml/itemProps4.xml><?xml version="1.0" encoding="utf-8"?>
<ds:datastoreItem xmlns:ds="http://schemas.openxmlformats.org/officeDocument/2006/customXml" ds:itemID="{CD0CD3C8-9099-45BD-B1F8-24C432DD7A2C}"/>
</file>

<file path=customXml/itemProps5.xml><?xml version="1.0" encoding="utf-8"?>
<ds:datastoreItem xmlns:ds="http://schemas.openxmlformats.org/officeDocument/2006/customXml" ds:itemID="{83E1C4EB-D0B5-41F1-A7EF-AB5C5356E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REDACTED VERSION</vt:lpstr>
      <vt:lpstr>Rates Summary </vt:lpstr>
      <vt:lpstr>Rate Impacts-&gt;</vt:lpstr>
      <vt:lpstr>Rate Impacts Sch 101_106</vt:lpstr>
      <vt:lpstr>Typical Res Bill Sch 101_106</vt:lpstr>
      <vt:lpstr>Sch. 101</vt:lpstr>
      <vt:lpstr>Work Papers --&gt;</vt:lpstr>
      <vt:lpstr>(R) RNG 5% Calc.</vt:lpstr>
      <vt:lpstr>F2023 Forecast </vt:lpstr>
      <vt:lpstr>(R) PGA Cost Summary</vt:lpstr>
      <vt:lpstr>2022 GRC Gas Cost Allocation</vt:lpstr>
      <vt:lpstr>Conversion Factor</vt:lpstr>
      <vt:lpstr>'(R) PGA Cost Summary'!Print_Area</vt:lpstr>
      <vt:lpstr>'(R) RNG 5% Calc.'!Print_Area</vt:lpstr>
      <vt:lpstr>'2022 GRC Gas Cost Allocation'!Print_Area</vt:lpstr>
      <vt:lpstr>'Rate Impacts Sch 101_106'!Print_Area</vt:lpstr>
      <vt:lpstr>'Rates Summary '!Print_Area</vt:lpstr>
      <vt:lpstr>'REDACTED VERSION'!Print_Area</vt:lpstr>
      <vt:lpstr>'Sch. 101'!Print_Area</vt:lpstr>
      <vt:lpstr>'Typical Res Bill Sch 101_106'!Print_Area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Replyanskaya, Ekaterina - Transmission</cp:lastModifiedBy>
  <cp:lastPrinted>2023-09-15T02:35:24Z</cp:lastPrinted>
  <dcterms:created xsi:type="dcterms:W3CDTF">2003-08-13T16:19:50Z</dcterms:created>
  <dcterms:modified xsi:type="dcterms:W3CDTF">2023-09-15T21:23:44Z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