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30" yWindow="-30" windowWidth="14520" windowHeight="14670" tabRatio="842"/>
  </bookViews>
  <sheets>
    <sheet name="1.01 ROR ROE" sheetId="20" r:id="rId1"/>
    <sheet name="1.02 COC" sheetId="21" r:id="rId2"/>
    <sheet name="model" sheetId="1" r:id="rId3"/>
    <sheet name="Earnings Sharing-CBR to Adj CBR" sheetId="51" r:id="rId4"/>
    <sheet name="Inputs" sheetId="53" r:id="rId5"/>
    <sheet name="Restating Print Macros" sheetId="2" state="veryHidden" r:id="rId6"/>
    <sheet name="Module13" sheetId="3" state="veryHidden" r:id="rId7"/>
    <sheet name="Module14" sheetId="4" state="veryHidden" r:id="rId8"/>
    <sheet name="Module15" sheetId="5" state="veryHidden" r:id="rId9"/>
    <sheet name="Module1" sheetId="6" state="very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six6" localSheetId="4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4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4" hidden="1">{#N/A,#N/A,FALSE,"schA"}</definedName>
    <definedName name="____________________www1" hidden="1">{#N/A,#N/A,FALSE,"schA"}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4" hidden="1">{#N/A,#N/A,FALSE,"schA"}</definedName>
    <definedName name="_______________www1" hidden="1">{#N/A,#N/A,FALSE,"schA"}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4" hidden="1">{#N/A,#N/A,FALSE,"schA"}</definedName>
    <definedName name="______________www1" hidden="1">{#N/A,#N/A,FALSE,"schA"}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4" hidden="1">{#N/A,#N/A,FALSE,"schA"}</definedName>
    <definedName name="_____________www1" hidden="1">{#N/A,#N/A,FALSE,"schA"}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4" hidden="1">{#N/A,#N/A,FALSE,"schA"}</definedName>
    <definedName name="____________www1" hidden="1">{#N/A,#N/A,FALSE,"schA"}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4" hidden="1">{#N/A,#N/A,FALSE,"schA"}</definedName>
    <definedName name="___________www1" hidden="1">{#N/A,#N/A,FALSE,"schA"}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4" hidden="1">{#N/A,#N/A,FALSE,"schA"}</definedName>
    <definedName name="__________www1" hidden="1">{#N/A,#N/A,FALSE,"schA"}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4" hidden="1">{#N/A,#N/A,FALSE,"schA"}</definedName>
    <definedName name="_________www1" hidden="1">{#N/A,#N/A,FALSE,"schA"}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4" hidden="1">{#N/A,#N/A,FALSE,"schA"}</definedName>
    <definedName name="________www1" hidden="1">{#N/A,#N/A,FALSE,"schA"}</definedName>
    <definedName name="_______ex1" localSheetId="4" hidden="1">{#N/A,#N/A,FALSE,"Summ";#N/A,#N/A,FALSE,"General"}</definedName>
    <definedName name="_______ex1" hidden="1">{#N/A,#N/A,FALSE,"Summ";#N/A,#N/A,FALSE,"General"}</definedName>
    <definedName name="_______new1" localSheetId="4" hidden="1">{#N/A,#N/A,FALSE,"Summ";#N/A,#N/A,FALSE,"General"}</definedName>
    <definedName name="_______new1" hidden="1">{#N/A,#N/A,FALSE,"Summ";#N/A,#N/A,FALSE,"General"}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4" hidden="1">{#N/A,#N/A,FALSE,"schA"}</definedName>
    <definedName name="_______www1" hidden="1">{#N/A,#N/A,FALSE,"schA"}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localSheetId="4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4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Parse_In" localSheetId="4" hidden="1">#REF!</definedName>
    <definedName name="_Parse_In" hidden="1">#REF!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Em" localSheetId="4" hidden="1">#REF!</definedName>
    <definedName name="BEm" hidden="1">#REF!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" localSheetId="4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4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gary" localSheetId="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4" hidden="1">{#N/A,#N/A,FALSE,"Coversheet";#N/A,#N/A,FALSE,"QA"}</definedName>
    <definedName name="HELP" hidden="1">{#N/A,#N/A,FALSE,"Coversheet";#N/A,#N/A,FALSE,"QA"}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NOYT" localSheetId="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4" hidden="1">{#N/A,#N/A,FALSE,"schA"}</definedName>
    <definedName name="qqq" hidden="1">{#N/A,#N/A,FALSE,"schA"}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4" hidden="1">{#N/A,#N/A,FALSE,"Cost Adjustment "}</definedName>
    <definedName name="wrn.Cost._.Adjustment." hidden="1">{#N/A,#N/A,FALSE,"Cost Adjustment 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hidden="1">{#N/A,#N/A,FALSE,"schA"}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4" hidden="1">{#N/A,#N/A,FALSE,"Coversheet";#N/A,#N/A,FALSE,"QA"}</definedName>
    <definedName name="z" hidden="1">{#N/A,#N/A,FALSE,"Coversheet";#N/A,#N/A,FALSE,"QA"}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BK18" i="1" l="1"/>
  <c r="BK19" i="1"/>
  <c r="BK20" i="1" s="1"/>
  <c r="BK21" i="1" s="1"/>
  <c r="BK22" i="1" s="1"/>
  <c r="BK23" i="1" s="1"/>
  <c r="BK24" i="1" s="1"/>
  <c r="BK25" i="1" s="1"/>
  <c r="BK26" i="1" s="1"/>
  <c r="BK27" i="1" s="1"/>
  <c r="BK28" i="1" s="1"/>
  <c r="BK29" i="1" s="1"/>
  <c r="BN20" i="1"/>
  <c r="BP20" i="1" s="1"/>
  <c r="CT16" i="1" s="1"/>
  <c r="V54" i="1" l="1"/>
  <c r="V53" i="1"/>
  <c r="V52" i="1"/>
  <c r="V51" i="1"/>
  <c r="V50" i="1"/>
  <c r="V49" i="1"/>
  <c r="V48" i="1"/>
  <c r="V47" i="1"/>
  <c r="V46" i="1"/>
  <c r="V45" i="1"/>
  <c r="V44" i="1"/>
  <c r="V43" i="1"/>
  <c r="S59" i="1"/>
  <c r="S58" i="1"/>
  <c r="S57" i="1"/>
  <c r="S56" i="1"/>
  <c r="S55" i="1"/>
  <c r="S54" i="1"/>
  <c r="S53" i="1"/>
  <c r="S52" i="1"/>
  <c r="S51" i="1"/>
  <c r="S50" i="1"/>
  <c r="V42" i="1"/>
  <c r="V30" i="1"/>
  <c r="V29" i="1"/>
  <c r="V28" i="1"/>
  <c r="V27" i="1"/>
  <c r="V26" i="1"/>
  <c r="S27" i="1"/>
  <c r="V22" i="1"/>
  <c r="V21" i="1"/>
  <c r="V20" i="1"/>
  <c r="V19" i="1"/>
  <c r="S19" i="1"/>
  <c r="V55" i="1" l="1"/>
  <c r="CI32" i="1"/>
  <c r="CI24" i="1"/>
  <c r="V31" i="1"/>
  <c r="CI33" i="1" l="1"/>
  <c r="V18" i="1"/>
  <c r="V17" i="1"/>
  <c r="W45" i="1" s="1"/>
  <c r="V16" i="1"/>
  <c r="W44" i="1" s="1"/>
  <c r="V15" i="1"/>
  <c r="W43" i="1" s="1"/>
  <c r="V14" i="1"/>
  <c r="W42" i="1" s="1"/>
  <c r="K38" i="1"/>
  <c r="J21" i="1"/>
  <c r="J19" i="1"/>
  <c r="J14" i="1"/>
  <c r="K15" i="1" s="1"/>
  <c r="CF14" i="1" s="1"/>
  <c r="BS21" i="1"/>
  <c r="BU21" i="1" s="1"/>
  <c r="BS22" i="1"/>
  <c r="BS23" i="1"/>
  <c r="BS16" i="1"/>
  <c r="BU16" i="1" s="1"/>
  <c r="CU40" i="1" s="1"/>
  <c r="BS15" i="1"/>
  <c r="BS14" i="1"/>
  <c r="BU14" i="1" s="1"/>
  <c r="BS13" i="1"/>
  <c r="BU13" i="1" s="1"/>
  <c r="CU28" i="1" s="1"/>
  <c r="AQ17" i="1"/>
  <c r="N25" i="1"/>
  <c r="N24" i="1"/>
  <c r="N23" i="1"/>
  <c r="N22" i="1"/>
  <c r="N18" i="1"/>
  <c r="N17" i="1"/>
  <c r="N16" i="1"/>
  <c r="E34" i="1"/>
  <c r="E33" i="1"/>
  <c r="E32" i="1"/>
  <c r="E31" i="1"/>
  <c r="E30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E24" i="1" s="1"/>
  <c r="D24" i="1"/>
  <c r="C25" i="1"/>
  <c r="D25" i="1"/>
  <c r="C26" i="1"/>
  <c r="D26" i="1"/>
  <c r="D15" i="1"/>
  <c r="C15" i="1"/>
  <c r="X14" i="1"/>
  <c r="X15" i="1"/>
  <c r="X18" i="1"/>
  <c r="X17" i="1"/>
  <c r="Z14" i="1"/>
  <c r="Z15" i="1"/>
  <c r="AL15" i="1"/>
  <c r="AK15" i="1"/>
  <c r="AL13" i="1"/>
  <c r="AK13" i="1"/>
  <c r="AT12" i="1"/>
  <c r="AT14" i="1" s="1"/>
  <c r="BI13" i="1"/>
  <c r="BI12" i="1"/>
  <c r="BH13" i="1"/>
  <c r="BH12" i="1"/>
  <c r="AZ12" i="1"/>
  <c r="AZ15" i="1" s="1"/>
  <c r="Z17" i="1"/>
  <c r="BD12" i="1"/>
  <c r="BC12" i="1"/>
  <c r="BC15" i="1" s="1"/>
  <c r="AG24" i="1"/>
  <c r="AG12" i="1"/>
  <c r="AG13" i="1"/>
  <c r="AG14" i="1"/>
  <c r="AE12" i="1"/>
  <c r="AF12" i="1"/>
  <c r="AE13" i="1"/>
  <c r="AF13" i="1"/>
  <c r="AE14" i="1"/>
  <c r="AF14" i="1"/>
  <c r="AD13" i="1"/>
  <c r="AH13" i="1" s="1"/>
  <c r="AD14" i="1"/>
  <c r="AH14" i="1" s="1"/>
  <c r="AD12" i="1"/>
  <c r="AC13" i="1"/>
  <c r="AC14" i="1"/>
  <c r="AC12" i="1"/>
  <c r="BZ14" i="1"/>
  <c r="BY14" i="1"/>
  <c r="BZ13" i="1"/>
  <c r="B7" i="53" s="1"/>
  <c r="BZ12" i="1"/>
  <c r="B6" i="53" s="1"/>
  <c r="CD41" i="1"/>
  <c r="CZ41" i="1" s="1"/>
  <c r="CD40" i="1"/>
  <c r="CD39" i="1"/>
  <c r="CZ39" i="1" s="1"/>
  <c r="CD38" i="1"/>
  <c r="CD37" i="1"/>
  <c r="CZ37" i="1" s="1"/>
  <c r="CD36" i="1"/>
  <c r="CD35" i="1"/>
  <c r="CZ35" i="1" s="1"/>
  <c r="CD34" i="1"/>
  <c r="CZ34" i="1" s="1"/>
  <c r="CD33" i="1"/>
  <c r="CZ33" i="1" s="1"/>
  <c r="CD32" i="1"/>
  <c r="CZ32" i="1" s="1"/>
  <c r="CD31" i="1"/>
  <c r="CZ31" i="1" s="1"/>
  <c r="CD30" i="1"/>
  <c r="CZ30" i="1" s="1"/>
  <c r="CD29" i="1"/>
  <c r="CD28" i="1"/>
  <c r="CZ28" i="1" s="1"/>
  <c r="CD24" i="1"/>
  <c r="CD26" i="1" s="1"/>
  <c r="CD16" i="1"/>
  <c r="CZ16" i="1" s="1"/>
  <c r="CD14" i="1"/>
  <c r="E19" i="21"/>
  <c r="D19" i="21"/>
  <c r="C19" i="21"/>
  <c r="F17" i="21"/>
  <c r="Q16" i="1" s="1"/>
  <c r="D17" i="21"/>
  <c r="C17" i="21"/>
  <c r="CB5" i="1"/>
  <c r="S20" i="1"/>
  <c r="S21" i="1"/>
  <c r="S22" i="1"/>
  <c r="S23" i="1"/>
  <c r="S13" i="1"/>
  <c r="S14" i="1"/>
  <c r="S15" i="1"/>
  <c r="S16" i="1"/>
  <c r="S17" i="1"/>
  <c r="S18" i="1"/>
  <c r="S24" i="1"/>
  <c r="S25" i="1"/>
  <c r="S26" i="1"/>
  <c r="S28" i="1"/>
  <c r="S29" i="1"/>
  <c r="S30" i="1"/>
  <c r="S31" i="1"/>
  <c r="S32" i="1"/>
  <c r="S33" i="1"/>
  <c r="S34" i="1"/>
  <c r="D19" i="51"/>
  <c r="D11" i="51"/>
  <c r="E11" i="51" s="1"/>
  <c r="F11" i="51" s="1"/>
  <c r="G11" i="51" s="1"/>
  <c r="H11" i="51" s="1"/>
  <c r="I11" i="51" s="1"/>
  <c r="BU15" i="1"/>
  <c r="CU35" i="1" s="1"/>
  <c r="BU23" i="1"/>
  <c r="CU53" i="1" s="1"/>
  <c r="A2" i="51"/>
  <c r="CX3" i="1"/>
  <c r="CL3" i="1"/>
  <c r="CB3" i="1"/>
  <c r="BV4" i="1"/>
  <c r="BQ4" i="1"/>
  <c r="BK4" i="1"/>
  <c r="BF4" i="1"/>
  <c r="BA4" i="1"/>
  <c r="AW4" i="1"/>
  <c r="AR4" i="1"/>
  <c r="AN4" i="1"/>
  <c r="AI4" i="1"/>
  <c r="AB4" i="1"/>
  <c r="W4" i="1"/>
  <c r="S4" i="1"/>
  <c r="O4" i="1"/>
  <c r="L4" i="1"/>
  <c r="G4" i="1"/>
  <c r="A4" i="1"/>
  <c r="BI17" i="1"/>
  <c r="BD18" i="1"/>
  <c r="AU18" i="1"/>
  <c r="AP24" i="1"/>
  <c r="AL20" i="1"/>
  <c r="AG28" i="1"/>
  <c r="Y22" i="1"/>
  <c r="U58" i="1"/>
  <c r="Q23" i="1"/>
  <c r="I42" i="1"/>
  <c r="BY19" i="1"/>
  <c r="D49" i="1"/>
  <c r="A5" i="51"/>
  <c r="A7" i="21"/>
  <c r="CX5" i="1"/>
  <c r="CL5" i="1"/>
  <c r="BV6" i="1"/>
  <c r="BQ6" i="1"/>
  <c r="BK6" i="1"/>
  <c r="BF6" i="1"/>
  <c r="BA6" i="1"/>
  <c r="AW6" i="1"/>
  <c r="AR6" i="1"/>
  <c r="AN6" i="1"/>
  <c r="AI6" i="1"/>
  <c r="AB6" i="1"/>
  <c r="W6" i="1"/>
  <c r="S6" i="1"/>
  <c r="O6" i="1"/>
  <c r="L6" i="1"/>
  <c r="G6" i="1"/>
  <c r="A6" i="1"/>
  <c r="A2" i="20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12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B8" i="53"/>
  <c r="BT24" i="1"/>
  <c r="E19" i="51"/>
  <c r="F19" i="51"/>
  <c r="G19" i="51"/>
  <c r="H19" i="51"/>
  <c r="I19" i="51"/>
  <c r="CS55" i="1"/>
  <c r="CS57" i="1" s="1"/>
  <c r="CS46" i="1" s="1"/>
  <c r="BO17" i="1"/>
  <c r="BK13" i="1"/>
  <c r="BK14" i="1" s="1"/>
  <c r="BK15" i="1" s="1"/>
  <c r="BK16" i="1" s="1"/>
  <c r="BK17" i="1" s="1"/>
  <c r="CU26" i="1"/>
  <c r="CU17" i="1"/>
  <c r="CT26" i="1"/>
  <c r="BU2" i="1"/>
  <c r="BP2" i="1"/>
  <c r="BQ13" i="1"/>
  <c r="BQ14" i="1" s="1"/>
  <c r="BQ15" i="1" s="1"/>
  <c r="BQ16" i="1" s="1"/>
  <c r="BQ17" i="1" s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CH41" i="1"/>
  <c r="CJ46" i="1"/>
  <c r="CE46" i="1"/>
  <c r="E9" i="51" s="1"/>
  <c r="A10" i="51"/>
  <c r="A11" i="51"/>
  <c r="A12" i="51"/>
  <c r="A13" i="51"/>
  <c r="A14" i="51"/>
  <c r="A15" i="51"/>
  <c r="A16" i="51"/>
  <c r="A17" i="51"/>
  <c r="A18" i="51"/>
  <c r="A19" i="51"/>
  <c r="A20" i="51"/>
  <c r="D19" i="20"/>
  <c r="D21" i="20"/>
  <c r="F39" i="1"/>
  <c r="CE24" i="1" s="1"/>
  <c r="CE26" i="1" s="1"/>
  <c r="AI13" i="1"/>
  <c r="AI14" i="1" s="1"/>
  <c r="AI15" i="1" s="1"/>
  <c r="AI16" i="1" s="1"/>
  <c r="AI17" i="1" s="1"/>
  <c r="AI18" i="1" s="1"/>
  <c r="AI19" i="1" s="1"/>
  <c r="AI20" i="1" s="1"/>
  <c r="AI21" i="1" s="1"/>
  <c r="F2" i="1"/>
  <c r="K2" i="1"/>
  <c r="BF13" i="1"/>
  <c r="BF14" i="1" s="1"/>
  <c r="BF15" i="1" s="1"/>
  <c r="BF16" i="1" s="1"/>
  <c r="BF17" i="1" s="1"/>
  <c r="BF18" i="1" s="1"/>
  <c r="BF19" i="1" s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CN55" i="1"/>
  <c r="CN57" i="1" s="1"/>
  <c r="CN46" i="1" s="1"/>
  <c r="CN26" i="1"/>
  <c r="CN17" i="1"/>
  <c r="AB13" i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CG17" i="1"/>
  <c r="CK17" i="1"/>
  <c r="CL14" i="1"/>
  <c r="CL15" i="1" s="1"/>
  <c r="CO17" i="1"/>
  <c r="CQ17" i="1"/>
  <c r="CP17" i="1"/>
  <c r="CG26" i="1"/>
  <c r="CH26" i="1"/>
  <c r="CK26" i="1"/>
  <c r="CO26" i="1"/>
  <c r="CQ26" i="1"/>
  <c r="CR26" i="1"/>
  <c r="CP26" i="1"/>
  <c r="AR13" i="1"/>
  <c r="AR14" i="1" s="1"/>
  <c r="AR15" i="1" s="1"/>
  <c r="AR16" i="1" s="1"/>
  <c r="AR17" i="1" s="1"/>
  <c r="AR18" i="1" s="1"/>
  <c r="AR19" i="1" s="1"/>
  <c r="AR20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BV13" i="1"/>
  <c r="BV14" i="1" s="1"/>
  <c r="BV15" i="1" s="1"/>
  <c r="BV16" i="1" s="1"/>
  <c r="BV17" i="1" s="1"/>
  <c r="CP55" i="1"/>
  <c r="CP57" i="1" s="1"/>
  <c r="CP46" i="1" s="1"/>
  <c r="BA13" i="1"/>
  <c r="BA14" i="1" s="1"/>
  <c r="BA15" i="1" s="1"/>
  <c r="BA16" i="1" s="1"/>
  <c r="BA17" i="1" s="1"/>
  <c r="BA18" i="1" s="1"/>
  <c r="BA19" i="1" s="1"/>
  <c r="BA20" i="1" s="1"/>
  <c r="CR55" i="1"/>
  <c r="CR57" i="1" s="1"/>
  <c r="CR46" i="1" s="1"/>
  <c r="AW13" i="1"/>
  <c r="AW14" i="1" s="1"/>
  <c r="AW15" i="1" s="1"/>
  <c r="CO55" i="1"/>
  <c r="CO57" i="1" s="1"/>
  <c r="CO46" i="1" s="1"/>
  <c r="CX14" i="1"/>
  <c r="CX15" i="1" s="1"/>
  <c r="CX16" i="1" s="1"/>
  <c r="CX17" i="1" s="1"/>
  <c r="CB14" i="1"/>
  <c r="CB15" i="1" s="1"/>
  <c r="CB16" i="1" s="1"/>
  <c r="CB17" i="1" s="1"/>
  <c r="CB18" i="1" s="1"/>
  <c r="CB19" i="1" s="1"/>
  <c r="CB20" i="1" s="1"/>
  <c r="CB21" i="1" s="1"/>
  <c r="CB22" i="1" s="1"/>
  <c r="CB23" i="1" s="1"/>
  <c r="CB24" i="1" s="1"/>
  <c r="CB25" i="1" s="1"/>
  <c r="CB26" i="1" s="1"/>
  <c r="CB27" i="1" s="1"/>
  <c r="CB28" i="1" s="1"/>
  <c r="CB29" i="1" s="1"/>
  <c r="CB30" i="1" s="1"/>
  <c r="CB31" i="1" s="1"/>
  <c r="CB32" i="1" s="1"/>
  <c r="CB33" i="1" s="1"/>
  <c r="CB34" i="1" s="1"/>
  <c r="CB35" i="1" s="1"/>
  <c r="CB36" i="1" s="1"/>
  <c r="CB37" i="1" s="1"/>
  <c r="CB38" i="1" s="1"/>
  <c r="CB39" i="1" s="1"/>
  <c r="CB40" i="1" s="1"/>
  <c r="CB41" i="1" s="1"/>
  <c r="CB42" i="1" s="1"/>
  <c r="CB43" i="1" s="1"/>
  <c r="CB44" i="1" s="1"/>
  <c r="CB45" i="1" s="1"/>
  <c r="CB46" i="1" s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Q55" i="1"/>
  <c r="CQ57" i="1" s="1"/>
  <c r="CQ46" i="1" s="1"/>
  <c r="CK55" i="1"/>
  <c r="CK57" i="1" s="1"/>
  <c r="CK46" i="1" s="1"/>
  <c r="CH55" i="1"/>
  <c r="CH57" i="1" s="1"/>
  <c r="CH46" i="1" s="1"/>
  <c r="CG55" i="1"/>
  <c r="CG57" i="1" s="1"/>
  <c r="CG46" i="1" s="1"/>
  <c r="CF55" i="1"/>
  <c r="CF57" i="1" s="1"/>
  <c r="CF46" i="1" s="1"/>
  <c r="CY15" i="1"/>
  <c r="CY44" i="1"/>
  <c r="CF26" i="1"/>
  <c r="N2" i="1"/>
  <c r="R2" i="1"/>
  <c r="V2" i="1"/>
  <c r="AA2" i="1"/>
  <c r="AH2" i="1"/>
  <c r="AQ2" i="1"/>
  <c r="AZ2" i="1"/>
  <c r="BE2" i="1"/>
  <c r="AV2" i="1"/>
  <c r="BJ2" i="1"/>
  <c r="AM2" i="1"/>
  <c r="CZ15" i="1"/>
  <c r="CX21" i="1"/>
  <c r="CX22" i="1" s="1"/>
  <c r="CX23" i="1" s="1"/>
  <c r="CX24" i="1" s="1"/>
  <c r="CX25" i="1" s="1"/>
  <c r="CX26" i="1" s="1"/>
  <c r="CX27" i="1" s="1"/>
  <c r="CX28" i="1" s="1"/>
  <c r="CX29" i="1" s="1"/>
  <c r="CX30" i="1" s="1"/>
  <c r="CX31" i="1" s="1"/>
  <c r="CX32" i="1" s="1"/>
  <c r="CX33" i="1" s="1"/>
  <c r="CX34" i="1" s="1"/>
  <c r="CX35" i="1" s="1"/>
  <c r="CX36" i="1" s="1"/>
  <c r="CX37" i="1" s="1"/>
  <c r="CX38" i="1" s="1"/>
  <c r="CX39" i="1" s="1"/>
  <c r="CX40" i="1" s="1"/>
  <c r="CX41" i="1" s="1"/>
  <c r="CX42" i="1" s="1"/>
  <c r="CX43" i="1" s="1"/>
  <c r="CX44" i="1" s="1"/>
  <c r="CX45" i="1" s="1"/>
  <c r="CX46" i="1" s="1"/>
  <c r="CX47" i="1" s="1"/>
  <c r="CX48" i="1" s="1"/>
  <c r="CX49" i="1" s="1"/>
  <c r="CX50" i="1" s="1"/>
  <c r="CX51" i="1" s="1"/>
  <c r="CX52" i="1" s="1"/>
  <c r="CX53" i="1" s="1"/>
  <c r="CX54" i="1" s="1"/>
  <c r="CX55" i="1" s="1"/>
  <c r="CX56" i="1" s="1"/>
  <c r="CX57" i="1" s="1"/>
  <c r="CT17" i="1"/>
  <c r="CH17" i="1"/>
  <c r="CL21" i="1"/>
  <c r="CL22" i="1" s="1"/>
  <c r="CL23" i="1" s="1"/>
  <c r="CL24" i="1" s="1"/>
  <c r="CL25" i="1" s="1"/>
  <c r="CI55" i="1"/>
  <c r="CI57" i="1" s="1"/>
  <c r="CI46" i="1" s="1"/>
  <c r="CZ14" i="1"/>
  <c r="W48" i="1"/>
  <c r="CR17" i="1"/>
  <c r="CS17" i="1"/>
  <c r="AF18" i="1"/>
  <c r="AE18" i="1"/>
  <c r="AU12" i="1"/>
  <c r="AU14" i="1" s="1"/>
  <c r="CD54" i="1"/>
  <c r="CD52" i="1"/>
  <c r="CZ52" i="1" s="1"/>
  <c r="CD53" i="1"/>
  <c r="CZ53" i="1" s="1"/>
  <c r="CD51" i="1"/>
  <c r="CD56" i="1"/>
  <c r="CZ56" i="1" s="1"/>
  <c r="AQ13" i="1"/>
  <c r="AQ12" i="1"/>
  <c r="AQ16" i="1"/>
  <c r="E17" i="21" l="1"/>
  <c r="AQ18" i="1"/>
  <c r="CO34" i="1" s="1"/>
  <c r="D44" i="1"/>
  <c r="BM24" i="1"/>
  <c r="BP24" i="1" s="1"/>
  <c r="CT39" i="1" s="1"/>
  <c r="BM22" i="1"/>
  <c r="BP22" i="1" s="1"/>
  <c r="C21" i="21"/>
  <c r="BM23" i="1"/>
  <c r="BP23" i="1" s="1"/>
  <c r="CT34" i="1" s="1"/>
  <c r="Z16" i="1"/>
  <c r="Z18" i="1" s="1"/>
  <c r="AA18" i="1" s="1"/>
  <c r="AA20" i="1" s="1"/>
  <c r="AA22" i="1" s="1"/>
  <c r="CJ40" i="1" s="1"/>
  <c r="E26" i="1"/>
  <c r="E22" i="1"/>
  <c r="E18" i="1"/>
  <c r="CQ31" i="1"/>
  <c r="CQ42" i="1" s="1"/>
  <c r="CQ44" i="1" s="1"/>
  <c r="CZ24" i="1"/>
  <c r="CZ26" i="1" s="1"/>
  <c r="E20" i="1"/>
  <c r="E16" i="1"/>
  <c r="AL16" i="1"/>
  <c r="E25" i="1"/>
  <c r="E21" i="1"/>
  <c r="E17" i="1"/>
  <c r="CD17" i="1"/>
  <c r="BS24" i="1"/>
  <c r="H9" i="51"/>
  <c r="CL16" i="1"/>
  <c r="CL17" i="1" s="1"/>
  <c r="CV15" i="1"/>
  <c r="CW15" i="1" s="1"/>
  <c r="F9" i="51"/>
  <c r="BU22" i="1"/>
  <c r="CU52" i="1" s="1"/>
  <c r="BI14" i="1"/>
  <c r="N30" i="1"/>
  <c r="CG41" i="1" s="1"/>
  <c r="AH12" i="1"/>
  <c r="AH16" i="1" s="1"/>
  <c r="AG21" i="1" s="1"/>
  <c r="BQ18" i="1"/>
  <c r="BQ19" i="1" s="1"/>
  <c r="BQ20" i="1" s="1"/>
  <c r="BQ21" i="1" s="1"/>
  <c r="BQ22" i="1" s="1"/>
  <c r="BQ23" i="1" s="1"/>
  <c r="BV18" i="1"/>
  <c r="BV19" i="1" s="1"/>
  <c r="BV20" i="1" s="1"/>
  <c r="U36" i="1"/>
  <c r="V36" i="1" s="1"/>
  <c r="CI31" i="1" s="1"/>
  <c r="I28" i="1"/>
  <c r="DC14" i="53"/>
  <c r="D40" i="1"/>
  <c r="G9" i="51"/>
  <c r="CL26" i="1"/>
  <c r="CL27" i="1" s="1"/>
  <c r="CL28" i="1" s="1"/>
  <c r="CL29" i="1" s="1"/>
  <c r="CV25" i="1"/>
  <c r="AK16" i="1"/>
  <c r="E15" i="1"/>
  <c r="C27" i="1"/>
  <c r="BE12" i="1"/>
  <c r="BE15" i="1" s="1"/>
  <c r="CR34" i="1" s="1"/>
  <c r="E23" i="1"/>
  <c r="F35" i="1"/>
  <c r="AQ14" i="1"/>
  <c r="AG18" i="1"/>
  <c r="AG20" i="1" s="1"/>
  <c r="BJ13" i="1"/>
  <c r="CI26" i="1"/>
  <c r="DA15" i="1"/>
  <c r="DB15" i="1" s="1"/>
  <c r="CZ17" i="1"/>
  <c r="CU51" i="1"/>
  <c r="K24" i="1"/>
  <c r="CF16" i="1" s="1"/>
  <c r="CF17" i="1" s="1"/>
  <c r="V23" i="1"/>
  <c r="N31" i="1"/>
  <c r="BH14" i="1"/>
  <c r="BU17" i="1"/>
  <c r="CU34" i="1"/>
  <c r="CU42" i="1" s="1"/>
  <c r="CU44" i="1" s="1"/>
  <c r="D41" i="1"/>
  <c r="I29" i="1"/>
  <c r="U37" i="1"/>
  <c r="V37" i="1" s="1"/>
  <c r="CI34" i="1" s="1"/>
  <c r="AM13" i="1"/>
  <c r="CN34" i="1" s="1"/>
  <c r="CZ36" i="1"/>
  <c r="BZ16" i="1"/>
  <c r="BZ18" i="1" s="1"/>
  <c r="BZ19" i="1" s="1"/>
  <c r="BZ20" i="1" s="1"/>
  <c r="BS17" i="1"/>
  <c r="BS18" i="1" s="1"/>
  <c r="BU18" i="1" s="1"/>
  <c r="D21" i="21"/>
  <c r="AV12" i="1"/>
  <c r="AV14" i="1" s="1"/>
  <c r="CP34" i="1" s="1"/>
  <c r="BD15" i="1"/>
  <c r="E19" i="1"/>
  <c r="D27" i="1"/>
  <c r="CD55" i="1"/>
  <c r="CD57" i="1" s="1"/>
  <c r="CD46" i="1" s="1"/>
  <c r="CZ54" i="1"/>
  <c r="CJ34" i="1"/>
  <c r="AM15" i="1"/>
  <c r="CN39" i="1" s="1"/>
  <c r="C20" i="20"/>
  <c r="E20" i="20" s="1"/>
  <c r="F19" i="21"/>
  <c r="F21" i="21" s="1"/>
  <c r="BJ12" i="1"/>
  <c r="I32" i="1"/>
  <c r="CZ51" i="1"/>
  <c r="U38" i="1"/>
  <c r="V38" i="1" s="1"/>
  <c r="CI39" i="1" s="1"/>
  <c r="CZ40" i="1"/>
  <c r="CD42" i="1"/>
  <c r="N27" i="1"/>
  <c r="CZ38" i="1"/>
  <c r="CZ29" i="1"/>
  <c r="AQ20" i="1" l="1"/>
  <c r="CD44" i="1"/>
  <c r="E44" i="1"/>
  <c r="CE39" i="1" s="1"/>
  <c r="BP25" i="1"/>
  <c r="BP27" i="1" s="1"/>
  <c r="CT31" i="1"/>
  <c r="CZ55" i="1"/>
  <c r="CZ57" i="1" s="1"/>
  <c r="CO39" i="1"/>
  <c r="AQ22" i="1"/>
  <c r="AQ24" i="1" s="1"/>
  <c r="CO40" i="1" s="1"/>
  <c r="CU55" i="1"/>
  <c r="CU57" i="1" s="1"/>
  <c r="CU46" i="1" s="1"/>
  <c r="BU24" i="1"/>
  <c r="CI14" i="1"/>
  <c r="V33" i="1"/>
  <c r="K26" i="1"/>
  <c r="J28" i="1" s="1"/>
  <c r="CF31" i="1" s="1"/>
  <c r="E41" i="1"/>
  <c r="CE34" i="1" s="1"/>
  <c r="CV28" i="1"/>
  <c r="CV26" i="1"/>
  <c r="CW26" i="1" s="1"/>
  <c r="BE17" i="1"/>
  <c r="BE18" i="1" s="1"/>
  <c r="CR40" i="1" s="1"/>
  <c r="CR42" i="1" s="1"/>
  <c r="CR44" i="1" s="1"/>
  <c r="CV24" i="1"/>
  <c r="CE14" i="1"/>
  <c r="E40" i="1"/>
  <c r="BJ14" i="1"/>
  <c r="BJ16" i="1" s="1"/>
  <c r="BJ17" i="1" s="1"/>
  <c r="CS40" i="1" s="1"/>
  <c r="AV16" i="1"/>
  <c r="AV18" i="1" s="1"/>
  <c r="CP40" i="1" s="1"/>
  <c r="CP42" i="1" s="1"/>
  <c r="CP44" i="1" s="1"/>
  <c r="E27" i="1"/>
  <c r="AG22" i="1"/>
  <c r="AH25" i="1" s="1"/>
  <c r="CK31" i="1" s="1"/>
  <c r="CV29" i="1"/>
  <c r="CL30" i="1"/>
  <c r="AM16" i="1"/>
  <c r="AM18" i="1" s="1"/>
  <c r="AM20" i="1" s="1"/>
  <c r="CN40" i="1" s="1"/>
  <c r="CN42" i="1" s="1"/>
  <c r="CN44" i="1" s="1"/>
  <c r="AA23" i="1"/>
  <c r="CJ42" i="1"/>
  <c r="CJ44" i="1" s="1"/>
  <c r="CZ46" i="1"/>
  <c r="V39" i="1"/>
  <c r="CZ42" i="1"/>
  <c r="CZ44" i="1" s="1"/>
  <c r="CD48" i="1" l="1"/>
  <c r="CZ48" i="1" s="1"/>
  <c r="CO42" i="1"/>
  <c r="CO44" i="1" s="1"/>
  <c r="F45" i="1"/>
  <c r="BP28" i="1"/>
  <c r="CT40" i="1" s="1"/>
  <c r="CT42" i="1" s="1"/>
  <c r="CT44" i="1" s="1"/>
  <c r="J32" i="1"/>
  <c r="K34" i="1" s="1"/>
  <c r="CS34" i="1"/>
  <c r="CS42" i="1" s="1"/>
  <c r="CS44" i="1" s="1"/>
  <c r="AH27" i="1"/>
  <c r="AH28" i="1"/>
  <c r="CK40" i="1" s="1"/>
  <c r="CK42" i="1" s="1"/>
  <c r="CK44" i="1" s="1"/>
  <c r="J29" i="1"/>
  <c r="F42" i="1"/>
  <c r="DA28" i="1"/>
  <c r="DB28" i="1" s="1"/>
  <c r="CW28" i="1"/>
  <c r="CE17" i="1"/>
  <c r="CV14" i="1"/>
  <c r="CL31" i="1"/>
  <c r="CL32" i="1" s="1"/>
  <c r="CV30" i="1"/>
  <c r="DA29" i="1"/>
  <c r="DB29" i="1" s="1"/>
  <c r="CW29" i="1"/>
  <c r="DA24" i="1"/>
  <c r="CW24" i="1"/>
  <c r="CE31" i="1"/>
  <c r="AM21" i="1"/>
  <c r="AQ26" i="1"/>
  <c r="AV20" i="1"/>
  <c r="BJ19" i="1"/>
  <c r="F13" i="51"/>
  <c r="BE20" i="1"/>
  <c r="F47" i="1" l="1"/>
  <c r="F49" i="1" s="1"/>
  <c r="F50" i="1" s="1"/>
  <c r="BP29" i="1"/>
  <c r="AH29" i="1"/>
  <c r="CF39" i="1"/>
  <c r="CF34" i="1"/>
  <c r="K30" i="1"/>
  <c r="K40" i="1" s="1"/>
  <c r="K42" i="1" s="1"/>
  <c r="CF40" i="1" s="1"/>
  <c r="DA30" i="1"/>
  <c r="DB30" i="1" s="1"/>
  <c r="CW30" i="1"/>
  <c r="CL33" i="1"/>
  <c r="CV32" i="1"/>
  <c r="DA26" i="1"/>
  <c r="DB24" i="1"/>
  <c r="DB26" i="1" s="1"/>
  <c r="CW14" i="1"/>
  <c r="DA14" i="1"/>
  <c r="DB14" i="1" s="1"/>
  <c r="CV31" i="1"/>
  <c r="H13" i="51"/>
  <c r="G13" i="51"/>
  <c r="N12" i="1" l="1"/>
  <c r="CE40" i="1"/>
  <c r="CF42" i="1"/>
  <c r="CF44" i="1" s="1"/>
  <c r="K44" i="1"/>
  <c r="DA32" i="1"/>
  <c r="DB32" i="1" s="1"/>
  <c r="CW32" i="1"/>
  <c r="CL34" i="1"/>
  <c r="CV33" i="1"/>
  <c r="DA31" i="1"/>
  <c r="DB31" i="1" s="1"/>
  <c r="CW31" i="1"/>
  <c r="CE42" i="1" l="1"/>
  <c r="CE44" i="1" s="1"/>
  <c r="E13" i="51" s="1"/>
  <c r="CW33" i="1"/>
  <c r="DA33" i="1"/>
  <c r="DB33" i="1" s="1"/>
  <c r="CL35" i="1"/>
  <c r="CV34" i="1"/>
  <c r="N15" i="1" l="1"/>
  <c r="DA34" i="1"/>
  <c r="DB34" i="1" s="1"/>
  <c r="CW34" i="1"/>
  <c r="CL36" i="1"/>
  <c r="CV35" i="1"/>
  <c r="N29" i="1" l="1"/>
  <c r="N19" i="1"/>
  <c r="DA35" i="1"/>
  <c r="DB35" i="1" s="1"/>
  <c r="CW35" i="1"/>
  <c r="CL37" i="1"/>
  <c r="CV36" i="1"/>
  <c r="N32" i="1" l="1"/>
  <c r="CG40" i="1"/>
  <c r="DA36" i="1"/>
  <c r="DB36" i="1" s="1"/>
  <c r="CW36" i="1"/>
  <c r="CV37" i="1"/>
  <c r="CL38" i="1"/>
  <c r="CG42" i="1" l="1"/>
  <c r="CG44" i="1" s="1"/>
  <c r="CL39" i="1"/>
  <c r="CV38" i="1"/>
  <c r="DA37" i="1"/>
  <c r="DB37" i="1" s="1"/>
  <c r="CW37" i="1"/>
  <c r="DA38" i="1" l="1"/>
  <c r="DB38" i="1" s="1"/>
  <c r="CW38" i="1"/>
  <c r="CL40" i="1"/>
  <c r="CL41" i="1" s="1"/>
  <c r="CV39" i="1"/>
  <c r="CL42" i="1" l="1"/>
  <c r="CL43" i="1" s="1"/>
  <c r="CL44" i="1" s="1"/>
  <c r="CL45" i="1" s="1"/>
  <c r="CL46" i="1" s="1"/>
  <c r="CL47" i="1" s="1"/>
  <c r="CL48" i="1" s="1"/>
  <c r="CL49" i="1" s="1"/>
  <c r="CL50" i="1" s="1"/>
  <c r="CL51" i="1" s="1"/>
  <c r="CV41" i="1"/>
  <c r="CW39" i="1"/>
  <c r="DA39" i="1"/>
  <c r="DA41" i="1" l="1"/>
  <c r="DB41" i="1" s="1"/>
  <c r="CW41" i="1"/>
  <c r="DB39" i="1"/>
  <c r="CL52" i="1"/>
  <c r="CL53" i="1" l="1"/>
  <c r="CL54" i="1" l="1"/>
  <c r="CV54" i="1" l="1"/>
  <c r="CL55" i="1"/>
  <c r="CL56" i="1" l="1"/>
  <c r="DA54" i="1"/>
  <c r="CW54" i="1"/>
  <c r="CV56" i="1" l="1"/>
  <c r="CL57" i="1"/>
  <c r="DB54" i="1"/>
  <c r="DA56" i="1" l="1"/>
  <c r="DB56" i="1" s="1"/>
  <c r="CW56" i="1"/>
  <c r="CI16" i="1" l="1"/>
  <c r="V57" i="1"/>
  <c r="V58" i="1" l="1"/>
  <c r="CI40" i="1" s="1"/>
  <c r="CI17" i="1"/>
  <c r="CV17" i="1" s="1"/>
  <c r="CW17" i="1" s="1"/>
  <c r="CV16" i="1"/>
  <c r="CI42" i="1" l="1"/>
  <c r="CI44" i="1" s="1"/>
  <c r="V59" i="1"/>
  <c r="DA16" i="1"/>
  <c r="CW16" i="1"/>
  <c r="DB16" i="1" l="1"/>
  <c r="DB17" i="1" s="1"/>
  <c r="DA17" i="1"/>
  <c r="BN14" i="1" l="1"/>
  <c r="BP14" i="1" l="1"/>
  <c r="BN15" i="1"/>
  <c r="BP15" i="1" s="1"/>
  <c r="CT52" i="1" s="1"/>
  <c r="CT51" i="1" l="1"/>
  <c r="CV51" i="1" s="1"/>
  <c r="CV52" i="1"/>
  <c r="DA52" i="1" l="1"/>
  <c r="DB52" i="1" s="1"/>
  <c r="CW52" i="1"/>
  <c r="CW51" i="1"/>
  <c r="DA51" i="1"/>
  <c r="DB51" i="1" l="1"/>
  <c r="BN16" i="1" l="1"/>
  <c r="BP16" i="1" l="1"/>
  <c r="BN17" i="1"/>
  <c r="CT53" i="1" l="1"/>
  <c r="BP17" i="1"/>
  <c r="CV53" i="1" l="1"/>
  <c r="CT55" i="1"/>
  <c r="CT57" i="1" l="1"/>
  <c r="CV55" i="1"/>
  <c r="CW53" i="1"/>
  <c r="CW55" i="1" s="1"/>
  <c r="CW57" i="1" s="1"/>
  <c r="DA53" i="1"/>
  <c r="DB53" i="1" l="1"/>
  <c r="DB55" i="1" s="1"/>
  <c r="DB57" i="1" s="1"/>
  <c r="DA55" i="1"/>
  <c r="DA57" i="1" s="1"/>
  <c r="CT46" i="1"/>
  <c r="CV57" i="1"/>
  <c r="CV46" i="1" s="1"/>
  <c r="CW46" i="1" l="1"/>
  <c r="DA46" i="1"/>
  <c r="DB46" i="1" l="1"/>
  <c r="D10" i="51" l="1"/>
  <c r="C8" i="20"/>
  <c r="Q12" i="1"/>
  <c r="Q14" i="1" s="1"/>
  <c r="R17" i="1" s="1"/>
  <c r="E10" i="51" l="1"/>
  <c r="D12" i="51"/>
  <c r="C16" i="20"/>
  <c r="R21" i="1"/>
  <c r="R23" i="1" s="1"/>
  <c r="E8" i="20"/>
  <c r="E19" i="20" s="1"/>
  <c r="E21" i="20" s="1"/>
  <c r="C19" i="20"/>
  <c r="C21" i="20" s="1"/>
  <c r="E12" i="51" l="1"/>
  <c r="F10" i="51"/>
  <c r="R24" i="1"/>
  <c r="CH40" i="1"/>
  <c r="E16" i="20"/>
  <c r="CH42" i="1" l="1"/>
  <c r="CH44" i="1" s="1"/>
  <c r="CV40" i="1"/>
  <c r="G10" i="51"/>
  <c r="F12" i="51"/>
  <c r="H10" i="51" l="1"/>
  <c r="G12" i="51"/>
  <c r="CV42" i="1"/>
  <c r="CV44" i="1" s="1"/>
  <c r="DA40" i="1"/>
  <c r="CW40" i="1"/>
  <c r="CW42" i="1" s="1"/>
  <c r="CW44" i="1" s="1"/>
  <c r="CW48" i="1" l="1"/>
  <c r="DB40" i="1"/>
  <c r="DA42" i="1"/>
  <c r="DA44" i="1" s="1"/>
  <c r="I10" i="51"/>
  <c r="I12" i="51" s="1"/>
  <c r="H12" i="51"/>
  <c r="DB42" i="1" l="1"/>
  <c r="DB44" i="1" s="1"/>
  <c r="C7" i="20" l="1"/>
  <c r="D14" i="51"/>
  <c r="DB48" i="1"/>
  <c r="D22" i="51" l="1"/>
  <c r="E14" i="51"/>
  <c r="D15" i="51"/>
  <c r="D16" i="51" s="1"/>
  <c r="D18" i="51" s="1"/>
  <c r="D20" i="51" s="1"/>
  <c r="C10" i="20"/>
  <c r="C15" i="20"/>
  <c r="C17" i="20" l="1"/>
  <c r="F14" i="51"/>
  <c r="E22" i="51"/>
  <c r="E15" i="51"/>
  <c r="E16" i="51" s="1"/>
  <c r="E18" i="51" s="1"/>
  <c r="E20" i="51" s="1"/>
  <c r="F15" i="51" l="1"/>
  <c r="F16" i="51" s="1"/>
  <c r="F18" i="51" s="1"/>
  <c r="F20" i="51" s="1"/>
  <c r="F22" i="51"/>
  <c r="G14" i="51"/>
  <c r="C23" i="20"/>
  <c r="H14" i="51" l="1"/>
  <c r="G15" i="51"/>
  <c r="G16" i="51" s="1"/>
  <c r="G18" i="51" s="1"/>
  <c r="G20" i="51" s="1"/>
  <c r="G22" i="51"/>
  <c r="H15" i="51" l="1"/>
  <c r="H16" i="51" s="1"/>
  <c r="H18" i="51" s="1"/>
  <c r="I14" i="51"/>
  <c r="H22" i="51"/>
  <c r="H20" i="51" l="1"/>
  <c r="I18" i="51"/>
  <c r="I22" i="51"/>
  <c r="I23" i="51" s="1"/>
  <c r="I15" i="51"/>
  <c r="I16" i="51" s="1"/>
  <c r="I20" i="51" l="1"/>
  <c r="D7" i="20"/>
  <c r="D15" i="20" l="1"/>
  <c r="D17" i="20" s="1"/>
  <c r="E7" i="20"/>
  <c r="E15" i="20" l="1"/>
  <c r="E17" i="20" s="1"/>
  <c r="E23" i="20" s="1"/>
  <c r="D23" i="20" s="1"/>
  <c r="E10" i="20"/>
  <c r="D10" i="20" s="1"/>
</calcChain>
</file>

<file path=xl/sharedStrings.xml><?xml version="1.0" encoding="utf-8"?>
<sst xmlns="http://schemas.openxmlformats.org/spreadsheetml/2006/main" count="661" uniqueCount="391">
  <si>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</si>
  <si>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</si>
  <si>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</si>
  <si>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</si>
  <si>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</si>
  <si>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</si>
  <si>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</si>
  <si>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</si>
  <si>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</si>
  <si>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</si>
  <si>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</si>
  <si>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</si>
  <si>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</si>
  <si>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</si>
  <si>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</si>
  <si>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</si>
  <si>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</si>
  <si>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</si>
  <si>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</si>
  <si>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</si>
  <si>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</si>
  <si>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</si>
  <si>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</si>
  <si>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</si>
  <si>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</si>
  <si>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</si>
  <si>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</si>
  <si>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</si>
  <si>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</si>
  <si>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</si>
  <si>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</si>
  <si>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</si>
  <si>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</si>
  <si>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</si>
  <si>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</si>
  <si>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</si>
  <si>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</si>
  <si>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</si>
  <si>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</si>
  <si>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</si>
  <si>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</si>
  <si>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</si>
  <si>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</si>
  <si>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</si>
  <si>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</si>
  <si>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</si>
  <si>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</si>
  <si>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</si>
  <si>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</si>
  <si>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</si>
  <si>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</si>
  <si>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</si>
  <si>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</si>
  <si>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</si>
  <si>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</si>
  <si>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</si>
  <si>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</si>
  <si>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</si>
  <si>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</si>
  <si>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</si>
  <si>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</si>
  <si>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</si>
  <si>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</si>
  <si>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</si>
  <si>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</si>
  <si>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</si>
  <si>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</si>
  <si>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</si>
  <si>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</si>
  <si>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</si>
  <si>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</si>
  <si>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</si>
  <si>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</si>
  <si>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</si>
  <si>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</si>
  <si>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</si>
  <si>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</si>
  <si>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</si>
  <si>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</si>
  <si>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</si>
  <si>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</si>
  <si>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</si>
  <si>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</si>
  <si>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</si>
  <si>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</si>
  <si>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</si>
  <si>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</si>
  <si>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</si>
  <si>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</si>
  <si>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</si>
  <si>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</si>
  <si>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</si>
  <si>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</si>
  <si>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</si>
  <si>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</si>
  <si>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</si>
  <si>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</si>
  <si>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</si>
  <si>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</si>
  <si>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</si>
  <si>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</si>
  <si>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</si>
  <si>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</si>
  <si>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</si>
  <si>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</si>
  <si>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</si>
  <si>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</si>
  <si>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</si>
  <si>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</si>
  <si>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</si>
  <si>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</si>
  <si>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</si>
  <si>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</si>
  <si>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</si>
  <si>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</si>
  <si>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</si>
  <si>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</si>
  <si>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</si>
  <si>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</si>
  <si>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</si>
  <si>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</si>
  <si>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</si>
  <si>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</si>
  <si>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</si>
  <si>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</si>
  <si>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</si>
  <si>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</si>
  <si>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</si>
  <si>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</si>
  <si>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</si>
  <si>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</si>
  <si>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</si>
  <si>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</si>
  <si>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</si>
  <si>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</si>
  <si>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</si>
  <si>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</si>
  <si>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</si>
  <si>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</si>
  <si>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</si>
  <si>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</si>
  <si>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</si>
  <si>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</si>
  <si>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</si>
  <si>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</si>
  <si>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</si>
  <si>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</si>
  <si>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</si>
  <si>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</si>
  <si>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</si>
  <si>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</si>
  <si>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</si>
  <si>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</si>
  <si>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</si>
  <si>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</si>
  <si>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</si>
  <si>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</si>
  <si>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</si>
  <si>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</si>
  <si>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</si>
  <si>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</si>
  <si>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</si>
  <si>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</si>
  <si>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</si>
  <si>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</si>
  <si>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</si>
  <si>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</si>
  <si>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</si>
  <si>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</si>
  <si>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</si>
  <si>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</si>
  <si>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</si>
  <si>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</si>
  <si>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</si>
  <si>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</si>
  <si>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</si>
  <si>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</si>
  <si>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</si>
  <si>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</si>
  <si>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</si>
  <si>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</si>
  <si>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</si>
  <si>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</si>
  <si>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</si>
  <si>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</si>
  <si>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</si>
  <si>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</si>
  <si>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</si>
  <si>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</si>
  <si>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</si>
  <si>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</si>
  <si>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</si>
  <si>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</si>
  <si>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</si>
  <si>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</si>
  <si>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</si>
  <si>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</si>
  <si>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</si>
  <si>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</si>
  <si>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</si>
  <si>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</si>
  <si>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</si>
  <si>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</si>
  <si>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</si>
  <si>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</si>
  <si>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</si>
  <si>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</si>
  <si>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</si>
  <si>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</si>
  <si>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</si>
  <si>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</si>
  <si>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</si>
  <si>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</si>
  <si>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</si>
  <si>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</si>
  <si>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</si>
  <si>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</si>
  <si>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</si>
  <si>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</si>
  <si>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</si>
  <si>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</si>
  <si>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</si>
  <si>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</si>
  <si>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</si>
  <si>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</si>
  <si>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</si>
  <si>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</si>
  <si>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</si>
  <si>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</si>
  <si>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</si>
  <si>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</si>
  <si>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</si>
  <si>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</si>
  <si>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</si>
  <si>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</si>
  <si>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</si>
  <si>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</si>
  <si>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</si>
  <si>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</si>
  <si>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</si>
  <si>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</si>
  <si>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</si>
  <si>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</si>
  <si>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</si>
  <si>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</si>
  <si>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</si>
  <si>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</si>
  <si>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REMOVE RENTALS ASSOC WITH SCH 132</t>
  </si>
  <si>
    <t>PROFORMA BAD DEBT RATE</t>
  </si>
  <si>
    <t>PROFORMA BAD DEBTS</t>
  </si>
  <si>
    <t>TOTAL INCENTIVE / MERIT PAY</t>
  </si>
  <si>
    <t>Rate Case Expense</t>
  </si>
  <si>
    <t>December</t>
  </si>
  <si>
    <t>August</t>
  </si>
  <si>
    <t>Conversion Factor</t>
  </si>
  <si>
    <t>Line 10 ÷ Line11, &amp; for adj:  (Line 10 - Previous Line 10) ÷ Line11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</si>
  <si>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</si>
  <si>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</si>
  <si>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</si>
  <si>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</si>
  <si>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</si>
  <si>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</si>
  <si>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Difference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</si>
  <si>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</si>
  <si>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</si>
  <si>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</si>
  <si>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</si>
  <si>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</si>
  <si>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</si>
  <si>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</si>
  <si>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</si>
  <si>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</si>
  <si>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</si>
  <si>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Bad Debt</t>
  </si>
  <si>
    <t>Temp Normalization</t>
  </si>
  <si>
    <t>Source</t>
  </si>
  <si>
    <t>Line No.</t>
  </si>
  <si>
    <t>Normalizing Adjustments to Remove</t>
  </si>
  <si>
    <t>Commission Basis Report</t>
  </si>
  <si>
    <t>Gas Earnings Sharing Test (Excludes Normalizing Adjustments per UE-170033 / UG-170034)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</si>
  <si>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</si>
  <si>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</si>
  <si>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</si>
  <si>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</si>
  <si>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</si>
  <si>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</si>
  <si>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</si>
  <si>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</si>
  <si>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</si>
  <si>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</si>
  <si>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</si>
  <si>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</si>
  <si>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</si>
  <si>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</si>
  <si>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</si>
  <si>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</si>
  <si>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</si>
  <si>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</si>
  <si>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</si>
  <si>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</si>
  <si>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</si>
  <si>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</si>
  <si>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</si>
  <si>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</si>
  <si>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check</t>
  </si>
  <si>
    <t>85T</t>
  </si>
  <si>
    <t>87T</t>
  </si>
  <si>
    <t>SC</t>
  </si>
  <si>
    <t>REMOVE LNG PIPELINE UPGRADES</t>
  </si>
  <si>
    <t xml:space="preserve">REMOVE LNG 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</si>
  <si>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</si>
  <si>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</si>
  <si>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</si>
  <si>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</si>
  <si>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</si>
  <si>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</si>
  <si>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</si>
  <si>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</si>
  <si>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UE-121697</t>
  </si>
  <si>
    <t>COC and RSI - From COC History</t>
  </si>
  <si>
    <t>19GRC Final Order</t>
  </si>
  <si>
    <t>UE-190529 &amp; UG-190530</t>
  </si>
  <si>
    <t>Rates Effective</t>
  </si>
  <si>
    <t>Test Year Ended</t>
  </si>
  <si>
    <t>Rate Year Beginning</t>
  </si>
  <si>
    <t>Capital %</t>
  </si>
  <si>
    <t>Cost %</t>
  </si>
  <si>
    <t>WACC</t>
  </si>
  <si>
    <t>Short Term Debt (Prior to 17GRC, separated)</t>
  </si>
  <si>
    <t>Short and Long Term Debt</t>
  </si>
  <si>
    <t>PREFERRED</t>
  </si>
  <si>
    <t>EQUITY</t>
  </si>
  <si>
    <t>AFTER TAX SHORT TERM DEBT ( (LINE 1)* 65%)</t>
  </si>
  <si>
    <t>AFTER TAX LONG TERM DEBT ( (LINE 2)* 65%)</t>
  </si>
  <si>
    <t>TOTAL AFTER TAX COST OF CAPITAL</t>
  </si>
  <si>
    <t>Electric  - Conversion Factor (for revenue sensitive items)</t>
  </si>
  <si>
    <t>STATE UTILITY TAX ( 0% - ( LINE 1 * 0% )  )</t>
  </si>
  <si>
    <t>CONVERSION FACTOR EXCLUDING FEDERAL INCOME TAX</t>
  </si>
  <si>
    <t xml:space="preserve">CONVERSION FACTOR INCL FEDERAL INCOME TAX </t>
  </si>
  <si>
    <t>Admin &amp; General Expense</t>
  </si>
  <si>
    <t>Depreciation Expense</t>
  </si>
  <si>
    <t>Plant in Service</t>
  </si>
  <si>
    <t>Accumulated Depreciation</t>
  </si>
  <si>
    <t xml:space="preserve">Accumulated Deferred FIT </t>
  </si>
  <si>
    <t>Total Rate Base</t>
  </si>
  <si>
    <t>Increase (Decrease) FIT @ 21%</t>
  </si>
  <si>
    <t>EXPENSE &amp; RATE BASE</t>
  </si>
  <si>
    <t>OTHER OPERATING EXPENSES:</t>
  </si>
  <si>
    <t>INCREASE (DECREASE) OPERATING EXPENSES</t>
  </si>
  <si>
    <t>INCOME STATEMENT</t>
  </si>
  <si>
    <t>Gas O&amp;M Expense</t>
  </si>
  <si>
    <t>FIT</t>
  </si>
  <si>
    <t>INCENTIVE MERIT / PAY</t>
  </si>
  <si>
    <t>REMOVE SCHEDULE 141Z PROTECTED EDIT (OFFSET IN FIT %)</t>
  </si>
  <si>
    <t>REMOVE EARNINGS SHARING ACCRUALS (no over earnings)</t>
  </si>
  <si>
    <t>TOTAL INCREASE (DECREASE) OTHER OPERATING REVENUES</t>
  </si>
  <si>
    <t>INCREASE (DECREASE) FIT  (LINE 49 * 21%)</t>
  </si>
  <si>
    <t>Company</t>
  </si>
  <si>
    <t>TestYear</t>
  </si>
  <si>
    <t>Filing</t>
  </si>
  <si>
    <t>Docket</t>
  </si>
  <si>
    <t>ExhibitNo</t>
  </si>
  <si>
    <t>Exhibit No.</t>
  </si>
  <si>
    <t>Filing Fee</t>
  </si>
  <si>
    <t>PUGET SOUND ENERGY - GAS</t>
  </si>
  <si>
    <t>Utility Tax</t>
  </si>
  <si>
    <t>UG-__________</t>
  </si>
  <si>
    <t>Bad Debt/Uncollectible</t>
  </si>
  <si>
    <t>(Source:  UG-190530)</t>
  </si>
  <si>
    <t>12 Months 2019 GRC</t>
  </si>
  <si>
    <t>(Source: UG-190530)</t>
  </si>
  <si>
    <t>FOR THE TWELVE MONTHS ENDED DECEMBER 31, 2022</t>
  </si>
  <si>
    <t>2022 Commission Basis Report</t>
  </si>
  <si>
    <t>12 ME December 31, 2022</t>
  </si>
  <si>
    <t>2022 Adjusted CBR Earnings Test</t>
  </si>
  <si>
    <t>2022 CBR as Filed</t>
  </si>
  <si>
    <t>Incremental Earnings Sharing for CY 2022 for Cost of Svc</t>
  </si>
  <si>
    <t>ANNUAL NORMALIZATION (LINE 3 / LINE 4)</t>
  </si>
  <si>
    <t xml:space="preserve">REMOVE 141X 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</si>
  <si>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</si>
  <si>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</si>
  <si>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</si>
  <si>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REMOVE DECOUPLING SCH 142 REVENUE (Amort, not tariff)</t>
  </si>
  <si>
    <t>REMOVE 141X (Amort, not tariff)</t>
  </si>
  <si>
    <t>REMOVE AMI RETURN DEFERRAL (ASSOCIATED PLANT REMOVED)</t>
  </si>
  <si>
    <t>BAD DEBTS - CUSTOMER ACCTS EXPENSES</t>
  </si>
  <si>
    <t>ANNUAL FILING FEE - ADMIN &amp; GENERAL EXPENSE</t>
  </si>
  <si>
    <t>STATE UTILITY TAX - TAXES OTHER THAN F.I.T.</t>
  </si>
  <si>
    <t>REMOVE AMI REVENUE AND RATEBASE</t>
  </si>
  <si>
    <t>REMOVE AMI</t>
  </si>
  <si>
    <t>REV &amp; RATEBASE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</si>
</sst>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5" formatCode="_(&quot;$&quot;* #,##0.0000_);_(&quot;$&quot;* \(#,##0.0000\);_(&quot;$&quot;* &quot;-&quot;????_);_(@_)"/>
    <numFmt numFmtId="186" formatCode="_(* #,##0.00_);_(* \(#,##0.00\);_(* &quot;-&quot;_);_(@_)"/>
  </numFmts>
  <fonts count="40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u/>
      <sz val="9"/>
      <name val="Arial"/>
      <family val="2"/>
    </font>
    <font>
      <sz val="9"/>
      <name val="Helv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name val="Times New Roman"/>
      <family val="1"/>
    </font>
    <font>
      <b/>
      <sz val="10"/>
      <color rgb="FF0000FF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7" fillId="0" borderId="0">
      <alignment horizontal="left" wrapText="1"/>
    </xf>
    <xf numFmtId="0" fontId="1" fillId="0" borderId="0"/>
    <xf numFmtId="0" fontId="7" fillId="0" borderId="0"/>
    <xf numFmtId="44" fontId="16" fillId="0" borderId="0" applyFont="0" applyFill="0" applyBorder="0" applyAlignment="0" applyProtection="0"/>
    <xf numFmtId="170" fontId="7" fillId="0" borderId="0">
      <alignment horizontal="left" wrapText="1"/>
    </xf>
  </cellStyleXfs>
  <cellXfs count="608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0" xfId="0" applyNumberFormat="1" applyFont="1" applyFill="1" applyAlignment="1" applyProtection="1">
      <alignment horizontal="left"/>
    </xf>
    <xf numFmtId="41" fontId="8" fillId="0" borderId="2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2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2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0" xfId="0" applyNumberFormat="1" applyFont="1" applyFill="1" applyAlignment="1" applyProtection="1">
      <protection locked="0"/>
    </xf>
    <xf numFmtId="41" fontId="8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2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2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2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2" xfId="0" applyFont="1" applyFill="1" applyBorder="1" applyAlignment="1"/>
    <xf numFmtId="170" fontId="18" fillId="0" borderId="2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68" fontId="3" fillId="0" borderId="0" xfId="0" applyNumberFormat="1" applyFont="1" applyFill="1" applyAlignment="1">
      <alignment horizontal="right"/>
    </xf>
    <xf numFmtId="0" fontId="4" fillId="0" borderId="5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41" fontId="4" fillId="0" borderId="2" xfId="0" applyNumberFormat="1" applyFont="1" applyFill="1" applyBorder="1" applyAlignment="1">
      <alignment horizontal="center"/>
    </xf>
    <xf numFmtId="17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172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0" fontId="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2" xfId="0" applyNumberFormat="1" applyFont="1" applyFill="1" applyBorder="1" applyAlignment="1"/>
    <xf numFmtId="41" fontId="3" fillId="0" borderId="2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3" xfId="0" applyNumberFormat="1" applyFill="1" applyBorder="1" applyAlignment="1"/>
    <xf numFmtId="37" fontId="3" fillId="0" borderId="2" xfId="0" applyNumberFormat="1" applyFont="1" applyFill="1" applyBorder="1" applyAlignment="1"/>
    <xf numFmtId="178" fontId="3" fillId="0" borderId="1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1" xfId="0" applyNumberFormat="1" applyFont="1" applyFill="1" applyBorder="1" applyAlignment="1"/>
    <xf numFmtId="42" fontId="4" fillId="0" borderId="4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2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3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1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4" xfId="0" applyNumberFormat="1" applyFont="1" applyFill="1" applyBorder="1" applyAlignment="1"/>
    <xf numFmtId="42" fontId="3" fillId="0" borderId="3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4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3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1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42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/>
    <xf numFmtId="177" fontId="3" fillId="0" borderId="0" xfId="0" applyNumberFormat="1" applyFont="1" applyFill="1" applyAlignment="1"/>
    <xf numFmtId="41" fontId="3" fillId="0" borderId="0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/>
    <xf numFmtId="42" fontId="3" fillId="0" borderId="1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3" fillId="0" borderId="0" xfId="0" quotePrefix="1" applyFont="1" applyFill="1" applyAlignment="1">
      <alignment horizontal="left"/>
    </xf>
    <xf numFmtId="170" fontId="0" fillId="0" borderId="0" xfId="0" applyFill="1" applyAlignment="1"/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6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2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 applyProtection="1"/>
    <xf numFmtId="42" fontId="3" fillId="0" borderId="1" xfId="0" applyNumberFormat="1" applyFont="1" applyFill="1" applyBorder="1" applyAlignment="1" applyProtection="1"/>
    <xf numFmtId="0" fontId="7" fillId="0" borderId="0" xfId="0" applyNumberFormat="1" applyFont="1" applyAlignment="1"/>
    <xf numFmtId="42" fontId="7" fillId="2" borderId="8" xfId="0" applyNumberFormat="1" applyFont="1" applyFill="1" applyBorder="1" applyAlignment="1"/>
    <xf numFmtId="42" fontId="7" fillId="0" borderId="8" xfId="0" applyNumberFormat="1" applyFont="1" applyBorder="1" applyAlignment="1"/>
    <xf numFmtId="0" fontId="28" fillId="0" borderId="10" xfId="0" applyNumberFormat="1" applyFont="1" applyBorder="1" applyAlignment="1"/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/>
    </xf>
    <xf numFmtId="42" fontId="7" fillId="0" borderId="12" xfId="0" applyNumberFormat="1" applyFont="1" applyBorder="1" applyAlignment="1"/>
    <xf numFmtId="3" fontId="7" fillId="0" borderId="12" xfId="0" applyNumberFormat="1" applyFont="1" applyFill="1" applyBorder="1" applyAlignment="1"/>
    <xf numFmtId="3" fontId="7" fillId="0" borderId="12" xfId="0" applyNumberFormat="1" applyFont="1" applyBorder="1" applyAlignment="1"/>
    <xf numFmtId="9" fontId="28" fillId="0" borderId="11" xfId="0" applyNumberFormat="1" applyFont="1" applyFill="1" applyBorder="1" applyAlignment="1"/>
    <xf numFmtId="42" fontId="7" fillId="0" borderId="11" xfId="0" applyNumberFormat="1" applyFont="1" applyBorder="1" applyAlignment="1"/>
    <xf numFmtId="42" fontId="7" fillId="0" borderId="12" xfId="0" applyNumberFormat="1" applyFont="1" applyFill="1" applyBorder="1" applyAlignment="1"/>
    <xf numFmtId="0" fontId="29" fillId="0" borderId="0" xfId="0" applyNumberFormat="1" applyFont="1" applyAlignment="1">
      <alignment horizontal="center"/>
    </xf>
    <xf numFmtId="42" fontId="29" fillId="0" borderId="0" xfId="0" applyNumberFormat="1" applyFont="1" applyAlignment="1">
      <alignment horizontal="center"/>
    </xf>
    <xf numFmtId="42" fontId="7" fillId="0" borderId="11" xfId="0" applyNumberFormat="1" applyFont="1" applyFill="1" applyBorder="1" applyAlignment="1"/>
    <xf numFmtId="0" fontId="7" fillId="0" borderId="11" xfId="0" applyNumberFormat="1" applyFont="1" applyBorder="1" applyAlignment="1"/>
    <xf numFmtId="10" fontId="28" fillId="0" borderId="11" xfId="0" applyNumberFormat="1" applyFont="1" applyBorder="1" applyAlignment="1"/>
    <xf numFmtId="42" fontId="7" fillId="0" borderId="13" xfId="0" applyNumberFormat="1" applyFont="1" applyFill="1" applyBorder="1" applyAlignment="1"/>
    <xf numFmtId="0" fontId="7" fillId="0" borderId="12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center"/>
    </xf>
    <xf numFmtId="0" fontId="17" fillId="2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Continuous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Continuous"/>
    </xf>
    <xf numFmtId="0" fontId="7" fillId="3" borderId="16" xfId="0" applyNumberFormat="1" applyFont="1" applyFill="1" applyBorder="1" applyAlignment="1">
      <alignment horizontal="centerContinuous"/>
    </xf>
    <xf numFmtId="0" fontId="17" fillId="0" borderId="0" xfId="0" applyNumberFormat="1" applyFont="1" applyAlignment="1"/>
    <xf numFmtId="0" fontId="7" fillId="3" borderId="17" xfId="0" applyNumberFormat="1" applyFont="1" applyFill="1" applyBorder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42" fontId="7" fillId="0" borderId="18" xfId="0" applyNumberFormat="1" applyFont="1" applyFill="1" applyBorder="1" applyAlignment="1"/>
    <xf numFmtId="3" fontId="7" fillId="0" borderId="18" xfId="0" applyNumberFormat="1" applyFont="1" applyFill="1" applyBorder="1" applyAlignment="1"/>
    <xf numFmtId="42" fontId="7" fillId="0" borderId="8" xfId="0" applyNumberFormat="1" applyFont="1" applyFill="1" applyBorder="1" applyAlignment="1"/>
    <xf numFmtId="42" fontId="7" fillId="0" borderId="11" xfId="0" applyNumberFormat="1" applyFont="1" applyFill="1" applyBorder="1" applyAlignment="1"/>
    <xf numFmtId="0" fontId="17" fillId="0" borderId="6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2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30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1" xfId="0" applyNumberFormat="1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41" fontId="3" fillId="0" borderId="7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2" xfId="0" applyNumberFormat="1" applyFont="1" applyFill="1" applyBorder="1" applyAlignment="1"/>
    <xf numFmtId="10" fontId="7" fillId="0" borderId="0" xfId="0" applyNumberFormat="1" applyFont="1" applyAlignment="1"/>
    <xf numFmtId="0" fontId="26" fillId="0" borderId="0" xfId="0" applyNumberFormat="1" applyFont="1" applyAlignment="1">
      <alignment horizontal="right"/>
    </xf>
    <xf numFmtId="10" fontId="26" fillId="0" borderId="0" xfId="0" applyNumberFormat="1" applyFont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2" xfId="0" applyNumberFormat="1" applyFont="1" applyFill="1" applyBorder="1" applyAlignment="1"/>
    <xf numFmtId="42" fontId="7" fillId="0" borderId="0" xfId="0" applyNumberFormat="1" applyFont="1" applyAlignment="1"/>
    <xf numFmtId="0" fontId="28" fillId="0" borderId="11" xfId="0" applyNumberFormat="1" applyFont="1" applyBorder="1" applyAlignment="1"/>
    <xf numFmtId="170" fontId="3" fillId="0" borderId="0" xfId="0" applyFont="1" applyFill="1" applyAlignment="1">
      <alignment horizontal="left" indent="2"/>
    </xf>
    <xf numFmtId="170" fontId="3" fillId="0" borderId="2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8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2" xfId="0" applyNumberFormat="1" applyFont="1" applyFill="1" applyBorder="1" applyAlignment="1">
      <alignment horizontal="right"/>
    </xf>
    <xf numFmtId="186" fontId="3" fillId="0" borderId="0" xfId="0" applyNumberFormat="1" applyFont="1" applyFill="1" applyBorder="1" applyAlignment="1"/>
    <xf numFmtId="177" fontId="3" fillId="0" borderId="2" xfId="0" applyNumberFormat="1" applyFont="1" applyFill="1" applyBorder="1" applyAlignment="1"/>
    <xf numFmtId="0" fontId="28" fillId="0" borderId="18" xfId="0" applyNumberFormat="1" applyFont="1" applyBorder="1" applyAlignment="1"/>
    <xf numFmtId="0" fontId="2" fillId="4" borderId="19" xfId="0" applyNumberFormat="1" applyFont="1" applyFill="1" applyBorder="1" applyAlignment="1"/>
    <xf numFmtId="170" fontId="31" fillId="4" borderId="7" xfId="0" applyFont="1" applyFill="1" applyBorder="1" applyAlignment="1">
      <alignment horizontal="center" wrapText="1"/>
    </xf>
    <xf numFmtId="170" fontId="31" fillId="4" borderId="22" xfId="0" applyFont="1" applyFill="1" applyBorder="1" applyAlignment="1">
      <alignment horizontal="center" wrapText="1"/>
    </xf>
    <xf numFmtId="0" fontId="32" fillId="4" borderId="20" xfId="0" applyNumberFormat="1" applyFont="1" applyFill="1" applyBorder="1" applyAlignment="1"/>
    <xf numFmtId="170" fontId="33" fillId="4" borderId="0" xfId="0" applyFont="1" applyFill="1" applyBorder="1" applyAlignment="1">
      <alignment horizontal="center" wrapText="1"/>
    </xf>
    <xf numFmtId="170" fontId="33" fillId="4" borderId="23" xfId="0" applyFont="1" applyFill="1" applyBorder="1" applyAlignment="1">
      <alignment horizontal="center" wrapText="1"/>
    </xf>
    <xf numFmtId="170" fontId="34" fillId="4" borderId="20" xfId="0" applyFont="1" applyFill="1" applyBorder="1" applyAlignment="1"/>
    <xf numFmtId="14" fontId="35" fillId="4" borderId="0" xfId="0" applyNumberFormat="1" applyFont="1" applyFill="1" applyBorder="1" applyAlignment="1">
      <alignment horizontal="center"/>
    </xf>
    <xf numFmtId="14" fontId="35" fillId="4" borderId="23" xfId="0" applyNumberFormat="1" applyFont="1" applyFill="1" applyBorder="1" applyAlignment="1">
      <alignment horizontal="center"/>
    </xf>
    <xf numFmtId="170" fontId="34" fillId="4" borderId="20" xfId="0" applyFont="1" applyFill="1" applyBorder="1" applyAlignment="1">
      <alignment horizontal="left"/>
    </xf>
    <xf numFmtId="14" fontId="34" fillId="4" borderId="0" xfId="0" applyNumberFormat="1" applyFont="1" applyFill="1" applyBorder="1" applyAlignment="1">
      <alignment horizontal="center"/>
    </xf>
    <xf numFmtId="14" fontId="34" fillId="4" borderId="23" xfId="0" applyNumberFormat="1" applyFont="1" applyFill="1" applyBorder="1" applyAlignment="1">
      <alignment horizontal="center"/>
    </xf>
    <xf numFmtId="170" fontId="34" fillId="4" borderId="21" xfId="0" applyFont="1" applyFill="1" applyBorder="1" applyAlignment="1">
      <alignment horizontal="left"/>
    </xf>
    <xf numFmtId="170" fontId="34" fillId="4" borderId="25" xfId="0" applyFont="1" applyFill="1" applyBorder="1" applyAlignment="1">
      <alignment horizontal="center"/>
    </xf>
    <xf numFmtId="170" fontId="34" fillId="4" borderId="26" xfId="0" applyFont="1" applyFill="1" applyBorder="1" applyAlignment="1">
      <alignment horizontal="center"/>
    </xf>
    <xf numFmtId="170" fontId="34" fillId="4" borderId="27" xfId="0" applyFont="1" applyFill="1" applyBorder="1" applyAlignment="1">
      <alignment horizontal="center"/>
    </xf>
    <xf numFmtId="0" fontId="33" fillId="4" borderId="20" xfId="0" applyNumberFormat="1" applyFont="1" applyFill="1" applyBorder="1" applyAlignment="1"/>
    <xf numFmtId="10" fontId="33" fillId="4" borderId="28" xfId="0" applyNumberFormat="1" applyFont="1" applyFill="1" applyBorder="1" applyAlignment="1"/>
    <xf numFmtId="10" fontId="33" fillId="4" borderId="0" xfId="0" applyNumberFormat="1" applyFont="1" applyFill="1" applyBorder="1" applyAlignment="1"/>
    <xf numFmtId="10" fontId="33" fillId="4" borderId="23" xfId="0" applyNumberFormat="1" applyFont="1" applyFill="1" applyBorder="1" applyAlignment="1"/>
    <xf numFmtId="10" fontId="33" fillId="4" borderId="29" xfId="0" applyNumberFormat="1" applyFont="1" applyFill="1" applyBorder="1" applyAlignment="1"/>
    <xf numFmtId="10" fontId="35" fillId="4" borderId="2" xfId="0" applyNumberFormat="1" applyFont="1" applyFill="1" applyBorder="1" applyAlignment="1"/>
    <xf numFmtId="10" fontId="33" fillId="4" borderId="24" xfId="0" applyNumberFormat="1" applyFont="1" applyFill="1" applyBorder="1" applyAlignment="1"/>
    <xf numFmtId="10" fontId="33" fillId="5" borderId="23" xfId="0" applyNumberFormat="1" applyFont="1" applyFill="1" applyBorder="1" applyAlignment="1"/>
    <xf numFmtId="170" fontId="34" fillId="4" borderId="28" xfId="0" applyFont="1" applyFill="1" applyBorder="1" applyAlignment="1"/>
    <xf numFmtId="170" fontId="34" fillId="4" borderId="0" xfId="0" applyFont="1" applyFill="1" applyBorder="1" applyAlignment="1"/>
    <xf numFmtId="170" fontId="34" fillId="4" borderId="23" xfId="0" applyFont="1" applyFill="1" applyBorder="1" applyAlignment="1"/>
    <xf numFmtId="10" fontId="33" fillId="4" borderId="2" xfId="0" applyNumberFormat="1" applyFont="1" applyFill="1" applyBorder="1" applyAlignment="1"/>
    <xf numFmtId="10" fontId="33" fillId="4" borderId="30" xfId="0" applyNumberFormat="1" applyFont="1" applyFill="1" applyBorder="1" applyAlignment="1"/>
    <xf numFmtId="10" fontId="33" fillId="4" borderId="31" xfId="0" applyNumberFormat="1" applyFont="1" applyFill="1" applyBorder="1" applyAlignment="1"/>
    <xf numFmtId="10" fontId="33" fillId="4" borderId="15" xfId="0" applyNumberFormat="1" applyFont="1" applyFill="1" applyBorder="1" applyAlignment="1"/>
    <xf numFmtId="170" fontId="36" fillId="4" borderId="20" xfId="0" applyFont="1" applyFill="1" applyBorder="1" applyAlignment="1"/>
    <xf numFmtId="0" fontId="33" fillId="4" borderId="20" xfId="0" applyNumberFormat="1" applyFont="1" applyFill="1" applyBorder="1" applyAlignment="1">
      <alignment horizontal="left"/>
    </xf>
    <xf numFmtId="0" fontId="33" fillId="4" borderId="0" xfId="0" applyNumberFormat="1" applyFont="1" applyFill="1" applyBorder="1" applyAlignment="1"/>
    <xf numFmtId="170" fontId="33" fillId="4" borderId="23" xfId="0" applyNumberFormat="1" applyFont="1" applyFill="1" applyBorder="1" applyAlignment="1"/>
    <xf numFmtId="165" fontId="33" fillId="4" borderId="0" xfId="0" applyNumberFormat="1" applyFont="1" applyFill="1" applyBorder="1" applyAlignment="1"/>
    <xf numFmtId="170" fontId="33" fillId="4" borderId="24" xfId="0" applyNumberFormat="1" applyFont="1" applyFill="1" applyBorder="1" applyAlignment="1"/>
    <xf numFmtId="169" fontId="34" fillId="4" borderId="0" xfId="0" applyNumberFormat="1" applyFont="1" applyFill="1" applyBorder="1" applyAlignment="1"/>
    <xf numFmtId="169" fontId="33" fillId="4" borderId="0" xfId="0" applyNumberFormat="1" applyFont="1" applyFill="1" applyBorder="1" applyAlignment="1"/>
    <xf numFmtId="169" fontId="35" fillId="4" borderId="23" xfId="0" applyNumberFormat="1" applyFont="1" applyFill="1" applyBorder="1" applyAlignment="1"/>
    <xf numFmtId="9" fontId="33" fillId="4" borderId="0" xfId="0" applyNumberFormat="1" applyFont="1" applyFill="1" applyBorder="1" applyAlignment="1"/>
    <xf numFmtId="0" fontId="33" fillId="4" borderId="21" xfId="0" applyNumberFormat="1" applyFont="1" applyFill="1" applyBorder="1" applyAlignment="1">
      <alignment horizontal="left"/>
    </xf>
    <xf numFmtId="170" fontId="34" fillId="4" borderId="2" xfId="0" applyFont="1" applyFill="1" applyBorder="1" applyAlignment="1"/>
    <xf numFmtId="0" fontId="33" fillId="4" borderId="2" xfId="0" applyNumberFormat="1" applyFont="1" applyFill="1" applyBorder="1" applyAlignment="1"/>
    <xf numFmtId="170" fontId="35" fillId="5" borderId="8" xfId="0" applyNumberFormat="1" applyFont="1" applyFill="1" applyBorder="1" applyAlignment="1" applyProtection="1">
      <protection locked="0"/>
    </xf>
    <xf numFmtId="10" fontId="28" fillId="4" borderId="11" xfId="0" applyNumberFormat="1" applyFont="1" applyFill="1" applyBorder="1" applyAlignment="1"/>
    <xf numFmtId="170" fontId="28" fillId="4" borderId="11" xfId="0" applyNumberFormat="1" applyFont="1" applyFill="1" applyBorder="1" applyAlignment="1"/>
    <xf numFmtId="170" fontId="28" fillId="0" borderId="11" xfId="0" applyNumberFormat="1" applyFont="1" applyFill="1" applyBorder="1" applyAlignment="1"/>
    <xf numFmtId="170" fontId="37" fillId="0" borderId="0" xfId="0" applyFont="1" applyFill="1" applyAlignment="1"/>
    <xf numFmtId="0" fontId="37" fillId="0" borderId="0" xfId="0" applyNumberFormat="1" applyFont="1" applyFill="1" applyAlignment="1">
      <alignment horizontal="left"/>
    </xf>
    <xf numFmtId="42" fontId="3" fillId="0" borderId="0" xfId="3" applyNumberFormat="1" applyFont="1" applyFill="1" applyAlignment="1"/>
    <xf numFmtId="42" fontId="3" fillId="0" borderId="0" xfId="2" applyNumberFormat="1" applyFont="1" applyFill="1" applyAlignment="1" applyProtection="1">
      <protection locked="0"/>
    </xf>
    <xf numFmtId="42" fontId="37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170" fontId="3" fillId="0" borderId="7" xfId="0" applyFont="1" applyFill="1" applyBorder="1" applyAlignment="1"/>
    <xf numFmtId="0" fontId="3" fillId="0" borderId="7" xfId="0" applyNumberFormat="1" applyFont="1" applyFill="1" applyBorder="1" applyAlignment="1"/>
    <xf numFmtId="178" fontId="3" fillId="0" borderId="7" xfId="0" applyNumberFormat="1" applyFont="1" applyFill="1" applyBorder="1" applyAlignment="1"/>
    <xf numFmtId="37" fontId="3" fillId="0" borderId="7" xfId="0" applyNumberFormat="1" applyFont="1" applyFill="1" applyBorder="1" applyAlignment="1"/>
    <xf numFmtId="170" fontId="5" fillId="0" borderId="0" xfId="0" applyNumberFormat="1" applyFont="1" applyFill="1" applyBorder="1" applyAlignment="1" applyProtection="1">
      <alignment horizontal="left"/>
      <protection locked="0"/>
    </xf>
    <xf numFmtId="170" fontId="3" fillId="0" borderId="0" xfId="0" applyNumberFormat="1" applyFont="1" applyFill="1" applyAlignment="1">
      <alignment horizontal="left" wrapText="1"/>
    </xf>
    <xf numFmtId="170" fontId="0" fillId="0" borderId="2" xfId="0" applyFill="1" applyBorder="1" applyAlignment="1"/>
    <xf numFmtId="178" fontId="4" fillId="0" borderId="9" xfId="0" applyNumberFormat="1" applyFont="1" applyFill="1" applyBorder="1" applyAlignment="1"/>
    <xf numFmtId="170" fontId="5" fillId="0" borderId="0" xfId="0" applyNumberFormat="1" applyFont="1" applyFill="1" applyBorder="1" applyAlignment="1">
      <alignment horizontal="left"/>
    </xf>
    <xf numFmtId="170" fontId="3" fillId="0" borderId="0" xfId="0" applyNumberFormat="1" applyFont="1" applyFill="1" applyBorder="1" applyAlignment="1">
      <alignment horizontal="left" wrapText="1"/>
    </xf>
    <xf numFmtId="170" fontId="3" fillId="0" borderId="0" xfId="0" quotePrefix="1" applyNumberFormat="1" applyFont="1" applyFill="1" applyAlignment="1">
      <alignment horizontal="left"/>
    </xf>
    <xf numFmtId="170" fontId="3" fillId="0" borderId="0" xfId="0" quotePrefix="1" applyNumberFormat="1" applyFont="1" applyFill="1" applyBorder="1" applyAlignment="1">
      <alignment horizontal="left"/>
    </xf>
    <xf numFmtId="182" fontId="3" fillId="0" borderId="0" xfId="0" applyNumberFormat="1" applyFont="1" applyFill="1" applyBorder="1" applyAlignment="1">
      <alignment horizontal="right" wrapText="1"/>
    </xf>
    <xf numFmtId="178" fontId="3" fillId="0" borderId="7" xfId="0" applyNumberFormat="1" applyFont="1" applyFill="1" applyBorder="1" applyAlignment="1">
      <alignment horizontal="right" wrapText="1"/>
    </xf>
    <xf numFmtId="170" fontId="0" fillId="0" borderId="0" xfId="0" applyFill="1" applyBorder="1" applyAlignment="1"/>
    <xf numFmtId="178" fontId="3" fillId="0" borderId="9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178" fontId="3" fillId="0" borderId="1" xfId="0" applyNumberFormat="1" applyFont="1" applyFill="1" applyBorder="1" applyAlignment="1"/>
    <xf numFmtId="41" fontId="39" fillId="0" borderId="0" xfId="0" applyNumberFormat="1" applyFont="1" applyFill="1" applyAlignment="1"/>
    <xf numFmtId="168" fontId="3" fillId="0" borderId="0" xfId="0" applyNumberFormat="1" applyFont="1" applyFill="1" applyBorder="1" applyAlignment="1">
      <alignment horizontal="center"/>
    </xf>
    <xf numFmtId="177" fontId="3" fillId="0" borderId="0" xfId="1" applyNumberFormat="1" applyFont="1" applyFill="1" applyAlignment="1"/>
    <xf numFmtId="170" fontId="7" fillId="0" borderId="2" xfId="0" applyFont="1" applyFill="1" applyBorder="1">
      <alignment horizontal="left" wrapText="1"/>
    </xf>
    <xf numFmtId="170" fontId="9" fillId="0" borderId="0" xfId="0" applyFont="1" applyAlignment="1"/>
    <xf numFmtId="0" fontId="9" fillId="0" borderId="0" xfId="0" applyNumberFormat="1" applyFont="1" applyAlignment="1"/>
    <xf numFmtId="178" fontId="3" fillId="0" borderId="0" xfId="6" applyNumberFormat="1" applyFont="1" applyFill="1" applyBorder="1" applyProtection="1">
      <protection locked="0"/>
    </xf>
    <xf numFmtId="0" fontId="0" fillId="0" borderId="0" xfId="0" applyNumberFormat="1" applyBorder="1" applyAlignment="1"/>
    <xf numFmtId="10" fontId="3" fillId="0" borderId="0" xfId="2" applyNumberFormat="1" applyFont="1" applyFill="1" applyAlignment="1"/>
    <xf numFmtId="41" fontId="0" fillId="0" borderId="0" xfId="0" applyNumberFormat="1" applyFill="1" applyAlignment="1"/>
    <xf numFmtId="10" fontId="0" fillId="0" borderId="0" xfId="2" applyNumberFormat="1" applyFont="1" applyFill="1" applyAlignment="1"/>
    <xf numFmtId="44" fontId="0" fillId="0" borderId="0" xfId="0" applyNumberFormat="1" applyFill="1" applyAlignment="1"/>
    <xf numFmtId="177" fontId="3" fillId="0" borderId="0" xfId="1" applyNumberFormat="1" applyFont="1" applyFill="1" applyAlignment="1">
      <alignment horizontal="right"/>
    </xf>
    <xf numFmtId="177" fontId="3" fillId="0" borderId="0" xfId="1" quotePrefix="1" applyNumberFormat="1" applyFont="1" applyFill="1" applyBorder="1" applyAlignment="1">
      <alignment horizontal="left"/>
    </xf>
    <xf numFmtId="42" fontId="3" fillId="0" borderId="0" xfId="0" applyNumberFormat="1" applyFont="1" applyFill="1" applyAlignment="1">
      <alignment horizontal="left"/>
    </xf>
    <xf numFmtId="170" fontId="6" fillId="0" borderId="0" xfId="0" applyFont="1" applyFill="1" applyAlignment="1"/>
    <xf numFmtId="0" fontId="6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indent="2"/>
    </xf>
    <xf numFmtId="178" fontId="3" fillId="0" borderId="2" xfId="0" applyNumberFormat="1" applyFont="1" applyFill="1" applyBorder="1" applyAlignment="1"/>
    <xf numFmtId="170" fontId="6" fillId="0" borderId="0" xfId="0" applyNumberFormat="1" applyFont="1" applyFill="1" applyAlignment="1">
      <alignment horizontal="left"/>
    </xf>
    <xf numFmtId="172" fontId="6" fillId="0" borderId="0" xfId="0" applyNumberFormat="1" applyFont="1" applyFill="1" applyBorder="1" applyAlignment="1" applyProtection="1">
      <protection locked="0"/>
    </xf>
    <xf numFmtId="170" fontId="3" fillId="0" borderId="0" xfId="7" applyFont="1" applyFill="1" applyBorder="1" applyAlignment="1">
      <alignment horizontal="left"/>
    </xf>
    <xf numFmtId="0" fontId="37" fillId="0" borderId="2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vertical="center"/>
    </xf>
    <xf numFmtId="42" fontId="3" fillId="0" borderId="32" xfId="0" applyNumberFormat="1" applyFont="1" applyFill="1" applyBorder="1" applyAlignment="1"/>
    <xf numFmtId="177" fontId="0" fillId="0" borderId="0" xfId="0" applyNumberFormat="1" applyAlignment="1"/>
    <xf numFmtId="44" fontId="0" fillId="0" borderId="0" xfId="0" applyNumberFormat="1" applyAlignment="1"/>
    <xf numFmtId="170" fontId="3" fillId="0" borderId="0" xfId="7" applyFont="1" applyFill="1" applyBorder="1">
      <alignment horizontal="left" wrapText="1"/>
    </xf>
    <xf numFmtId="178" fontId="0" fillId="0" borderId="7" xfId="0" applyNumberFormat="1" applyBorder="1" applyAlignment="1"/>
    <xf numFmtId="170" fontId="3" fillId="0" borderId="0" xfId="7" applyFont="1" applyFill="1" applyBorder="1" applyAlignment="1"/>
    <xf numFmtId="178" fontId="0" fillId="0" borderId="0" xfId="0" applyNumberFormat="1" applyAlignment="1"/>
    <xf numFmtId="9" fontId="3" fillId="0" borderId="0" xfId="2" applyFont="1" applyFill="1" applyBorder="1" applyAlignment="1"/>
    <xf numFmtId="178" fontId="4" fillId="0" borderId="1" xfId="6" applyNumberFormat="1" applyFont="1" applyFill="1" applyBorder="1"/>
    <xf numFmtId="0" fontId="38" fillId="0" borderId="0" xfId="0" applyNumberFormat="1" applyFont="1" applyFill="1" applyAlignment="1"/>
    <xf numFmtId="0" fontId="7" fillId="0" borderId="10" xfId="0" applyNumberFormat="1" applyFont="1" applyFill="1" applyBorder="1" applyAlignment="1">
      <alignment horizontal="left"/>
    </xf>
    <xf numFmtId="178" fontId="3" fillId="0" borderId="0" xfId="0" applyNumberFormat="1" applyFont="1" applyFill="1" applyAlignment="1">
      <alignment horizontal="right" wrapText="1"/>
    </xf>
  </cellXfs>
  <cellStyles count="8">
    <cellStyle name="Comma" xfId="1" builtinId="3"/>
    <cellStyle name="Currency" xfId="6" builtinId="4"/>
    <cellStyle name="Normal" xfId="0" builtinId="0"/>
    <cellStyle name="Normal 3" xfId="5"/>
    <cellStyle name="Normal 4 2 2" xfId="4"/>
    <cellStyle name="Normal 8" xfId="3"/>
    <cellStyle name="Percent" xfId="2" builtinId="5"/>
    <cellStyle name="Style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  <color rgb="FFFF66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2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2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2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2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2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.01G%20Conversion%20Factor%20Dec%202022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2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21G%20Remove%20Tacoma%20LNG%20Dec%202022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2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2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2%20CB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Dec%202022%20CBR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2%20CB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2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2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2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2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/>
      <sheetData sheetId="2">
        <row r="12">
          <cell r="C12">
            <v>47092812.644992001</v>
          </cell>
          <cell r="D12">
            <v>47093908.306148008</v>
          </cell>
        </row>
        <row r="13">
          <cell r="C13">
            <v>4828820.62</v>
          </cell>
          <cell r="D13">
            <v>4823840.5726799993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"/>
      <sheetName val="CE Allocation"/>
      <sheetName val="Director's Fees"/>
    </sheetNames>
    <sheetDataSet>
      <sheetData sheetId="0"/>
      <sheetData sheetId="1"/>
      <sheetData sheetId="2">
        <row r="12">
          <cell r="C12">
            <v>100430.14053898744</v>
          </cell>
          <cell r="D12">
            <v>82535.929980564775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 Int. Cust"/>
      <sheetName val="PO Summary"/>
      <sheetName val="Support=&gt;"/>
      <sheetName val="AR 01.2022"/>
      <sheetName val="AR 02.2022"/>
      <sheetName val="AR 03.2022"/>
      <sheetName val="AR 04.2022"/>
      <sheetName val=" AR 05.2022"/>
      <sheetName val="AR 06.2022"/>
      <sheetName val="AR 07.2022"/>
      <sheetName val=" AR 08.2022"/>
      <sheetName val="AR 09.2022"/>
      <sheetName val="AR 10.2022"/>
      <sheetName val="AR 11.2022"/>
      <sheetName val="AR 12.2022"/>
    </sheetNames>
    <sheetDataSet>
      <sheetData sheetId="0"/>
      <sheetData sheetId="1">
        <row r="12">
          <cell r="D12">
            <v>6904.1433218348629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Qualified 12.2022"/>
    </sheetNames>
    <sheetDataSet>
      <sheetData sheetId="0"/>
      <sheetData sheetId="1">
        <row r="14">
          <cell r="C14">
            <v>1910436.0072854017</v>
          </cell>
          <cell r="D14">
            <v>2332327.8050377844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2"/>
      <sheetName val="ZO12 Inj &amp; Dam 12ME 12-2021"/>
      <sheetName val="ZO12 Inj &amp; Dam 12ME 12-2020"/>
    </sheetNames>
    <sheetDataSet>
      <sheetData sheetId="0"/>
      <sheetData sheetId="1"/>
      <sheetData sheetId="2">
        <row r="13">
          <cell r="C13">
            <v>-205000</v>
          </cell>
          <cell r="D13">
            <v>-19083.333333333332</v>
          </cell>
        </row>
        <row r="14">
          <cell r="C14">
            <v>580242.81547433825</v>
          </cell>
          <cell r="D14">
            <v>408573.6154293078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5.3359999999999996E-3</v>
          </cell>
        </row>
      </sheetData>
      <sheetData sheetId="1">
        <row r="13">
          <cell r="E13">
            <v>2.7460000000000002E-3</v>
          </cell>
        </row>
        <row r="14">
          <cell r="E14">
            <v>2E-3</v>
          </cell>
        </row>
        <row r="15">
          <cell r="D15">
            <v>3.8519999999999999E-2</v>
          </cell>
          <cell r="E15">
            <v>3.8413999999999997E-2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22"/>
      <sheetName val="Manual Clearing"/>
      <sheetName val="PR Taxes"/>
    </sheetNames>
    <sheetDataSet>
      <sheetData sheetId="0"/>
      <sheetData sheetId="1">
        <row r="12">
          <cell r="C12">
            <v>3538697.1542018875</v>
          </cell>
          <cell r="D12">
            <v>2742113.1832380081</v>
          </cell>
        </row>
        <row r="14">
          <cell r="C14">
            <v>313528.56786228722</v>
          </cell>
          <cell r="D14">
            <v>242951.22803488749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2022 LNG OM"/>
      <sheetName val="Plant Assets"/>
      <sheetName val="LNG Detail "/>
      <sheetName val="ADIT"/>
      <sheetName val="PP Total"/>
    </sheetNames>
    <sheetDataSet>
      <sheetData sheetId="0">
        <row r="15">
          <cell r="D15">
            <v>-4039.46</v>
          </cell>
        </row>
        <row r="16">
          <cell r="D16">
            <v>4300</v>
          </cell>
        </row>
        <row r="17">
          <cell r="D17">
            <v>893948.78245699964</v>
          </cell>
        </row>
        <row r="18">
          <cell r="D18">
            <v>-187783.95771596994</v>
          </cell>
        </row>
        <row r="23">
          <cell r="D23">
            <v>36946426.850000009</v>
          </cell>
        </row>
        <row r="24">
          <cell r="D24">
            <v>-4479761.2427143315</v>
          </cell>
        </row>
        <row r="25">
          <cell r="D25">
            <v>-7203888.8936433159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3.02G"/>
      <sheetName val="SOG 12ME Dec 22"/>
      <sheetName val="Earnings Sharing"/>
    </sheetNames>
    <sheetDataSet>
      <sheetData sheetId="0"/>
      <sheetData sheetId="1">
        <row r="14">
          <cell r="D14">
            <v>1314256.83</v>
          </cell>
        </row>
        <row r="19">
          <cell r="D19">
            <v>0</v>
          </cell>
        </row>
        <row r="20">
          <cell r="D20">
            <v>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3.05 "/>
      <sheetName val="SOG 12ME Dec 22"/>
      <sheetName val="Schedule 129"/>
      <sheetName val="Schedule 120"/>
      <sheetName val="Schedule 140"/>
      <sheetName val="Schedule 106"/>
      <sheetName val="SC 142 Decoup"/>
      <sheetName val="SC 137 Carbon "/>
      <sheetName val="Sch 137 Carbon Offset "/>
      <sheetName val="Sch 138 RNC Rev"/>
      <sheetName val="Sch 138 RNG"/>
      <sheetName val="SOEG Muni Tax "/>
      <sheetName val="SOEG Mu Tx Wtr Htr "/>
      <sheetName val="CF"/>
    </sheetNames>
    <sheetDataSet>
      <sheetData sheetId="0"/>
      <sheetData sheetId="1">
        <row r="14">
          <cell r="D14">
            <v>3158043.96</v>
          </cell>
        </row>
        <row r="15">
          <cell r="D15">
            <v>21812022.07</v>
          </cell>
        </row>
        <row r="16">
          <cell r="D16">
            <v>22473621.239999998</v>
          </cell>
        </row>
        <row r="17">
          <cell r="D17">
            <v>29935096.343524143</v>
          </cell>
        </row>
        <row r="18">
          <cell r="D18">
            <v>1352549.92</v>
          </cell>
        </row>
        <row r="19">
          <cell r="D19">
            <v>201278.19</v>
          </cell>
        </row>
        <row r="20">
          <cell r="D20">
            <v>16302692.08729112</v>
          </cell>
        </row>
        <row r="21">
          <cell r="D21">
            <v>3079668.28</v>
          </cell>
        </row>
        <row r="22">
          <cell r="D22">
            <v>56271873.840000004</v>
          </cell>
        </row>
        <row r="26">
          <cell r="D26">
            <v>148125.1</v>
          </cell>
        </row>
        <row r="27">
          <cell r="D27">
            <v>6629.56</v>
          </cell>
        </row>
        <row r="28">
          <cell r="D28">
            <v>-15561783.640000001</v>
          </cell>
        </row>
        <row r="29">
          <cell r="D29">
            <v>-3079668.28</v>
          </cell>
        </row>
        <row r="30">
          <cell r="D30">
            <v>25.19</v>
          </cell>
        </row>
        <row r="42">
          <cell r="D42">
            <v>-3012468.13</v>
          </cell>
        </row>
        <row r="43">
          <cell r="D43">
            <v>-20820731.120000001</v>
          </cell>
        </row>
        <row r="44">
          <cell r="D44">
            <v>-21452264</v>
          </cell>
        </row>
        <row r="45">
          <cell r="D45">
            <v>-28574636.02</v>
          </cell>
        </row>
        <row r="46">
          <cell r="D46">
            <v>-98934.099999999991</v>
          </cell>
        </row>
        <row r="47">
          <cell r="D47">
            <v>-12186.14</v>
          </cell>
        </row>
        <row r="48">
          <cell r="D48">
            <v>-3615.23</v>
          </cell>
        </row>
        <row r="49">
          <cell r="D49">
            <v>-1315000</v>
          </cell>
        </row>
        <row r="50">
          <cell r="D50">
            <v>-9138.84</v>
          </cell>
        </row>
        <row r="51">
          <cell r="D51">
            <v>-2175.91</v>
          </cell>
        </row>
        <row r="52">
          <cell r="D52">
            <v>-645.52</v>
          </cell>
        </row>
        <row r="53">
          <cell r="D53">
            <v>-231852.7</v>
          </cell>
        </row>
        <row r="54">
          <cell r="D54">
            <v>-53916629.159999996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g cost of case"/>
      <sheetName val="TY"/>
      <sheetName val="Summary GRCs"/>
      <sheetName val="Summary PCORCs"/>
    </sheetNames>
    <sheetDataSet>
      <sheetData sheetId="0"/>
      <sheetData sheetId="1">
        <row r="15">
          <cell r="B15" t="str">
            <v xml:space="preserve">      2017 AND 2019 GRC EXPENSES TO BE NORMALIZED</v>
          </cell>
          <cell r="D15">
            <v>1347000</v>
          </cell>
        </row>
        <row r="16">
          <cell r="B16" t="str">
            <v xml:space="preserve">      NORMALIZATION PERIOD IN 19GRC</v>
          </cell>
          <cell r="D16">
            <v>2</v>
          </cell>
        </row>
        <row r="18">
          <cell r="B18" t="str">
            <v>LESS TEST YEAR EXPENSE:  GRC DIRECT CHARGES TO O&amp;M</v>
          </cell>
          <cell r="D18">
            <v>1941681.17062</v>
          </cell>
        </row>
        <row r="19">
          <cell r="B19" t="str">
            <v>INCREASE (DECREASE) EXPENSE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2022 AMI in  Ratebase"/>
      <sheetName val="Plant Assets"/>
      <sheetName val="DFIT"/>
      <sheetName val="WBS &amp; WO"/>
      <sheetName val="45600091"/>
      <sheetName val="49500062"/>
    </sheetNames>
    <sheetDataSet>
      <sheetData sheetId="0"/>
      <sheetData sheetId="1">
        <row r="14">
          <cell r="D14">
            <v>104292323.71140899</v>
          </cell>
        </row>
        <row r="15">
          <cell r="D15">
            <v>-10713779.193823919</v>
          </cell>
        </row>
        <row r="16">
          <cell r="D16">
            <v>-10968336.770870598</v>
          </cell>
        </row>
        <row r="20">
          <cell r="D20">
            <v>-2757454.58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  <sheetName val="Journal Report 475,482,483,488,"/>
      <sheetName val="December YTD"/>
      <sheetName val="topside"/>
    </sheetNames>
    <sheetDataSet>
      <sheetData sheetId="0"/>
      <sheetData sheetId="1">
        <row r="9">
          <cell r="C9">
            <v>1205997643.1699998</v>
          </cell>
        </row>
        <row r="12">
          <cell r="C12">
            <v>3638584.55</v>
          </cell>
        </row>
        <row r="19">
          <cell r="C19">
            <v>500848710.36999995</v>
          </cell>
        </row>
        <row r="24">
          <cell r="C24">
            <v>7410984.3900000015</v>
          </cell>
        </row>
        <row r="25">
          <cell r="C25">
            <v>0</v>
          </cell>
        </row>
        <row r="26">
          <cell r="C26">
            <v>62267781.539999992</v>
          </cell>
        </row>
        <row r="27">
          <cell r="C27">
            <v>25415272.079999998</v>
          </cell>
        </row>
        <row r="28">
          <cell r="C28">
            <v>5047945.2</v>
          </cell>
        </row>
        <row r="29">
          <cell r="C29">
            <v>20820731.120000001</v>
          </cell>
        </row>
        <row r="30">
          <cell r="C30">
            <v>69583666.150000006</v>
          </cell>
        </row>
        <row r="31">
          <cell r="C31">
            <v>150914141.25999999</v>
          </cell>
        </row>
        <row r="32">
          <cell r="C32">
            <v>32509594.069999997</v>
          </cell>
        </row>
        <row r="33">
          <cell r="C33">
            <v>0</v>
          </cell>
        </row>
        <row r="34">
          <cell r="C34">
            <v>-1178000.2000000011</v>
          </cell>
        </row>
        <row r="35">
          <cell r="C35">
            <v>126909544.81999999</v>
          </cell>
        </row>
        <row r="36">
          <cell r="C36">
            <v>40108164.859999999</v>
          </cell>
        </row>
        <row r="37">
          <cell r="C37">
            <v>-2696290.8000000119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"/>
      <sheetName val="Weather Adj. Volumes"/>
    </sheetNames>
    <sheetDataSet>
      <sheetData sheetId="0">
        <row r="16">
          <cell r="C16">
            <v>24076877.152502302</v>
          </cell>
          <cell r="D16">
            <v>23779577.677066743</v>
          </cell>
        </row>
        <row r="17">
          <cell r="C17">
            <v>18802936.758929607</v>
          </cell>
          <cell r="D17">
            <v>18637574.831507944</v>
          </cell>
        </row>
        <row r="18">
          <cell r="C18">
            <v>26557732.676242694</v>
          </cell>
          <cell r="D18">
            <v>26645128.88285942</v>
          </cell>
        </row>
        <row r="19">
          <cell r="C19">
            <v>19195656.749975678</v>
          </cell>
          <cell r="D19">
            <v>18544448.023159008</v>
          </cell>
        </row>
        <row r="20">
          <cell r="C20">
            <v>20654311.192371599</v>
          </cell>
          <cell r="D20">
            <v>20101926.924367853</v>
          </cell>
        </row>
        <row r="21">
          <cell r="C21">
            <v>16381257.000662981</v>
          </cell>
          <cell r="D21">
            <v>16372012.807801869</v>
          </cell>
        </row>
        <row r="22">
          <cell r="C22">
            <v>16597926.232611937</v>
          </cell>
          <cell r="D22">
            <v>16597926.232611939</v>
          </cell>
        </row>
        <row r="23">
          <cell r="C23">
            <v>16194913.551863922</v>
          </cell>
          <cell r="D23">
            <v>16194913.55186392</v>
          </cell>
        </row>
        <row r="24">
          <cell r="C24">
            <v>16293975.616151718</v>
          </cell>
          <cell r="D24">
            <v>16437681.35893672</v>
          </cell>
        </row>
        <row r="25">
          <cell r="C25">
            <v>16934781.933695477</v>
          </cell>
          <cell r="D25">
            <v>17815520.087116268</v>
          </cell>
        </row>
        <row r="26">
          <cell r="C26">
            <v>21060590.173849255</v>
          </cell>
          <cell r="D26">
            <v>20258560.316016588</v>
          </cell>
        </row>
        <row r="27">
          <cell r="C27">
            <v>25966651.35340495</v>
          </cell>
          <cell r="D27">
            <v>25391636.378051426</v>
          </cell>
        </row>
        <row r="30">
          <cell r="E30">
            <v>-23737.260580196824</v>
          </cell>
        </row>
        <row r="31">
          <cell r="E31">
            <v>-7981.9909811767393</v>
          </cell>
        </row>
        <row r="32">
          <cell r="E32">
            <v>-13334.104408698688</v>
          </cell>
        </row>
        <row r="33">
          <cell r="E33">
            <v>-9919.3404685850801</v>
          </cell>
        </row>
        <row r="34">
          <cell r="E34">
            <v>-5579.2154245546772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PPXLSaveData0"/>
      <sheetName val="PPXLFunctions"/>
      <sheetName val="PPXLOpen"/>
    </sheetNames>
    <sheetDataSet>
      <sheetData sheetId="0"/>
      <sheetData sheetId="1"/>
      <sheetData sheetId="2">
        <row r="19">
          <cell r="C19">
            <v>5364524847.8389549</v>
          </cell>
        </row>
        <row r="21">
          <cell r="C21">
            <v>-1868908094.9241664</v>
          </cell>
        </row>
        <row r="22">
          <cell r="C22">
            <v>-163927130.258448</v>
          </cell>
        </row>
        <row r="23">
          <cell r="C23">
            <v>-1120097.8862500002</v>
          </cell>
        </row>
        <row r="24">
          <cell r="C24">
            <v>0</v>
          </cell>
        </row>
        <row r="25">
          <cell r="C25">
            <v>-582111348.56375003</v>
          </cell>
        </row>
        <row r="26">
          <cell r="C26">
            <v>-22137087.039810415</v>
          </cell>
        </row>
        <row r="27">
          <cell r="C27">
            <v>11865569.953333333</v>
          </cell>
        </row>
        <row r="28">
          <cell r="C28">
            <v>-2741149.3488040827</v>
          </cell>
        </row>
        <row r="32">
          <cell r="C32">
            <v>120114182.08316007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Comparison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>
        <row r="26">
          <cell r="C26">
            <v>4883604809</v>
          </cell>
          <cell r="D26">
            <v>0.51319999999999999</v>
          </cell>
          <cell r="F26">
            <v>2.6299999999999997E-2</v>
          </cell>
        </row>
        <row r="28">
          <cell r="C28">
            <v>4632159583</v>
          </cell>
          <cell r="D28">
            <v>0.48680000000000001</v>
          </cell>
          <cell r="E28">
            <v>9.4E-2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CBR_Gas"/>
    </sheetNames>
    <sheetDataSet>
      <sheetData sheetId="0"/>
      <sheetData sheetId="1">
        <row r="13">
          <cell r="C13">
            <v>197223330.7493937</v>
          </cell>
        </row>
        <row r="16">
          <cell r="C16">
            <v>41768358.896372676</v>
          </cell>
        </row>
        <row r="17">
          <cell r="C17">
            <v>-2230282.1281779995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40108164.859999999</v>
          </cell>
        </row>
        <row r="24">
          <cell r="C24">
            <v>201241970.38999999</v>
          </cell>
        </row>
        <row r="25">
          <cell r="C25">
            <v>-203938261.19</v>
          </cell>
        </row>
        <row r="26">
          <cell r="C26">
            <v>0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2"/>
      <sheetName val="2022 AllocM"/>
      <sheetName val="2021 AllocFct"/>
      <sheetName val="2020 AllocFactrs"/>
      <sheetName val="2019 Allocation Factors"/>
    </sheetNames>
    <sheetDataSet>
      <sheetData sheetId="0">
        <row r="14">
          <cell r="B14" t="str">
            <v>12 ME 12/01/2019 AND 8/31/2019</v>
          </cell>
          <cell r="C14">
            <v>2799841.3412500005</v>
          </cell>
          <cell r="D14">
            <v>818021856.11000013</v>
          </cell>
          <cell r="E14">
            <v>16532125.48</v>
          </cell>
          <cell r="F14">
            <v>801489730.63000011</v>
          </cell>
        </row>
        <row r="15">
          <cell r="B15" t="str">
            <v>12 ME 12/01/2020 AND 8/31/2020</v>
          </cell>
          <cell r="C15">
            <v>2284939.7383418316</v>
          </cell>
          <cell r="D15">
            <v>969590918.08999991</v>
          </cell>
          <cell r="E15">
            <v>17618700.510000002</v>
          </cell>
          <cell r="F15">
            <v>951972217.57999992</v>
          </cell>
        </row>
        <row r="16">
          <cell r="B16" t="str">
            <v>12 ME 12/01/2022 AND 8/31/2022</v>
          </cell>
          <cell r="C16">
            <v>2641960.2282890007</v>
          </cell>
          <cell r="D16">
            <v>1141789837.8799999</v>
          </cell>
          <cell r="E16">
            <v>15232684.039999999</v>
          </cell>
          <cell r="F16">
            <v>1126557153.8399999</v>
          </cell>
        </row>
        <row r="20">
          <cell r="D20">
            <v>1209636227.7199998</v>
          </cell>
          <cell r="E20">
            <v>3638584.55</v>
          </cell>
        </row>
        <row r="27">
          <cell r="F27">
            <v>4543695.7082890002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5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customProperty" Target="../customProperty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customProperty" Target="../customProperty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tabSelected="1" workbookViewId="0">
      <selection activeCell="H22" sqref="H22"/>
    </sheetView>
  </sheetViews>
  <sheetFormatPr defaultColWidth="10.6640625" defaultRowHeight="12.75" x14ac:dyDescent="0.2"/>
  <cols>
    <col min="1" max="1" width="42.6640625" style="171" bestFit="1" customWidth="1"/>
    <col min="2" max="2" width="6.6640625" style="171" customWidth="1"/>
    <col min="3" max="3" width="19.6640625" style="171" customWidth="1"/>
    <col min="4" max="4" width="17" style="171" bestFit="1" customWidth="1"/>
    <col min="5" max="5" width="19.6640625" style="171" customWidth="1"/>
    <col min="6" max="6" width="6.6640625" style="171" bestFit="1" customWidth="1"/>
    <col min="7" max="7" width="10.6640625" style="171"/>
    <col min="8" max="8" width="19.5" style="171" bestFit="1" customWidth="1"/>
    <col min="9" max="9" width="10.6640625" style="171"/>
    <col min="10" max="10" width="16.1640625" style="171" bestFit="1" customWidth="1"/>
    <col min="11" max="16384" width="10.6640625" style="171"/>
  </cols>
  <sheetData>
    <row r="1" spans="1:8" ht="13.5" thickBot="1" x14ac:dyDescent="0.25">
      <c r="A1" s="170" t="s">
        <v>242</v>
      </c>
      <c r="D1" s="441"/>
      <c r="E1" s="440">
        <v>1.01</v>
      </c>
    </row>
    <row r="2" spans="1:8" x14ac:dyDescent="0.2">
      <c r="A2" s="443" t="str">
        <f>+Inputs!B2</f>
        <v>FOR THE TWELVE MONTHS ENDED DECEMBER 31, 2022</v>
      </c>
    </row>
    <row r="3" spans="1:8" x14ac:dyDescent="0.2">
      <c r="A3" s="278"/>
    </row>
    <row r="4" spans="1:8" x14ac:dyDescent="0.2">
      <c r="C4" s="387" t="s">
        <v>243</v>
      </c>
      <c r="D4" s="387" t="s">
        <v>244</v>
      </c>
      <c r="E4" s="387" t="s">
        <v>241</v>
      </c>
    </row>
    <row r="5" spans="1:8" x14ac:dyDescent="0.2">
      <c r="B5" s="173"/>
      <c r="C5" s="172" t="s">
        <v>245</v>
      </c>
      <c r="D5" s="172" t="s">
        <v>246</v>
      </c>
      <c r="E5" s="172" t="s">
        <v>246</v>
      </c>
      <c r="F5" s="173"/>
    </row>
    <row r="7" spans="1:8" x14ac:dyDescent="0.2">
      <c r="A7" s="171" t="s">
        <v>129</v>
      </c>
      <c r="B7" s="171" t="s">
        <v>118</v>
      </c>
      <c r="C7" s="174">
        <f>+model!DB44</f>
        <v>185975529.80551434</v>
      </c>
      <c r="D7" s="174">
        <f>-'Earnings Sharing-CBR to Adj CBR'!I18</f>
        <v>0</v>
      </c>
      <c r="E7" s="174">
        <f>SUM(C7:D7)</f>
        <v>185975529.80551434</v>
      </c>
    </row>
    <row r="8" spans="1:8" x14ac:dyDescent="0.2">
      <c r="A8" s="171" t="s">
        <v>130</v>
      </c>
      <c r="B8" s="171" t="s">
        <v>119</v>
      </c>
      <c r="C8" s="174">
        <f>+model!DB46</f>
        <v>2747686707.3938627</v>
      </c>
      <c r="D8" s="174">
        <v>0</v>
      </c>
      <c r="E8" s="174">
        <f>C8+D8</f>
        <v>2747686707.3938627</v>
      </c>
    </row>
    <row r="9" spans="1:8" x14ac:dyDescent="0.2">
      <c r="B9" s="175"/>
      <c r="C9" s="174"/>
      <c r="D9" s="174"/>
      <c r="E9" s="174"/>
    </row>
    <row r="10" spans="1:8" x14ac:dyDescent="0.2">
      <c r="A10" s="170" t="s">
        <v>133</v>
      </c>
      <c r="B10" s="177" t="s">
        <v>120</v>
      </c>
      <c r="C10" s="176">
        <f>+C7/C8</f>
        <v>6.7684401320232457E-2</v>
      </c>
      <c r="D10" s="176">
        <f>E10-C10</f>
        <v>1.5598679767539481E-5</v>
      </c>
      <c r="E10" s="176">
        <f>ROUND(+E7/E8,4)</f>
        <v>6.7699999999999996E-2</v>
      </c>
      <c r="H10" s="176"/>
    </row>
    <row r="11" spans="1:8" x14ac:dyDescent="0.2">
      <c r="B11" s="178"/>
      <c r="C11" s="428"/>
      <c r="D11" s="429"/>
      <c r="E11" s="429"/>
      <c r="H11" s="386"/>
    </row>
    <row r="12" spans="1:8" x14ac:dyDescent="0.2">
      <c r="C12" s="430"/>
      <c r="D12" s="430"/>
      <c r="E12" s="430"/>
      <c r="H12" s="174"/>
    </row>
    <row r="13" spans="1:8" x14ac:dyDescent="0.2">
      <c r="C13" s="430"/>
      <c r="D13" s="430"/>
      <c r="E13" s="430"/>
      <c r="H13" s="174"/>
    </row>
    <row r="14" spans="1:8" x14ac:dyDescent="0.2">
      <c r="C14" s="430"/>
      <c r="D14" s="430"/>
      <c r="E14" s="430"/>
      <c r="H14" s="174"/>
    </row>
    <row r="15" spans="1:8" x14ac:dyDescent="0.2">
      <c r="A15" s="171" t="s">
        <v>129</v>
      </c>
      <c r="B15" s="171" t="s">
        <v>121</v>
      </c>
      <c r="C15" s="431">
        <f>+C7</f>
        <v>185975529.80551434</v>
      </c>
      <c r="D15" s="431">
        <f>+D7</f>
        <v>0</v>
      </c>
      <c r="E15" s="431">
        <f>+E7</f>
        <v>185975529.80551434</v>
      </c>
    </row>
    <row r="16" spans="1:8" x14ac:dyDescent="0.2">
      <c r="A16" s="171" t="s">
        <v>178</v>
      </c>
      <c r="B16" s="171" t="s">
        <v>122</v>
      </c>
      <c r="C16" s="174">
        <f>+model!R17</f>
        <v>72264160.404458582</v>
      </c>
      <c r="D16" s="174"/>
      <c r="E16" s="174">
        <f>C16+D16</f>
        <v>72264160.404458582</v>
      </c>
    </row>
    <row r="17" spans="1:10" x14ac:dyDescent="0.2">
      <c r="A17" s="171" t="s">
        <v>179</v>
      </c>
      <c r="B17" s="171" t="s">
        <v>123</v>
      </c>
      <c r="C17" s="431">
        <f>+C15-C16</f>
        <v>113711369.40105575</v>
      </c>
      <c r="D17" s="431">
        <f>+D15-D16</f>
        <v>0</v>
      </c>
      <c r="E17" s="431">
        <f>+E15-E16</f>
        <v>113711369.40105575</v>
      </c>
      <c r="H17"/>
      <c r="I17"/>
      <c r="J17"/>
    </row>
    <row r="18" spans="1:10" x14ac:dyDescent="0.2">
      <c r="C18" s="430"/>
      <c r="D18" s="430"/>
      <c r="E18" s="430"/>
      <c r="H18"/>
      <c r="I18"/>
      <c r="J18"/>
    </row>
    <row r="19" spans="1:10" x14ac:dyDescent="0.2">
      <c r="A19" s="171" t="s">
        <v>130</v>
      </c>
      <c r="B19" s="171" t="s">
        <v>124</v>
      </c>
      <c r="C19" s="431">
        <f>+C8</f>
        <v>2747686707.3938627</v>
      </c>
      <c r="D19" s="431">
        <f>+D8</f>
        <v>0</v>
      </c>
      <c r="E19" s="431">
        <f>+E8</f>
        <v>2747686707.3938627</v>
      </c>
      <c r="H19"/>
      <c r="I19"/>
      <c r="J19"/>
    </row>
    <row r="20" spans="1:10" x14ac:dyDescent="0.2">
      <c r="A20" s="171" t="s">
        <v>131</v>
      </c>
      <c r="B20" s="171" t="s">
        <v>125</v>
      </c>
      <c r="C20" s="432">
        <f>'1.02 COC'!D19</f>
        <v>0.48680000000000001</v>
      </c>
      <c r="D20" s="432"/>
      <c r="E20" s="432">
        <f>C20+D20</f>
        <v>0.48680000000000001</v>
      </c>
      <c r="H20"/>
      <c r="I20"/>
      <c r="J20"/>
    </row>
    <row r="21" spans="1:10" x14ac:dyDescent="0.2">
      <c r="A21" s="171" t="s">
        <v>126</v>
      </c>
      <c r="B21" s="171" t="s">
        <v>127</v>
      </c>
      <c r="C21" s="174">
        <f>+C19*C20</f>
        <v>1337573889.1593325</v>
      </c>
      <c r="D21" s="174">
        <f>+D19*D20</f>
        <v>0</v>
      </c>
      <c r="E21" s="174">
        <f>+E19*E20</f>
        <v>1337573889.1593325</v>
      </c>
      <c r="H21"/>
      <c r="I21"/>
      <c r="J21"/>
    </row>
    <row r="22" spans="1:10" x14ac:dyDescent="0.2">
      <c r="C22" s="174"/>
      <c r="D22" s="174"/>
      <c r="E22" s="174"/>
      <c r="H22"/>
      <c r="I22"/>
      <c r="J22"/>
    </row>
    <row r="23" spans="1:10" x14ac:dyDescent="0.2">
      <c r="A23" s="170" t="s">
        <v>132</v>
      </c>
      <c r="B23" s="171" t="s">
        <v>128</v>
      </c>
      <c r="C23" s="176">
        <f>+C17/C21</f>
        <v>8.5013149795054352E-2</v>
      </c>
      <c r="D23" s="176">
        <f>E23-C23</f>
        <v>-1.314979505434577E-5</v>
      </c>
      <c r="E23" s="176">
        <f>+ROUND(E17/E21,4)</f>
        <v>8.5000000000000006E-2</v>
      </c>
      <c r="H23"/>
      <c r="I23"/>
      <c r="J23"/>
    </row>
    <row r="24" spans="1:10" x14ac:dyDescent="0.2">
      <c r="C24" s="430"/>
      <c r="D24" s="430"/>
      <c r="E24" s="430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workbookViewId="0">
      <selection activeCell="F9" sqref="F9"/>
    </sheetView>
  </sheetViews>
  <sheetFormatPr defaultColWidth="10.6640625" defaultRowHeight="12.75" x14ac:dyDescent="0.2"/>
  <cols>
    <col min="1" max="1" width="3.6640625" style="198" bestFit="1" customWidth="1"/>
    <col min="2" max="2" width="31.5" style="198" bestFit="1" customWidth="1"/>
    <col min="3" max="3" width="19.5" style="198" customWidth="1"/>
    <col min="4" max="4" width="12.6640625" style="198" customWidth="1"/>
    <col min="5" max="5" width="12" style="198" customWidth="1"/>
    <col min="6" max="6" width="16.6640625" style="198" bestFit="1" customWidth="1"/>
    <col min="7" max="7" width="4" style="198" bestFit="1" customWidth="1"/>
    <col min="8" max="8" width="14.33203125" style="198" bestFit="1" customWidth="1"/>
    <col min="9" max="9" width="12.33203125" style="198" bestFit="1" customWidth="1"/>
    <col min="10" max="10" width="18.6640625" style="198" bestFit="1" customWidth="1"/>
    <col min="11" max="13" width="10.6640625" style="198" bestFit="1" customWidth="1"/>
    <col min="14" max="16384" width="10.6640625" style="198"/>
  </cols>
  <sheetData>
    <row r="1" spans="1:8" ht="13.5" thickBot="1" x14ac:dyDescent="0.25">
      <c r="F1" s="440">
        <v>1.02</v>
      </c>
    </row>
    <row r="2" spans="1:8" x14ac:dyDescent="0.2">
      <c r="B2" s="278"/>
    </row>
    <row r="3" spans="1:8" ht="12.75" customHeight="1" x14ac:dyDescent="0.2">
      <c r="A3" s="199" t="s">
        <v>186</v>
      </c>
      <c r="B3" s="199"/>
      <c r="C3" s="199"/>
      <c r="D3" s="199"/>
      <c r="E3" s="199"/>
      <c r="F3" s="200"/>
      <c r="G3" s="200"/>
    </row>
    <row r="4" spans="1:8" ht="12.75" customHeight="1" x14ac:dyDescent="0.2">
      <c r="A4" s="199"/>
      <c r="B4" s="199"/>
      <c r="C4" s="199"/>
      <c r="D4" s="199"/>
      <c r="E4" s="199"/>
      <c r="F4" s="200"/>
      <c r="G4" s="200"/>
    </row>
    <row r="5" spans="1:8" ht="12.75" customHeight="1" x14ac:dyDescent="0.2">
      <c r="A5" s="471" t="s">
        <v>187</v>
      </c>
      <c r="B5" s="471"/>
      <c r="C5" s="471"/>
      <c r="D5" s="471"/>
      <c r="E5" s="471"/>
      <c r="F5" s="372"/>
      <c r="G5" s="372"/>
    </row>
    <row r="6" spans="1:8" ht="12.75" customHeight="1" x14ac:dyDescent="0.2">
      <c r="A6" s="471" t="s">
        <v>188</v>
      </c>
      <c r="B6" s="471"/>
      <c r="C6" s="471"/>
      <c r="D6" s="471"/>
      <c r="E6" s="471"/>
      <c r="F6" s="372"/>
      <c r="G6" s="372"/>
      <c r="H6" s="444"/>
    </row>
    <row r="7" spans="1:8" s="373" customFormat="1" ht="12.75" customHeight="1" x14ac:dyDescent="0.2">
      <c r="A7" s="471" t="str">
        <f>+Inputs!B2</f>
        <v>FOR THE TWELVE MONTHS ENDED DECEMBER 31, 2022</v>
      </c>
      <c r="B7" s="471"/>
      <c r="C7" s="471"/>
      <c r="D7" s="471"/>
      <c r="E7" s="471"/>
      <c r="F7" s="372"/>
      <c r="G7" s="372"/>
    </row>
    <row r="8" spans="1:8" x14ac:dyDescent="0.2">
      <c r="A8" s="279"/>
      <c r="B8" s="279"/>
      <c r="C8" s="279"/>
      <c r="D8" s="279"/>
      <c r="E8" s="279"/>
      <c r="F8" s="279"/>
      <c r="G8" s="373"/>
    </row>
    <row r="9" spans="1:8" x14ac:dyDescent="0.2">
      <c r="A9" s="279"/>
      <c r="B9" s="279"/>
      <c r="C9" s="279"/>
      <c r="D9" s="279"/>
      <c r="E9" s="279"/>
      <c r="F9" s="605"/>
      <c r="G9" s="373"/>
    </row>
    <row r="10" spans="1:8" x14ac:dyDescent="0.2">
      <c r="A10" s="279"/>
      <c r="B10" s="279"/>
      <c r="C10" s="279"/>
      <c r="D10" s="279"/>
      <c r="E10" s="279"/>
      <c r="F10" s="279"/>
      <c r="G10" s="373"/>
    </row>
    <row r="11" spans="1:8" x14ac:dyDescent="0.2">
      <c r="A11" s="430">
        <v>1</v>
      </c>
      <c r="B11" s="472" t="s">
        <v>189</v>
      </c>
      <c r="C11" s="472" t="s">
        <v>190</v>
      </c>
      <c r="D11" s="472" t="s">
        <v>191</v>
      </c>
      <c r="E11" s="472" t="s">
        <v>192</v>
      </c>
      <c r="F11" s="472" t="s">
        <v>193</v>
      </c>
      <c r="G11" s="373"/>
    </row>
    <row r="12" spans="1:8" x14ac:dyDescent="0.2">
      <c r="A12" s="430">
        <v>2</v>
      </c>
      <c r="B12" s="430"/>
      <c r="C12" s="430"/>
      <c r="D12" s="430"/>
      <c r="E12" s="430"/>
      <c r="F12" s="430"/>
      <c r="G12" s="430"/>
      <c r="H12" s="201"/>
    </row>
    <row r="13" spans="1:8" x14ac:dyDescent="0.2">
      <c r="A13" s="430">
        <v>3</v>
      </c>
      <c r="B13" s="430" t="s">
        <v>20</v>
      </c>
      <c r="C13" s="430"/>
      <c r="D13" s="430"/>
      <c r="E13" s="430"/>
      <c r="F13" s="472" t="s">
        <v>194</v>
      </c>
      <c r="G13" s="430"/>
      <c r="H13" s="201"/>
    </row>
    <row r="14" spans="1:8" x14ac:dyDescent="0.2">
      <c r="A14" s="430">
        <v>4</v>
      </c>
      <c r="B14" s="430"/>
      <c r="C14" s="430"/>
      <c r="D14" s="430"/>
      <c r="E14" s="430"/>
      <c r="F14" s="472" t="s">
        <v>195</v>
      </c>
      <c r="G14" s="430"/>
      <c r="H14" s="201"/>
    </row>
    <row r="15" spans="1:8" x14ac:dyDescent="0.2">
      <c r="A15" s="430">
        <v>5</v>
      </c>
      <c r="B15" s="473" t="s">
        <v>196</v>
      </c>
      <c r="C15" s="473" t="s">
        <v>197</v>
      </c>
      <c r="D15" s="473" t="s">
        <v>198</v>
      </c>
      <c r="E15" s="473" t="s">
        <v>199</v>
      </c>
      <c r="F15" s="473" t="s">
        <v>200</v>
      </c>
      <c r="G15" s="430"/>
      <c r="H15" s="201"/>
    </row>
    <row r="16" spans="1:8" x14ac:dyDescent="0.2">
      <c r="A16" s="430">
        <v>6</v>
      </c>
      <c r="B16" s="430"/>
      <c r="C16" s="430"/>
      <c r="D16" s="430"/>
      <c r="E16" s="430"/>
      <c r="F16" s="430"/>
      <c r="G16" s="430"/>
      <c r="H16" s="201"/>
    </row>
    <row r="17" spans="1:14" x14ac:dyDescent="0.2">
      <c r="A17" s="430">
        <v>7</v>
      </c>
      <c r="B17" s="176" t="s">
        <v>280</v>
      </c>
      <c r="C17" s="474">
        <f>'[7]New Format'!$C$26</f>
        <v>4883604809</v>
      </c>
      <c r="D17" s="475">
        <f>'[7]New Format'!$D$26</f>
        <v>0.51319999999999999</v>
      </c>
      <c r="E17" s="476">
        <f>F17/D17</f>
        <v>5.1247077162899453E-2</v>
      </c>
      <c r="F17" s="477">
        <f>'[7]New Format'!$F$26</f>
        <v>2.6299999999999997E-2</v>
      </c>
      <c r="G17" s="433"/>
      <c r="H17" s="201"/>
      <c r="J17"/>
      <c r="K17"/>
      <c r="L17"/>
      <c r="M17"/>
      <c r="N17"/>
    </row>
    <row r="18" spans="1:14" x14ac:dyDescent="0.2">
      <c r="A18" s="430">
        <v>8</v>
      </c>
      <c r="B18" s="430"/>
      <c r="C18" s="430"/>
      <c r="D18" s="430"/>
      <c r="E18" s="430"/>
      <c r="F18" s="176"/>
      <c r="G18" s="430"/>
      <c r="H18" s="201"/>
      <c r="J18"/>
      <c r="K18"/>
      <c r="L18"/>
      <c r="M18"/>
      <c r="N18"/>
    </row>
    <row r="19" spans="1:14" x14ac:dyDescent="0.2">
      <c r="A19" s="430">
        <v>9</v>
      </c>
      <c r="B19" s="279" t="s">
        <v>201</v>
      </c>
      <c r="C19" s="474">
        <f>'[7]New Format'!$C$28</f>
        <v>4632159583</v>
      </c>
      <c r="D19" s="478">
        <f>'[7]New Format'!$D$28</f>
        <v>0.48680000000000001</v>
      </c>
      <c r="E19" s="476">
        <f>'[7]New Format'!$E$28</f>
        <v>9.4E-2</v>
      </c>
      <c r="F19" s="479">
        <f>ROUND(D19*E19,4)</f>
        <v>4.58E-2</v>
      </c>
      <c r="G19" s="430"/>
      <c r="H19" s="201"/>
      <c r="J19"/>
      <c r="K19"/>
      <c r="L19"/>
      <c r="M19"/>
      <c r="N19"/>
    </row>
    <row r="20" spans="1:14" x14ac:dyDescent="0.2">
      <c r="A20" s="430">
        <v>10</v>
      </c>
      <c r="B20" s="430"/>
      <c r="C20" s="430"/>
      <c r="D20" s="430"/>
      <c r="E20" s="430"/>
      <c r="F20" s="480"/>
      <c r="G20" s="430"/>
      <c r="H20" s="201"/>
      <c r="J20"/>
      <c r="K20"/>
      <c r="L20"/>
      <c r="M20"/>
      <c r="N20"/>
    </row>
    <row r="21" spans="1:14" x14ac:dyDescent="0.2">
      <c r="A21" s="430">
        <v>11</v>
      </c>
      <c r="B21" s="279" t="s">
        <v>202</v>
      </c>
      <c r="C21" s="481">
        <f>SUM(C17:C20)</f>
        <v>9515764392</v>
      </c>
      <c r="D21" s="482">
        <f>SUM(D17:D20)</f>
        <v>1</v>
      </c>
      <c r="E21" s="483"/>
      <c r="F21" s="484">
        <f>F17+F19</f>
        <v>7.2099999999999997E-2</v>
      </c>
      <c r="G21" s="430"/>
      <c r="H21" s="201"/>
      <c r="J21"/>
      <c r="K21"/>
      <c r="L21"/>
      <c r="M21"/>
      <c r="N21"/>
    </row>
    <row r="22" spans="1:14" x14ac:dyDescent="0.2">
      <c r="A22" s="430">
        <v>12</v>
      </c>
      <c r="B22" s="430"/>
      <c r="C22" s="430"/>
      <c r="D22" s="478"/>
      <c r="E22" s="430"/>
      <c r="F22" s="485"/>
      <c r="G22" s="430"/>
      <c r="H22" s="201"/>
      <c r="J22"/>
      <c r="K22"/>
      <c r="L22"/>
      <c r="M22"/>
      <c r="N22"/>
    </row>
    <row r="23" spans="1:14" x14ac:dyDescent="0.2">
      <c r="A23" s="430">
        <v>13</v>
      </c>
      <c r="B23" s="430"/>
      <c r="C23" s="430"/>
      <c r="D23" s="430"/>
      <c r="E23" s="430"/>
      <c r="F23" s="434"/>
      <c r="G23" s="430"/>
      <c r="H23" s="201"/>
      <c r="J23"/>
      <c r="K23"/>
      <c r="L23"/>
      <c r="M23"/>
      <c r="N23"/>
    </row>
    <row r="24" spans="1:14" x14ac:dyDescent="0.2">
      <c r="A24" s="430">
        <v>14</v>
      </c>
      <c r="B24" s="279" t="s">
        <v>203</v>
      </c>
      <c r="C24" s="279"/>
      <c r="D24" s="430"/>
      <c r="E24" s="430"/>
      <c r="F24" s="434"/>
      <c r="G24" s="430"/>
      <c r="H24" s="201"/>
      <c r="J24"/>
      <c r="K24"/>
      <c r="L24"/>
      <c r="M24"/>
      <c r="N24"/>
    </row>
    <row r="25" spans="1:14" x14ac:dyDescent="0.2">
      <c r="A25" s="373"/>
      <c r="B25" s="430"/>
      <c r="C25" s="430"/>
      <c r="D25" s="430"/>
      <c r="E25" s="430"/>
      <c r="F25" s="434"/>
      <c r="G25" s="430"/>
      <c r="H25" s="201"/>
      <c r="J25"/>
      <c r="K25"/>
      <c r="L25"/>
      <c r="M25"/>
      <c r="N25"/>
    </row>
    <row r="26" spans="1:14" x14ac:dyDescent="0.2">
      <c r="A26" s="373"/>
      <c r="B26" s="430"/>
      <c r="C26" s="430"/>
      <c r="D26" s="430"/>
      <c r="E26" s="430"/>
      <c r="F26" s="434"/>
      <c r="G26" s="430"/>
      <c r="H26" s="201"/>
      <c r="J26"/>
      <c r="K26"/>
      <c r="L26"/>
      <c r="M26"/>
      <c r="N26"/>
    </row>
    <row r="27" spans="1:14" x14ac:dyDescent="0.2">
      <c r="A27" s="373"/>
      <c r="B27" s="430"/>
      <c r="C27" s="435"/>
      <c r="D27" s="430"/>
      <c r="E27" s="430"/>
      <c r="F27" s="430"/>
      <c r="G27" s="430"/>
      <c r="H27" s="201"/>
      <c r="J27"/>
      <c r="K27"/>
      <c r="L27"/>
      <c r="M27"/>
      <c r="N27"/>
    </row>
    <row r="28" spans="1:14" x14ac:dyDescent="0.2">
      <c r="A28" s="373"/>
      <c r="B28" s="430"/>
      <c r="C28" s="435"/>
      <c r="D28" s="430"/>
      <c r="E28" s="430"/>
      <c r="F28" s="430"/>
      <c r="G28" s="430"/>
      <c r="H28" s="201"/>
    </row>
    <row r="29" spans="1:14" x14ac:dyDescent="0.2">
      <c r="A29" s="373"/>
      <c r="B29" s="430"/>
      <c r="C29" s="435"/>
      <c r="D29" s="430"/>
      <c r="E29" s="430"/>
      <c r="F29" s="430"/>
      <c r="G29" s="430"/>
      <c r="H29" s="201"/>
    </row>
    <row r="30" spans="1:14" x14ac:dyDescent="0.2">
      <c r="A30" s="373"/>
      <c r="B30" s="430"/>
      <c r="C30" s="435"/>
      <c r="D30" s="430"/>
      <c r="E30" s="430"/>
      <c r="F30" s="430"/>
      <c r="G30" s="430"/>
    </row>
    <row r="31" spans="1:14" x14ac:dyDescent="0.2">
      <c r="A31" s="373"/>
      <c r="B31" s="430"/>
      <c r="C31" s="435"/>
      <c r="D31" s="430"/>
      <c r="E31" s="430"/>
      <c r="F31" s="430"/>
      <c r="G31" s="430"/>
    </row>
    <row r="32" spans="1:14" x14ac:dyDescent="0.2">
      <c r="A32" s="373"/>
      <c r="B32" s="430"/>
      <c r="C32" s="435"/>
      <c r="D32" s="430"/>
      <c r="E32" s="430"/>
      <c r="F32" s="430"/>
      <c r="G32" s="430"/>
    </row>
    <row r="33" spans="1:7" x14ac:dyDescent="0.2">
      <c r="A33" s="373"/>
      <c r="B33" s="430"/>
      <c r="C33" s="435"/>
      <c r="D33" s="430"/>
      <c r="E33" s="430"/>
      <c r="F33" s="430"/>
      <c r="G33" s="430"/>
    </row>
    <row r="34" spans="1:7" x14ac:dyDescent="0.2">
      <c r="A34" s="373"/>
      <c r="B34" s="430"/>
      <c r="C34" s="435"/>
      <c r="D34" s="430"/>
      <c r="E34" s="430"/>
      <c r="F34" s="430"/>
      <c r="G34" s="430"/>
    </row>
    <row r="35" spans="1:7" x14ac:dyDescent="0.2">
      <c r="B35" s="201"/>
      <c r="C35" s="275"/>
      <c r="D35" s="201"/>
      <c r="E35" s="201"/>
      <c r="F35" s="201"/>
      <c r="G35" s="201"/>
    </row>
    <row r="36" spans="1:7" x14ac:dyDescent="0.2">
      <c r="B36" s="201"/>
      <c r="C36" s="275"/>
      <c r="D36" s="201"/>
      <c r="E36" s="201"/>
      <c r="F36" s="201"/>
      <c r="G36" s="201"/>
    </row>
    <row r="37" spans="1:7" x14ac:dyDescent="0.2">
      <c r="B37" s="201"/>
      <c r="C37" s="275"/>
      <c r="D37" s="201"/>
      <c r="E37" s="201"/>
      <c r="F37" s="201"/>
      <c r="G37" s="201"/>
    </row>
    <row r="38" spans="1:7" x14ac:dyDescent="0.2">
      <c r="B38" s="201"/>
      <c r="C38" s="275"/>
      <c r="D38" s="201"/>
      <c r="E38" s="201"/>
      <c r="F38" s="201"/>
      <c r="G38" s="201"/>
    </row>
    <row r="39" spans="1:7" x14ac:dyDescent="0.2">
      <c r="B39" s="201"/>
      <c r="C39" s="275"/>
      <c r="D39" s="201"/>
      <c r="E39" s="201"/>
      <c r="F39" s="201"/>
      <c r="G39" s="201"/>
    </row>
    <row r="40" spans="1:7" x14ac:dyDescent="0.2">
      <c r="B40" s="201"/>
      <c r="C40" s="275"/>
      <c r="D40" s="201"/>
      <c r="E40" s="201"/>
      <c r="F40" s="201"/>
      <c r="G40" s="201"/>
    </row>
    <row r="41" spans="1:7" x14ac:dyDescent="0.2">
      <c r="B41" s="201"/>
      <c r="C41" s="275"/>
      <c r="D41" s="201"/>
      <c r="E41" s="201"/>
      <c r="F41" s="201"/>
      <c r="G41" s="201"/>
    </row>
    <row r="42" spans="1:7" x14ac:dyDescent="0.2">
      <c r="B42" s="201"/>
      <c r="C42" s="275"/>
      <c r="D42" s="201"/>
      <c r="E42" s="201"/>
      <c r="F42" s="201"/>
      <c r="G42" s="201"/>
    </row>
    <row r="43" spans="1:7" x14ac:dyDescent="0.2">
      <c r="B43" s="201"/>
      <c r="C43" s="275"/>
      <c r="D43" s="201"/>
      <c r="E43" s="201"/>
      <c r="F43" s="201"/>
      <c r="G43" s="201"/>
    </row>
    <row r="44" spans="1:7" x14ac:dyDescent="0.2">
      <c r="B44" s="201"/>
      <c r="C44" s="275"/>
      <c r="D44" s="201"/>
      <c r="E44" s="201"/>
      <c r="F44" s="201"/>
      <c r="G44" s="201"/>
    </row>
    <row r="45" spans="1:7" x14ac:dyDescent="0.2">
      <c r="B45" s="201"/>
      <c r="C45" s="275"/>
      <c r="D45" s="201"/>
      <c r="E45" s="201"/>
      <c r="F45" s="201"/>
      <c r="G45" s="201"/>
    </row>
    <row r="46" spans="1:7" x14ac:dyDescent="0.2">
      <c r="B46" s="201"/>
      <c r="C46" s="275"/>
      <c r="D46" s="201"/>
      <c r="E46" s="201"/>
      <c r="F46" s="201"/>
      <c r="G46" s="201"/>
    </row>
    <row r="47" spans="1:7" x14ac:dyDescent="0.2">
      <c r="B47" s="201"/>
      <c r="C47" s="275"/>
      <c r="D47" s="201"/>
      <c r="E47" s="201"/>
      <c r="F47" s="201"/>
      <c r="G47" s="201"/>
    </row>
    <row r="48" spans="1:7" x14ac:dyDescent="0.2">
      <c r="B48" s="201"/>
      <c r="C48" s="275"/>
      <c r="D48" s="201"/>
      <c r="E48" s="201"/>
      <c r="F48" s="201"/>
      <c r="G48" s="201"/>
    </row>
    <row r="49" spans="2:7" x14ac:dyDescent="0.2">
      <c r="B49" s="201"/>
      <c r="C49" s="275"/>
      <c r="D49" s="201"/>
      <c r="E49" s="201"/>
      <c r="F49" s="201"/>
      <c r="G49" s="201"/>
    </row>
    <row r="50" spans="2:7" x14ac:dyDescent="0.2">
      <c r="B50" s="201"/>
      <c r="C50" s="275"/>
      <c r="D50" s="201"/>
      <c r="E50" s="201"/>
      <c r="F50" s="201"/>
      <c r="G50" s="201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O352"/>
  <sheetViews>
    <sheetView zoomScale="85" zoomScaleNormal="85" workbookViewId="0">
      <pane xSplit="1" ySplit="10" topLeftCell="BT11" activePane="bottomRight" state="frozen"/>
      <selection activeCell="N25" sqref="A1:XFD1048576"/>
      <selection pane="topRight" activeCell="N25" sqref="A1:XFD1048576"/>
      <selection pane="bottomLeft" activeCell="N25" sqref="A1:XFD1048576"/>
      <selection pane="bottomRight" activeCell="BU44" sqref="BU44"/>
    </sheetView>
  </sheetViews>
  <sheetFormatPr defaultColWidth="21.1640625" defaultRowHeight="12.75" customHeight="1" x14ac:dyDescent="0.2"/>
  <cols>
    <col min="1" max="1" width="7.1640625" style="193" customWidth="1"/>
    <col min="2" max="2" width="47.6640625" style="193" customWidth="1"/>
    <col min="3" max="6" width="18" style="193" customWidth="1"/>
    <col min="7" max="7" width="6.6640625" style="2" customWidth="1"/>
    <col min="8" max="8" width="60.1640625" style="2" customWidth="1"/>
    <col min="9" max="9" width="23.6640625" style="2" customWidth="1"/>
    <col min="10" max="10" width="21" style="2" bestFit="1" customWidth="1"/>
    <col min="11" max="11" width="19" style="2" bestFit="1" customWidth="1"/>
    <col min="12" max="12" width="6.6640625" style="2" customWidth="1"/>
    <col min="13" max="13" width="83.6640625" style="2" customWidth="1"/>
    <col min="14" max="14" width="20" style="2" customWidth="1"/>
    <col min="15" max="15" width="6.6640625" style="2" customWidth="1"/>
    <col min="16" max="16" width="55" style="2" customWidth="1"/>
    <col min="17" max="17" width="21.5" style="2" customWidth="1"/>
    <col min="18" max="18" width="22.1640625" style="2" customWidth="1"/>
    <col min="19" max="19" width="7.1640625" style="2" customWidth="1"/>
    <col min="20" max="20" width="73.33203125" style="2" bestFit="1" customWidth="1"/>
    <col min="21" max="21" width="37" style="2" bestFit="1" customWidth="1"/>
    <col min="22" max="22" width="18.1640625" style="2" customWidth="1"/>
    <col min="23" max="23" width="6.5" style="2" bestFit="1" customWidth="1"/>
    <col min="24" max="24" width="73.1640625" style="2" bestFit="1" customWidth="1"/>
    <col min="25" max="25" width="5.5" style="2" bestFit="1" customWidth="1"/>
    <col min="26" max="27" width="18.1640625" style="2" customWidth="1"/>
    <col min="28" max="28" width="6.6640625" style="2" customWidth="1"/>
    <col min="29" max="29" width="63.1640625" style="2" bestFit="1" customWidth="1"/>
    <col min="30" max="30" width="17" style="2" customWidth="1"/>
    <col min="31" max="31" width="18" style="2" bestFit="1" customWidth="1"/>
    <col min="32" max="33" width="17" style="2" customWidth="1"/>
    <col min="34" max="34" width="16.6640625" style="2" customWidth="1"/>
    <col min="35" max="35" width="5.6640625" style="147" bestFit="1" customWidth="1"/>
    <col min="36" max="36" width="55.1640625" style="147" bestFit="1" customWidth="1"/>
    <col min="37" max="39" width="17" style="147" customWidth="1"/>
    <col min="40" max="40" width="6.6640625" style="2" customWidth="1"/>
    <col min="41" max="41" width="40.6640625" style="2" bestFit="1" customWidth="1"/>
    <col min="42" max="42" width="14" style="2" customWidth="1"/>
    <col min="43" max="43" width="22.6640625" style="43" customWidth="1"/>
    <col min="44" max="44" width="5.6640625" style="147" bestFit="1" customWidth="1"/>
    <col min="45" max="45" width="55.1640625" style="147" bestFit="1" customWidth="1"/>
    <col min="46" max="48" width="17" style="147" customWidth="1"/>
    <col min="49" max="49" width="5.6640625" style="159" customWidth="1"/>
    <col min="50" max="50" width="36.1640625" style="159" bestFit="1" customWidth="1"/>
    <col min="51" max="51" width="16.1640625" style="159" customWidth="1"/>
    <col min="52" max="52" width="18.6640625" style="159" customWidth="1"/>
    <col min="53" max="53" width="6.6640625" style="2" customWidth="1"/>
    <col min="54" max="54" width="52" style="2" customWidth="1"/>
    <col min="55" max="55" width="18.1640625" style="2" customWidth="1"/>
    <col min="56" max="56" width="17.1640625" style="2" customWidth="1"/>
    <col min="57" max="57" width="18.5" style="2" customWidth="1"/>
    <col min="58" max="58" width="6.5" style="147" bestFit="1" customWidth="1"/>
    <col min="59" max="59" width="72.33203125" style="147" customWidth="1"/>
    <col min="60" max="62" width="17" style="147" customWidth="1"/>
    <col min="63" max="63" width="6.5" style="147" bestFit="1" customWidth="1"/>
    <col min="64" max="64" width="72.33203125" style="147" customWidth="1"/>
    <col min="65" max="65" width="18.6640625" style="147" customWidth="1"/>
    <col min="66" max="68" width="17" style="147" customWidth="1"/>
    <col min="69" max="69" width="6.5" style="147" bestFit="1" customWidth="1"/>
    <col min="70" max="70" width="72.33203125" style="147" customWidth="1"/>
    <col min="71" max="73" width="17" style="147" customWidth="1"/>
    <col min="74" max="74" width="6.6640625" style="2" customWidth="1"/>
    <col min="75" max="75" width="42.6640625" style="2" customWidth="1"/>
    <col min="76" max="76" width="17.6640625" style="2" customWidth="1"/>
    <col min="77" max="77" width="16.6640625" style="2" customWidth="1"/>
    <col min="78" max="78" width="19.1640625" style="2" customWidth="1"/>
    <col min="79" max="79" width="4.1640625" style="2" customWidth="1"/>
    <col min="80" max="80" width="6.6640625" style="2" customWidth="1"/>
    <col min="81" max="81" width="35.6640625" style="2" customWidth="1"/>
    <col min="82" max="82" width="29.5" style="2" bestFit="1" customWidth="1"/>
    <col min="83" max="86" width="23.6640625" style="2" customWidth="1"/>
    <col min="87" max="87" width="23.6640625" style="2" customWidth="1" collapsed="1"/>
    <col min="88" max="89" width="23.6640625" style="2" customWidth="1"/>
    <col min="90" max="90" width="5.6640625" style="2" bestFit="1" customWidth="1"/>
    <col min="91" max="91" width="60.1640625" style="2" bestFit="1" customWidth="1"/>
    <col min="92" max="94" width="17.5" style="2" customWidth="1"/>
    <col min="95" max="95" width="23.6640625" style="2" customWidth="1"/>
    <col min="96" max="97" width="18.5" style="2" bestFit="1" customWidth="1"/>
    <col min="98" max="98" width="18.5" style="453" customWidth="1"/>
    <col min="99" max="99" width="29" style="453" bestFit="1" customWidth="1"/>
    <col min="100" max="100" width="18.5" style="453" bestFit="1" customWidth="1"/>
    <col min="101" max="101" width="20.5" style="2" bestFit="1" customWidth="1"/>
    <col min="102" max="102" width="6.6640625" style="2" customWidth="1"/>
    <col min="103" max="103" width="60.1640625" style="2" bestFit="1" customWidth="1"/>
    <col min="104" max="104" width="19.6640625" style="2" bestFit="1" customWidth="1"/>
    <col min="105" max="105" width="22" style="2" bestFit="1" customWidth="1"/>
    <col min="106" max="106" width="20.5" style="2" bestFit="1" customWidth="1"/>
    <col min="107" max="107" width="1.5" style="2" customWidth="1"/>
    <col min="108" max="109" width="20.5" bestFit="1" customWidth="1"/>
    <col min="117" max="117" width="62.33203125" bestFit="1" customWidth="1"/>
    <col min="120" max="16384" width="21.1640625" style="2"/>
  </cols>
  <sheetData>
    <row r="1" spans="1:119" customFormat="1" ht="15" customHeight="1" thickBot="1" x14ac:dyDescent="0.2"/>
    <row r="2" spans="1:119" s="103" customFormat="1" ht="15" customHeight="1" thickTop="1" thickBot="1" x14ac:dyDescent="0.25">
      <c r="A2" s="376"/>
      <c r="B2" s="377"/>
      <c r="C2" s="376"/>
      <c r="D2" s="377"/>
      <c r="E2" s="377"/>
      <c r="F2" s="374" t="str">
        <f>CE11</f>
        <v>Adj 3.01</v>
      </c>
      <c r="G2" s="376"/>
      <c r="H2" s="376"/>
      <c r="I2" s="376"/>
      <c r="J2" s="377"/>
      <c r="K2" s="374" t="str">
        <f>CF11</f>
        <v>Adj 3.02</v>
      </c>
      <c r="N2" s="374" t="str">
        <f>CG11</f>
        <v>Adj 3.03</v>
      </c>
      <c r="P2" s="378" t="s">
        <v>20</v>
      </c>
      <c r="R2" s="374" t="str">
        <f>CH11</f>
        <v xml:space="preserve"> Adj 3.04</v>
      </c>
      <c r="V2" s="374" t="str">
        <f>CI11</f>
        <v>Adj 3.05</v>
      </c>
      <c r="W2" s="47"/>
      <c r="X2" s="47"/>
      <c r="Y2" s="47"/>
      <c r="Z2" s="47"/>
      <c r="AA2" s="374" t="str">
        <f>CJ11</f>
        <v>Adj 3.06</v>
      </c>
      <c r="AC2" s="379"/>
      <c r="AD2" s="379"/>
      <c r="AE2" s="379"/>
      <c r="AF2" s="379"/>
      <c r="AG2" s="379"/>
      <c r="AH2" s="374" t="str">
        <f>CK11</f>
        <v>Adj 3.07</v>
      </c>
      <c r="AI2" s="329"/>
      <c r="AJ2" s="329"/>
      <c r="AK2" s="329"/>
      <c r="AL2" s="329"/>
      <c r="AM2" s="374" t="str">
        <f>CN11</f>
        <v>Adj 3.08</v>
      </c>
      <c r="AQ2" s="374" t="str">
        <f>CO11</f>
        <v>Adj 3.09</v>
      </c>
      <c r="AR2" s="329"/>
      <c r="AS2" s="329"/>
      <c r="AT2" s="329"/>
      <c r="AU2" s="329"/>
      <c r="AV2" s="374" t="str">
        <f>CP11</f>
        <v>Adj 3.10</v>
      </c>
      <c r="AW2" s="380"/>
      <c r="AX2" s="380"/>
      <c r="AY2" s="380"/>
      <c r="AZ2" s="374" t="str">
        <f>CQ11</f>
        <v>Adj 3.11</v>
      </c>
      <c r="BC2" s="381"/>
      <c r="BE2" s="374" t="str">
        <f>CR11</f>
        <v>Adj 3.12</v>
      </c>
      <c r="BF2" s="47"/>
      <c r="BG2" s="47"/>
      <c r="BH2" s="47"/>
      <c r="BI2" s="47"/>
      <c r="BJ2" s="374" t="str">
        <f>CS11</f>
        <v>Adj 3.13</v>
      </c>
      <c r="BK2" s="47"/>
      <c r="BL2" s="47"/>
      <c r="BM2" s="47"/>
      <c r="BN2" s="47"/>
      <c r="BO2" s="47"/>
      <c r="BP2" s="374" t="str">
        <f>CT11</f>
        <v>Adj 3.19</v>
      </c>
      <c r="BQ2" s="47"/>
      <c r="BR2" s="47"/>
      <c r="BS2" s="47"/>
      <c r="BT2" s="47"/>
      <c r="BU2" s="374" t="str">
        <f>CU11</f>
        <v>Adj 3.21</v>
      </c>
      <c r="BZ2" s="196" t="s">
        <v>237</v>
      </c>
      <c r="CD2" s="329"/>
      <c r="CK2" s="382" t="s">
        <v>281</v>
      </c>
      <c r="CW2" s="382" t="s">
        <v>282</v>
      </c>
      <c r="DB2" s="383" t="s">
        <v>283</v>
      </c>
      <c r="DD2"/>
      <c r="DE2"/>
      <c r="DF2"/>
      <c r="DG2"/>
      <c r="DH2"/>
      <c r="DI2"/>
      <c r="DJ2"/>
      <c r="DK2"/>
      <c r="DL2"/>
      <c r="DM2"/>
      <c r="DN2"/>
      <c r="DO2"/>
    </row>
    <row r="3" spans="1:119" s="31" customFormat="1" ht="15" customHeight="1" x14ac:dyDescent="0.2">
      <c r="A3" s="179"/>
      <c r="B3" s="180"/>
      <c r="C3" s="181"/>
      <c r="D3" s="179"/>
      <c r="E3" s="193"/>
      <c r="F3" s="202"/>
      <c r="G3" s="179"/>
      <c r="H3" s="180"/>
      <c r="I3" s="181"/>
      <c r="J3" s="179"/>
      <c r="K3" s="193"/>
      <c r="AB3" s="84"/>
      <c r="AI3" s="206"/>
      <c r="AJ3" s="206"/>
      <c r="AK3" s="206"/>
      <c r="AL3" s="206"/>
      <c r="AN3" s="203"/>
      <c r="AO3" s="47"/>
      <c r="AP3" s="47"/>
      <c r="AR3" s="206"/>
      <c r="AS3" s="206"/>
      <c r="AT3" s="206"/>
      <c r="AU3" s="206"/>
      <c r="AW3" s="204"/>
      <c r="AX3" s="204"/>
      <c r="AY3" s="204"/>
      <c r="BC3" s="205"/>
      <c r="BP3"/>
      <c r="BU3"/>
      <c r="BW3" s="4"/>
      <c r="BX3" s="4"/>
      <c r="BY3" s="4"/>
      <c r="CA3" s="47"/>
      <c r="CB3" s="208" t="str">
        <f>+Inputs!$B$1</f>
        <v>PUGET SOUND ENERGY - GAS</v>
      </c>
      <c r="CC3" s="4"/>
      <c r="CD3" s="106"/>
      <c r="CE3" s="4"/>
      <c r="CF3" s="4"/>
      <c r="CG3" s="4"/>
      <c r="CH3" s="4"/>
      <c r="CI3" s="4"/>
      <c r="CJ3" s="4"/>
      <c r="CK3" s="4"/>
      <c r="CL3" s="208" t="str">
        <f>+Inputs!$B$1</f>
        <v>PUGET SOUND ENERGY - GAS</v>
      </c>
      <c r="CM3" s="4"/>
      <c r="CN3" s="4"/>
      <c r="CO3" s="4"/>
      <c r="CP3" s="4"/>
      <c r="CQ3" s="4"/>
      <c r="CR3" s="4"/>
      <c r="CS3" s="4"/>
      <c r="CT3" s="106"/>
      <c r="CU3" s="106"/>
      <c r="CV3" s="106"/>
      <c r="CW3" s="4"/>
      <c r="CX3" s="208" t="str">
        <f>+Inputs!$B$1</f>
        <v>PUGET SOUND ENERGY - GAS</v>
      </c>
      <c r="CY3" s="4"/>
      <c r="CZ3" s="4"/>
      <c r="DA3" s="4"/>
      <c r="DB3" s="85"/>
      <c r="DD3"/>
      <c r="DE3"/>
      <c r="DF3"/>
      <c r="DG3"/>
      <c r="DH3"/>
      <c r="DI3"/>
      <c r="DJ3"/>
      <c r="DK3"/>
      <c r="DL3"/>
      <c r="DM3"/>
      <c r="DN3"/>
      <c r="DO3"/>
    </row>
    <row r="4" spans="1:119" s="37" customFormat="1" ht="15" customHeight="1" x14ac:dyDescent="0.2">
      <c r="A4" s="208" t="str">
        <f>+Inputs!$B$1</f>
        <v>PUGET SOUND ENERGY - GAS</v>
      </c>
      <c r="B4" s="284"/>
      <c r="C4" s="284"/>
      <c r="D4" s="284"/>
      <c r="E4" s="284"/>
      <c r="F4" s="284"/>
      <c r="G4" s="208" t="str">
        <f>+Inputs!$B$1</f>
        <v>PUGET SOUND ENERGY - GAS</v>
      </c>
      <c r="H4" s="183"/>
      <c r="I4" s="183"/>
      <c r="J4" s="183"/>
      <c r="K4" s="194"/>
      <c r="L4" s="208" t="str">
        <f>+Inputs!$B$1</f>
        <v>PUGET SOUND ENERGY - GAS</v>
      </c>
      <c r="M4" s="4"/>
      <c r="N4" s="208"/>
      <c r="O4" s="208" t="str">
        <f>+Inputs!$B$1</f>
        <v>PUGET SOUND ENERGY - GAS</v>
      </c>
      <c r="P4" s="4"/>
      <c r="Q4" s="4"/>
      <c r="R4" s="4"/>
      <c r="S4" s="208" t="str">
        <f>+Inputs!$B$1</f>
        <v>PUGET SOUND ENERGY - GAS</v>
      </c>
      <c r="T4" s="4"/>
      <c r="U4" s="4"/>
      <c r="V4" s="207"/>
      <c r="W4" s="208" t="str">
        <f>+Inputs!$B$1</f>
        <v>PUGET SOUND ENERGY - GAS</v>
      </c>
      <c r="X4" s="207"/>
      <c r="Y4" s="207"/>
      <c r="Z4" s="207"/>
      <c r="AA4" s="207"/>
      <c r="AB4" s="208" t="str">
        <f>+Inputs!$B$1</f>
        <v>PUGET SOUND ENERGY - GAS</v>
      </c>
      <c r="AC4" s="4"/>
      <c r="AD4" s="4"/>
      <c r="AE4" s="4"/>
      <c r="AF4" s="4"/>
      <c r="AG4" s="4"/>
      <c r="AH4" s="4"/>
      <c r="AI4" s="208" t="str">
        <f>+Inputs!$B$1</f>
        <v>PUGET SOUND ENERGY - GAS</v>
      </c>
      <c r="AJ4" s="4"/>
      <c r="AK4" s="4"/>
      <c r="AL4" s="4"/>
      <c r="AM4" s="118"/>
      <c r="AN4" s="208" t="str">
        <f>+Inputs!$B$1</f>
        <v>PUGET SOUND ENERGY - GAS</v>
      </c>
      <c r="AO4" s="4"/>
      <c r="AP4" s="4"/>
      <c r="AQ4" s="4"/>
      <c r="AR4" s="208" t="str">
        <f>+Inputs!$B$1</f>
        <v>PUGET SOUND ENERGY - GAS</v>
      </c>
      <c r="AS4" s="4"/>
      <c r="AT4" s="4"/>
      <c r="AU4" s="4"/>
      <c r="AV4" s="118"/>
      <c r="AW4" s="208" t="str">
        <f>+Inputs!$B$1</f>
        <v>PUGET SOUND ENERGY - GAS</v>
      </c>
      <c r="AX4" s="208"/>
      <c r="AY4" s="208"/>
      <c r="AZ4" s="208"/>
      <c r="BA4" s="208" t="str">
        <f>+Inputs!$B$1</f>
        <v>PUGET SOUND ENERGY - GAS</v>
      </c>
      <c r="BB4" s="4"/>
      <c r="BC4" s="209"/>
      <c r="BD4" s="4"/>
      <c r="BE4" s="4"/>
      <c r="BF4" s="208" t="str">
        <f>+Inputs!$B$1</f>
        <v>PUGET SOUND ENERGY - GAS</v>
      </c>
      <c r="BG4" s="118"/>
      <c r="BH4" s="118"/>
      <c r="BI4" s="118"/>
      <c r="BJ4" s="118"/>
      <c r="BK4" s="208" t="str">
        <f>+Inputs!$B$1</f>
        <v>PUGET SOUND ENERGY - GAS</v>
      </c>
      <c r="BL4" s="118"/>
      <c r="BM4" s="118"/>
      <c r="BN4" s="118"/>
      <c r="BO4" s="118"/>
      <c r="BP4" s="118"/>
      <c r="BQ4" s="208" t="str">
        <f>+Inputs!$B$1</f>
        <v>PUGET SOUND ENERGY - GAS</v>
      </c>
      <c r="BR4" s="118"/>
      <c r="BS4" s="118"/>
      <c r="BT4" s="118"/>
      <c r="BU4" s="118"/>
      <c r="BV4" s="208" t="str">
        <f>+Inputs!$B$1</f>
        <v>PUGET SOUND ENERGY - GAS</v>
      </c>
      <c r="BW4" s="4"/>
      <c r="BX4" s="4"/>
      <c r="BY4" s="4"/>
      <c r="BZ4" s="4"/>
      <c r="CA4" s="47"/>
      <c r="CB4" s="30" t="s">
        <v>64</v>
      </c>
      <c r="CC4" s="4"/>
      <c r="CD4" s="106"/>
      <c r="CE4" s="4"/>
      <c r="CF4" s="87"/>
      <c r="CG4" s="4"/>
      <c r="CH4" s="30"/>
      <c r="CI4" s="30"/>
      <c r="CJ4" s="30"/>
      <c r="CK4" s="30"/>
      <c r="CL4" s="30" t="s">
        <v>64</v>
      </c>
      <c r="CM4" s="30"/>
      <c r="CN4" s="30"/>
      <c r="CO4" s="30"/>
      <c r="CP4" s="30"/>
      <c r="CQ4" s="4"/>
      <c r="CR4" s="4"/>
      <c r="CS4" s="4"/>
      <c r="CT4" s="106"/>
      <c r="CU4" s="106"/>
      <c r="CV4" s="106"/>
      <c r="CW4" s="4"/>
      <c r="CX4" s="30" t="s">
        <v>22</v>
      </c>
      <c r="CY4" s="30"/>
      <c r="CZ4" s="30"/>
      <c r="DA4" s="30"/>
      <c r="DB4" s="30"/>
      <c r="DD4"/>
      <c r="DE4"/>
      <c r="DF4"/>
      <c r="DG4"/>
      <c r="DH4"/>
      <c r="DI4"/>
      <c r="DJ4"/>
      <c r="DK4"/>
      <c r="DL4"/>
      <c r="DM4"/>
      <c r="DN4"/>
      <c r="DO4"/>
    </row>
    <row r="5" spans="1:119" s="292" customFormat="1" ht="15" customHeight="1" x14ac:dyDescent="0.2">
      <c r="A5" s="281" t="s">
        <v>169</v>
      </c>
      <c r="B5" s="282"/>
      <c r="C5" s="281"/>
      <c r="D5" s="282"/>
      <c r="E5" s="283"/>
      <c r="F5" s="284"/>
      <c r="G5" s="281" t="s">
        <v>172</v>
      </c>
      <c r="H5" s="282"/>
      <c r="I5" s="281"/>
      <c r="J5" s="282"/>
      <c r="K5" s="283"/>
      <c r="L5" s="285" t="s">
        <v>57</v>
      </c>
      <c r="M5" s="285"/>
      <c r="N5" s="286"/>
      <c r="O5" s="285" t="s">
        <v>92</v>
      </c>
      <c r="P5" s="285"/>
      <c r="Q5" s="285"/>
      <c r="R5" s="287"/>
      <c r="S5" s="285"/>
      <c r="T5" s="285" t="s">
        <v>170</v>
      </c>
      <c r="U5" s="287"/>
      <c r="V5" s="288"/>
      <c r="W5" s="285" t="s">
        <v>207</v>
      </c>
      <c r="X5" s="288"/>
      <c r="Y5" s="288"/>
      <c r="Z5" s="288"/>
      <c r="AA5" s="288"/>
      <c r="AB5" s="289" t="s">
        <v>83</v>
      </c>
      <c r="AC5" s="285"/>
      <c r="AD5" s="285"/>
      <c r="AE5" s="285"/>
      <c r="AF5" s="285"/>
      <c r="AG5" s="285"/>
      <c r="AH5" s="285"/>
      <c r="AI5" s="285" t="s">
        <v>182</v>
      </c>
      <c r="AJ5" s="285"/>
      <c r="AK5" s="285"/>
      <c r="AL5" s="285"/>
      <c r="AM5" s="287"/>
      <c r="AN5" s="289" t="s">
        <v>84</v>
      </c>
      <c r="AO5" s="287"/>
      <c r="AP5" s="287"/>
      <c r="AQ5" s="287"/>
      <c r="AR5" s="285" t="s">
        <v>97</v>
      </c>
      <c r="AS5" s="285"/>
      <c r="AT5" s="285"/>
      <c r="AU5" s="285"/>
      <c r="AV5" s="287"/>
      <c r="AW5" s="290" t="s">
        <v>109</v>
      </c>
      <c r="AX5" s="284"/>
      <c r="AY5" s="284"/>
      <c r="AZ5" s="284"/>
      <c r="BA5" s="285" t="s">
        <v>113</v>
      </c>
      <c r="BB5" s="285"/>
      <c r="BC5" s="291"/>
      <c r="BD5" s="285"/>
      <c r="BE5" s="287"/>
      <c r="BF5" s="285" t="s">
        <v>211</v>
      </c>
      <c r="BG5" s="287"/>
      <c r="BH5" s="287"/>
      <c r="BI5" s="287"/>
      <c r="BJ5" s="287"/>
      <c r="BK5" s="285" t="s">
        <v>388</v>
      </c>
      <c r="BL5" s="287"/>
      <c r="BM5" s="287"/>
      <c r="BN5" s="287"/>
      <c r="BO5" s="287"/>
      <c r="BP5" s="287"/>
      <c r="BQ5" s="285" t="s">
        <v>308</v>
      </c>
      <c r="BR5" s="287"/>
      <c r="BS5" s="287"/>
      <c r="BT5" s="287"/>
      <c r="BU5" s="287"/>
      <c r="BV5" s="285" t="s">
        <v>21</v>
      </c>
      <c r="BW5" s="285"/>
      <c r="BX5" s="285"/>
      <c r="BY5" s="285"/>
      <c r="BZ5" s="285"/>
      <c r="CA5" s="47"/>
      <c r="CB5" s="282" t="str">
        <f>+Inputs!$B$2</f>
        <v>FOR THE TWELVE MONTHS ENDED DECEMBER 31, 2022</v>
      </c>
      <c r="CC5" s="285"/>
      <c r="CD5" s="106"/>
      <c r="CE5" s="285"/>
      <c r="CF5" s="285"/>
      <c r="CG5" s="285"/>
      <c r="CH5" s="289"/>
      <c r="CI5" s="289"/>
      <c r="CJ5" s="289"/>
      <c r="CK5" s="289"/>
      <c r="CL5" s="282" t="str">
        <f>+Inputs!$B$2</f>
        <v>FOR THE TWELVE MONTHS ENDED DECEMBER 31, 2022</v>
      </c>
      <c r="CM5" s="289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2" t="str">
        <f>+Inputs!$B$2</f>
        <v>FOR THE TWELVE MONTHS ENDED DECEMBER 31, 2022</v>
      </c>
      <c r="CY5" s="289"/>
      <c r="CZ5" s="289"/>
      <c r="DA5" s="289"/>
      <c r="DB5" s="289"/>
      <c r="DD5"/>
      <c r="DE5"/>
      <c r="DF5"/>
      <c r="DG5"/>
      <c r="DH5"/>
      <c r="DI5"/>
      <c r="DJ5"/>
      <c r="DK5"/>
      <c r="DL5"/>
      <c r="DM5"/>
      <c r="DN5"/>
      <c r="DO5"/>
    </row>
    <row r="6" spans="1:119" s="37" customFormat="1" ht="15" customHeight="1" x14ac:dyDescent="0.2">
      <c r="A6" s="183" t="str">
        <f>+Inputs!$B$2</f>
        <v>FOR THE TWELVE MONTHS ENDED DECEMBER 31, 2022</v>
      </c>
      <c r="B6" s="183"/>
      <c r="C6" s="182"/>
      <c r="D6" s="183"/>
      <c r="E6" s="194"/>
      <c r="F6" s="210"/>
      <c r="G6" s="183" t="str">
        <f>+Inputs!$B$2</f>
        <v>FOR THE TWELVE MONTHS ENDED DECEMBER 31, 2022</v>
      </c>
      <c r="H6" s="183"/>
      <c r="I6" s="182"/>
      <c r="J6" s="183"/>
      <c r="K6" s="194"/>
      <c r="L6" s="183" t="str">
        <f>+Inputs!$B$2</f>
        <v>FOR THE TWELVE MONTHS ENDED DECEMBER 31, 2022</v>
      </c>
      <c r="M6" s="4"/>
      <c r="N6" s="86"/>
      <c r="O6" s="183" t="str">
        <f>+Inputs!$B$2</f>
        <v>FOR THE TWELVE MONTHS ENDED DECEMBER 31, 2022</v>
      </c>
      <c r="P6" s="4"/>
      <c r="Q6" s="4"/>
      <c r="R6" s="32"/>
      <c r="S6" s="183" t="str">
        <f>+Inputs!$B$2</f>
        <v>FOR THE TWELVE MONTHS ENDED DECEMBER 31, 2022</v>
      </c>
      <c r="T6" s="4"/>
      <c r="U6" s="32"/>
      <c r="V6" s="207"/>
      <c r="W6" s="183" t="str">
        <f>+Inputs!$B$2</f>
        <v>FOR THE TWELVE MONTHS ENDED DECEMBER 31, 2022</v>
      </c>
      <c r="X6" s="207"/>
      <c r="Y6" s="207"/>
      <c r="Z6" s="207"/>
      <c r="AA6" s="207"/>
      <c r="AB6" s="183" t="str">
        <f>+Inputs!$B$2</f>
        <v>FOR THE TWELVE MONTHS ENDED DECEMBER 31, 2022</v>
      </c>
      <c r="AC6" s="4"/>
      <c r="AD6" s="4"/>
      <c r="AE6" s="4"/>
      <c r="AF6" s="4"/>
      <c r="AG6" s="4"/>
      <c r="AH6" s="4"/>
      <c r="AI6" s="183" t="str">
        <f>+Inputs!$B$2</f>
        <v>FOR THE TWELVE MONTHS ENDED DECEMBER 31, 2022</v>
      </c>
      <c r="AJ6" s="4"/>
      <c r="AK6" s="4"/>
      <c r="AL6" s="4"/>
      <c r="AM6" s="32"/>
      <c r="AN6" s="183" t="str">
        <f>+Inputs!$B$2</f>
        <v>FOR THE TWELVE MONTHS ENDED DECEMBER 31, 2022</v>
      </c>
      <c r="AO6" s="32"/>
      <c r="AP6" s="32"/>
      <c r="AQ6" s="32"/>
      <c r="AR6" s="183" t="str">
        <f>+Inputs!$B$2</f>
        <v>FOR THE TWELVE MONTHS ENDED DECEMBER 31, 2022</v>
      </c>
      <c r="AS6" s="4"/>
      <c r="AT6" s="4"/>
      <c r="AU6" s="4"/>
      <c r="AV6" s="32"/>
      <c r="AW6" s="183" t="str">
        <f>+Inputs!$B$2</f>
        <v>FOR THE TWELVE MONTHS ENDED DECEMBER 31, 2022</v>
      </c>
      <c r="AX6" s="208"/>
      <c r="AY6" s="208"/>
      <c r="AZ6" s="208"/>
      <c r="BA6" s="183" t="str">
        <f>+Inputs!$B$2</f>
        <v>FOR THE TWELVE MONTHS ENDED DECEMBER 31, 2022</v>
      </c>
      <c r="BB6" s="4"/>
      <c r="BC6" s="209"/>
      <c r="BD6" s="4"/>
      <c r="BE6" s="32"/>
      <c r="BF6" s="183" t="str">
        <f>+Inputs!$B$2</f>
        <v>FOR THE TWELVE MONTHS ENDED DECEMBER 31, 2022</v>
      </c>
      <c r="BG6" s="32"/>
      <c r="BH6" s="32"/>
      <c r="BI6" s="32"/>
      <c r="BJ6" s="32"/>
      <c r="BK6" s="183" t="str">
        <f>+Inputs!$B$2</f>
        <v>FOR THE TWELVE MONTHS ENDED DECEMBER 31, 2022</v>
      </c>
      <c r="BL6" s="32"/>
      <c r="BM6" s="32"/>
      <c r="BN6" s="32"/>
      <c r="BO6" s="32"/>
      <c r="BP6" s="32"/>
      <c r="BQ6" s="183" t="str">
        <f>+Inputs!$B$2</f>
        <v>FOR THE TWELVE MONTHS ENDED DECEMBER 31, 2022</v>
      </c>
      <c r="BR6" s="32"/>
      <c r="BS6" s="32"/>
      <c r="BT6" s="32"/>
      <c r="BU6" s="32"/>
      <c r="BV6" s="183" t="str">
        <f>+Inputs!$B$2</f>
        <v>FOR THE TWELVE MONTHS ENDED DECEMBER 31, 2022</v>
      </c>
      <c r="BW6" s="4"/>
      <c r="BX6" s="4"/>
      <c r="BY6" s="4"/>
      <c r="BZ6" s="4"/>
      <c r="CA6" s="47"/>
      <c r="CB6" s="182" t="s">
        <v>90</v>
      </c>
      <c r="CC6" s="4"/>
      <c r="CD6" s="106"/>
      <c r="CE6" s="4"/>
      <c r="CF6" s="4"/>
      <c r="CG6" s="4"/>
      <c r="CH6" s="4"/>
      <c r="CI6" s="106"/>
      <c r="CJ6" s="4"/>
      <c r="CK6" s="4"/>
      <c r="CL6" s="182" t="s">
        <v>90</v>
      </c>
      <c r="CM6" s="4"/>
      <c r="CN6" s="30"/>
      <c r="CO6" s="30"/>
      <c r="CP6" s="30"/>
      <c r="CQ6" s="4"/>
      <c r="CR6" s="4"/>
      <c r="CS6" s="4"/>
      <c r="CT6" s="106"/>
      <c r="CU6" s="106"/>
      <c r="CV6" s="106"/>
      <c r="CW6" s="4"/>
      <c r="CX6" s="182" t="s">
        <v>90</v>
      </c>
      <c r="CY6" s="4"/>
      <c r="CZ6" s="4"/>
      <c r="DA6" s="4"/>
      <c r="DB6" s="4"/>
      <c r="DD6"/>
      <c r="DE6"/>
      <c r="DF6"/>
      <c r="DG6"/>
      <c r="DH6"/>
      <c r="DI6"/>
      <c r="DJ6"/>
      <c r="DK6"/>
      <c r="DL6"/>
      <c r="DM6"/>
      <c r="DN6"/>
      <c r="DO6"/>
    </row>
    <row r="7" spans="1:119" s="31" customFormat="1" ht="15" customHeight="1" x14ac:dyDescent="0.2">
      <c r="A7" s="182" t="s">
        <v>90</v>
      </c>
      <c r="B7" s="183"/>
      <c r="C7" s="182"/>
      <c r="D7" s="182"/>
      <c r="E7" s="194"/>
      <c r="F7" s="32"/>
      <c r="G7" s="182" t="s">
        <v>90</v>
      </c>
      <c r="H7" s="183"/>
      <c r="I7" s="182"/>
      <c r="J7" s="182"/>
      <c r="K7" s="194"/>
      <c r="L7" s="182" t="s">
        <v>90</v>
      </c>
      <c r="M7" s="30"/>
      <c r="N7" s="86"/>
      <c r="O7" s="182" t="s">
        <v>90</v>
      </c>
      <c r="P7" s="4"/>
      <c r="Q7" s="4"/>
      <c r="R7" s="32"/>
      <c r="S7" s="182" t="s">
        <v>90</v>
      </c>
      <c r="T7" s="30"/>
      <c r="U7" s="4"/>
      <c r="V7" s="207"/>
      <c r="W7" s="182" t="s">
        <v>90</v>
      </c>
      <c r="X7" s="207"/>
      <c r="Y7" s="207"/>
      <c r="Z7" s="207"/>
      <c r="AA7" s="207"/>
      <c r="AB7" s="182" t="s">
        <v>90</v>
      </c>
      <c r="AC7" s="4"/>
      <c r="AD7" s="4"/>
      <c r="AE7" s="4"/>
      <c r="AF7" s="4"/>
      <c r="AG7" s="4"/>
      <c r="AH7" s="4"/>
      <c r="AI7" s="182" t="s">
        <v>90</v>
      </c>
      <c r="AJ7" s="4"/>
      <c r="AK7" s="4"/>
      <c r="AL7" s="30"/>
      <c r="AM7" s="32"/>
      <c r="AN7" s="182" t="s">
        <v>90</v>
      </c>
      <c r="AO7" s="4"/>
      <c r="AP7" s="4"/>
      <c r="AQ7" s="4"/>
      <c r="AR7" s="182" t="s">
        <v>90</v>
      </c>
      <c r="AS7" s="4"/>
      <c r="AT7" s="4"/>
      <c r="AU7" s="30"/>
      <c r="AV7" s="32"/>
      <c r="AW7" s="182" t="s">
        <v>90</v>
      </c>
      <c r="AX7" s="208"/>
      <c r="AY7" s="208"/>
      <c r="AZ7" s="208"/>
      <c r="BA7" s="182" t="s">
        <v>90</v>
      </c>
      <c r="BB7" s="4"/>
      <c r="BC7" s="209"/>
      <c r="BD7" s="4"/>
      <c r="BE7" s="4"/>
      <c r="BF7" s="182" t="s">
        <v>90</v>
      </c>
      <c r="BG7" s="32"/>
      <c r="BH7" s="32"/>
      <c r="BI7" s="32"/>
      <c r="BJ7" s="32"/>
      <c r="BK7" s="182" t="s">
        <v>90</v>
      </c>
      <c r="BL7" s="32"/>
      <c r="BM7" s="32"/>
      <c r="BN7" s="32"/>
      <c r="BO7" s="32"/>
      <c r="BP7" s="32"/>
      <c r="BQ7" s="182" t="s">
        <v>90</v>
      </c>
      <c r="BR7" s="32"/>
      <c r="BS7" s="32"/>
      <c r="BT7" s="32"/>
      <c r="BU7" s="32"/>
      <c r="BV7" s="182" t="s">
        <v>90</v>
      </c>
      <c r="BW7" s="4"/>
      <c r="BX7" s="4"/>
      <c r="BY7" s="4"/>
      <c r="BZ7" s="4"/>
      <c r="CA7" s="47"/>
      <c r="CB7" s="88"/>
      <c r="CC7" s="4"/>
      <c r="CD7" s="106" t="s">
        <v>20</v>
      </c>
      <c r="CE7" s="4"/>
      <c r="CF7" s="4"/>
      <c r="CG7" s="4"/>
      <c r="CH7" s="30"/>
      <c r="CI7" s="30"/>
      <c r="CJ7" s="30"/>
      <c r="CK7" s="30"/>
      <c r="CL7" s="30"/>
      <c r="CM7" s="30"/>
      <c r="CN7" s="4"/>
      <c r="CO7" s="4"/>
      <c r="CP7" s="4"/>
      <c r="CQ7" s="4"/>
      <c r="CR7" s="4"/>
      <c r="CS7" s="4"/>
      <c r="CT7" s="106"/>
      <c r="CU7" s="106"/>
      <c r="CV7" s="106"/>
      <c r="CW7" s="4"/>
      <c r="CY7" s="4"/>
      <c r="CZ7" s="4"/>
      <c r="DA7" s="4"/>
      <c r="DB7" s="4"/>
      <c r="DD7"/>
      <c r="DE7"/>
      <c r="DF7"/>
      <c r="DG7"/>
      <c r="DH7"/>
      <c r="DI7"/>
      <c r="DJ7"/>
      <c r="DK7"/>
      <c r="DL7"/>
      <c r="DM7"/>
      <c r="DN7"/>
      <c r="DO7"/>
    </row>
    <row r="8" spans="1:119" s="31" customFormat="1" ht="15" customHeight="1" x14ac:dyDescent="0.2">
      <c r="A8" s="179"/>
      <c r="B8" s="179"/>
      <c r="C8" s="179"/>
      <c r="D8" s="179"/>
      <c r="E8" s="157"/>
      <c r="F8" s="157"/>
      <c r="G8" s="157"/>
      <c r="H8" s="155"/>
      <c r="I8" s="155"/>
      <c r="J8" s="155"/>
      <c r="K8" s="155"/>
      <c r="M8" s="33"/>
      <c r="N8" s="89"/>
      <c r="P8" s="33"/>
      <c r="Q8" s="29"/>
      <c r="R8" s="29"/>
      <c r="S8" s="130"/>
      <c r="AD8" s="155"/>
      <c r="AE8" s="155"/>
      <c r="AF8" s="155" t="s">
        <v>176</v>
      </c>
      <c r="AG8" s="155"/>
      <c r="AH8" s="155" t="s">
        <v>101</v>
      </c>
      <c r="AI8" s="206"/>
      <c r="AJ8" s="212"/>
      <c r="AK8" s="212"/>
      <c r="AL8" s="206"/>
      <c r="AM8" s="206"/>
      <c r="AR8" s="206"/>
      <c r="AS8" s="212"/>
      <c r="AT8" s="212"/>
      <c r="AU8" s="206"/>
      <c r="AV8" s="206"/>
      <c r="AW8" s="204"/>
      <c r="AX8" s="204"/>
      <c r="AY8" s="204"/>
      <c r="AZ8" s="204"/>
      <c r="BA8" s="211"/>
      <c r="BC8" s="205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CD8" s="64" t="s">
        <v>23</v>
      </c>
      <c r="CE8" s="64"/>
      <c r="CF8" s="64"/>
      <c r="CG8" s="64"/>
      <c r="CH8" s="64"/>
      <c r="CI8" s="64"/>
      <c r="CJ8" s="64"/>
      <c r="CK8" s="64"/>
      <c r="CL8" s="64" t="s">
        <v>23</v>
      </c>
      <c r="CM8" s="90"/>
      <c r="CN8" s="64"/>
      <c r="CO8" s="64"/>
      <c r="CP8" s="64"/>
      <c r="CQ8" s="64"/>
      <c r="CR8" s="64"/>
      <c r="CS8" s="64"/>
      <c r="CT8" s="64"/>
      <c r="CU8" s="64"/>
      <c r="CV8" s="64"/>
      <c r="CW8" s="64"/>
      <c r="DD8"/>
      <c r="DE8"/>
      <c r="DF8"/>
      <c r="DG8"/>
      <c r="DH8"/>
      <c r="DI8"/>
      <c r="DJ8"/>
      <c r="DK8"/>
      <c r="DL8"/>
      <c r="DM8"/>
      <c r="DN8"/>
      <c r="DO8"/>
    </row>
    <row r="9" spans="1:119" s="31" customFormat="1" ht="15" customHeight="1" x14ac:dyDescent="0.2">
      <c r="A9" s="157" t="s">
        <v>24</v>
      </c>
      <c r="B9" s="181"/>
      <c r="C9" s="179"/>
      <c r="D9" s="179"/>
      <c r="E9" s="157"/>
      <c r="F9" s="157"/>
      <c r="G9" s="157" t="s">
        <v>24</v>
      </c>
      <c r="H9" s="155"/>
      <c r="I9" s="155"/>
      <c r="J9" s="155"/>
      <c r="K9" s="155"/>
      <c r="L9" s="40" t="s">
        <v>24</v>
      </c>
      <c r="N9" s="89"/>
      <c r="O9" s="40" t="s">
        <v>24</v>
      </c>
      <c r="R9" s="16" t="s">
        <v>20</v>
      </c>
      <c r="S9" s="16" t="s">
        <v>24</v>
      </c>
      <c r="U9" s="130"/>
      <c r="V9" s="213"/>
      <c r="W9" s="16" t="s">
        <v>24</v>
      </c>
      <c r="AA9" s="37"/>
      <c r="AB9" s="40" t="s">
        <v>24</v>
      </c>
      <c r="AC9" s="33"/>
      <c r="AD9" s="155" t="s">
        <v>102</v>
      </c>
      <c r="AE9" s="155" t="s">
        <v>103</v>
      </c>
      <c r="AF9" s="155" t="s">
        <v>177</v>
      </c>
      <c r="AG9" s="155" t="s">
        <v>102</v>
      </c>
      <c r="AH9" s="155" t="s">
        <v>104</v>
      </c>
      <c r="AI9" s="40" t="s">
        <v>24</v>
      </c>
      <c r="AK9" s="389"/>
      <c r="AL9" s="390"/>
      <c r="AM9" s="390"/>
      <c r="AN9" s="40" t="s">
        <v>24</v>
      </c>
      <c r="AR9" s="16" t="s">
        <v>24</v>
      </c>
      <c r="AS9" s="206"/>
      <c r="AT9" s="206"/>
      <c r="AU9" s="206"/>
      <c r="AV9" s="206"/>
      <c r="AW9" s="157" t="s">
        <v>24</v>
      </c>
      <c r="AX9" s="214"/>
      <c r="AY9" s="214"/>
      <c r="AZ9" s="204"/>
      <c r="BA9" s="211" t="s">
        <v>25</v>
      </c>
      <c r="BC9" s="205"/>
      <c r="BD9" s="40"/>
      <c r="BE9" s="40"/>
      <c r="BF9" s="40" t="s">
        <v>24</v>
      </c>
      <c r="BH9" s="40"/>
      <c r="BI9" s="40"/>
      <c r="BJ9" s="40"/>
      <c r="BK9" s="40" t="s">
        <v>24</v>
      </c>
      <c r="BN9" s="40"/>
      <c r="BO9" s="40"/>
      <c r="BP9" s="40"/>
      <c r="BQ9" s="40" t="s">
        <v>24</v>
      </c>
      <c r="BS9" s="40"/>
      <c r="BT9" s="40"/>
      <c r="BU9" s="40"/>
      <c r="BV9" s="16" t="s">
        <v>24</v>
      </c>
      <c r="CD9" s="16" t="s">
        <v>26</v>
      </c>
      <c r="CE9" s="29" t="s">
        <v>144</v>
      </c>
      <c r="CF9" s="29" t="s">
        <v>174</v>
      </c>
      <c r="CG9" s="29" t="s">
        <v>27</v>
      </c>
      <c r="CH9" s="29" t="s">
        <v>28</v>
      </c>
      <c r="CI9" s="16" t="s">
        <v>165</v>
      </c>
      <c r="CJ9" s="16" t="s">
        <v>205</v>
      </c>
      <c r="CK9" s="29" t="s">
        <v>29</v>
      </c>
      <c r="CL9" s="29"/>
      <c r="CM9" s="29"/>
      <c r="CN9" s="16" t="s">
        <v>180</v>
      </c>
      <c r="CO9" s="16" t="s">
        <v>85</v>
      </c>
      <c r="CP9" s="16" t="s">
        <v>99</v>
      </c>
      <c r="CQ9" s="155" t="s">
        <v>111</v>
      </c>
      <c r="CR9" s="16" t="s">
        <v>116</v>
      </c>
      <c r="CS9" s="16" t="s">
        <v>209</v>
      </c>
      <c r="CT9" s="16" t="s">
        <v>389</v>
      </c>
      <c r="CU9" s="16" t="s">
        <v>309</v>
      </c>
      <c r="CV9" s="16" t="s">
        <v>31</v>
      </c>
      <c r="CW9" s="16" t="s">
        <v>75</v>
      </c>
      <c r="CZ9" s="16" t="s">
        <v>30</v>
      </c>
      <c r="DA9" s="16"/>
      <c r="DB9" s="16" t="s">
        <v>34</v>
      </c>
      <c r="DD9"/>
      <c r="DE9"/>
      <c r="DF9"/>
      <c r="DG9"/>
      <c r="DH9"/>
      <c r="DI9"/>
      <c r="DJ9"/>
      <c r="DK9"/>
      <c r="DL9"/>
      <c r="DM9"/>
      <c r="DN9"/>
      <c r="DO9"/>
    </row>
    <row r="10" spans="1:119" s="31" customFormat="1" ht="15" customHeight="1" x14ac:dyDescent="0.2">
      <c r="A10" s="158" t="s">
        <v>32</v>
      </c>
      <c r="B10" s="215" t="s">
        <v>33</v>
      </c>
      <c r="C10" s="53" t="s">
        <v>30</v>
      </c>
      <c r="D10" s="53" t="s">
        <v>34</v>
      </c>
      <c r="E10" s="375" t="s">
        <v>36</v>
      </c>
      <c r="F10" s="375"/>
      <c r="G10" s="158" t="s">
        <v>32</v>
      </c>
      <c r="H10" s="187" t="s">
        <v>33</v>
      </c>
      <c r="I10" s="187"/>
      <c r="J10" s="188" t="s">
        <v>36</v>
      </c>
      <c r="K10" s="188"/>
      <c r="L10" s="53" t="s">
        <v>32</v>
      </c>
      <c r="M10" s="35" t="s">
        <v>33</v>
      </c>
      <c r="N10" s="91" t="s">
        <v>35</v>
      </c>
      <c r="O10" s="53" t="s">
        <v>32</v>
      </c>
      <c r="P10" s="35" t="s">
        <v>33</v>
      </c>
      <c r="Q10" s="22"/>
      <c r="R10" s="22" t="s">
        <v>35</v>
      </c>
      <c r="S10" s="22" t="s">
        <v>32</v>
      </c>
      <c r="T10" s="216" t="s">
        <v>33</v>
      </c>
      <c r="U10" s="22"/>
      <c r="V10" s="217" t="s">
        <v>36</v>
      </c>
      <c r="W10" s="22" t="s">
        <v>32</v>
      </c>
      <c r="X10" s="216" t="s">
        <v>33</v>
      </c>
      <c r="Y10" s="35"/>
      <c r="Z10" s="269"/>
      <c r="AA10" s="22" t="s">
        <v>35</v>
      </c>
      <c r="AB10" s="53" t="s">
        <v>32</v>
      </c>
      <c r="AC10" s="156" t="s">
        <v>107</v>
      </c>
      <c r="AD10" s="156" t="s">
        <v>104</v>
      </c>
      <c r="AE10" s="156" t="s">
        <v>105</v>
      </c>
      <c r="AF10" s="156" t="s">
        <v>174</v>
      </c>
      <c r="AG10" s="156" t="s">
        <v>105</v>
      </c>
      <c r="AH10" s="156" t="s">
        <v>106</v>
      </c>
      <c r="AI10" s="22" t="s">
        <v>32</v>
      </c>
      <c r="AJ10" s="34" t="s">
        <v>33</v>
      </c>
      <c r="AK10" s="220" t="s">
        <v>30</v>
      </c>
      <c r="AL10" s="222" t="s">
        <v>34</v>
      </c>
      <c r="AM10" s="53" t="s">
        <v>36</v>
      </c>
      <c r="AN10" s="22" t="s">
        <v>32</v>
      </c>
      <c r="AO10" s="216" t="s">
        <v>33</v>
      </c>
      <c r="AP10" s="216"/>
      <c r="AQ10" s="53" t="s">
        <v>35</v>
      </c>
      <c r="AR10" s="22" t="s">
        <v>32</v>
      </c>
      <c r="AS10" s="216" t="s">
        <v>33</v>
      </c>
      <c r="AT10" s="22" t="s">
        <v>91</v>
      </c>
      <c r="AU10" s="22" t="s">
        <v>34</v>
      </c>
      <c r="AV10" s="221" t="s">
        <v>36</v>
      </c>
      <c r="AW10" s="158" t="s">
        <v>32</v>
      </c>
      <c r="AX10" s="215" t="s">
        <v>33</v>
      </c>
      <c r="AY10" s="156"/>
      <c r="AZ10" s="218" t="s">
        <v>35</v>
      </c>
      <c r="BA10" s="219" t="s">
        <v>32</v>
      </c>
      <c r="BB10" s="35" t="s">
        <v>33</v>
      </c>
      <c r="BC10" s="220" t="s">
        <v>30</v>
      </c>
      <c r="BD10" s="53" t="s">
        <v>204</v>
      </c>
      <c r="BE10" s="53" t="s">
        <v>36</v>
      </c>
      <c r="BF10" s="22" t="s">
        <v>32</v>
      </c>
      <c r="BG10" s="34" t="s">
        <v>33</v>
      </c>
      <c r="BH10" s="53" t="s">
        <v>30</v>
      </c>
      <c r="BI10" s="53" t="s">
        <v>34</v>
      </c>
      <c r="BJ10" s="53" t="s">
        <v>36</v>
      </c>
      <c r="BK10" s="22" t="s">
        <v>32</v>
      </c>
      <c r="BL10" s="34" t="s">
        <v>33</v>
      </c>
      <c r="BM10" s="34"/>
      <c r="BN10" s="53" t="s">
        <v>30</v>
      </c>
      <c r="BO10" s="53" t="s">
        <v>34</v>
      </c>
      <c r="BP10" s="53" t="s">
        <v>36</v>
      </c>
      <c r="BQ10" s="22" t="s">
        <v>32</v>
      </c>
      <c r="BR10" s="34" t="s">
        <v>33</v>
      </c>
      <c r="BS10" s="53" t="s">
        <v>30</v>
      </c>
      <c r="BT10" s="53" t="s">
        <v>34</v>
      </c>
      <c r="BU10" s="53" t="s">
        <v>36</v>
      </c>
      <c r="BV10" s="22" t="s">
        <v>32</v>
      </c>
      <c r="BW10" s="35" t="s">
        <v>33</v>
      </c>
      <c r="BX10" s="22" t="s">
        <v>44</v>
      </c>
      <c r="BY10" s="22" t="s">
        <v>45</v>
      </c>
      <c r="BZ10" s="22" t="s">
        <v>35</v>
      </c>
      <c r="CA10" s="29"/>
      <c r="CB10" s="16" t="s">
        <v>24</v>
      </c>
      <c r="CC10" s="143"/>
      <c r="CD10" s="16" t="s">
        <v>37</v>
      </c>
      <c r="CE10" s="29" t="s">
        <v>145</v>
      </c>
      <c r="CF10" s="29" t="s">
        <v>173</v>
      </c>
      <c r="CG10" s="29" t="s">
        <v>39</v>
      </c>
      <c r="CH10" s="29" t="s">
        <v>40</v>
      </c>
      <c r="CI10" s="16" t="s">
        <v>171</v>
      </c>
      <c r="CJ10" s="16" t="s">
        <v>206</v>
      </c>
      <c r="CK10" s="29" t="s">
        <v>41</v>
      </c>
      <c r="CL10" s="16" t="s">
        <v>24</v>
      </c>
      <c r="CN10" s="16" t="s">
        <v>181</v>
      </c>
      <c r="CO10" s="16" t="s">
        <v>86</v>
      </c>
      <c r="CP10" s="16" t="s">
        <v>100</v>
      </c>
      <c r="CQ10" s="223" t="s">
        <v>112</v>
      </c>
      <c r="CR10" s="16" t="s">
        <v>117</v>
      </c>
      <c r="CS10" s="16" t="s">
        <v>210</v>
      </c>
      <c r="CT10" s="16" t="s">
        <v>390</v>
      </c>
      <c r="CU10" s="16" t="s">
        <v>346</v>
      </c>
      <c r="CV10" s="16" t="s">
        <v>42</v>
      </c>
      <c r="CW10" s="16" t="s">
        <v>43</v>
      </c>
      <c r="CX10" s="16" t="s">
        <v>24</v>
      </c>
      <c r="CZ10" s="16" t="s">
        <v>43</v>
      </c>
      <c r="DA10" s="16" t="s">
        <v>31</v>
      </c>
      <c r="DB10" s="16" t="s">
        <v>43</v>
      </c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ht="15" customHeight="1" x14ac:dyDescent="0.2">
      <c r="A11" s="162"/>
      <c r="B11" s="224"/>
      <c r="C11" s="224"/>
      <c r="D11" s="184"/>
      <c r="E11" s="154"/>
      <c r="F11" s="154"/>
      <c r="G11" s="154"/>
      <c r="H11" s="189"/>
      <c r="I11" s="189"/>
      <c r="J11" s="190"/>
      <c r="K11" s="190"/>
      <c r="N11" s="56"/>
      <c r="O11" s="17"/>
      <c r="P11" s="79"/>
      <c r="Q11" s="80" t="s">
        <v>20</v>
      </c>
      <c r="R11" s="57"/>
      <c r="S11" s="17"/>
      <c r="T11" s="225"/>
      <c r="U11" s="226"/>
      <c r="V11" s="227"/>
      <c r="W11" s="227"/>
      <c r="X11" s="227"/>
      <c r="Y11" s="227"/>
      <c r="Z11" s="227"/>
      <c r="AA11" s="227"/>
      <c r="AD11" s="445" t="s">
        <v>252</v>
      </c>
      <c r="AE11" s="445" t="s">
        <v>253</v>
      </c>
      <c r="AF11" s="445" t="s">
        <v>253</v>
      </c>
      <c r="AG11" s="445" t="s">
        <v>253</v>
      </c>
      <c r="AI11" s="2"/>
      <c r="AJ11" s="2"/>
      <c r="AK11" s="2"/>
      <c r="AL11" s="2"/>
      <c r="AM11" s="2"/>
      <c r="AQ11" s="2"/>
      <c r="AR11" s="18"/>
      <c r="AS11" s="18"/>
      <c r="AT11" s="18"/>
      <c r="AU11" s="18"/>
      <c r="AV11" s="18"/>
      <c r="BA11" s="54"/>
      <c r="BB11" s="55"/>
      <c r="BC11" s="20"/>
      <c r="BF11" s="2"/>
      <c r="BG11" s="185"/>
      <c r="BH11" s="185"/>
      <c r="BI11" s="185"/>
      <c r="BJ11" s="185"/>
      <c r="BK11" s="453"/>
      <c r="BL11" s="345"/>
      <c r="BM11" s="345"/>
      <c r="BN11" s="345"/>
      <c r="BO11" s="345"/>
      <c r="BP11" s="345"/>
      <c r="BQ11" s="453"/>
      <c r="BR11" s="345"/>
      <c r="BS11" s="345"/>
      <c r="BT11" s="345"/>
      <c r="BU11" s="345"/>
      <c r="CB11" s="16" t="s">
        <v>32</v>
      </c>
      <c r="CC11" s="103"/>
      <c r="CD11" s="553" t="s">
        <v>373</v>
      </c>
      <c r="CE11" s="197" t="s">
        <v>224</v>
      </c>
      <c r="CF11" s="197" t="s">
        <v>225</v>
      </c>
      <c r="CG11" s="197" t="s">
        <v>226</v>
      </c>
      <c r="CH11" s="197" t="s">
        <v>227</v>
      </c>
      <c r="CI11" s="197" t="s">
        <v>228</v>
      </c>
      <c r="CJ11" s="197" t="s">
        <v>229</v>
      </c>
      <c r="CK11" s="197" t="s">
        <v>230</v>
      </c>
      <c r="CL11" s="16" t="s">
        <v>32</v>
      </c>
      <c r="CM11" s="31"/>
      <c r="CN11" s="197" t="s">
        <v>231</v>
      </c>
      <c r="CO11" s="197" t="s">
        <v>232</v>
      </c>
      <c r="CP11" s="197" t="s">
        <v>233</v>
      </c>
      <c r="CQ11" s="197" t="s">
        <v>234</v>
      </c>
      <c r="CR11" s="197" t="s">
        <v>235</v>
      </c>
      <c r="CS11" s="197" t="s">
        <v>236</v>
      </c>
      <c r="CT11" s="197" t="s">
        <v>310</v>
      </c>
      <c r="CU11" s="197" t="s">
        <v>311</v>
      </c>
      <c r="CV11" s="197"/>
      <c r="CW11" s="29" t="s">
        <v>37</v>
      </c>
      <c r="CX11" s="22" t="s">
        <v>32</v>
      </c>
      <c r="CY11" s="92"/>
      <c r="CZ11" s="22" t="s">
        <v>37</v>
      </c>
      <c r="DA11" s="22" t="s">
        <v>42</v>
      </c>
      <c r="DB11" s="22" t="s">
        <v>37</v>
      </c>
    </row>
    <row r="12" spans="1:119" ht="15" customHeight="1" x14ac:dyDescent="0.25">
      <c r="A12" s="17">
        <v>1</v>
      </c>
      <c r="B12" s="161" t="s">
        <v>134</v>
      </c>
      <c r="C12" s="163"/>
      <c r="D12" s="163"/>
      <c r="E12" s="159"/>
      <c r="F12" s="154"/>
      <c r="G12" s="54">
        <f>ROW()</f>
        <v>12</v>
      </c>
      <c r="H12" s="587" t="s">
        <v>146</v>
      </c>
      <c r="I12" s="159"/>
      <c r="J12" s="159"/>
      <c r="K12" s="159"/>
      <c r="L12" s="107">
        <v>1</v>
      </c>
      <c r="M12" s="93" t="s">
        <v>47</v>
      </c>
      <c r="N12" s="454">
        <f>'[8]Lead G'!$C$13</f>
        <v>197223330.7493937</v>
      </c>
      <c r="O12" s="17">
        <v>1</v>
      </c>
      <c r="P12" s="79" t="s">
        <v>62</v>
      </c>
      <c r="Q12" s="366">
        <f>DB46</f>
        <v>2747686707.3938627</v>
      </c>
      <c r="R12" s="19"/>
      <c r="S12" s="54">
        <f>ROW()</f>
        <v>12</v>
      </c>
      <c r="T12" s="591" t="s">
        <v>151</v>
      </c>
      <c r="U12" s="225"/>
      <c r="V12" s="225"/>
      <c r="W12" s="17">
        <v>1</v>
      </c>
      <c r="X12" s="206" t="s">
        <v>208</v>
      </c>
      <c r="Y12" s="270"/>
      <c r="Z12" s="96"/>
      <c r="AA12"/>
      <c r="AB12" s="36" t="s">
        <v>46</v>
      </c>
      <c r="AC12" s="230" t="str">
        <f>'[9]Lead Sheet'!B14</f>
        <v>12 ME 12/01/2019 AND 8/31/2019</v>
      </c>
      <c r="AD12" s="552">
        <f>'[9]Lead Sheet'!C14</f>
        <v>2799841.3412500005</v>
      </c>
      <c r="AE12" s="552">
        <f>'[9]Lead Sheet'!D14</f>
        <v>818021856.11000013</v>
      </c>
      <c r="AF12" s="552">
        <f>'[9]Lead Sheet'!E14</f>
        <v>16532125.48</v>
      </c>
      <c r="AG12" s="552">
        <f>'[9]Lead Sheet'!F14</f>
        <v>801489730.63000011</v>
      </c>
      <c r="AH12" s="351">
        <f>ROUND(AD12/AG12,6)</f>
        <v>3.493E-3</v>
      </c>
      <c r="AI12" s="17">
        <v>1</v>
      </c>
      <c r="AJ12" s="229" t="s">
        <v>352</v>
      </c>
      <c r="AK12" s="231"/>
      <c r="AL12" s="231"/>
      <c r="AM12" s="26"/>
      <c r="AN12" s="17">
        <v>1</v>
      </c>
      <c r="AO12" s="229" t="s">
        <v>77</v>
      </c>
      <c r="AP12" s="230"/>
      <c r="AQ12" s="13">
        <f>'[10]Lead G'!$D$12</f>
        <v>47093908.306148008</v>
      </c>
      <c r="AR12" s="17">
        <v>1</v>
      </c>
      <c r="AS12" s="18" t="s">
        <v>98</v>
      </c>
      <c r="AT12" s="320">
        <f>'[11] Gas'!$C$12</f>
        <v>100430.14053898744</v>
      </c>
      <c r="AU12" s="320">
        <f>'[11] Gas'!$D$12</f>
        <v>82535.929980564775</v>
      </c>
      <c r="AV12" s="320">
        <f>+AU12-AT12</f>
        <v>-17894.210558422667</v>
      </c>
      <c r="AW12" s="17">
        <v>1</v>
      </c>
      <c r="AX12" s="161" t="s">
        <v>110</v>
      </c>
      <c r="AY12" s="161"/>
      <c r="AZ12" s="138">
        <f>'[12]3.11G'!$D$12</f>
        <v>6904.1433218348629</v>
      </c>
      <c r="BA12" s="54">
        <v>1</v>
      </c>
      <c r="BB12" s="163" t="s">
        <v>63</v>
      </c>
      <c r="BC12" s="341">
        <f>'[13]Lead G'!$C$14</f>
        <v>1910436.0072854017</v>
      </c>
      <c r="BD12" s="341">
        <f>'[13]Lead G'!$D$14</f>
        <v>2332327.8050377844</v>
      </c>
      <c r="BE12" s="131">
        <f>BD12-BC12</f>
        <v>421891.7977523827</v>
      </c>
      <c r="BF12" s="17">
        <v>1</v>
      </c>
      <c r="BG12" s="131" t="s">
        <v>212</v>
      </c>
      <c r="BH12" s="331">
        <f>'[14]Lead G'!$C$13</f>
        <v>-205000</v>
      </c>
      <c r="BI12" s="331">
        <f>'[14]Lead G'!$D$13</f>
        <v>-19083.333333333332</v>
      </c>
      <c r="BJ12" s="332">
        <f>BI12-BH12</f>
        <v>185916.66666666666</v>
      </c>
      <c r="BK12" s="107">
        <v>1</v>
      </c>
      <c r="BL12" s="228"/>
      <c r="BM12" s="228"/>
      <c r="BN12" s="317"/>
      <c r="BO12" s="317"/>
      <c r="BP12" s="317"/>
      <c r="BQ12" s="107">
        <v>1</v>
      </c>
      <c r="BR12" s="548" t="s">
        <v>349</v>
      </c>
      <c r="BS12" s="453"/>
      <c r="BT12" s="453"/>
      <c r="BU12" s="359"/>
      <c r="BV12" s="17">
        <v>1</v>
      </c>
      <c r="BW12" s="163" t="s">
        <v>83</v>
      </c>
      <c r="BZ12" s="359">
        <f>'[15]4.01 G'!$E$13</f>
        <v>2.7460000000000002E-3</v>
      </c>
      <c r="CA12" s="232"/>
      <c r="CB12" s="3" t="s">
        <v>48</v>
      </c>
      <c r="CC12" s="3"/>
      <c r="CD12" s="23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19" ht="15" customHeight="1" x14ac:dyDescent="0.25">
      <c r="A13" s="17">
        <f t="shared" ref="A13:A50" si="0">+A12+1</f>
        <v>2</v>
      </c>
      <c r="B13" s="159"/>
      <c r="C13" s="234" t="s">
        <v>30</v>
      </c>
      <c r="D13" s="235" t="s">
        <v>135</v>
      </c>
      <c r="E13" s="236" t="s">
        <v>136</v>
      </c>
      <c r="F13" s="154"/>
      <c r="G13" s="54">
        <f>ROW()</f>
        <v>13</v>
      </c>
      <c r="H13" s="272"/>
      <c r="I13" s="191"/>
      <c r="J13" s="371"/>
      <c r="K13" s="370"/>
      <c r="L13" s="107">
        <f>L12+1</f>
        <v>2</v>
      </c>
      <c r="M13" s="18"/>
      <c r="N13" s="455"/>
      <c r="O13" s="17">
        <f t="shared" ref="O13:O24" si="1">+O12+1</f>
        <v>2</v>
      </c>
      <c r="P13" s="385"/>
      <c r="Q13" s="326"/>
      <c r="R13" s="19" t="s">
        <v>20</v>
      </c>
      <c r="S13" s="54">
        <f>ROW()</f>
        <v>13</v>
      </c>
      <c r="T13" s="204" t="s">
        <v>146</v>
      </c>
      <c r="U13" s="368"/>
      <c r="V13" s="368"/>
      <c r="W13" s="17">
        <f t="shared" ref="W13:W24" si="2">+W12+1</f>
        <v>2</v>
      </c>
      <c r="X13" s="18"/>
      <c r="Y13" s="270"/>
      <c r="Z13" s="96"/>
      <c r="AA13"/>
      <c r="AB13" s="36">
        <f t="shared" ref="AB13:AB29" si="3">1+AB12</f>
        <v>2</v>
      </c>
      <c r="AC13" s="230" t="str">
        <f>'[9]Lead Sheet'!B15</f>
        <v>12 ME 12/01/2020 AND 8/31/2020</v>
      </c>
      <c r="AD13" s="585">
        <f>'[9]Lead Sheet'!C15</f>
        <v>2284939.7383418316</v>
      </c>
      <c r="AE13" s="585">
        <f>'[9]Lead Sheet'!D15</f>
        <v>969590918.08999991</v>
      </c>
      <c r="AF13" s="585">
        <f>'[9]Lead Sheet'!E15</f>
        <v>17618700.510000002</v>
      </c>
      <c r="AG13" s="585">
        <f>'[9]Lead Sheet'!F15</f>
        <v>951972217.57999992</v>
      </c>
      <c r="AH13" s="351">
        <f>ROUND(AD13/AG13,6)</f>
        <v>2.3999999999999998E-3</v>
      </c>
      <c r="AI13" s="17">
        <f t="shared" ref="AI13:AI21" si="4">AI12+1</f>
        <v>2</v>
      </c>
      <c r="AJ13" s="264" t="s">
        <v>250</v>
      </c>
      <c r="AK13" s="231">
        <f>'[16] Gas'!$C$12</f>
        <v>3538697.1542018875</v>
      </c>
      <c r="AL13" s="341">
        <f>'[16] Gas'!$D$12</f>
        <v>2742113.1832380081</v>
      </c>
      <c r="AM13" s="336">
        <f>AL13-AK13</f>
        <v>-796583.97096387949</v>
      </c>
      <c r="AN13" s="17">
        <v>2</v>
      </c>
      <c r="AO13" s="48" t="s">
        <v>78</v>
      </c>
      <c r="AP13" s="48"/>
      <c r="AQ13" s="391">
        <f>'[10]Lead G'!$C$12</f>
        <v>47092812.644992001</v>
      </c>
      <c r="AR13" s="17">
        <f t="shared" ref="AR13:AR20" si="5">AR12+1</f>
        <v>2</v>
      </c>
      <c r="AS13" s="18"/>
      <c r="AT13" s="321"/>
      <c r="AU13" s="321"/>
      <c r="AV13" s="80"/>
      <c r="AW13" s="17">
        <f>AW12+1</f>
        <v>2</v>
      </c>
      <c r="AX13" s="237"/>
      <c r="AY13" s="237"/>
      <c r="AZ13" s="26"/>
      <c r="BA13" s="54">
        <f t="shared" ref="BA13:BA20" si="6">BA12+1</f>
        <v>2</v>
      </c>
      <c r="BB13" s="163"/>
      <c r="BC13" s="342"/>
      <c r="BD13" s="342"/>
      <c r="BE13" s="146"/>
      <c r="BF13" s="17">
        <f t="shared" ref="BF13:BF19" si="7">BF12+1</f>
        <v>2</v>
      </c>
      <c r="BG13" s="131" t="s">
        <v>213</v>
      </c>
      <c r="BH13" s="333">
        <f>'[14]Lead G'!$C$14</f>
        <v>580242.81547433825</v>
      </c>
      <c r="BI13" s="333">
        <f>'[14]Lead G'!$D$14</f>
        <v>408573.6154293078</v>
      </c>
      <c r="BJ13" s="333">
        <f>BI13-BH13</f>
        <v>-171669.20004503045</v>
      </c>
      <c r="BK13" s="107">
        <f t="shared" ref="BK13:BK29" si="8">BK12+1</f>
        <v>2</v>
      </c>
      <c r="BL13" s="228" t="s">
        <v>312</v>
      </c>
      <c r="BM13" s="228"/>
      <c r="BN13" s="453"/>
      <c r="BO13" s="345"/>
      <c r="BP13" s="345"/>
      <c r="BQ13" s="107">
        <f t="shared" ref="BQ13:BQ17" si="9">BQ12+1</f>
        <v>2</v>
      </c>
      <c r="BR13" s="548" t="s">
        <v>350</v>
      </c>
      <c r="BS13" s="317">
        <f>[17]LEAD!$D$15</f>
        <v>-4039.46</v>
      </c>
      <c r="BT13" s="317"/>
      <c r="BU13" s="552">
        <f>BT13-BS13</f>
        <v>4039.46</v>
      </c>
      <c r="BV13" s="17">
        <f t="shared" ref="BQ13:BV20" si="10">+BV12+1</f>
        <v>2</v>
      </c>
      <c r="BW13" s="163" t="s">
        <v>157</v>
      </c>
      <c r="BZ13" s="238">
        <f>'[15]4.01 G'!$E$14</f>
        <v>2E-3</v>
      </c>
      <c r="CA13" s="239"/>
      <c r="CB13" s="17">
        <v>1</v>
      </c>
      <c r="CC13" s="18" t="s">
        <v>49</v>
      </c>
      <c r="CD13" s="468" t="s">
        <v>20</v>
      </c>
      <c r="CE13" s="23"/>
      <c r="CF13" s="23"/>
      <c r="CG13" s="23"/>
      <c r="CH13" s="23"/>
      <c r="CI13" s="23"/>
      <c r="CJ13" s="23"/>
      <c r="CL13" s="17">
        <v>1</v>
      </c>
      <c r="CM13" s="18" t="s">
        <v>49</v>
      </c>
      <c r="CN13" s="17"/>
      <c r="CO13" s="23"/>
      <c r="CP13" s="17"/>
      <c r="CR13" s="17"/>
      <c r="CS13" s="17"/>
      <c r="CT13" s="107"/>
      <c r="CU13" s="107"/>
      <c r="CV13" s="107"/>
      <c r="CW13" s="169"/>
      <c r="CX13" s="17">
        <v>1</v>
      </c>
      <c r="CY13" s="55" t="s">
        <v>0</v>
      </c>
      <c r="CZ13" s="23"/>
    </row>
    <row r="14" spans="1:119" ht="15" customHeight="1" x14ac:dyDescent="0.25">
      <c r="A14" s="17">
        <f t="shared" si="0"/>
        <v>3</v>
      </c>
      <c r="B14" s="159"/>
      <c r="C14" s="240" t="s">
        <v>136</v>
      </c>
      <c r="D14" s="241" t="s">
        <v>136</v>
      </c>
      <c r="E14" s="242" t="s">
        <v>137</v>
      </c>
      <c r="F14" s="154"/>
      <c r="G14" s="54">
        <f>ROW()</f>
        <v>14</v>
      </c>
      <c r="H14" s="589" t="s">
        <v>353</v>
      </c>
      <c r="I14" s="120"/>
      <c r="J14" s="67">
        <f>'[18]3.02G'!$D$14</f>
        <v>1314256.83</v>
      </c>
      <c r="K14" s="92"/>
      <c r="L14" s="107">
        <f t="shared" ref="L14:L32" si="11">L13+1</f>
        <v>3</v>
      </c>
      <c r="M14" s="18" t="s">
        <v>291</v>
      </c>
      <c r="N14" s="456"/>
      <c r="O14" s="17">
        <f t="shared" si="1"/>
        <v>3</v>
      </c>
      <c r="P14" s="2" t="s">
        <v>175</v>
      </c>
      <c r="Q14" s="328">
        <f>SUM(Q12:Q13)</f>
        <v>2747686707.3938627</v>
      </c>
      <c r="S14" s="54">
        <f>ROW()</f>
        <v>14</v>
      </c>
      <c r="T14" s="369" t="s">
        <v>152</v>
      </c>
      <c r="U14" s="558"/>
      <c r="V14" s="457">
        <f>'[19]Lead 3.05 '!D14</f>
        <v>3158043.96</v>
      </c>
      <c r="W14" s="17">
        <f t="shared" si="2"/>
        <v>3</v>
      </c>
      <c r="X14" s="341" t="str">
        <f>'[20]Lead G'!B15</f>
        <v xml:space="preserve">      2017 AND 2019 GRC EXPENSES TO BE NORMALIZED</v>
      </c>
      <c r="Y14" s="270"/>
      <c r="Z14" s="96">
        <f>'[20]Lead G'!D15</f>
        <v>1347000</v>
      </c>
      <c r="AA14" s="37"/>
      <c r="AB14" s="36">
        <f t="shared" si="3"/>
        <v>3</v>
      </c>
      <c r="AC14" s="230" t="str">
        <f>'[9]Lead Sheet'!B16</f>
        <v>12 ME 12/01/2022 AND 8/31/2022</v>
      </c>
      <c r="AD14" s="585">
        <f>'[9]Lead Sheet'!C16</f>
        <v>2641960.2282890007</v>
      </c>
      <c r="AE14" s="585">
        <f>'[9]Lead Sheet'!D16</f>
        <v>1141789837.8799999</v>
      </c>
      <c r="AF14" s="585">
        <f>'[9]Lead Sheet'!E16</f>
        <v>15232684.039999999</v>
      </c>
      <c r="AG14" s="585">
        <f>'[9]Lead Sheet'!F16</f>
        <v>1126557153.8399999</v>
      </c>
      <c r="AH14" s="351">
        <f>ROUND(AD14/AG14,6)</f>
        <v>2.3449999999999999E-3</v>
      </c>
      <c r="AI14" s="17">
        <f t="shared" si="4"/>
        <v>3</v>
      </c>
      <c r="AJ14" s="43"/>
      <c r="AK14" s="2"/>
      <c r="AL14" s="2"/>
      <c r="AM14" s="341"/>
      <c r="AN14" s="17">
        <v>3</v>
      </c>
      <c r="AO14" s="243" t="s">
        <v>79</v>
      </c>
      <c r="AP14" s="243"/>
      <c r="AQ14" s="316">
        <f>AQ12-AQ13</f>
        <v>1095.6611560061574</v>
      </c>
      <c r="AR14" s="17">
        <f t="shared" si="5"/>
        <v>3</v>
      </c>
      <c r="AS14" s="18" t="s">
        <v>53</v>
      </c>
      <c r="AT14" s="322">
        <f>SUM(AT12:AT13)</f>
        <v>100430.14053898744</v>
      </c>
      <c r="AU14" s="322">
        <f>SUM(AU12:AU13)</f>
        <v>82535.929980564775</v>
      </c>
      <c r="AV14" s="323">
        <f>SUM(AV12:AV13)</f>
        <v>-17894.210558422667</v>
      </c>
      <c r="AW14" s="17">
        <f>AW13+1</f>
        <v>3</v>
      </c>
      <c r="AZ14" s="45"/>
      <c r="BA14" s="54">
        <f t="shared" si="6"/>
        <v>3</v>
      </c>
      <c r="BB14" s="163"/>
      <c r="BC14" s="343"/>
      <c r="BD14" s="343"/>
      <c r="BE14" s="343"/>
      <c r="BF14" s="17">
        <f t="shared" si="7"/>
        <v>3</v>
      </c>
      <c r="BG14" s="131" t="s">
        <v>214</v>
      </c>
      <c r="BH14" s="334">
        <f>SUM(BH12:BH13)</f>
        <v>375242.81547433825</v>
      </c>
      <c r="BI14" s="334">
        <f>SUM(BI12:BI13)</f>
        <v>389490.28209597449</v>
      </c>
      <c r="BJ14" s="334">
        <f>SUM(BJ12:BJ13)</f>
        <v>14247.466621636209</v>
      </c>
      <c r="BK14" s="107">
        <f t="shared" si="8"/>
        <v>3</v>
      </c>
      <c r="BL14" s="489" t="s">
        <v>313</v>
      </c>
      <c r="BM14" s="489"/>
      <c r="BN14" s="317">
        <f>[21]Gas!$D$14</f>
        <v>104292323.71140899</v>
      </c>
      <c r="BO14" s="317"/>
      <c r="BP14" s="317">
        <f>BO14-BN14</f>
        <v>-104292323.71140899</v>
      </c>
      <c r="BQ14" s="107">
        <f t="shared" si="9"/>
        <v>3</v>
      </c>
      <c r="BR14" s="548" t="s">
        <v>339</v>
      </c>
      <c r="BS14" s="146">
        <f>[17]LEAD!$D$16</f>
        <v>4300</v>
      </c>
      <c r="BT14" s="146"/>
      <c r="BU14" s="146">
        <f t="shared" ref="BU14:BU18" si="12">BT14-BS14</f>
        <v>-4300</v>
      </c>
      <c r="BV14" s="17">
        <f t="shared" si="10"/>
        <v>3</v>
      </c>
      <c r="BW14" s="163" t="s">
        <v>167</v>
      </c>
      <c r="BY14" s="463">
        <f>+'[15]4.01 G'!$D$15</f>
        <v>3.8519999999999999E-2</v>
      </c>
      <c r="BZ14" s="442">
        <f>'[15]4.01 G'!$E$15</f>
        <v>3.8413999999999997E-2</v>
      </c>
      <c r="CA14" s="239"/>
      <c r="CB14" s="17">
        <f t="shared" ref="CB14:CB17" si="13">+CB13+1</f>
        <v>2</v>
      </c>
      <c r="CC14" s="18" t="s">
        <v>1</v>
      </c>
      <c r="CD14" s="341">
        <f>+'[22]Allocated (CBR)'!C9</f>
        <v>1205997643.1699998</v>
      </c>
      <c r="CE14" s="25">
        <f>+F35</f>
        <v>-60551.911863212015</v>
      </c>
      <c r="CF14" s="25">
        <f>K15</f>
        <v>1314256.83</v>
      </c>
      <c r="CG14" s="25">
        <v>0</v>
      </c>
      <c r="CH14" s="25">
        <v>0</v>
      </c>
      <c r="CI14" s="341">
        <f>-V23</f>
        <v>-154586845.93081528</v>
      </c>
      <c r="CJ14" s="25"/>
      <c r="CK14" s="25">
        <v>0</v>
      </c>
      <c r="CL14" s="17">
        <f t="shared" ref="CL14:CL57" si="14">+CL13+1</f>
        <v>2</v>
      </c>
      <c r="CM14" s="18" t="s">
        <v>1</v>
      </c>
      <c r="CN14" s="25"/>
      <c r="CO14" s="25"/>
      <c r="CP14" s="25">
        <v>0</v>
      </c>
      <c r="CQ14" s="25">
        <v>0</v>
      </c>
      <c r="CR14" s="25">
        <v>0</v>
      </c>
      <c r="CS14" s="25"/>
      <c r="CT14" s="341">
        <v>0</v>
      </c>
      <c r="CU14" s="341">
        <v>0</v>
      </c>
      <c r="CV14" s="341">
        <f t="shared" ref="CV14:CV17" si="15">SUM(CE14:CU14)-CL14</f>
        <v>-153333141.0126785</v>
      </c>
      <c r="CW14" s="26">
        <f>CD14+CV14</f>
        <v>1052664502.1573213</v>
      </c>
      <c r="CX14" s="17">
        <f t="shared" ref="CX14:CX57" si="16">+CX13+1</f>
        <v>2</v>
      </c>
      <c r="CY14" s="18" t="s">
        <v>1</v>
      </c>
      <c r="CZ14" s="25">
        <f>CD14</f>
        <v>1205997643.1699998</v>
      </c>
      <c r="DA14" s="25">
        <f>CV14</f>
        <v>-153333141.0126785</v>
      </c>
      <c r="DB14" s="65">
        <f>CZ14+DA14</f>
        <v>1052664502.1573213</v>
      </c>
      <c r="DC14" s="26"/>
    </row>
    <row r="15" spans="1:119" ht="15" customHeight="1" thickBot="1" x14ac:dyDescent="0.3">
      <c r="A15" s="17">
        <f t="shared" si="0"/>
        <v>4</v>
      </c>
      <c r="B15" s="446">
        <v>44562</v>
      </c>
      <c r="C15" s="353">
        <f>'[23]G Lead Sheet'!C16</f>
        <v>24076877.152502302</v>
      </c>
      <c r="D15" s="353">
        <f>'[23]G Lead Sheet'!D16</f>
        <v>23779577.677066743</v>
      </c>
      <c r="E15" s="353">
        <f>D15-C15</f>
        <v>-297299.47543555871</v>
      </c>
      <c r="F15" s="462"/>
      <c r="G15" s="54">
        <f>ROW()</f>
        <v>15</v>
      </c>
      <c r="H15" s="365" t="s">
        <v>147</v>
      </c>
      <c r="I15" s="365"/>
      <c r="J15" s="555"/>
      <c r="K15" s="556">
        <f>SUM(J13:J14)</f>
        <v>1314256.83</v>
      </c>
      <c r="L15" s="107">
        <f t="shared" si="11"/>
        <v>4</v>
      </c>
      <c r="M15" s="18" t="s">
        <v>292</v>
      </c>
      <c r="N15" s="456">
        <f>'[8]Lead G'!$C$16</f>
        <v>41768358.896372676</v>
      </c>
      <c r="O15" s="17">
        <f t="shared" si="1"/>
        <v>4</v>
      </c>
      <c r="S15" s="54">
        <f>ROW()</f>
        <v>15</v>
      </c>
      <c r="T15" s="369" t="s">
        <v>153</v>
      </c>
      <c r="U15" s="559"/>
      <c r="V15" s="457">
        <f>'[19]Lead 3.05 '!D15</f>
        <v>21812022.07</v>
      </c>
      <c r="W15" s="17">
        <f t="shared" si="2"/>
        <v>4</v>
      </c>
      <c r="X15" s="586" t="str">
        <f>'[20]Lead G'!B16</f>
        <v xml:space="preserve">      NORMALIZATION PERIOD IN 19GRC</v>
      </c>
      <c r="Y15" s="270"/>
      <c r="Z15" s="303">
        <f>+'[20]Lead G'!$D$16</f>
        <v>2</v>
      </c>
      <c r="AA15" s="37"/>
      <c r="AB15" s="36">
        <f t="shared" si="3"/>
        <v>4</v>
      </c>
      <c r="AD15" s="574"/>
      <c r="AE15" s="584"/>
      <c r="AF15" s="584"/>
      <c r="AG15" s="584"/>
      <c r="AH15" s="37"/>
      <c r="AI15" s="17">
        <f t="shared" si="4"/>
        <v>4</v>
      </c>
      <c r="AJ15" s="81" t="s">
        <v>183</v>
      </c>
      <c r="AK15" s="341">
        <f>'[16] Gas'!$C$14</f>
        <v>313528.56786228722</v>
      </c>
      <c r="AL15" s="341">
        <f>'[16] Gas'!$D$14</f>
        <v>242951.22803488749</v>
      </c>
      <c r="AM15" s="83">
        <f>AL15-AK15</f>
        <v>-70577.33982739973</v>
      </c>
      <c r="AN15" s="17">
        <v>4</v>
      </c>
      <c r="AQ15" s="26"/>
      <c r="AR15" s="17">
        <f t="shared" si="5"/>
        <v>4</v>
      </c>
      <c r="AS15" s="18"/>
      <c r="AT15" s="103"/>
      <c r="AU15" s="103"/>
      <c r="AV15" s="103"/>
      <c r="AW15" s="17">
        <f>AW14+1</f>
        <v>4</v>
      </c>
      <c r="AX15" s="159" t="s">
        <v>55</v>
      </c>
      <c r="AZ15" s="319">
        <f>-AZ12</f>
        <v>-6904.1433218348629</v>
      </c>
      <c r="BA15" s="54">
        <f t="shared" si="6"/>
        <v>4</v>
      </c>
      <c r="BB15" s="163" t="s">
        <v>114</v>
      </c>
      <c r="BC15" s="344">
        <f>SUM(BC12:BC13)</f>
        <v>1910436.0072854017</v>
      </c>
      <c r="BD15" s="344">
        <f>SUM(BD12:BD13)</f>
        <v>2332327.8050377844</v>
      </c>
      <c r="BE15" s="344">
        <f>SUM(BE12:BE13)</f>
        <v>421891.7977523827</v>
      </c>
      <c r="BF15" s="17">
        <f t="shared" si="7"/>
        <v>4</v>
      </c>
      <c r="BG15" s="274"/>
      <c r="BH15" s="335"/>
      <c r="BI15" s="335"/>
      <c r="BJ15" s="336"/>
      <c r="BK15" s="107">
        <f t="shared" si="8"/>
        <v>4</v>
      </c>
      <c r="BL15" s="489" t="s">
        <v>314</v>
      </c>
      <c r="BM15" s="489"/>
      <c r="BN15" s="146">
        <f>[21]Gas!$D$15</f>
        <v>-10713779.193823919</v>
      </c>
      <c r="BO15" s="146"/>
      <c r="BP15" s="146">
        <f>BO15-BN15</f>
        <v>10713779.193823919</v>
      </c>
      <c r="BQ15" s="107">
        <f t="shared" si="9"/>
        <v>4</v>
      </c>
      <c r="BR15" s="548" t="s">
        <v>340</v>
      </c>
      <c r="BS15" s="146">
        <f>[17]LEAD!$D$17</f>
        <v>893948.78245699964</v>
      </c>
      <c r="BT15" s="146"/>
      <c r="BU15" s="146">
        <f t="shared" si="12"/>
        <v>-893948.78245699964</v>
      </c>
      <c r="BV15" s="17">
        <f t="shared" si="10"/>
        <v>4</v>
      </c>
      <c r="BW15" s="163"/>
      <c r="BY15" s="244"/>
      <c r="BZ15" s="360"/>
      <c r="CA15" s="245"/>
      <c r="CB15" s="17">
        <f t="shared" si="13"/>
        <v>3</v>
      </c>
      <c r="CC15" s="18" t="s">
        <v>52</v>
      </c>
      <c r="CD15" s="457"/>
      <c r="CE15" s="43"/>
      <c r="CF15" s="43"/>
      <c r="CG15" s="43"/>
      <c r="CH15" s="43"/>
      <c r="CI15" s="457"/>
      <c r="CJ15" s="43"/>
      <c r="CK15" s="43"/>
      <c r="CL15" s="17">
        <f t="shared" si="14"/>
        <v>3</v>
      </c>
      <c r="CM15" s="18" t="s">
        <v>52</v>
      </c>
      <c r="CN15" s="43"/>
      <c r="CO15" s="43"/>
      <c r="CP15" s="43"/>
      <c r="CQ15" s="43"/>
      <c r="CR15" s="43"/>
      <c r="CS15" s="43"/>
      <c r="CT15" s="457"/>
      <c r="CU15" s="457"/>
      <c r="CV15" s="457">
        <f t="shared" si="15"/>
        <v>0</v>
      </c>
      <c r="CW15" s="43">
        <f>CD15+CV15</f>
        <v>0</v>
      </c>
      <c r="CX15" s="17">
        <f t="shared" si="16"/>
        <v>3</v>
      </c>
      <c r="CY15" s="18" t="str">
        <f>CC15</f>
        <v>MUNICIPAL ADDITIONS</v>
      </c>
      <c r="CZ15" s="14">
        <f>CD15</f>
        <v>0</v>
      </c>
      <c r="DA15" s="94">
        <f>CV15</f>
        <v>0</v>
      </c>
      <c r="DB15" s="66">
        <f>+CZ15+DA15</f>
        <v>0</v>
      </c>
    </row>
    <row r="16" spans="1:119" ht="15" customHeight="1" thickTop="1" x14ac:dyDescent="0.25">
      <c r="A16" s="17">
        <f t="shared" si="0"/>
        <v>5</v>
      </c>
      <c r="B16" s="446">
        <v>44593</v>
      </c>
      <c r="C16" s="353">
        <f>'[23]G Lead Sheet'!C17</f>
        <v>18802936.758929607</v>
      </c>
      <c r="D16" s="353">
        <f>'[23]G Lead Sheet'!D17</f>
        <v>18637574.831507944</v>
      </c>
      <c r="E16" s="353">
        <f t="shared" ref="E16:E26" si="17">D16-C16</f>
        <v>-165361.92742166296</v>
      </c>
      <c r="F16" s="462"/>
      <c r="G16" s="54">
        <f>ROW()</f>
        <v>16</v>
      </c>
      <c r="H16" s="159"/>
      <c r="I16" s="159"/>
      <c r="J16" s="453"/>
      <c r="K16" s="308"/>
      <c r="L16" s="107">
        <f t="shared" si="11"/>
        <v>5</v>
      </c>
      <c r="M16" s="18" t="s">
        <v>293</v>
      </c>
      <c r="N16" s="456">
        <f>'[8]Lead G'!$C$17</f>
        <v>-2230282.1281779995</v>
      </c>
      <c r="O16" s="17">
        <f t="shared" si="1"/>
        <v>5</v>
      </c>
      <c r="P16" s="79" t="s">
        <v>66</v>
      </c>
      <c r="Q16" s="496">
        <f>'1.02 COC'!F17</f>
        <v>2.6299999999999997E-2</v>
      </c>
      <c r="R16" s="19" t="s">
        <v>20</v>
      </c>
      <c r="S16" s="54">
        <f>ROW()</f>
        <v>16</v>
      </c>
      <c r="T16" s="369" t="s">
        <v>223</v>
      </c>
      <c r="U16" s="559"/>
      <c r="V16" s="457">
        <f>'[19]Lead 3.05 '!D16</f>
        <v>22473621.239999998</v>
      </c>
      <c r="W16" s="17">
        <f t="shared" si="2"/>
        <v>5</v>
      </c>
      <c r="X16" s="271" t="s">
        <v>377</v>
      </c>
      <c r="Y16" s="24"/>
      <c r="Z16" s="309">
        <f>+Z14/Z15</f>
        <v>673500</v>
      </c>
      <c r="AA16" s="37"/>
      <c r="AB16" s="36">
        <f t="shared" si="3"/>
        <v>5</v>
      </c>
      <c r="AC16" s="246" t="s">
        <v>239</v>
      </c>
      <c r="AD16" s="26"/>
      <c r="AE16" s="322"/>
      <c r="AF16" s="322"/>
      <c r="AG16" s="322"/>
      <c r="AH16" s="352">
        <f>ROUND(SUM(AH12:AH14)/3,6)</f>
        <v>2.7460000000000002E-3</v>
      </c>
      <c r="AI16" s="17">
        <f t="shared" si="4"/>
        <v>5</v>
      </c>
      <c r="AJ16" s="2" t="s">
        <v>51</v>
      </c>
      <c r="AK16" s="357">
        <f>SUM(AK13:AK15)</f>
        <v>3852225.7220641747</v>
      </c>
      <c r="AL16" s="357">
        <f>SUM(AL13:AL15)</f>
        <v>2985064.4112728955</v>
      </c>
      <c r="AM16" s="357">
        <f>SUM(AM13:AM15)</f>
        <v>-867161.31079127919</v>
      </c>
      <c r="AN16" s="17">
        <v>5</v>
      </c>
      <c r="AO16" s="247" t="s">
        <v>81</v>
      </c>
      <c r="AP16" s="248"/>
      <c r="AQ16" s="26">
        <f>'[10]Lead G'!$D$13</f>
        <v>4823840.5726799993</v>
      </c>
      <c r="AR16" s="17">
        <f t="shared" si="5"/>
        <v>5</v>
      </c>
      <c r="AS16" s="18" t="s">
        <v>95</v>
      </c>
      <c r="AT16" s="103"/>
      <c r="AU16" s="103"/>
      <c r="AV16" s="66">
        <f>-AV14</f>
        <v>17894.210558422667</v>
      </c>
      <c r="AW16" s="249"/>
      <c r="BA16" s="54">
        <f t="shared" si="6"/>
        <v>5</v>
      </c>
      <c r="BB16" s="159"/>
      <c r="BC16" s="342"/>
      <c r="BD16" s="342"/>
      <c r="BE16" s="342"/>
      <c r="BF16" s="17">
        <f t="shared" si="7"/>
        <v>5</v>
      </c>
      <c r="BG16" s="131" t="s">
        <v>215</v>
      </c>
      <c r="BH16" s="335"/>
      <c r="BI16" s="335"/>
      <c r="BJ16" s="332">
        <f>BJ14</f>
        <v>14247.466621636209</v>
      </c>
      <c r="BK16" s="107">
        <f t="shared" si="8"/>
        <v>5</v>
      </c>
      <c r="BL16" s="490" t="s">
        <v>315</v>
      </c>
      <c r="BM16" s="490"/>
      <c r="BN16" s="498">
        <f>[21]Gas!$D$16</f>
        <v>-10968336.770870598</v>
      </c>
      <c r="BO16" s="498"/>
      <c r="BP16" s="498">
        <f>BO16-BN16</f>
        <v>10968336.770870598</v>
      </c>
      <c r="BQ16" s="107">
        <f t="shared" si="9"/>
        <v>5</v>
      </c>
      <c r="BR16" s="549" t="s">
        <v>345</v>
      </c>
      <c r="BS16" s="498">
        <f>[17]LEAD!$D$18</f>
        <v>-187783.95771596994</v>
      </c>
      <c r="BT16" s="498"/>
      <c r="BU16" s="498">
        <f t="shared" si="12"/>
        <v>187783.95771596994</v>
      </c>
      <c r="BV16" s="17">
        <f>+BV15+1</f>
        <v>5</v>
      </c>
      <c r="BW16" s="163" t="s">
        <v>166</v>
      </c>
      <c r="BY16" s="244"/>
      <c r="BZ16" s="238">
        <f>SUM(BZ12:BZ14)</f>
        <v>4.3159999999999997E-2</v>
      </c>
      <c r="CA16" s="239"/>
      <c r="CB16" s="17">
        <f>+CB15+1</f>
        <v>4</v>
      </c>
      <c r="CC16" s="18" t="s">
        <v>2</v>
      </c>
      <c r="CD16" s="457">
        <f>+'[22]Allocated (CBR)'!C12</f>
        <v>3638584.55</v>
      </c>
      <c r="CE16" s="43"/>
      <c r="CF16" s="43">
        <f>K24</f>
        <v>0</v>
      </c>
      <c r="CG16" s="43"/>
      <c r="CH16" s="37"/>
      <c r="CI16" s="457">
        <f>-V31</f>
        <v>18486672.07</v>
      </c>
      <c r="CJ16" s="43"/>
      <c r="CK16" s="44"/>
      <c r="CL16" s="17">
        <f>+CL15+1</f>
        <v>4</v>
      </c>
      <c r="CM16" s="18" t="s">
        <v>2</v>
      </c>
      <c r="CN16" s="44"/>
      <c r="CO16" s="44"/>
      <c r="CP16" s="44"/>
      <c r="CQ16" s="44"/>
      <c r="CR16" s="44"/>
      <c r="CS16" s="44"/>
      <c r="CT16" s="307">
        <f>-BP20</f>
        <v>-2757454.58</v>
      </c>
      <c r="CU16" s="307"/>
      <c r="CV16" s="307">
        <f t="shared" si="15"/>
        <v>15729217.49</v>
      </c>
      <c r="CW16" s="44">
        <f>CD16+CV16</f>
        <v>19367802.039999999</v>
      </c>
      <c r="CX16" s="17">
        <f>+CX15+1</f>
        <v>4</v>
      </c>
      <c r="CY16" s="18" t="s">
        <v>2</v>
      </c>
      <c r="CZ16" s="83">
        <f>CD16</f>
        <v>3638584.55</v>
      </c>
      <c r="DA16" s="95">
        <f>CV16</f>
        <v>15729217.49</v>
      </c>
      <c r="DB16" s="67">
        <f>+CZ16+DA16</f>
        <v>19367802.039999999</v>
      </c>
      <c r="DC16" s="26"/>
    </row>
    <row r="17" spans="1:119" ht="15" customHeight="1" x14ac:dyDescent="0.25">
      <c r="A17" s="17">
        <f t="shared" si="0"/>
        <v>6</v>
      </c>
      <c r="B17" s="446">
        <v>44621</v>
      </c>
      <c r="C17" s="353">
        <f>'[23]G Lead Sheet'!C18</f>
        <v>26557732.676242694</v>
      </c>
      <c r="D17" s="353">
        <f>'[23]G Lead Sheet'!D18</f>
        <v>26645128.88285942</v>
      </c>
      <c r="E17" s="353">
        <f t="shared" si="17"/>
        <v>87396.206616725773</v>
      </c>
      <c r="F17" s="462"/>
      <c r="G17" s="54">
        <f>ROW()</f>
        <v>17</v>
      </c>
      <c r="H17" s="588" t="s">
        <v>221</v>
      </c>
      <c r="I17" s="159"/>
      <c r="J17" s="453"/>
      <c r="K17" s="308"/>
      <c r="L17" s="107">
        <f t="shared" si="11"/>
        <v>6</v>
      </c>
      <c r="M17" s="2" t="s">
        <v>294</v>
      </c>
      <c r="N17" s="456">
        <f>'[8]Lead G'!$C$18</f>
        <v>0</v>
      </c>
      <c r="O17" s="17">
        <f t="shared" si="1"/>
        <v>6</v>
      </c>
      <c r="P17" s="79" t="s">
        <v>40</v>
      </c>
      <c r="Q17" s="37"/>
      <c r="R17" s="145">
        <f>+Q14*Q16</f>
        <v>72264160.404458582</v>
      </c>
      <c r="S17" s="54">
        <f>ROW()</f>
        <v>17</v>
      </c>
      <c r="T17" s="369" t="s">
        <v>154</v>
      </c>
      <c r="U17" s="368"/>
      <c r="V17" s="457">
        <f>'[19]Lead 3.05 '!D17</f>
        <v>29935096.343524143</v>
      </c>
      <c r="W17" s="17">
        <f t="shared" si="2"/>
        <v>6</v>
      </c>
      <c r="X17" s="586" t="str">
        <f>'[20]Lead G'!B18</f>
        <v>LESS TEST YEAR EXPENSE:  GRC DIRECT CHARGES TO O&amp;M</v>
      </c>
      <c r="Y17" s="1"/>
      <c r="Z17" s="49">
        <f>'[20]Lead G'!$D$18</f>
        <v>1941681.17062</v>
      </c>
      <c r="AA17" s="37"/>
      <c r="AB17" s="36">
        <f t="shared" si="3"/>
        <v>6</v>
      </c>
      <c r="AE17" s="31"/>
      <c r="AI17" s="17">
        <f t="shared" si="4"/>
        <v>6</v>
      </c>
      <c r="AJ17" s="2"/>
      <c r="AK17" s="43"/>
      <c r="AL17" s="43"/>
      <c r="AM17" s="299"/>
      <c r="AN17" s="17">
        <v>6</v>
      </c>
      <c r="AO17" s="48" t="s">
        <v>78</v>
      </c>
      <c r="AP17" s="48"/>
      <c r="AQ17" s="391">
        <f>'[10]Lead G'!$C$13</f>
        <v>4828820.62</v>
      </c>
      <c r="AR17" s="17">
        <f t="shared" si="5"/>
        <v>6</v>
      </c>
      <c r="AS17" s="18"/>
      <c r="AT17" s="103"/>
      <c r="AU17" s="103"/>
      <c r="AV17" s="66"/>
      <c r="AW17" s="161"/>
      <c r="AX17" s="161"/>
      <c r="AY17" s="161"/>
      <c r="AZ17" s="161"/>
      <c r="BA17" s="54">
        <f t="shared" si="6"/>
        <v>6</v>
      </c>
      <c r="BB17" s="164" t="s">
        <v>115</v>
      </c>
      <c r="BC17" s="134"/>
      <c r="BD17" s="146"/>
      <c r="BE17" s="345">
        <f>-BE15</f>
        <v>-421891.7977523827</v>
      </c>
      <c r="BF17" s="17">
        <f t="shared" si="7"/>
        <v>6</v>
      </c>
      <c r="BG17" s="142" t="s">
        <v>96</v>
      </c>
      <c r="BH17" s="14"/>
      <c r="BI17" s="346">
        <f>+Inputs!B9</f>
        <v>0.21</v>
      </c>
      <c r="BJ17" s="337">
        <f>ROUND(-BJ16*BI17,0)</f>
        <v>-2992</v>
      </c>
      <c r="BK17" s="107">
        <f t="shared" si="8"/>
        <v>6</v>
      </c>
      <c r="BL17" s="362" t="s">
        <v>316</v>
      </c>
      <c r="BM17" s="362"/>
      <c r="BN17" s="317">
        <f>SUM(BN14:BN16)</f>
        <v>82610207.746714473</v>
      </c>
      <c r="BO17" s="317">
        <f>SUM(BO14:BO16)</f>
        <v>0</v>
      </c>
      <c r="BP17" s="317">
        <f>SUM(BP14:BP16)</f>
        <v>-82610207.746714473</v>
      </c>
      <c r="BQ17" s="107">
        <f t="shared" si="9"/>
        <v>6</v>
      </c>
      <c r="BR17" s="594" t="s">
        <v>50</v>
      </c>
      <c r="BS17" s="306">
        <f>SUM(BS13:BS16)</f>
        <v>706425.36474102968</v>
      </c>
      <c r="BT17" s="306"/>
      <c r="BU17" s="306">
        <f t="shared" ref="BU17" si="18">SUM(BU13:BU16)</f>
        <v>-706425.36474102968</v>
      </c>
      <c r="BV17" s="17">
        <f t="shared" si="10"/>
        <v>6</v>
      </c>
      <c r="BW17" s="159"/>
      <c r="BX17" s="250"/>
      <c r="BY17" s="244"/>
      <c r="BZ17" s="239"/>
      <c r="CA17" s="239"/>
      <c r="CB17" s="17">
        <f t="shared" si="13"/>
        <v>5</v>
      </c>
      <c r="CC17" s="18" t="s">
        <v>3</v>
      </c>
      <c r="CD17" s="41">
        <f t="shared" ref="CD17" si="19">SUM(CD14:CD16)</f>
        <v>1209636227.7199998</v>
      </c>
      <c r="CE17" s="41">
        <f t="shared" ref="CE17:CI17" si="20">SUM(CE14:CE16)</f>
        <v>-60551.911863212015</v>
      </c>
      <c r="CF17" s="41">
        <f t="shared" si="20"/>
        <v>1314256.83</v>
      </c>
      <c r="CG17" s="41">
        <f t="shared" si="20"/>
        <v>0</v>
      </c>
      <c r="CH17" s="41">
        <f t="shared" si="20"/>
        <v>0</v>
      </c>
      <c r="CI17" s="41">
        <f t="shared" si="20"/>
        <v>-136100173.86081529</v>
      </c>
      <c r="CJ17" s="41"/>
      <c r="CK17" s="41">
        <f>SUM(CK14:CK16)</f>
        <v>0</v>
      </c>
      <c r="CL17" s="17">
        <f t="shared" si="14"/>
        <v>5</v>
      </c>
      <c r="CM17" s="18" t="s">
        <v>3</v>
      </c>
      <c r="CN17" s="41">
        <f t="shared" ref="CN17:CU17" si="21">SUM(CN14:CN16)</f>
        <v>0</v>
      </c>
      <c r="CO17" s="41">
        <f t="shared" si="21"/>
        <v>0</v>
      </c>
      <c r="CP17" s="41">
        <f t="shared" si="21"/>
        <v>0</v>
      </c>
      <c r="CQ17" s="41">
        <f t="shared" si="21"/>
        <v>0</v>
      </c>
      <c r="CR17" s="41">
        <f t="shared" si="21"/>
        <v>0</v>
      </c>
      <c r="CS17" s="41">
        <f t="shared" si="21"/>
        <v>0</v>
      </c>
      <c r="CT17" s="41">
        <f t="shared" si="21"/>
        <v>-2757454.58</v>
      </c>
      <c r="CU17" s="41">
        <f t="shared" si="21"/>
        <v>0</v>
      </c>
      <c r="CV17" s="41">
        <f t="shared" si="15"/>
        <v>-137603923.52267852</v>
      </c>
      <c r="CW17" s="26">
        <f>CD17+CV17</f>
        <v>1072032304.1973213</v>
      </c>
      <c r="CX17" s="17">
        <f t="shared" si="16"/>
        <v>5</v>
      </c>
      <c r="CY17" s="18" t="s">
        <v>3</v>
      </c>
      <c r="CZ17" s="25">
        <f>SUM(CZ14:CZ16)</f>
        <v>1209636227.7199998</v>
      </c>
      <c r="DA17" s="25">
        <f>SUM(DA14:DA16)</f>
        <v>-137603923.52267849</v>
      </c>
      <c r="DB17" s="41">
        <f>SUM(DB14:DB16)</f>
        <v>1072032304.1973213</v>
      </c>
      <c r="DC17" s="26"/>
    </row>
    <row r="18" spans="1:119" ht="15" customHeight="1" thickBot="1" x14ac:dyDescent="0.25">
      <c r="A18" s="17">
        <f t="shared" si="0"/>
        <v>7</v>
      </c>
      <c r="B18" s="446">
        <v>44652</v>
      </c>
      <c r="C18" s="353">
        <f>'[23]G Lead Sheet'!C19</f>
        <v>19195656.749975678</v>
      </c>
      <c r="D18" s="353">
        <f>'[23]G Lead Sheet'!D19</f>
        <v>18544448.023159008</v>
      </c>
      <c r="E18" s="353">
        <f t="shared" si="17"/>
        <v>-651208.72681666911</v>
      </c>
      <c r="F18" s="462"/>
      <c r="G18" s="54">
        <f>ROW()</f>
        <v>18</v>
      </c>
      <c r="H18" s="277"/>
      <c r="I18" s="159"/>
      <c r="J18" s="341"/>
      <c r="K18" s="308"/>
      <c r="L18" s="107">
        <f t="shared" si="11"/>
        <v>7</v>
      </c>
      <c r="M18" s="2" t="s">
        <v>295</v>
      </c>
      <c r="N18" s="456">
        <f>'[8]Lead G'!$C$19</f>
        <v>0</v>
      </c>
      <c r="O18" s="17">
        <f t="shared" si="1"/>
        <v>7</v>
      </c>
      <c r="P18" s="79"/>
      <c r="Q18" s="329"/>
      <c r="R18" s="19" t="s">
        <v>20</v>
      </c>
      <c r="S18" s="54">
        <f>ROW()</f>
        <v>18</v>
      </c>
      <c r="T18" s="369" t="s">
        <v>218</v>
      </c>
      <c r="U18" s="559"/>
      <c r="V18" s="457">
        <f>'[19]Lead 3.05 '!D18</f>
        <v>1352549.92</v>
      </c>
      <c r="W18" s="17">
        <f t="shared" si="2"/>
        <v>7</v>
      </c>
      <c r="X18" s="586" t="str">
        <f>'[20]Lead G'!B19</f>
        <v>INCREASE (DECREASE) EXPENSE</v>
      </c>
      <c r="Y18" s="60"/>
      <c r="Z18" s="310">
        <f>+Z16-Z17</f>
        <v>-1268181.17062</v>
      </c>
      <c r="AA18" s="311">
        <f>+Z18</f>
        <v>-1268181.17062</v>
      </c>
      <c r="AB18" s="36">
        <f t="shared" si="3"/>
        <v>7</v>
      </c>
      <c r="AC18" s="251" t="s">
        <v>240</v>
      </c>
      <c r="AD18" s="26"/>
      <c r="AE18" s="341">
        <f>'[9]Lead Sheet'!$D$20</f>
        <v>1209636227.7199998</v>
      </c>
      <c r="AF18" s="585">
        <f>'[9]Lead Sheet'!$E$20</f>
        <v>3638584.55</v>
      </c>
      <c r="AG18" s="585">
        <f>AE18-AF18</f>
        <v>1205997643.1699998</v>
      </c>
      <c r="AI18" s="17">
        <f t="shared" si="4"/>
        <v>7</v>
      </c>
      <c r="AJ18" s="2" t="s">
        <v>184</v>
      </c>
      <c r="AK18" s="43"/>
      <c r="AL18" s="43"/>
      <c r="AM18" s="299">
        <f>AM16</f>
        <v>-867161.31079127919</v>
      </c>
      <c r="AN18" s="17">
        <v>7</v>
      </c>
      <c r="AO18" s="252" t="s">
        <v>80</v>
      </c>
      <c r="AP18" s="252"/>
      <c r="AQ18" s="317">
        <f>AQ16-AQ17</f>
        <v>-4980.0473200008273</v>
      </c>
      <c r="AR18" s="17">
        <f t="shared" si="5"/>
        <v>7</v>
      </c>
      <c r="AS18" s="18" t="s">
        <v>96</v>
      </c>
      <c r="AT18" s="103"/>
      <c r="AU18" s="144">
        <f>+Inputs!B9</f>
        <v>0.21</v>
      </c>
      <c r="AV18" s="324">
        <f>AV16*AU18</f>
        <v>3757.7842172687597</v>
      </c>
      <c r="BA18" s="54">
        <f t="shared" si="6"/>
        <v>7</v>
      </c>
      <c r="BB18" s="165" t="s">
        <v>96</v>
      </c>
      <c r="BC18" s="165"/>
      <c r="BD18" s="346">
        <f>+Inputs!B9</f>
        <v>0.21</v>
      </c>
      <c r="BE18" s="347">
        <f>BE17*BD18</f>
        <v>-88597.27752800037</v>
      </c>
      <c r="BF18" s="17">
        <f t="shared" si="7"/>
        <v>7</v>
      </c>
      <c r="BG18" s="2"/>
      <c r="BH18" s="43"/>
      <c r="BI18" s="43"/>
      <c r="BJ18" s="338"/>
      <c r="BK18" s="107">
        <f t="shared" si="8"/>
        <v>7</v>
      </c>
      <c r="BL18"/>
      <c r="BM18"/>
      <c r="BN18"/>
      <c r="BO18"/>
      <c r="BP18"/>
      <c r="BQ18" s="17">
        <f>+BV17+1</f>
        <v>7</v>
      </c>
      <c r="BR18" s="595" t="s">
        <v>55</v>
      </c>
      <c r="BS18" s="596">
        <f>-BS17</f>
        <v>-706425.36474102968</v>
      </c>
      <c r="BT18" s="596"/>
      <c r="BU18" s="596">
        <f t="shared" si="12"/>
        <v>706425.36474102968</v>
      </c>
      <c r="BV18" s="107">
        <f t="shared" ref="BV18" si="22">+BV17+1</f>
        <v>7</v>
      </c>
      <c r="BW18" s="491" t="s">
        <v>284</v>
      </c>
      <c r="BZ18" s="493">
        <f>ROUND(1-BZ16,6)</f>
        <v>0.95684000000000002</v>
      </c>
      <c r="CB18" s="107">
        <f t="shared" ref="CB18" si="23">+CB17+1</f>
        <v>6</v>
      </c>
      <c r="CF18" s="19"/>
      <c r="CG18" s="17"/>
      <c r="CI18" s="366"/>
      <c r="CK18" s="19"/>
      <c r="CL18" s="19"/>
      <c r="CM18" s="19"/>
      <c r="CN18" s="19"/>
      <c r="CO18" s="366"/>
      <c r="CP18" s="366"/>
      <c r="CQ18" s="366"/>
      <c r="CR18" s="23"/>
      <c r="CS18" s="17"/>
      <c r="CT18" s="2"/>
      <c r="CU18" s="2"/>
      <c r="CV18" s="2"/>
      <c r="CY18"/>
      <c r="CZ18"/>
      <c r="DA18"/>
      <c r="DB18"/>
      <c r="DC18"/>
      <c r="DK18" s="2"/>
      <c r="DL18" s="2"/>
      <c r="DM18" s="2"/>
      <c r="DN18" s="2"/>
      <c r="DO18" s="2"/>
    </row>
    <row r="19" spans="1:119" ht="15" customHeight="1" thickBot="1" x14ac:dyDescent="0.25">
      <c r="A19" s="17">
        <f t="shared" si="0"/>
        <v>8</v>
      </c>
      <c r="B19" s="446">
        <v>44682</v>
      </c>
      <c r="C19" s="353">
        <f>'[23]G Lead Sheet'!C20</f>
        <v>20654311.192371599</v>
      </c>
      <c r="D19" s="353">
        <f>'[23]G Lead Sheet'!D20</f>
        <v>20101926.924367853</v>
      </c>
      <c r="E19" s="353">
        <f t="shared" si="17"/>
        <v>-552384.26800374687</v>
      </c>
      <c r="F19" s="462"/>
      <c r="G19" s="54">
        <f>ROW()</f>
        <v>19</v>
      </c>
      <c r="H19" s="277" t="s">
        <v>247</v>
      </c>
      <c r="I19" s="363"/>
      <c r="J19" s="497">
        <f>'[18]3.02G'!$D$19</f>
        <v>0</v>
      </c>
      <c r="K19" s="308"/>
      <c r="L19" s="107">
        <f t="shared" si="11"/>
        <v>8</v>
      </c>
      <c r="M19" s="2" t="s">
        <v>296</v>
      </c>
      <c r="N19" s="460">
        <f>SUM(N15:N18)</f>
        <v>39538076.768194675</v>
      </c>
      <c r="O19" s="17">
        <f t="shared" si="1"/>
        <v>8</v>
      </c>
      <c r="Q19" s="329"/>
      <c r="R19" s="19"/>
      <c r="S19" s="54">
        <f>ROW()</f>
        <v>19</v>
      </c>
      <c r="T19" s="369" t="s">
        <v>379</v>
      </c>
      <c r="U19" s="559"/>
      <c r="V19" s="457">
        <f>'[19]Lead 3.05 '!D19</f>
        <v>201278.19</v>
      </c>
      <c r="W19" s="17">
        <f t="shared" si="2"/>
        <v>8</v>
      </c>
      <c r="X19" s="18"/>
      <c r="Y19" s="60"/>
      <c r="Z19" s="312"/>
      <c r="AA19" s="313"/>
      <c r="AB19" s="36">
        <f t="shared" si="3"/>
        <v>8</v>
      </c>
      <c r="AE19" s="341"/>
      <c r="AF19" s="341"/>
      <c r="AG19" s="307"/>
      <c r="AI19" s="17">
        <f t="shared" si="4"/>
        <v>8</v>
      </c>
      <c r="AJ19" s="2"/>
      <c r="AK19" s="2"/>
      <c r="AL19" s="2"/>
      <c r="AM19" s="2"/>
      <c r="AN19" s="17">
        <v>8</v>
      </c>
      <c r="AQ19" s="26"/>
      <c r="AR19" s="17">
        <f t="shared" si="5"/>
        <v>8</v>
      </c>
      <c r="AS19" s="18"/>
      <c r="AT19" s="103"/>
      <c r="AU19" s="144"/>
      <c r="AV19" s="324"/>
      <c r="BA19" s="54">
        <f t="shared" si="6"/>
        <v>8</v>
      </c>
      <c r="BB19" s="193"/>
      <c r="BC19" s="193"/>
      <c r="BD19" s="193"/>
      <c r="BE19" s="193"/>
      <c r="BF19" s="17">
        <f t="shared" si="7"/>
        <v>8</v>
      </c>
      <c r="BG19" s="24" t="s">
        <v>55</v>
      </c>
      <c r="BH19" s="339"/>
      <c r="BI19" s="37"/>
      <c r="BJ19" s="340">
        <f>-BJ16-BJ17</f>
        <v>-11255.466621636209</v>
      </c>
      <c r="BK19" s="107">
        <f t="shared" si="8"/>
        <v>8</v>
      </c>
      <c r="BL19" s="228" t="s">
        <v>2</v>
      </c>
      <c r="BM19" s="228"/>
      <c r="BN19" s="370"/>
      <c r="BO19" s="370"/>
      <c r="BP19" s="370"/>
      <c r="BQ19" s="17">
        <f t="shared" si="10"/>
        <v>8</v>
      </c>
      <c r="BV19" s="107">
        <f t="shared" ref="BV19" si="24">+BV18+1</f>
        <v>8</v>
      </c>
      <c r="BW19" s="492" t="s">
        <v>285</v>
      </c>
      <c r="BY19" s="495">
        <f>+Inputs!B9</f>
        <v>0.21</v>
      </c>
      <c r="BZ19" s="493">
        <f>ROUND((BZ18)*BY19,6)</f>
        <v>0.200936</v>
      </c>
      <c r="CA19" s="293"/>
      <c r="CB19" s="107">
        <f t="shared" ref="CB19" si="25">+CB18+1</f>
        <v>7</v>
      </c>
      <c r="CC19" s="293" t="s">
        <v>20</v>
      </c>
      <c r="CD19" s="293"/>
      <c r="CE19" s="293"/>
      <c r="CF19" s="293" t="s">
        <v>20</v>
      </c>
      <c r="CG19" s="17"/>
      <c r="CI19" s="293"/>
      <c r="CJ19" s="293"/>
      <c r="CK19" s="293"/>
      <c r="CL19" s="293"/>
      <c r="CM19" s="293"/>
      <c r="CN19" s="293"/>
      <c r="CO19" s="293"/>
      <c r="CP19" s="293"/>
      <c r="CQ19" s="293"/>
      <c r="CR19" s="23"/>
      <c r="CS19" s="17"/>
      <c r="CT19" s="2"/>
      <c r="CU19" s="23"/>
      <c r="CV19" s="23"/>
      <c r="CW19" s="23"/>
      <c r="CX19" s="349"/>
      <c r="CY19"/>
      <c r="CZ19"/>
      <c r="DA19"/>
      <c r="DB19"/>
      <c r="DC19"/>
      <c r="DK19" s="2"/>
      <c r="DL19" s="2"/>
      <c r="DM19" s="2"/>
      <c r="DN19" s="2"/>
      <c r="DO19" s="2"/>
    </row>
    <row r="20" spans="1:119" ht="15" customHeight="1" thickTop="1" thickBot="1" x14ac:dyDescent="0.3">
      <c r="A20" s="17">
        <f t="shared" si="0"/>
        <v>9</v>
      </c>
      <c r="B20" s="446">
        <v>44713</v>
      </c>
      <c r="C20" s="353">
        <f>'[23]G Lead Sheet'!C21</f>
        <v>16381257.000662981</v>
      </c>
      <c r="D20" s="353">
        <f>'[23]G Lead Sheet'!D21</f>
        <v>16372012.807801869</v>
      </c>
      <c r="E20" s="353">
        <f t="shared" si="17"/>
        <v>-9244.1928611118346</v>
      </c>
      <c r="F20" s="462"/>
      <c r="G20" s="54">
        <f>ROW()</f>
        <v>20</v>
      </c>
      <c r="H20" s="277"/>
      <c r="I20" s="159"/>
      <c r="J20" s="371"/>
      <c r="K20" s="308"/>
      <c r="L20" s="107">
        <f t="shared" si="11"/>
        <v>9</v>
      </c>
      <c r="N20" s="457"/>
      <c r="O20" s="17">
        <f t="shared" si="1"/>
        <v>9</v>
      </c>
      <c r="P20" s="79"/>
      <c r="Q20" s="329"/>
      <c r="R20" s="19"/>
      <c r="S20" s="54">
        <f>ROW()</f>
        <v>20</v>
      </c>
      <c r="T20" s="369" t="s">
        <v>382</v>
      </c>
      <c r="U20" s="559"/>
      <c r="V20" s="457">
        <f>'[19]Lead 3.05 '!D20</f>
        <v>16302692.08729112</v>
      </c>
      <c r="W20" s="17">
        <f t="shared" si="2"/>
        <v>9</v>
      </c>
      <c r="X20" s="18" t="s">
        <v>108</v>
      </c>
      <c r="Y20" s="1"/>
      <c r="Z20" s="37"/>
      <c r="AA20" s="316">
        <f>+AA18+AA25</f>
        <v>-1268181.17062</v>
      </c>
      <c r="AB20" s="36">
        <f t="shared" si="3"/>
        <v>9</v>
      </c>
      <c r="AG20" s="304">
        <f>SUM(AG18:AG19)</f>
        <v>1205997643.1699998</v>
      </c>
      <c r="AI20" s="17">
        <f t="shared" si="4"/>
        <v>9</v>
      </c>
      <c r="AJ20" s="18" t="s">
        <v>185</v>
      </c>
      <c r="AK20" s="43"/>
      <c r="AL20" s="346">
        <f>+Inputs!B9</f>
        <v>0.21</v>
      </c>
      <c r="AM20" s="299">
        <f>ROUND(-AM18*AL20,0)</f>
        <v>182104</v>
      </c>
      <c r="AN20" s="17">
        <v>9</v>
      </c>
      <c r="AO20" s="81" t="s">
        <v>51</v>
      </c>
      <c r="AQ20" s="26">
        <f>AQ14+AQ18</f>
        <v>-3884.3861639946699</v>
      </c>
      <c r="AR20" s="17">
        <f t="shared" si="5"/>
        <v>9</v>
      </c>
      <c r="AS20" s="18" t="s">
        <v>55</v>
      </c>
      <c r="AT20" s="103"/>
      <c r="AU20" s="103"/>
      <c r="AV20" s="325">
        <f>AV16-AV18</f>
        <v>14136.426341153907</v>
      </c>
      <c r="BA20" s="54">
        <f t="shared" si="6"/>
        <v>9</v>
      </c>
      <c r="BB20" s="163" t="s">
        <v>55</v>
      </c>
      <c r="BC20" s="154"/>
      <c r="BD20" s="154"/>
      <c r="BE20" s="348">
        <f>BE17-BE18</f>
        <v>-333294.52022438234</v>
      </c>
      <c r="BF20" s="273"/>
      <c r="BG20" s="273"/>
      <c r="BH20" s="273"/>
      <c r="BI20" s="273"/>
      <c r="BJ20" s="273"/>
      <c r="BK20" s="107">
        <f t="shared" si="8"/>
        <v>9</v>
      </c>
      <c r="BL20" s="489" t="s">
        <v>384</v>
      </c>
      <c r="BM20" s="489"/>
      <c r="BN20" s="597">
        <f>+[21]Gas!$D$20</f>
        <v>-2757454.58</v>
      </c>
      <c r="BO20" s="370"/>
      <c r="BP20" s="317">
        <f>BO20-BN20</f>
        <v>2757454.58</v>
      </c>
      <c r="BQ20" s="17">
        <f t="shared" si="10"/>
        <v>9</v>
      </c>
      <c r="BR20" s="548" t="s">
        <v>62</v>
      </c>
      <c r="BS20" s="341"/>
      <c r="BT20" s="551"/>
      <c r="BU20" s="550"/>
      <c r="BV20" s="107">
        <f t="shared" ref="BV20" si="26">+BV19+1</f>
        <v>9</v>
      </c>
      <c r="BW20" s="492" t="s">
        <v>317</v>
      </c>
      <c r="BX20" s="18" t="s">
        <v>4</v>
      </c>
      <c r="BY20" s="57"/>
      <c r="BZ20" s="494">
        <f>ROUND(1-BZ19-BZ16,6)</f>
        <v>0.75590400000000002</v>
      </c>
      <c r="CA20" s="23"/>
      <c r="CB20" s="107">
        <f t="shared" ref="CB20" si="27">+CB19+1</f>
        <v>8</v>
      </c>
      <c r="CC20" s="23"/>
      <c r="CD20" s="23"/>
      <c r="CE20" s="23"/>
      <c r="CF20" s="23"/>
      <c r="CG20" s="17"/>
      <c r="CH20" s="18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17"/>
      <c r="CT20" s="81"/>
      <c r="CU20" s="23"/>
      <c r="CV20" s="23"/>
      <c r="CW20" s="23"/>
      <c r="CY20"/>
      <c r="CZ20"/>
      <c r="DA20"/>
      <c r="DB20"/>
      <c r="DC20"/>
      <c r="DK20" s="2"/>
      <c r="DL20" s="2"/>
      <c r="DM20" s="2"/>
      <c r="DN20" s="2"/>
      <c r="DO20" s="2"/>
    </row>
    <row r="21" spans="1:119" ht="15" customHeight="1" thickTop="1" thickBot="1" x14ac:dyDescent="0.3">
      <c r="A21" s="17">
        <f t="shared" si="0"/>
        <v>10</v>
      </c>
      <c r="B21" s="446">
        <v>44743</v>
      </c>
      <c r="C21" s="353">
        <f>'[23]G Lead Sheet'!C22</f>
        <v>16597926.232611937</v>
      </c>
      <c r="D21" s="353">
        <f>'[23]G Lead Sheet'!D22</f>
        <v>16597926.232611939</v>
      </c>
      <c r="E21" s="353">
        <f t="shared" si="17"/>
        <v>0</v>
      </c>
      <c r="F21" s="462"/>
      <c r="G21" s="54">
        <f>ROW()</f>
        <v>21</v>
      </c>
      <c r="H21" s="388" t="s">
        <v>354</v>
      </c>
      <c r="I21" s="159"/>
      <c r="J21" s="371">
        <f>'[18]3.02G'!$D$20</f>
        <v>0</v>
      </c>
      <c r="K21" s="308"/>
      <c r="L21" s="107">
        <f t="shared" si="11"/>
        <v>10</v>
      </c>
      <c r="M21" s="2" t="s">
        <v>297</v>
      </c>
      <c r="N21" s="455"/>
      <c r="O21" s="17">
        <f t="shared" si="1"/>
        <v>10</v>
      </c>
      <c r="P21" s="2" t="s">
        <v>115</v>
      </c>
      <c r="Q21" s="37"/>
      <c r="R21" s="296">
        <f>-R17+R19</f>
        <v>-72264160.404458582</v>
      </c>
      <c r="S21" s="54">
        <f>ROW()</f>
        <v>21</v>
      </c>
      <c r="T21" s="593" t="s">
        <v>383</v>
      </c>
      <c r="U21" s="559"/>
      <c r="V21" s="457">
        <f>'[19]Lead 3.05 '!D21</f>
        <v>3079668.28</v>
      </c>
      <c r="W21" s="17">
        <f t="shared" si="2"/>
        <v>10</v>
      </c>
      <c r="Y21" s="1"/>
      <c r="Z21" s="37"/>
      <c r="AA21" s="345"/>
      <c r="AB21" s="36">
        <f t="shared" si="3"/>
        <v>10</v>
      </c>
      <c r="AC21" s="2" t="s">
        <v>248</v>
      </c>
      <c r="AG21" s="486">
        <f>AH16</f>
        <v>2.7460000000000002E-3</v>
      </c>
      <c r="AI21" s="17">
        <f t="shared" si="4"/>
        <v>10</v>
      </c>
      <c r="AJ21" s="18" t="s">
        <v>54</v>
      </c>
      <c r="AK21" s="18"/>
      <c r="AL21" s="2"/>
      <c r="AM21" s="358">
        <f>-AM18-AM20</f>
        <v>685057.31079127919</v>
      </c>
      <c r="AN21" s="17">
        <v>10</v>
      </c>
      <c r="AQ21" s="26"/>
      <c r="AR21" s="17"/>
      <c r="AS21" s="18"/>
      <c r="AT21" s="103"/>
      <c r="AU21" s="103"/>
      <c r="AV21" s="148"/>
      <c r="BA21" s="54"/>
      <c r="BB21" s="159"/>
      <c r="BC21" s="159"/>
      <c r="BD21" s="159"/>
      <c r="BE21" s="159"/>
      <c r="BF21" s="148"/>
      <c r="BG21" s="148"/>
      <c r="BH21" s="148"/>
      <c r="BI21" s="148"/>
      <c r="BJ21" s="148"/>
      <c r="BK21" s="107">
        <f t="shared" si="8"/>
        <v>10</v>
      </c>
      <c r="BL21" s="370"/>
      <c r="BM21" s="370"/>
      <c r="BN21" s="370"/>
      <c r="BO21" s="370"/>
      <c r="BP21" s="370"/>
      <c r="BQ21" s="107">
        <f t="shared" ref="BQ21" si="28">+BQ20+1</f>
        <v>10</v>
      </c>
      <c r="BR21" s="548" t="s">
        <v>341</v>
      </c>
      <c r="BS21" s="317">
        <f>[17]LEAD!$D$23</f>
        <v>36946426.850000009</v>
      </c>
      <c r="BT21" s="317"/>
      <c r="BU21" s="146">
        <f t="shared" ref="BU21:BU23" si="29">BT21-BS21</f>
        <v>-36946426.850000009</v>
      </c>
      <c r="BV21" s="17"/>
      <c r="BX21" s="253"/>
      <c r="BY21" s="253"/>
      <c r="CB21" s="107">
        <f>+CB20+1</f>
        <v>9</v>
      </c>
      <c r="CI21" s="453"/>
      <c r="CL21" s="17">
        <f>+CG20+1</f>
        <v>1</v>
      </c>
      <c r="CW21" s="23"/>
      <c r="CX21" s="17">
        <f>+CS20+1</f>
        <v>1</v>
      </c>
      <c r="CZ21" s="23"/>
      <c r="DA21" s="23"/>
      <c r="DB21" s="23"/>
    </row>
    <row r="22" spans="1:119" ht="15" customHeight="1" thickTop="1" x14ac:dyDescent="0.25">
      <c r="A22" s="17">
        <f t="shared" si="0"/>
        <v>11</v>
      </c>
      <c r="B22" s="446">
        <v>44774</v>
      </c>
      <c r="C22" s="353">
        <f>'[23]G Lead Sheet'!C23</f>
        <v>16194913.551863922</v>
      </c>
      <c r="D22" s="353">
        <f>'[23]G Lead Sheet'!D23</f>
        <v>16194913.55186392</v>
      </c>
      <c r="E22" s="353">
        <f t="shared" si="17"/>
        <v>0</v>
      </c>
      <c r="F22" s="462"/>
      <c r="G22" s="54">
        <f>ROW()</f>
        <v>22</v>
      </c>
      <c r="H22" s="388"/>
      <c r="I22" s="159"/>
      <c r="J22" s="371"/>
      <c r="K22" s="308"/>
      <c r="L22" s="107">
        <f t="shared" si="11"/>
        <v>11</v>
      </c>
      <c r="M22" s="18" t="s">
        <v>298</v>
      </c>
      <c r="N22" s="456">
        <f>'[8]Lead G'!$C$23</f>
        <v>40108164.859999999</v>
      </c>
      <c r="O22" s="17">
        <f t="shared" si="1"/>
        <v>11</v>
      </c>
      <c r="P22" s="2" t="s">
        <v>20</v>
      </c>
      <c r="R22" s="57" t="s">
        <v>20</v>
      </c>
      <c r="S22" s="54">
        <f>ROW()</f>
        <v>22</v>
      </c>
      <c r="T22" s="369" t="s">
        <v>216</v>
      </c>
      <c r="U22" s="560"/>
      <c r="V22" s="307">
        <f>'[19]Lead 3.05 '!D22</f>
        <v>56271873.840000004</v>
      </c>
      <c r="W22" s="17">
        <f t="shared" si="2"/>
        <v>11</v>
      </c>
      <c r="X22" s="2" t="s">
        <v>185</v>
      </c>
      <c r="Y22" s="144">
        <f>+Inputs!B9</f>
        <v>0.21</v>
      </c>
      <c r="Z22" s="37"/>
      <c r="AA22" s="314">
        <f>-AA20*Y22</f>
        <v>266318.04583019996</v>
      </c>
      <c r="AB22" s="36">
        <f t="shared" si="3"/>
        <v>11</v>
      </c>
      <c r="AC22" s="2" t="s">
        <v>249</v>
      </c>
      <c r="AG22" s="322">
        <f>AG18*AG21</f>
        <v>3311669.5281448197</v>
      </c>
      <c r="AI22" s="20"/>
      <c r="AJ22" s="20"/>
      <c r="AK22" s="20"/>
      <c r="AL22" s="20"/>
      <c r="AM22" s="20"/>
      <c r="AN22" s="17">
        <v>11</v>
      </c>
      <c r="AO22" s="2" t="s">
        <v>93</v>
      </c>
      <c r="AQ22" s="26">
        <f>-(AQ14+AQ18)</f>
        <v>3884.3861639946699</v>
      </c>
      <c r="AR22" s="18" t="s">
        <v>20</v>
      </c>
      <c r="AS22" s="18"/>
      <c r="AT22" s="103"/>
      <c r="AU22" s="103"/>
      <c r="AV22" s="103"/>
      <c r="BA22" s="54"/>
      <c r="BB22" s="159"/>
      <c r="BC22" s="166"/>
      <c r="BD22" s="167"/>
      <c r="BE22" s="167"/>
      <c r="BF22" s="103"/>
      <c r="BG22" s="103"/>
      <c r="BH22" s="103"/>
      <c r="BI22" s="103"/>
      <c r="BJ22" s="103"/>
      <c r="BK22" s="107">
        <f t="shared" si="8"/>
        <v>11</v>
      </c>
      <c r="BL22" s="593" t="s">
        <v>385</v>
      </c>
      <c r="BM22" s="573">
        <f>Inputs!$B$6</f>
        <v>2.7460000000000002E-3</v>
      </c>
      <c r="BN22" s="370"/>
      <c r="BO22" s="370"/>
      <c r="BP22" s="598">
        <f>-BM22*BP20</f>
        <v>-7571.970276680001</v>
      </c>
      <c r="BQ22" s="107">
        <f t="shared" ref="BQ22" si="30">+BQ21+1</f>
        <v>11</v>
      </c>
      <c r="BR22" s="548" t="s">
        <v>342</v>
      </c>
      <c r="BS22" s="146">
        <f>[17]LEAD!$D$24</f>
        <v>-4479761.2427143315</v>
      </c>
      <c r="BT22" s="146"/>
      <c r="BU22" s="146">
        <f t="shared" si="29"/>
        <v>4479761.2427143315</v>
      </c>
      <c r="BV22" s="17"/>
      <c r="BX22" s="253"/>
      <c r="BY22" s="253"/>
      <c r="CA22" s="254"/>
      <c r="CB22" s="107">
        <f t="shared" ref="CB22" si="31">+CB21+1</f>
        <v>10</v>
      </c>
      <c r="CC22" s="18" t="s">
        <v>87</v>
      </c>
      <c r="CD22" s="13"/>
      <c r="CE22" s="25"/>
      <c r="CF22" s="25"/>
      <c r="CG22" s="25"/>
      <c r="CH22" s="25"/>
      <c r="CI22" s="341"/>
      <c r="CJ22" s="25"/>
      <c r="CK22" s="23"/>
      <c r="CL22" s="17">
        <f t="shared" si="14"/>
        <v>2</v>
      </c>
      <c r="CM22" s="18" t="s">
        <v>87</v>
      </c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17">
        <f t="shared" si="16"/>
        <v>2</v>
      </c>
      <c r="CY22" s="18" t="s">
        <v>87</v>
      </c>
      <c r="CZ22" s="23"/>
      <c r="DA22" s="23"/>
      <c r="DB22" s="23"/>
    </row>
    <row r="23" spans="1:119" ht="15" customHeight="1" thickBot="1" x14ac:dyDescent="0.3">
      <c r="A23" s="17">
        <f t="shared" si="0"/>
        <v>12</v>
      </c>
      <c r="B23" s="446">
        <v>44805</v>
      </c>
      <c r="C23" s="353">
        <f>'[23]G Lead Sheet'!C24</f>
        <v>16293975.616151718</v>
      </c>
      <c r="D23" s="353">
        <f>'[23]G Lead Sheet'!D24</f>
        <v>16437681.35893672</v>
      </c>
      <c r="E23" s="353">
        <f t="shared" si="17"/>
        <v>143705.74278500117</v>
      </c>
      <c r="F23" s="462"/>
      <c r="G23" s="54">
        <f>ROW()</f>
        <v>23</v>
      </c>
      <c r="H23" s="388"/>
      <c r="I23" s="159"/>
      <c r="J23" s="92"/>
      <c r="K23" s="590"/>
      <c r="L23" s="107">
        <f t="shared" si="11"/>
        <v>12</v>
      </c>
      <c r="M23" s="18" t="s">
        <v>293</v>
      </c>
      <c r="N23" s="456">
        <f>'[8]Lead G'!$C$24</f>
        <v>201241970.38999999</v>
      </c>
      <c r="O23" s="17">
        <f t="shared" si="1"/>
        <v>12</v>
      </c>
      <c r="P23" s="2" t="s">
        <v>67</v>
      </c>
      <c r="Q23" s="144">
        <f>+Inputs!B9</f>
        <v>0.21</v>
      </c>
      <c r="R23" s="43">
        <f>R21*Q23</f>
        <v>-15175473.684936302</v>
      </c>
      <c r="S23" s="54">
        <f>ROW()</f>
        <v>23</v>
      </c>
      <c r="T23" s="554" t="s">
        <v>147</v>
      </c>
      <c r="U23" s="368"/>
      <c r="V23" s="572">
        <f>SUM(V14:V22)</f>
        <v>154586845.93081528</v>
      </c>
      <c r="W23" s="17">
        <f t="shared" si="2"/>
        <v>12</v>
      </c>
      <c r="X23" s="2" t="s">
        <v>54</v>
      </c>
      <c r="Y23" s="1"/>
      <c r="Z23" s="37"/>
      <c r="AA23" s="315">
        <f>-AA20-AA22</f>
        <v>1001863.1247898</v>
      </c>
      <c r="AB23" s="36">
        <f t="shared" si="3"/>
        <v>12</v>
      </c>
      <c r="AG23" s="26"/>
      <c r="AN23" s="17">
        <v>12</v>
      </c>
      <c r="AQ23" s="26"/>
      <c r="AR23" s="18"/>
      <c r="AS23" s="18"/>
      <c r="AT23" s="103"/>
      <c r="AU23" s="103"/>
      <c r="AV23" s="103"/>
      <c r="BA23" s="54"/>
      <c r="BB23" s="163"/>
      <c r="BC23" s="166"/>
      <c r="BD23" s="167"/>
      <c r="BE23" s="167"/>
      <c r="BF23" s="103"/>
      <c r="BG23" s="103"/>
      <c r="BH23" s="103"/>
      <c r="BI23" s="103"/>
      <c r="BJ23" s="103"/>
      <c r="BK23" s="107">
        <f t="shared" si="8"/>
        <v>12</v>
      </c>
      <c r="BL23" s="593" t="s">
        <v>386</v>
      </c>
      <c r="BM23" s="573">
        <f>Inputs!$B$7</f>
        <v>2E-3</v>
      </c>
      <c r="BN23" s="370"/>
      <c r="BO23" s="370"/>
      <c r="BP23" s="598">
        <f>-BM23*BP20</f>
        <v>-5514.9091600000002</v>
      </c>
      <c r="BQ23" s="107">
        <f t="shared" ref="BQ23" si="32">+BQ22+1</f>
        <v>12</v>
      </c>
      <c r="BR23" s="548" t="s">
        <v>343</v>
      </c>
      <c r="BS23" s="498">
        <f>[17]LEAD!$D$25</f>
        <v>-7203888.8936433159</v>
      </c>
      <c r="BT23" s="498"/>
      <c r="BU23" s="498">
        <f t="shared" si="29"/>
        <v>7203888.8936433159</v>
      </c>
      <c r="BV23" s="17"/>
      <c r="BX23" s="253"/>
      <c r="BY23" s="361"/>
      <c r="CA23" s="254"/>
      <c r="CB23" s="107">
        <f t="shared" ref="CB23" si="33">+CB22+1</f>
        <v>11</v>
      </c>
      <c r="CC23" s="18"/>
      <c r="CD23" s="46"/>
      <c r="CE23" s="50"/>
      <c r="CF23" s="50"/>
      <c r="CG23" s="50"/>
      <c r="CH23" s="50"/>
      <c r="CI23" s="457"/>
      <c r="CJ23" s="50"/>
      <c r="CK23" s="50"/>
      <c r="CL23" s="17">
        <f t="shared" si="14"/>
        <v>3</v>
      </c>
      <c r="CM23" s="18"/>
      <c r="CN23" s="50"/>
      <c r="CO23" s="50"/>
      <c r="CP23" s="50"/>
      <c r="CQ23" s="50"/>
      <c r="CR23" s="50"/>
      <c r="CS23" s="50"/>
      <c r="CT23" s="457"/>
      <c r="CU23" s="457"/>
      <c r="CV23" s="457"/>
      <c r="CW23" s="26"/>
      <c r="CX23" s="17">
        <f t="shared" si="16"/>
        <v>3</v>
      </c>
      <c r="CY23" s="18"/>
      <c r="CZ23" s="50"/>
      <c r="DA23" s="50"/>
      <c r="DB23" s="68"/>
    </row>
    <row r="24" spans="1:119" ht="15" customHeight="1" thickTop="1" thickBot="1" x14ac:dyDescent="0.25">
      <c r="A24" s="17">
        <f t="shared" si="0"/>
        <v>13</v>
      </c>
      <c r="B24" s="446">
        <v>44835</v>
      </c>
      <c r="C24" s="353">
        <f>'[23]G Lead Sheet'!C25</f>
        <v>16934781.933695477</v>
      </c>
      <c r="D24" s="353">
        <f>'[23]G Lead Sheet'!D25</f>
        <v>17815520.087116268</v>
      </c>
      <c r="E24" s="353">
        <f t="shared" si="17"/>
        <v>880738.15342079103</v>
      </c>
      <c r="F24" s="462"/>
      <c r="G24" s="54">
        <f>ROW()</f>
        <v>24</v>
      </c>
      <c r="H24" s="452" t="s">
        <v>355</v>
      </c>
      <c r="I24" s="159"/>
      <c r="J24" s="453"/>
      <c r="K24" s="308">
        <f>SUM(J19:J23)</f>
        <v>0</v>
      </c>
      <c r="L24" s="107">
        <f t="shared" si="11"/>
        <v>13</v>
      </c>
      <c r="M24" s="2" t="s">
        <v>299</v>
      </c>
      <c r="N24" s="456">
        <f>'[8]Lead G'!$C$25</f>
        <v>-203938261.19</v>
      </c>
      <c r="O24" s="17">
        <f t="shared" si="1"/>
        <v>13</v>
      </c>
      <c r="P24" s="2" t="s">
        <v>55</v>
      </c>
      <c r="Q24" s="37"/>
      <c r="R24" s="330">
        <f>-R23</f>
        <v>15175473.684936302</v>
      </c>
      <c r="S24" s="54">
        <f>ROW()</f>
        <v>24</v>
      </c>
      <c r="T24" s="368"/>
      <c r="U24" s="368"/>
      <c r="V24" s="368"/>
      <c r="W24" s="17">
        <f t="shared" si="2"/>
        <v>13</v>
      </c>
      <c r="X24" s="272"/>
      <c r="Z24" s="579"/>
      <c r="AB24" s="36">
        <f t="shared" si="3"/>
        <v>13</v>
      </c>
      <c r="AC24" s="18" t="s">
        <v>94</v>
      </c>
      <c r="AG24" s="341">
        <f>'[9]Lead Sheet'!$F$27</f>
        <v>4543695.7082890002</v>
      </c>
      <c r="AN24" s="17">
        <v>13</v>
      </c>
      <c r="AO24" s="2" t="s">
        <v>56</v>
      </c>
      <c r="AP24" s="257">
        <f>+Inputs!B9</f>
        <v>0.21</v>
      </c>
      <c r="AQ24" s="26">
        <f>AQ22*AP24</f>
        <v>815.72109443888064</v>
      </c>
      <c r="AR24" s="18"/>
      <c r="AS24" s="18"/>
      <c r="AT24" s="103"/>
      <c r="AU24" s="103"/>
      <c r="AV24" s="103"/>
      <c r="BA24" s="168"/>
      <c r="BB24" s="224"/>
      <c r="BC24" s="258"/>
      <c r="BD24" s="258"/>
      <c r="BE24" s="258"/>
      <c r="BF24" s="103"/>
      <c r="BG24" s="103"/>
      <c r="BH24" s="103"/>
      <c r="BI24" s="103"/>
      <c r="BJ24" s="103"/>
      <c r="BK24" s="107">
        <f t="shared" si="8"/>
        <v>13</v>
      </c>
      <c r="BL24" s="593" t="s">
        <v>387</v>
      </c>
      <c r="BM24" s="573">
        <f>Inputs!$B$8</f>
        <v>3.8413999999999997E-2</v>
      </c>
      <c r="BN24" s="370"/>
      <c r="BO24" s="370"/>
      <c r="BP24" s="598">
        <f>-BM24*BP20</f>
        <v>-105924.86023611999</v>
      </c>
      <c r="BQ24" s="103"/>
      <c r="BR24" s="453" t="s">
        <v>344</v>
      </c>
      <c r="BS24" s="341">
        <f>SUM(BS21:BS23)</f>
        <v>25262776.713642363</v>
      </c>
      <c r="BT24" s="341">
        <f t="shared" ref="BT24:BU24" si="34">SUM(BT21:BT23)</f>
        <v>0</v>
      </c>
      <c r="BU24" s="341">
        <f t="shared" si="34"/>
        <v>-25262776.713642363</v>
      </c>
      <c r="BV24" s="17"/>
      <c r="BX24" s="51"/>
      <c r="BY24" s="255"/>
      <c r="BZ24" s="384"/>
      <c r="CA24" s="254"/>
      <c r="CB24" s="107">
        <f t="shared" ref="CB24" si="35">+CB23+1</f>
        <v>12</v>
      </c>
      <c r="CC24" s="18" t="s">
        <v>88</v>
      </c>
      <c r="CD24" s="341">
        <f>+'[22]Allocated (CBR)'!C19</f>
        <v>500848710.36999995</v>
      </c>
      <c r="CE24" s="25">
        <f>+F39</f>
        <v>0</v>
      </c>
      <c r="CF24" s="25"/>
      <c r="CG24" s="25">
        <v>0</v>
      </c>
      <c r="CH24" s="25">
        <v>0</v>
      </c>
      <c r="CI24" s="341">
        <f>V45+V49+V53</f>
        <v>-30121488.719999999</v>
      </c>
      <c r="CJ24" s="25"/>
      <c r="CK24" s="25">
        <v>0</v>
      </c>
      <c r="CL24" s="17">
        <f t="shared" si="14"/>
        <v>4</v>
      </c>
      <c r="CM24" s="18" t="s">
        <v>88</v>
      </c>
      <c r="CN24" s="25"/>
      <c r="CO24" s="25"/>
      <c r="CP24" s="25">
        <v>0</v>
      </c>
      <c r="CQ24" s="25">
        <v>0</v>
      </c>
      <c r="CR24" s="25">
        <v>0</v>
      </c>
      <c r="CS24" s="25"/>
      <c r="CT24" s="341">
        <v>0</v>
      </c>
      <c r="CU24" s="341">
        <v>0</v>
      </c>
      <c r="CV24" s="341">
        <f t="shared" ref="CV24:CV41" si="36">SUM(CE24:CU24)-CL24</f>
        <v>-30121488.719999999</v>
      </c>
      <c r="CW24" s="26">
        <f>CD24+CV24</f>
        <v>470727221.64999998</v>
      </c>
      <c r="CX24" s="17">
        <f t="shared" si="16"/>
        <v>4</v>
      </c>
      <c r="CY24" s="18" t="s">
        <v>88</v>
      </c>
      <c r="CZ24" s="25">
        <f>CD24</f>
        <v>500848710.36999995</v>
      </c>
      <c r="DA24" s="25">
        <f>CV24</f>
        <v>-30121488.719999999</v>
      </c>
      <c r="DB24" s="65">
        <f>+CZ24+DA24</f>
        <v>470727221.64999998</v>
      </c>
      <c r="DC24" s="65"/>
    </row>
    <row r="25" spans="1:119" ht="15" customHeight="1" thickTop="1" x14ac:dyDescent="0.2">
      <c r="A25" s="17">
        <f t="shared" si="0"/>
        <v>14</v>
      </c>
      <c r="B25" s="446">
        <v>44866</v>
      </c>
      <c r="C25" s="353">
        <f>'[23]G Lead Sheet'!C26</f>
        <v>21060590.173849255</v>
      </c>
      <c r="D25" s="353">
        <f>'[23]G Lead Sheet'!D26</f>
        <v>20258560.316016588</v>
      </c>
      <c r="E25" s="353">
        <f t="shared" si="17"/>
        <v>-802029.85783266649</v>
      </c>
      <c r="F25" s="462"/>
      <c r="G25" s="54">
        <f>ROW()</f>
        <v>25</v>
      </c>
      <c r="H25" s="159"/>
      <c r="I25" s="159"/>
      <c r="J25" s="365"/>
      <c r="K25" s="365"/>
      <c r="L25" s="107">
        <f t="shared" si="11"/>
        <v>14</v>
      </c>
      <c r="M25" s="2" t="s">
        <v>295</v>
      </c>
      <c r="N25" s="456">
        <f>'[8]Lead G'!$C$26</f>
        <v>0</v>
      </c>
      <c r="O25" s="17"/>
      <c r="R25" s="2" t="s">
        <v>20</v>
      </c>
      <c r="S25" s="54">
        <f>ROW()</f>
        <v>25</v>
      </c>
      <c r="T25" s="206" t="s">
        <v>221</v>
      </c>
      <c r="U25" s="368"/>
      <c r="V25" s="368"/>
      <c r="W25" s="43"/>
      <c r="X25" s="18"/>
      <c r="Y25" s="43"/>
      <c r="Z25" s="578"/>
      <c r="AA25" s="578"/>
      <c r="AB25" s="36">
        <f t="shared" si="3"/>
        <v>14</v>
      </c>
      <c r="AC25" s="256" t="s">
        <v>50</v>
      </c>
      <c r="AH25" s="26">
        <f>ROUND(AG22-AG24,0)</f>
        <v>-1232026</v>
      </c>
      <c r="AN25" s="17">
        <v>14</v>
      </c>
      <c r="AP25" s="257"/>
      <c r="AQ25" s="26"/>
      <c r="AR25" s="18"/>
      <c r="AS25" s="18"/>
      <c r="AT25" s="18"/>
      <c r="AU25" s="18"/>
      <c r="AV25" s="103"/>
      <c r="BA25" s="168"/>
      <c r="BB25" s="184"/>
      <c r="BC25" s="131"/>
      <c r="BD25" s="131"/>
      <c r="BE25" s="131"/>
      <c r="BF25" s="103"/>
      <c r="BG25" s="103"/>
      <c r="BH25" s="103"/>
      <c r="BI25" s="103"/>
      <c r="BJ25" s="103"/>
      <c r="BK25" s="107">
        <f t="shared" si="8"/>
        <v>14</v>
      </c>
      <c r="BL25" s="599" t="s">
        <v>159</v>
      </c>
      <c r="BM25" s="599"/>
      <c r="BN25" s="370"/>
      <c r="BO25" s="370"/>
      <c r="BP25" s="600">
        <f>SUM(BP22:BP24)</f>
        <v>-119011.73967279999</v>
      </c>
      <c r="BQ25" s="103"/>
      <c r="BR25" s="453"/>
      <c r="BS25" s="453"/>
      <c r="BT25" s="255"/>
      <c r="BU25" s="31"/>
      <c r="BV25" s="17"/>
      <c r="BY25" s="244"/>
      <c r="BZ25" s="31"/>
      <c r="CA25" s="25"/>
      <c r="CB25" s="107">
        <f t="shared" ref="CB25" si="37">+CB24+1</f>
        <v>13</v>
      </c>
      <c r="CC25" s="18"/>
      <c r="CD25" s="46"/>
      <c r="CE25" s="43"/>
      <c r="CF25" s="43"/>
      <c r="CG25" s="43"/>
      <c r="CH25" s="43"/>
      <c r="CI25" s="457"/>
      <c r="CJ25" s="43"/>
      <c r="CK25" s="44"/>
      <c r="CL25" s="17">
        <f t="shared" si="14"/>
        <v>5</v>
      </c>
      <c r="CM25" s="18"/>
      <c r="CN25" s="44"/>
      <c r="CO25" s="43"/>
      <c r="CP25" s="44"/>
      <c r="CQ25" s="44"/>
      <c r="CR25" s="44"/>
      <c r="CS25" s="44"/>
      <c r="CT25" s="307"/>
      <c r="CU25" s="307"/>
      <c r="CV25" s="307">
        <f t="shared" si="36"/>
        <v>0</v>
      </c>
      <c r="CW25" s="44"/>
      <c r="CX25" s="17">
        <f t="shared" si="16"/>
        <v>5</v>
      </c>
      <c r="CY25" s="18"/>
      <c r="CZ25" s="44"/>
      <c r="DA25" s="43"/>
      <c r="DB25" s="66"/>
    </row>
    <row r="26" spans="1:119" ht="15" customHeight="1" thickBot="1" x14ac:dyDescent="0.25">
      <c r="A26" s="17">
        <f t="shared" si="0"/>
        <v>15</v>
      </c>
      <c r="B26" s="446">
        <v>44896</v>
      </c>
      <c r="C26" s="353">
        <f>'[23]G Lead Sheet'!C27</f>
        <v>25966651.35340495</v>
      </c>
      <c r="D26" s="353">
        <f>'[23]G Lead Sheet'!D27</f>
        <v>25391636.378051426</v>
      </c>
      <c r="E26" s="353">
        <f t="shared" si="17"/>
        <v>-575014.97535352409</v>
      </c>
      <c r="F26" s="462"/>
      <c r="G26" s="54">
        <f>ROW()</f>
        <v>26</v>
      </c>
      <c r="H26" s="159" t="s">
        <v>148</v>
      </c>
      <c r="I26" s="365"/>
      <c r="J26" s="317"/>
      <c r="K26" s="307">
        <f>SUM(K15:K25)</f>
        <v>1314256.83</v>
      </c>
      <c r="L26" s="107">
        <f t="shared" si="11"/>
        <v>15</v>
      </c>
      <c r="N26" s="461"/>
      <c r="O26" s="62"/>
      <c r="P26"/>
      <c r="Q26"/>
      <c r="R26"/>
      <c r="S26" s="54">
        <f>ROW()</f>
        <v>26</v>
      </c>
      <c r="T26" s="369" t="s">
        <v>219</v>
      </c>
      <c r="U26" s="559"/>
      <c r="V26" s="457">
        <f>'[19]Lead 3.05 '!D26</f>
        <v>148125.1</v>
      </c>
      <c r="W26" s="131"/>
      <c r="X26" s="131"/>
      <c r="Y26" s="131"/>
      <c r="Z26" s="131"/>
      <c r="AA26" s="131"/>
      <c r="AB26" s="36">
        <f t="shared" si="3"/>
        <v>15</v>
      </c>
      <c r="AC26" s="259"/>
      <c r="AI26" s="2"/>
      <c r="AJ26" s="2"/>
      <c r="AK26" s="2"/>
      <c r="AL26" s="2"/>
      <c r="AM26" s="2"/>
      <c r="AN26" s="17">
        <v>15</v>
      </c>
      <c r="AO26" s="2" t="s">
        <v>54</v>
      </c>
      <c r="AQ26" s="318">
        <f>AQ22-AQ24</f>
        <v>3068.6650695557892</v>
      </c>
      <c r="AR26" s="18"/>
      <c r="AS26" s="18"/>
      <c r="AT26" s="18"/>
      <c r="AU26" s="18"/>
      <c r="AV26" s="103"/>
      <c r="BA26" s="168"/>
      <c r="BB26" s="184"/>
      <c r="BC26" s="260"/>
      <c r="BD26" s="260"/>
      <c r="BE26" s="146"/>
      <c r="BF26" s="103"/>
      <c r="BG26" s="103"/>
      <c r="BH26" s="103"/>
      <c r="BI26" s="103"/>
      <c r="BJ26" s="103"/>
      <c r="BK26" s="107">
        <f t="shared" si="8"/>
        <v>15</v>
      </c>
      <c r="BL26" s="362"/>
      <c r="BM26" s="362"/>
      <c r="BN26" s="370"/>
      <c r="BO26" s="370"/>
      <c r="BP26" s="370"/>
      <c r="BQ26" s="103"/>
      <c r="BR26" s="103"/>
      <c r="BS26" s="103"/>
      <c r="BT26" s="103"/>
      <c r="BU26" s="103"/>
      <c r="BV26" s="17"/>
      <c r="BW26" s="60"/>
      <c r="BX26" s="60"/>
      <c r="BY26" s="261"/>
      <c r="CA26" s="43"/>
      <c r="CB26" s="107">
        <f t="shared" ref="CB26" si="38">+CB25+1</f>
        <v>14</v>
      </c>
      <c r="CC26" s="18" t="s">
        <v>5</v>
      </c>
      <c r="CD26" s="328">
        <f>SUM(CD24:CD25)</f>
        <v>500848710.36999995</v>
      </c>
      <c r="CE26" s="42">
        <f>SUM(CE23:CE25)</f>
        <v>0</v>
      </c>
      <c r="CF26" s="42">
        <f>SUM(CF23:CF25)</f>
        <v>0</v>
      </c>
      <c r="CG26" s="42">
        <f>SUM(CG23:CG25)</f>
        <v>0</v>
      </c>
      <c r="CH26" s="42">
        <f>SUM(CH23:CH25)</f>
        <v>0</v>
      </c>
      <c r="CI26" s="328">
        <f>SUM(CI23:CI25)</f>
        <v>-30121488.719999999</v>
      </c>
      <c r="CJ26" s="42"/>
      <c r="CK26" s="42">
        <f>SUM(CK23:CK25)</f>
        <v>0</v>
      </c>
      <c r="CL26" s="17">
        <f t="shared" si="14"/>
        <v>6</v>
      </c>
      <c r="CM26" s="18" t="s">
        <v>5</v>
      </c>
      <c r="CN26" s="42">
        <f>SUM(CN23:CN25)</f>
        <v>0</v>
      </c>
      <c r="CO26" s="42">
        <f>SUM(CO23:CO25)</f>
        <v>0</v>
      </c>
      <c r="CP26" s="42">
        <f>SUM(CP23:CP25)</f>
        <v>0</v>
      </c>
      <c r="CQ26" s="42">
        <f>SUM(CQ23:CQ25)</f>
        <v>0</v>
      </c>
      <c r="CR26" s="42">
        <f>SUM(CR23:CR25)</f>
        <v>0</v>
      </c>
      <c r="CS26" s="42"/>
      <c r="CT26" s="328">
        <f>SUM(CT23:CT25)</f>
        <v>0</v>
      </c>
      <c r="CU26" s="328">
        <f>SUM(CU23:CU25)</f>
        <v>0</v>
      </c>
      <c r="CV26" s="328">
        <f t="shared" si="36"/>
        <v>-30121488.719999999</v>
      </c>
      <c r="CW26" s="26">
        <f>CD26+CV26</f>
        <v>470727221.64999998</v>
      </c>
      <c r="CX26" s="17">
        <f t="shared" si="16"/>
        <v>6</v>
      </c>
      <c r="CY26" s="18" t="s">
        <v>5</v>
      </c>
      <c r="CZ26" s="42">
        <f>SUM(CZ22:CZ25)</f>
        <v>500848710.36999995</v>
      </c>
      <c r="DA26" s="42">
        <f>SUM(DA22:DA25)</f>
        <v>-30121488.719999999</v>
      </c>
      <c r="DB26" s="42">
        <f>SUM(DB22:DB25)</f>
        <v>470727221.64999998</v>
      </c>
      <c r="DC26" s="26"/>
    </row>
    <row r="27" spans="1:119" s="60" customFormat="1" ht="15" customHeight="1" thickTop="1" x14ac:dyDescent="0.2">
      <c r="A27" s="17">
        <f t="shared" si="0"/>
        <v>16</v>
      </c>
      <c r="B27" s="159"/>
      <c r="C27" s="354">
        <f>ROUND(SUM(C15:C26),0)</f>
        <v>238717610</v>
      </c>
      <c r="D27" s="354">
        <f>ROUND(SUM(D15:D26),0)</f>
        <v>236776907</v>
      </c>
      <c r="E27" s="354">
        <f>ROUND(SUM(E15:E26),0)</f>
        <v>-1940703</v>
      </c>
      <c r="F27" s="154"/>
      <c r="G27" s="54">
        <f>ROW()</f>
        <v>27</v>
      </c>
      <c r="H27" s="159"/>
      <c r="I27" s="365"/>
      <c r="J27" s="317"/>
      <c r="K27" s="371"/>
      <c r="L27" s="107">
        <f t="shared" si="11"/>
        <v>16</v>
      </c>
      <c r="M27" s="60" t="s">
        <v>300</v>
      </c>
      <c r="N27" s="458">
        <f>SUM(N22:N25)</f>
        <v>37411874.060000002</v>
      </c>
      <c r="O27" s="17"/>
      <c r="P27"/>
      <c r="Q27"/>
      <c r="R27"/>
      <c r="S27" s="54">
        <f>ROW()</f>
        <v>27</v>
      </c>
      <c r="T27" s="369" t="s">
        <v>380</v>
      </c>
      <c r="U27" s="559"/>
      <c r="V27" s="457">
        <f>'[19]Lead 3.05 '!D27</f>
        <v>6629.56</v>
      </c>
      <c r="W27" s="43"/>
      <c r="AB27" s="36">
        <f t="shared" si="3"/>
        <v>16</v>
      </c>
      <c r="AC27" s="163" t="s">
        <v>168</v>
      </c>
      <c r="AD27" s="2"/>
      <c r="AE27" s="2"/>
      <c r="AF27" s="2"/>
      <c r="AG27" s="2"/>
      <c r="AH27" s="26">
        <f>-AH25</f>
        <v>1232026</v>
      </c>
      <c r="AI27" s="149"/>
      <c r="AJ27" s="149"/>
      <c r="AK27" s="149"/>
      <c r="AL27" s="149"/>
      <c r="AM27" s="149"/>
      <c r="AN27" s="2"/>
      <c r="AO27" s="2"/>
      <c r="AP27" s="2"/>
      <c r="AQ27"/>
      <c r="AR27" s="18"/>
      <c r="AS27" s="18"/>
      <c r="AT27" s="18"/>
      <c r="AU27" s="18"/>
      <c r="AV27" s="103"/>
      <c r="AW27" s="159"/>
      <c r="AX27" s="159"/>
      <c r="AY27" s="159"/>
      <c r="AZ27" s="159"/>
      <c r="BA27" s="168"/>
      <c r="BB27" s="262"/>
      <c r="BC27" s="260"/>
      <c r="BD27" s="260"/>
      <c r="BE27" s="146"/>
      <c r="BF27" s="103"/>
      <c r="BG27" s="103"/>
      <c r="BH27" s="103"/>
      <c r="BI27" s="103"/>
      <c r="BJ27" s="103"/>
      <c r="BK27" s="107">
        <f t="shared" si="8"/>
        <v>16</v>
      </c>
      <c r="BL27" s="601" t="s">
        <v>164</v>
      </c>
      <c r="BM27" s="370"/>
      <c r="BN27" s="370"/>
      <c r="BO27" s="370"/>
      <c r="BP27" s="602">
        <f>-BP20-BP25</f>
        <v>-2638442.8403272</v>
      </c>
      <c r="BQ27" s="103"/>
      <c r="BR27" s="103"/>
      <c r="BS27" s="103"/>
      <c r="BT27" s="103"/>
      <c r="BU27" s="103"/>
      <c r="BV27" s="17"/>
      <c r="BW27" s="18"/>
      <c r="BX27" s="2"/>
      <c r="BY27" s="263"/>
      <c r="BZ27" s="2"/>
      <c r="CA27" s="43"/>
      <c r="CB27" s="107">
        <f t="shared" ref="CB27" si="39">+CB26+1</f>
        <v>15</v>
      </c>
      <c r="CC27" s="97"/>
      <c r="CD27" s="38"/>
      <c r="CE27" s="38"/>
      <c r="CF27" s="38"/>
      <c r="CG27" s="38"/>
      <c r="CH27" s="38"/>
      <c r="CI27" s="38"/>
      <c r="CJ27" s="38"/>
      <c r="CK27" s="294"/>
      <c r="CL27" s="17">
        <f t="shared" si="14"/>
        <v>7</v>
      </c>
      <c r="CM27" s="97"/>
      <c r="CN27" s="294"/>
      <c r="CO27" s="63"/>
      <c r="CP27" s="294"/>
      <c r="CQ27" s="294"/>
      <c r="CR27" s="294"/>
      <c r="CS27" s="294"/>
      <c r="CT27" s="294"/>
      <c r="CU27" s="294"/>
      <c r="CV27" s="294"/>
      <c r="CW27" s="38"/>
      <c r="CX27" s="17">
        <f t="shared" si="16"/>
        <v>7</v>
      </c>
      <c r="CY27"/>
      <c r="CZ27"/>
      <c r="DA27"/>
      <c r="DB27"/>
      <c r="DC27" s="26"/>
      <c r="DD27"/>
      <c r="DE27"/>
      <c r="DF27"/>
      <c r="DG27"/>
      <c r="DH27"/>
      <c r="DI27"/>
      <c r="DJ27"/>
      <c r="DK27"/>
      <c r="DL27"/>
      <c r="DM27"/>
      <c r="DN27"/>
      <c r="DO27"/>
    </row>
    <row r="28" spans="1:119" ht="15" customHeight="1" x14ac:dyDescent="0.2">
      <c r="A28" s="17">
        <f t="shared" si="0"/>
        <v>17</v>
      </c>
      <c r="B28" s="204" t="s">
        <v>138</v>
      </c>
      <c r="C28" s="147"/>
      <c r="D28" s="147"/>
      <c r="E28" s="159"/>
      <c r="F28" s="154"/>
      <c r="G28" s="54">
        <f>ROW()</f>
        <v>28</v>
      </c>
      <c r="H28" s="362" t="s">
        <v>140</v>
      </c>
      <c r="I28" s="195">
        <f>+Inputs!B6</f>
        <v>2.7460000000000002E-3</v>
      </c>
      <c r="J28" s="356">
        <f>+K26*I28</f>
        <v>3608.9492551800004</v>
      </c>
      <c r="K28" s="457"/>
      <c r="L28" s="107">
        <f t="shared" si="11"/>
        <v>17</v>
      </c>
      <c r="N28" s="455"/>
      <c r="O28" s="17"/>
      <c r="P28"/>
      <c r="Q28"/>
      <c r="R28"/>
      <c r="S28" s="54">
        <f>ROW()</f>
        <v>28</v>
      </c>
      <c r="T28" s="369" t="s">
        <v>238</v>
      </c>
      <c r="U28" s="559"/>
      <c r="V28" s="457">
        <f>'[19]Lead 3.05 '!D28</f>
        <v>-15561783.640000001</v>
      </c>
      <c r="W28" s="43"/>
      <c r="AB28" s="36">
        <f t="shared" si="3"/>
        <v>17</v>
      </c>
      <c r="AC28" s="161" t="s">
        <v>82</v>
      </c>
      <c r="AG28" s="144">
        <f>+Inputs!B9</f>
        <v>0.21</v>
      </c>
      <c r="AH28" s="83">
        <f>ROUND(-AH25*AG28,0)</f>
        <v>258725</v>
      </c>
      <c r="AI28" s="150"/>
      <c r="AJ28" s="150"/>
      <c r="AK28" s="150"/>
      <c r="AL28" s="150"/>
      <c r="AM28" s="150"/>
      <c r="AQ28"/>
      <c r="AR28" s="45"/>
      <c r="AS28" s="45"/>
      <c r="AT28" s="45"/>
      <c r="AU28" s="45"/>
      <c r="AV28" s="45"/>
      <c r="BA28" s="168"/>
      <c r="BB28" s="262"/>
      <c r="BC28" s="260"/>
      <c r="BD28" s="260"/>
      <c r="BE28" s="260"/>
      <c r="BF28" s="45"/>
      <c r="BG28" s="45"/>
      <c r="BH28" s="45"/>
      <c r="BI28" s="45"/>
      <c r="BJ28" s="45"/>
      <c r="BK28" s="107">
        <f t="shared" si="8"/>
        <v>17</v>
      </c>
      <c r="BL28" s="601" t="s">
        <v>82</v>
      </c>
      <c r="BM28" s="603">
        <v>0.21</v>
      </c>
      <c r="BN28" s="370"/>
      <c r="BO28" s="370"/>
      <c r="BP28" s="602">
        <f>+BM28*BP27</f>
        <v>-554072.99646871199</v>
      </c>
      <c r="BQ28" s="317"/>
      <c r="BR28" s="317"/>
      <c r="BS28" s="317"/>
      <c r="BT28" s="317"/>
      <c r="BU28" s="317"/>
      <c r="BV28" s="17"/>
      <c r="BW28" s="18"/>
      <c r="BY28" s="263"/>
      <c r="CA28" s="265"/>
      <c r="CB28" s="107">
        <f t="shared" ref="CB28" si="40">+CB27+1</f>
        <v>16</v>
      </c>
      <c r="CC28" s="28" t="s">
        <v>65</v>
      </c>
      <c r="CD28" s="341">
        <f>+'[22]Allocated (CBR)'!C24</f>
        <v>7410984.3900000015</v>
      </c>
      <c r="CE28" s="25">
        <v>0</v>
      </c>
      <c r="CF28" s="25"/>
      <c r="CG28" s="25">
        <v>0</v>
      </c>
      <c r="CH28" s="25">
        <v>0</v>
      </c>
      <c r="CI28" s="341"/>
      <c r="CJ28" s="25"/>
      <c r="CK28" s="25">
        <v>0</v>
      </c>
      <c r="CL28" s="17">
        <f t="shared" si="14"/>
        <v>8</v>
      </c>
      <c r="CM28" s="28" t="s">
        <v>65</v>
      </c>
      <c r="CN28" s="45"/>
      <c r="CO28" s="25">
        <v>0</v>
      </c>
      <c r="CP28" s="45">
        <v>0</v>
      </c>
      <c r="CQ28" s="45">
        <v>0</v>
      </c>
      <c r="CR28" s="45">
        <v>0</v>
      </c>
      <c r="CS28" s="45"/>
      <c r="CT28" s="317">
        <v>0</v>
      </c>
      <c r="CU28" s="317">
        <f>BU13</f>
        <v>4039.46</v>
      </c>
      <c r="CV28" s="317">
        <f t="shared" si="36"/>
        <v>4039.46</v>
      </c>
      <c r="CW28" s="26">
        <f t="shared" ref="CW28:CW41" si="41">CD28+CV28</f>
        <v>7415023.8500000015</v>
      </c>
      <c r="CX28" s="17">
        <f t="shared" si="16"/>
        <v>8</v>
      </c>
      <c r="CY28" s="81" t="s">
        <v>58</v>
      </c>
      <c r="CZ28" s="25">
        <f t="shared" ref="CZ28:CZ41" si="42">CD28</f>
        <v>7410984.3900000015</v>
      </c>
      <c r="DA28" s="25">
        <f t="shared" ref="DA28:DA41" si="43">CV28</f>
        <v>4039.46</v>
      </c>
      <c r="DB28" s="65">
        <f>CZ28+DA28</f>
        <v>7415023.8500000015</v>
      </c>
      <c r="DC28" s="26"/>
    </row>
    <row r="29" spans="1:119" ht="15" customHeight="1" thickBot="1" x14ac:dyDescent="0.25">
      <c r="A29" s="17">
        <f t="shared" si="0"/>
        <v>18</v>
      </c>
      <c r="C29" s="369"/>
      <c r="D29" s="304"/>
      <c r="E29" s="300"/>
      <c r="F29" s="159"/>
      <c r="G29" s="54">
        <f>ROW()</f>
        <v>29</v>
      </c>
      <c r="H29" s="362" t="s">
        <v>141</v>
      </c>
      <c r="I29" s="195">
        <f>+Inputs!B7</f>
        <v>2E-3</v>
      </c>
      <c r="J29" s="356">
        <f>+K26*I29</f>
        <v>2628.5136600000001</v>
      </c>
      <c r="K29" s="457"/>
      <c r="L29" s="107">
        <f t="shared" si="11"/>
        <v>18</v>
      </c>
      <c r="M29" s="18" t="s">
        <v>56</v>
      </c>
      <c r="N29" s="455">
        <f>N15-N22</f>
        <v>1660194.0363726765</v>
      </c>
      <c r="O29" s="17"/>
      <c r="P29"/>
      <c r="Q29"/>
      <c r="R29"/>
      <c r="S29" s="54">
        <f>ROW()</f>
        <v>29</v>
      </c>
      <c r="T29" s="369" t="s">
        <v>378</v>
      </c>
      <c r="U29" s="559"/>
      <c r="V29" s="457">
        <f>'[19]Lead 3.05 '!D29</f>
        <v>-3079668.28</v>
      </c>
      <c r="W29" s="43"/>
      <c r="AB29" s="36">
        <f t="shared" si="3"/>
        <v>18</v>
      </c>
      <c r="AC29" s="264" t="s">
        <v>55</v>
      </c>
      <c r="AH29" s="327">
        <f>AH27-AH28</f>
        <v>973301</v>
      </c>
      <c r="AI29" s="37"/>
      <c r="AJ29" s="37"/>
      <c r="AK29" s="37"/>
      <c r="AL29" s="37"/>
      <c r="AM29" s="37"/>
      <c r="AQ29"/>
      <c r="AR29" s="2"/>
      <c r="AS29" s="2"/>
      <c r="AT29" s="2"/>
      <c r="AU29" s="2"/>
      <c r="AV29" s="2"/>
      <c r="AW29" s="162"/>
      <c r="BA29" s="168"/>
      <c r="BB29" s="262"/>
      <c r="BC29" s="260"/>
      <c r="BD29" s="260"/>
      <c r="BE29" s="260"/>
      <c r="BF29" s="2"/>
      <c r="BG29" s="2"/>
      <c r="BH29" s="2"/>
      <c r="BI29" s="2"/>
      <c r="BJ29" s="2"/>
      <c r="BK29" s="107">
        <f t="shared" si="8"/>
        <v>18</v>
      </c>
      <c r="BL29" s="601" t="s">
        <v>55</v>
      </c>
      <c r="BM29" s="370"/>
      <c r="BN29" s="370"/>
      <c r="BO29" s="370"/>
      <c r="BP29" s="604">
        <f>BP27-BP28</f>
        <v>-2084369.8438584879</v>
      </c>
      <c r="BQ29" s="453"/>
      <c r="BR29" s="453"/>
      <c r="BS29" s="453"/>
      <c r="BT29" s="453"/>
      <c r="BU29" s="453"/>
      <c r="BV29" s="17"/>
      <c r="CA29" s="25"/>
      <c r="CB29" s="107">
        <f t="shared" ref="CB29" si="44">+CB28+1</f>
        <v>17</v>
      </c>
      <c r="CC29" s="18" t="s">
        <v>6</v>
      </c>
      <c r="CD29" s="469">
        <f>+'[22]Allocated (CBR)'!C25</f>
        <v>0</v>
      </c>
      <c r="CE29" s="43"/>
      <c r="CF29" s="43"/>
      <c r="CG29" s="43"/>
      <c r="CH29" s="43"/>
      <c r="CI29" s="457"/>
      <c r="CJ29" s="43"/>
      <c r="CK29" s="43"/>
      <c r="CL29" s="17">
        <f t="shared" si="14"/>
        <v>9</v>
      </c>
      <c r="CM29" s="18" t="s">
        <v>6</v>
      </c>
      <c r="CN29" s="43"/>
      <c r="CO29" s="43"/>
      <c r="CP29" s="43"/>
      <c r="CQ29" s="43"/>
      <c r="CR29" s="43"/>
      <c r="CS29" s="43"/>
      <c r="CT29" s="457"/>
      <c r="CU29" s="457"/>
      <c r="CV29" s="457">
        <f t="shared" si="36"/>
        <v>0</v>
      </c>
      <c r="CW29" s="43">
        <f t="shared" si="41"/>
        <v>0</v>
      </c>
      <c r="CX29" s="17">
        <f t="shared" si="16"/>
        <v>9</v>
      </c>
      <c r="CY29" s="18" t="s">
        <v>6</v>
      </c>
      <c r="CZ29" s="43">
        <f t="shared" si="42"/>
        <v>0</v>
      </c>
      <c r="DA29" s="14">
        <f t="shared" si="43"/>
        <v>0</v>
      </c>
      <c r="DB29" s="66">
        <f t="shared" ref="DB29:DB41" si="45">+CZ29+DA29</f>
        <v>0</v>
      </c>
      <c r="DC29" s="26"/>
    </row>
    <row r="30" spans="1:119" ht="15" customHeight="1" thickTop="1" x14ac:dyDescent="0.2">
      <c r="A30" s="17">
        <f t="shared" si="0"/>
        <v>19</v>
      </c>
      <c r="B30" s="447" t="s">
        <v>286</v>
      </c>
      <c r="C30" s="447"/>
      <c r="D30" s="448">
        <v>85</v>
      </c>
      <c r="E30" s="353">
        <f>'[23]G Lead Sheet'!E30</f>
        <v>-23737.260580196824</v>
      </c>
      <c r="G30" s="54">
        <f>ROW()</f>
        <v>30</v>
      </c>
      <c r="H30" s="367" t="s">
        <v>50</v>
      </c>
      <c r="I30" s="192"/>
      <c r="J30" s="557"/>
      <c r="K30" s="371">
        <f>SUM(J28:J29)</f>
        <v>6237.46291518</v>
      </c>
      <c r="L30" s="107">
        <f t="shared" si="11"/>
        <v>19</v>
      </c>
      <c r="M30" s="18" t="s">
        <v>301</v>
      </c>
      <c r="N30" s="456">
        <f>(N16+N17)-(N23+N24)</f>
        <v>466008.6718220124</v>
      </c>
      <c r="O30" s="17"/>
      <c r="P30"/>
      <c r="Q30"/>
      <c r="R30"/>
      <c r="S30" s="54">
        <f>ROW()</f>
        <v>30</v>
      </c>
      <c r="T30" s="442" t="s">
        <v>217</v>
      </c>
      <c r="U30" s="560"/>
      <c r="V30" s="307">
        <f>'[19]Lead 3.05 '!D30</f>
        <v>25.19</v>
      </c>
      <c r="W30" s="268"/>
      <c r="AC30" s="1"/>
      <c r="AI30" s="37"/>
      <c r="AJ30" s="37"/>
      <c r="AK30" s="37"/>
      <c r="AL30" s="37"/>
      <c r="AM30" s="37"/>
      <c r="AN30" s="60"/>
      <c r="AO30" s="60"/>
      <c r="AP30" s="60"/>
      <c r="AQ30"/>
      <c r="AR30" s="2"/>
      <c r="AS30" s="2"/>
      <c r="AT30" s="2"/>
      <c r="AU30" s="2"/>
      <c r="AV30" s="2"/>
      <c r="AW30" s="162"/>
      <c r="BA30" s="168"/>
      <c r="BB30" s="262"/>
      <c r="BC30" s="260"/>
      <c r="BD30" s="260"/>
      <c r="BE30" s="260"/>
      <c r="BF30" s="2"/>
      <c r="BG30" s="2"/>
      <c r="BH30" s="2"/>
      <c r="BI30" s="2"/>
      <c r="BJ30" s="2"/>
      <c r="BK30" s="453"/>
      <c r="BL30" s="453"/>
      <c r="BM30" s="453"/>
      <c r="BN30" s="453"/>
      <c r="BO30" s="453"/>
      <c r="BP30" s="453"/>
      <c r="BQ30" s="453"/>
      <c r="BR30" s="453"/>
      <c r="BS30" s="453"/>
      <c r="BT30" s="453"/>
      <c r="BU30" s="453"/>
      <c r="BV30" s="17"/>
      <c r="CA30" s="25"/>
      <c r="CB30" s="107">
        <f t="shared" ref="CB30" si="46">+CB29+1</f>
        <v>18</v>
      </c>
      <c r="CC30" s="18" t="s">
        <v>7</v>
      </c>
      <c r="CD30" s="469">
        <f>+'[22]Allocated (CBR)'!C26</f>
        <v>62267781.539999992</v>
      </c>
      <c r="CE30" s="43"/>
      <c r="CF30" s="43"/>
      <c r="CG30" s="43"/>
      <c r="CH30" s="43"/>
      <c r="CI30" s="457"/>
      <c r="CJ30" s="43"/>
      <c r="CK30" s="43"/>
      <c r="CL30" s="17">
        <f t="shared" si="14"/>
        <v>10</v>
      </c>
      <c r="CM30" s="18" t="s">
        <v>7</v>
      </c>
      <c r="CN30" s="43"/>
      <c r="CO30" s="43"/>
      <c r="CP30" s="43"/>
      <c r="CQ30" s="43"/>
      <c r="CR30" s="43"/>
      <c r="CS30" s="43"/>
      <c r="CT30" s="457"/>
      <c r="CU30" s="457"/>
      <c r="CV30" s="457">
        <f t="shared" si="36"/>
        <v>0</v>
      </c>
      <c r="CW30" s="43">
        <f t="shared" si="41"/>
        <v>62267781.539999992</v>
      </c>
      <c r="CX30" s="17">
        <f t="shared" si="16"/>
        <v>10</v>
      </c>
      <c r="CY30" s="18" t="s">
        <v>7</v>
      </c>
      <c r="CZ30" s="43">
        <f t="shared" si="42"/>
        <v>62267781.539999992</v>
      </c>
      <c r="DA30" s="14">
        <f t="shared" si="43"/>
        <v>0</v>
      </c>
      <c r="DB30" s="66">
        <f t="shared" si="45"/>
        <v>62267781.539999992</v>
      </c>
    </row>
    <row r="31" spans="1:119" ht="15" customHeight="1" x14ac:dyDescent="0.25">
      <c r="A31" s="17">
        <f t="shared" si="0"/>
        <v>20</v>
      </c>
      <c r="B31" s="447" t="s">
        <v>287</v>
      </c>
      <c r="C31" s="447"/>
      <c r="D31" s="449" t="s">
        <v>305</v>
      </c>
      <c r="E31" s="353">
        <f>'[23]G Lead Sheet'!E31</f>
        <v>-7981.9909811767393</v>
      </c>
      <c r="G31" s="54">
        <f>ROW()</f>
        <v>31</v>
      </c>
      <c r="H31" s="362"/>
      <c r="I31" s="192"/>
      <c r="J31" s="345"/>
      <c r="K31" s="457"/>
      <c r="L31" s="107">
        <f t="shared" si="11"/>
        <v>20</v>
      </c>
      <c r="M31" s="2" t="s">
        <v>302</v>
      </c>
      <c r="N31" s="457">
        <f>N18-N25</f>
        <v>0</v>
      </c>
      <c r="O31" s="17"/>
      <c r="P31"/>
      <c r="Q31"/>
      <c r="R31"/>
      <c r="S31" s="54">
        <f>ROW()</f>
        <v>31</v>
      </c>
      <c r="T31" s="452" t="s">
        <v>355</v>
      </c>
      <c r="U31" s="368"/>
      <c r="V31" s="572">
        <f>SUM(V26:V30)</f>
        <v>-18486672.07</v>
      </c>
      <c r="W31" s="43"/>
      <c r="X31" s="43"/>
      <c r="Y31" s="43"/>
      <c r="Z31" s="43"/>
      <c r="AA31" s="43"/>
      <c r="AI31" s="151"/>
      <c r="AJ31" s="151"/>
      <c r="AK31" s="151"/>
      <c r="AL31" s="151"/>
      <c r="AM31" s="151"/>
      <c r="AQ31"/>
      <c r="AR31" s="20"/>
      <c r="AS31" s="20"/>
      <c r="AT31" s="20"/>
      <c r="AU31" s="20"/>
      <c r="AV31" s="20"/>
      <c r="BA31" s="168"/>
      <c r="BB31" s="262"/>
      <c r="BC31" s="260"/>
      <c r="BD31" s="260"/>
      <c r="BE31" s="26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Y31" s="51" t="s">
        <v>20</v>
      </c>
      <c r="CA31" s="25"/>
      <c r="CB31" s="107">
        <f t="shared" ref="CB31" si="47">+CB30+1</f>
        <v>19</v>
      </c>
      <c r="CC31" s="59" t="s">
        <v>8</v>
      </c>
      <c r="CD31" s="469">
        <f>+'[22]Allocated (CBR)'!C27</f>
        <v>25415272.079999998</v>
      </c>
      <c r="CE31" s="295">
        <f>+E40</f>
        <v>-166</v>
      </c>
      <c r="CF31" s="295">
        <f>J28</f>
        <v>3608.9492551800004</v>
      </c>
      <c r="CG31" s="295"/>
      <c r="CH31" s="295"/>
      <c r="CI31" s="295">
        <f>V36</f>
        <v>-371271.58652917726</v>
      </c>
      <c r="CJ31" s="295"/>
      <c r="CK31" s="43">
        <f>AH25</f>
        <v>-1232026</v>
      </c>
      <c r="CL31" s="17">
        <f t="shared" si="14"/>
        <v>11</v>
      </c>
      <c r="CM31" s="59" t="s">
        <v>8</v>
      </c>
      <c r="CN31" s="43"/>
      <c r="CO31" s="295"/>
      <c r="CP31" s="43"/>
      <c r="CQ31" s="43">
        <f>AZ12</f>
        <v>6904.1433218348629</v>
      </c>
      <c r="CR31" s="43"/>
      <c r="CS31" s="43"/>
      <c r="CT31" s="457">
        <f>+BP22</f>
        <v>-7571.970276680001</v>
      </c>
      <c r="CU31" s="457"/>
      <c r="CV31" s="457">
        <f t="shared" si="36"/>
        <v>-1600522.4642288424</v>
      </c>
      <c r="CW31" s="43">
        <f t="shared" si="41"/>
        <v>23814749.615771156</v>
      </c>
      <c r="CX31" s="17">
        <f t="shared" si="16"/>
        <v>11</v>
      </c>
      <c r="CY31" s="59" t="s">
        <v>59</v>
      </c>
      <c r="CZ31" s="43">
        <f t="shared" si="42"/>
        <v>25415272.079999998</v>
      </c>
      <c r="DA31" s="94">
        <f t="shared" si="43"/>
        <v>-1600522.4642288424</v>
      </c>
      <c r="DB31" s="66">
        <f t="shared" si="45"/>
        <v>23814749.615771156</v>
      </c>
    </row>
    <row r="32" spans="1:119" ht="15" customHeight="1" thickBot="1" x14ac:dyDescent="0.25">
      <c r="A32" s="17">
        <f t="shared" si="0"/>
        <v>21</v>
      </c>
      <c r="B32" s="447" t="s">
        <v>288</v>
      </c>
      <c r="C32" s="447"/>
      <c r="D32" s="448">
        <v>87</v>
      </c>
      <c r="E32" s="353">
        <f>'[23]G Lead Sheet'!E32</f>
        <v>-13334.104408698688</v>
      </c>
      <c r="F32" s="159"/>
      <c r="G32" s="54">
        <f>ROW()</f>
        <v>32</v>
      </c>
      <c r="H32" s="362" t="s">
        <v>142</v>
      </c>
      <c r="I32" s="195">
        <f>+Inputs!B8</f>
        <v>3.8413999999999997E-2</v>
      </c>
      <c r="J32" s="317">
        <f>+K26*I32</f>
        <v>50485.861867619999</v>
      </c>
      <c r="K32" s="457"/>
      <c r="L32" s="107">
        <f t="shared" si="11"/>
        <v>21</v>
      </c>
      <c r="M32" s="18" t="s">
        <v>303</v>
      </c>
      <c r="N32" s="459">
        <f>-SUM(N29:N31)</f>
        <v>-2126202.7081946889</v>
      </c>
      <c r="O32" s="17"/>
      <c r="P32"/>
      <c r="Q32"/>
      <c r="R32"/>
      <c r="S32" s="54">
        <f>ROW()</f>
        <v>32</v>
      </c>
      <c r="T32" s="368"/>
      <c r="U32" s="368"/>
      <c r="V32" s="368"/>
      <c r="W32" s="266"/>
      <c r="X32" s="266"/>
      <c r="Y32" s="266"/>
      <c r="Z32" s="266"/>
      <c r="AA32" s="266"/>
      <c r="AI32" s="152"/>
      <c r="AJ32" s="152"/>
      <c r="AK32" s="152"/>
      <c r="AL32" s="152"/>
      <c r="AM32" s="152"/>
      <c r="AQ32"/>
      <c r="BA32" s="168"/>
      <c r="BB32" s="262"/>
      <c r="BC32" s="260"/>
      <c r="BD32" s="260"/>
      <c r="BE32" s="260"/>
      <c r="BX32" s="1"/>
      <c r="CA32" s="25"/>
      <c r="CB32" s="107">
        <f t="shared" ref="CB32" si="48">+CB31+1</f>
        <v>20</v>
      </c>
      <c r="CC32" s="18" t="s">
        <v>9</v>
      </c>
      <c r="CD32" s="469">
        <f>+'[22]Allocated (CBR)'!C28</f>
        <v>5047945.2</v>
      </c>
      <c r="CE32" s="43"/>
      <c r="CF32" s="43"/>
      <c r="CG32" s="43"/>
      <c r="CH32" s="43"/>
      <c r="CI32" s="457">
        <f>V42+V46+V50</f>
        <v>-3120541.07</v>
      </c>
      <c r="CJ32" s="43"/>
      <c r="CK32" s="43"/>
      <c r="CL32" s="17">
        <f t="shared" si="14"/>
        <v>12</v>
      </c>
      <c r="CM32" s="18" t="s">
        <v>9</v>
      </c>
      <c r="CN32" s="43"/>
      <c r="CO32" s="43"/>
      <c r="CP32" s="43"/>
      <c r="CQ32" s="43"/>
      <c r="CR32" s="43"/>
      <c r="CS32" s="43"/>
      <c r="CT32" s="457"/>
      <c r="CU32" s="457"/>
      <c r="CV32" s="457">
        <f t="shared" si="36"/>
        <v>-3120541.07</v>
      </c>
      <c r="CW32" s="43">
        <f t="shared" si="41"/>
        <v>1927404.1300000004</v>
      </c>
      <c r="CX32" s="17">
        <f t="shared" si="16"/>
        <v>12</v>
      </c>
      <c r="CY32" s="18" t="s">
        <v>9</v>
      </c>
      <c r="CZ32" s="43">
        <f t="shared" si="42"/>
        <v>5047945.2</v>
      </c>
      <c r="DA32" s="94">
        <f t="shared" si="43"/>
        <v>-3120541.07</v>
      </c>
      <c r="DB32" s="66">
        <f t="shared" si="45"/>
        <v>1927404.1300000004</v>
      </c>
    </row>
    <row r="33" spans="1:119" s="24" customFormat="1" ht="15" customHeight="1" thickTop="1" x14ac:dyDescent="0.2">
      <c r="A33" s="17">
        <f t="shared" si="0"/>
        <v>22</v>
      </c>
      <c r="B33" s="447" t="s">
        <v>289</v>
      </c>
      <c r="C33" s="447"/>
      <c r="D33" s="449" t="s">
        <v>306</v>
      </c>
      <c r="E33" s="353">
        <f>'[23]G Lead Sheet'!E33</f>
        <v>-9919.3404685850801</v>
      </c>
      <c r="F33" s="159"/>
      <c r="G33" s="54">
        <f>ROW()</f>
        <v>33</v>
      </c>
      <c r="H33" s="367"/>
      <c r="I33" s="192"/>
      <c r="J33" s="461"/>
      <c r="K33" s="457"/>
      <c r="L33"/>
      <c r="M33"/>
      <c r="N33"/>
      <c r="O33" s="17"/>
      <c r="P33"/>
      <c r="Q33"/>
      <c r="R33"/>
      <c r="S33" s="54">
        <f>ROW()</f>
        <v>33</v>
      </c>
      <c r="T33" s="366" t="s">
        <v>155</v>
      </c>
      <c r="U33" s="369"/>
      <c r="V33" s="561">
        <f>SUM(V23,V31)</f>
        <v>136100173.86081529</v>
      </c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152"/>
      <c r="AJ33" s="152"/>
      <c r="AK33" s="152"/>
      <c r="AL33" s="152"/>
      <c r="AM33" s="152"/>
      <c r="AN33" s="2"/>
      <c r="AO33" s="2"/>
      <c r="AP33" s="2"/>
      <c r="AQ33"/>
      <c r="AR33" s="147"/>
      <c r="AS33" s="147"/>
      <c r="AT33" s="147"/>
      <c r="AU33" s="147"/>
      <c r="AV33" s="147"/>
      <c r="AW33" s="159"/>
      <c r="AX33" s="159"/>
      <c r="AY33" s="159"/>
      <c r="AZ33" s="159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2"/>
      <c r="BW33" s="2"/>
      <c r="BX33" s="1"/>
      <c r="BY33" s="2"/>
      <c r="BZ33" s="2"/>
      <c r="CA33" s="25"/>
      <c r="CB33" s="107">
        <f t="shared" ref="CB33" si="49">+CB32+1</f>
        <v>21</v>
      </c>
      <c r="CC33" s="18" t="s">
        <v>10</v>
      </c>
      <c r="CD33" s="469">
        <f>+'[22]Allocated (CBR)'!C29</f>
        <v>20820731.120000001</v>
      </c>
      <c r="CE33" s="43"/>
      <c r="CF33" s="43"/>
      <c r="CG33" s="43"/>
      <c r="CH33" s="43"/>
      <c r="CI33" s="295">
        <f>V43</f>
        <v>-20820731.120000001</v>
      </c>
      <c r="CJ33" s="295"/>
      <c r="CK33" s="295"/>
      <c r="CL33" s="17">
        <f t="shared" si="14"/>
        <v>13</v>
      </c>
      <c r="CM33" s="18" t="s">
        <v>10</v>
      </c>
      <c r="CN33" s="295"/>
      <c r="CO33" s="43"/>
      <c r="CP33" s="295"/>
      <c r="CQ33" s="295"/>
      <c r="CR33" s="295"/>
      <c r="CS33" s="295"/>
      <c r="CT33" s="295"/>
      <c r="CU33" s="295"/>
      <c r="CV33" s="295">
        <f t="shared" si="36"/>
        <v>-20820731.120000001</v>
      </c>
      <c r="CW33" s="43">
        <f t="shared" si="41"/>
        <v>0</v>
      </c>
      <c r="CX33" s="17">
        <f t="shared" si="16"/>
        <v>13</v>
      </c>
      <c r="CY33" s="18" t="s">
        <v>10</v>
      </c>
      <c r="CZ33" s="43">
        <f t="shared" si="42"/>
        <v>20820731.120000001</v>
      </c>
      <c r="DA33" s="94">
        <f t="shared" si="43"/>
        <v>-20820731.120000001</v>
      </c>
      <c r="DB33" s="66">
        <f t="shared" si="45"/>
        <v>0</v>
      </c>
      <c r="DD33"/>
      <c r="DE33"/>
      <c r="DF33"/>
      <c r="DG33"/>
      <c r="DH33"/>
      <c r="DI33"/>
      <c r="DJ33"/>
      <c r="DK33"/>
      <c r="DL33"/>
      <c r="DM33"/>
      <c r="DN33"/>
      <c r="DO33"/>
    </row>
    <row r="34" spans="1:119" ht="15" customHeight="1" x14ac:dyDescent="0.2">
      <c r="A34" s="17">
        <f t="shared" si="0"/>
        <v>23</v>
      </c>
      <c r="B34" s="450" t="s">
        <v>290</v>
      </c>
      <c r="C34" s="450"/>
      <c r="D34" s="451" t="s">
        <v>307</v>
      </c>
      <c r="E34" s="353">
        <f>'[23]G Lead Sheet'!E34</f>
        <v>-5579.2154245546772</v>
      </c>
      <c r="F34" s="575"/>
      <c r="G34" s="54">
        <f>ROW()</f>
        <v>34</v>
      </c>
      <c r="H34" s="367" t="s">
        <v>143</v>
      </c>
      <c r="I34" s="159"/>
      <c r="J34" s="345"/>
      <c r="K34" s="371">
        <f>SUM(J32:J33)</f>
        <v>50485.861867619999</v>
      </c>
      <c r="L34"/>
      <c r="M34"/>
      <c r="N34"/>
      <c r="O34"/>
      <c r="P34"/>
      <c r="Q34"/>
      <c r="R34"/>
      <c r="S34" s="54">
        <f>ROW()</f>
        <v>34</v>
      </c>
      <c r="T34" s="366"/>
      <c r="U34" s="369"/>
      <c r="V34" s="371"/>
      <c r="W34" s="134"/>
      <c r="X34" s="134"/>
      <c r="Y34" s="134"/>
      <c r="Z34" s="134"/>
      <c r="AA34" s="134"/>
      <c r="AB34" s="24"/>
      <c r="AC34" s="24"/>
      <c r="AD34" s="24"/>
      <c r="AE34" s="24"/>
      <c r="AF34" s="24"/>
      <c r="AG34" s="24"/>
      <c r="AH34" s="24"/>
      <c r="AI34" s="152"/>
      <c r="AJ34" s="152"/>
      <c r="AK34" s="152"/>
      <c r="AL34" s="152"/>
      <c r="AM34" s="152"/>
      <c r="AQ34"/>
      <c r="BV34" s="82"/>
      <c r="BX34" s="1"/>
      <c r="BZ34" s="126"/>
      <c r="CA34" s="25"/>
      <c r="CB34" s="107">
        <f t="shared" ref="CB34" si="50">+CB33+1</f>
        <v>22</v>
      </c>
      <c r="CC34" s="18" t="s">
        <v>11</v>
      </c>
      <c r="CD34" s="469">
        <f>+'[22]Allocated (CBR)'!C30</f>
        <v>69583666.150000006</v>
      </c>
      <c r="CE34" s="43">
        <f>+E41</f>
        <v>-121</v>
      </c>
      <c r="CF34" s="43">
        <f>J29</f>
        <v>2628.5136600000001</v>
      </c>
      <c r="CG34" s="43"/>
      <c r="CH34" s="43"/>
      <c r="CI34" s="355">
        <f>V37+V47+V51</f>
        <v>-284771.07150704827</v>
      </c>
      <c r="CJ34" s="43">
        <f>AA20</f>
        <v>-1268181.17062</v>
      </c>
      <c r="CK34" s="43"/>
      <c r="CL34" s="17">
        <f t="shared" si="14"/>
        <v>14</v>
      </c>
      <c r="CM34" s="18" t="s">
        <v>11</v>
      </c>
      <c r="CN34" s="43">
        <f>AM13</f>
        <v>-796583.97096387949</v>
      </c>
      <c r="CO34" s="43">
        <f>AQ18</f>
        <v>-4980.0473200008273</v>
      </c>
      <c r="CP34" s="43">
        <f>AV14</f>
        <v>-17894.210558422667</v>
      </c>
      <c r="CQ34" s="43"/>
      <c r="CR34" s="43">
        <f>BE15</f>
        <v>421891.7977523827</v>
      </c>
      <c r="CS34" s="43">
        <f>BJ16</f>
        <v>14247.466621636209</v>
      </c>
      <c r="CT34" s="457">
        <f>+BP23</f>
        <v>-5514.9091600000002</v>
      </c>
      <c r="CU34" s="457">
        <f>BU14</f>
        <v>-4300</v>
      </c>
      <c r="CV34" s="457">
        <f t="shared" si="36"/>
        <v>-1943578.6020953325</v>
      </c>
      <c r="CW34" s="43">
        <f t="shared" si="41"/>
        <v>67640087.54790467</v>
      </c>
      <c r="CX34" s="17">
        <f t="shared" si="16"/>
        <v>14</v>
      </c>
      <c r="CY34" s="18" t="s">
        <v>11</v>
      </c>
      <c r="CZ34" s="43">
        <f t="shared" si="42"/>
        <v>69583666.150000006</v>
      </c>
      <c r="DA34" s="94">
        <f t="shared" si="43"/>
        <v>-1943578.6020953325</v>
      </c>
      <c r="DB34" s="66">
        <f t="shared" si="45"/>
        <v>67640087.54790467</v>
      </c>
    </row>
    <row r="35" spans="1:119" ht="15" customHeight="1" x14ac:dyDescent="0.2">
      <c r="A35" s="17">
        <f t="shared" si="0"/>
        <v>24</v>
      </c>
      <c r="B35" s="452" t="s">
        <v>139</v>
      </c>
      <c r="C35" s="452"/>
      <c r="D35" s="453"/>
      <c r="E35" s="26"/>
      <c r="F35" s="322">
        <f>SUM(E29:E34)</f>
        <v>-60551.911863212015</v>
      </c>
      <c r="G35" s="54">
        <f>ROW()</f>
        <v>35</v>
      </c>
      <c r="H35" s="362"/>
      <c r="I35" s="159"/>
      <c r="J35" s="159"/>
      <c r="K35" s="461"/>
      <c r="L35"/>
      <c r="M35"/>
      <c r="N35"/>
      <c r="O35"/>
      <c r="P35"/>
      <c r="Q35"/>
      <c r="R35"/>
      <c r="S35" s="54">
        <f>ROW()</f>
        <v>35</v>
      </c>
      <c r="T35" s="562" t="s">
        <v>156</v>
      </c>
      <c r="U35" s="559"/>
      <c r="V35" s="563"/>
      <c r="AI35" s="152"/>
      <c r="AJ35" s="152"/>
      <c r="AK35" s="152"/>
      <c r="AL35" s="152"/>
      <c r="AM35" s="152"/>
      <c r="AQ35"/>
      <c r="AR35" s="2"/>
      <c r="AS35" s="2"/>
      <c r="AT35" s="2"/>
      <c r="AU35" s="2"/>
      <c r="AV35" s="2"/>
      <c r="BF35" s="2"/>
      <c r="BG35" s="2"/>
      <c r="BH35" s="2"/>
      <c r="BI35" s="2"/>
      <c r="BJ35" s="2"/>
      <c r="BK35" s="453"/>
      <c r="BL35" s="453"/>
      <c r="BM35" s="453"/>
      <c r="BN35" s="453"/>
      <c r="BO35" s="453"/>
      <c r="BP35" s="453"/>
      <c r="BQ35" s="453"/>
      <c r="BR35" s="453"/>
      <c r="BS35" s="453"/>
      <c r="BT35" s="453"/>
      <c r="BU35" s="453"/>
      <c r="BV35" s="82"/>
      <c r="BX35" s="1"/>
      <c r="BZ35" s="126"/>
      <c r="CB35" s="107">
        <f t="shared" ref="CB35" si="51">+CB34+1</f>
        <v>23</v>
      </c>
      <c r="CC35" s="18" t="s">
        <v>89</v>
      </c>
      <c r="CD35" s="469">
        <f>+'[22]Allocated (CBR)'!C31</f>
        <v>150914141.25999999</v>
      </c>
      <c r="CE35" s="43"/>
      <c r="CF35" s="43"/>
      <c r="CG35" s="43"/>
      <c r="CH35" s="43"/>
      <c r="CI35" s="453"/>
      <c r="CK35" s="43"/>
      <c r="CL35" s="17">
        <f t="shared" si="14"/>
        <v>15</v>
      </c>
      <c r="CM35" s="18" t="s">
        <v>89</v>
      </c>
      <c r="CN35" s="43"/>
      <c r="CO35" s="43"/>
      <c r="CP35" s="43"/>
      <c r="CQ35" s="43"/>
      <c r="CR35" s="43"/>
      <c r="CS35" s="43"/>
      <c r="CT35" s="457"/>
      <c r="CU35" s="457">
        <f>BU15</f>
        <v>-893948.78245699964</v>
      </c>
      <c r="CV35" s="457">
        <f t="shared" si="36"/>
        <v>-893948.78245699964</v>
      </c>
      <c r="CW35" s="43">
        <f t="shared" si="41"/>
        <v>150020192.477543</v>
      </c>
      <c r="CX35" s="17">
        <f t="shared" si="16"/>
        <v>15</v>
      </c>
      <c r="CY35" s="18" t="s">
        <v>89</v>
      </c>
      <c r="CZ35" s="43">
        <f t="shared" si="42"/>
        <v>150914141.25999999</v>
      </c>
      <c r="DA35" s="94">
        <f t="shared" si="43"/>
        <v>-893948.78245699964</v>
      </c>
      <c r="DB35" s="66">
        <f t="shared" si="45"/>
        <v>150020192.477543</v>
      </c>
    </row>
    <row r="36" spans="1:119" ht="15" customHeight="1" x14ac:dyDescent="0.2">
      <c r="A36" s="17">
        <f t="shared" si="0"/>
        <v>25</v>
      </c>
      <c r="B36" s="159"/>
      <c r="C36" s="159"/>
      <c r="D36" s="159"/>
      <c r="E36" s="26"/>
      <c r="F36" s="301"/>
      <c r="G36" s="54">
        <f>ROW()</f>
        <v>36</v>
      </c>
      <c r="H36" s="588" t="s">
        <v>347</v>
      </c>
      <c r="I36" s="159"/>
      <c r="J36" s="159"/>
      <c r="K36" s="371"/>
      <c r="L36"/>
      <c r="M36"/>
      <c r="N36"/>
      <c r="O36"/>
      <c r="P36"/>
      <c r="Q36"/>
      <c r="R36"/>
      <c r="S36" s="54">
        <f>ROW()</f>
        <v>36</v>
      </c>
      <c r="T36" s="369" t="s">
        <v>140</v>
      </c>
      <c r="U36" s="573">
        <f>+Inputs!B6</f>
        <v>2.7460000000000002E-3</v>
      </c>
      <c r="V36" s="607">
        <f>-SUM(V14:V19,V22,V30)*U36</f>
        <v>-371271.58652917726</v>
      </c>
      <c r="AI36" s="152"/>
      <c r="AJ36" s="152"/>
      <c r="AK36" s="152"/>
      <c r="AL36" s="152"/>
      <c r="AM36" s="152"/>
      <c r="AN36" s="24"/>
      <c r="AO36" s="24"/>
      <c r="AP36" s="24"/>
      <c r="AQ36"/>
      <c r="AR36" s="149"/>
      <c r="AS36" s="149"/>
      <c r="AT36" s="149"/>
      <c r="AU36" s="149"/>
      <c r="AV36" s="149"/>
      <c r="BA36" s="2" t="s">
        <v>20</v>
      </c>
      <c r="BF36" s="149"/>
      <c r="BG36" s="149"/>
      <c r="BH36" s="149"/>
      <c r="BI36" s="149"/>
      <c r="BJ36" s="149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5"/>
      <c r="BV36" s="82"/>
      <c r="BX36" s="1"/>
      <c r="BZ36" s="126"/>
      <c r="CB36" s="107">
        <f t="shared" ref="CB36" si="52">+CB35+1</f>
        <v>24</v>
      </c>
      <c r="CC36" s="18" t="s">
        <v>38</v>
      </c>
      <c r="CD36" s="469">
        <f>+'[22]Allocated (CBR)'!C32</f>
        <v>32509594.069999997</v>
      </c>
      <c r="CE36" s="43"/>
      <c r="CF36" s="43"/>
      <c r="CG36" s="43"/>
      <c r="CH36" s="43"/>
      <c r="CI36" s="453"/>
      <c r="CK36" s="43"/>
      <c r="CL36" s="17">
        <f t="shared" si="14"/>
        <v>16</v>
      </c>
      <c r="CM36" s="18" t="s">
        <v>38</v>
      </c>
      <c r="CN36" s="43"/>
      <c r="CP36" s="43"/>
      <c r="CQ36" s="43"/>
      <c r="CR36" s="43"/>
      <c r="CS36" s="43"/>
      <c r="CT36" s="457"/>
      <c r="CU36" s="457"/>
      <c r="CV36" s="457">
        <f t="shared" si="36"/>
        <v>0</v>
      </c>
      <c r="CW36" s="43">
        <f t="shared" si="41"/>
        <v>32509594.069999997</v>
      </c>
      <c r="CX36" s="17">
        <f t="shared" si="16"/>
        <v>16</v>
      </c>
      <c r="CY36" s="18" t="s">
        <v>38</v>
      </c>
      <c r="CZ36" s="43">
        <f t="shared" si="42"/>
        <v>32509594.069999997</v>
      </c>
      <c r="DA36" s="14">
        <f>CV36</f>
        <v>0</v>
      </c>
      <c r="DB36" s="66">
        <f>+CZ36+DA36</f>
        <v>32509594.069999997</v>
      </c>
    </row>
    <row r="37" spans="1:119" ht="15" customHeight="1" x14ac:dyDescent="0.2">
      <c r="A37" s="17">
        <f t="shared" si="0"/>
        <v>26</v>
      </c>
      <c r="B37" s="204" t="s">
        <v>149</v>
      </c>
      <c r="G37" s="54">
        <f>ROW()</f>
        <v>37</v>
      </c>
      <c r="H37" s="272"/>
      <c r="I37" s="159"/>
      <c r="J37" s="356"/>
      <c r="K37" s="371"/>
      <c r="L37"/>
      <c r="M37"/>
      <c r="N37"/>
      <c r="O37"/>
      <c r="P37"/>
      <c r="Q37"/>
      <c r="R37"/>
      <c r="S37" s="54">
        <f>ROW()</f>
        <v>37</v>
      </c>
      <c r="T37" s="564" t="s">
        <v>157</v>
      </c>
      <c r="U37" s="573">
        <f>+Inputs!B7</f>
        <v>2E-3</v>
      </c>
      <c r="V37" s="347">
        <f>-SUM(V14:V19,V22,V30)*U37</f>
        <v>-270409.02150704828</v>
      </c>
      <c r="W37" s="56"/>
      <c r="X37" s="56"/>
      <c r="Y37" s="56"/>
      <c r="Z37" s="56"/>
      <c r="AA37" s="56"/>
      <c r="AB37" s="2" t="s">
        <v>60</v>
      </c>
      <c r="AI37" s="152"/>
      <c r="AJ37" s="152"/>
      <c r="AK37" s="152"/>
      <c r="AL37" s="152"/>
      <c r="AM37" s="152"/>
      <c r="AQ37"/>
      <c r="AR37" s="150"/>
      <c r="AS37" s="150"/>
      <c r="AT37" s="150"/>
      <c r="AU37" s="150"/>
      <c r="AV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82"/>
      <c r="BX37" s="1"/>
      <c r="BZ37" s="126"/>
      <c r="CB37" s="107">
        <f t="shared" ref="CB37" si="53">+CB36+1</f>
        <v>25</v>
      </c>
      <c r="CC37" s="18" t="s">
        <v>61</v>
      </c>
      <c r="CD37" s="469">
        <f>+'[22]Allocated (CBR)'!C33</f>
        <v>0</v>
      </c>
      <c r="CE37" s="43"/>
      <c r="CF37" s="43"/>
      <c r="CG37" s="43"/>
      <c r="CH37" s="43"/>
      <c r="CI37" s="457"/>
      <c r="CJ37" s="43"/>
      <c r="CK37" s="43"/>
      <c r="CL37" s="17">
        <f t="shared" si="14"/>
        <v>17</v>
      </c>
      <c r="CM37" s="18" t="s">
        <v>61</v>
      </c>
      <c r="CN37" s="43"/>
      <c r="CO37" s="43"/>
      <c r="CP37" s="43"/>
      <c r="CQ37" s="43"/>
      <c r="CR37" s="43"/>
      <c r="CS37" s="43"/>
      <c r="CT37" s="457"/>
      <c r="CU37" s="457"/>
      <c r="CV37" s="457">
        <f t="shared" si="36"/>
        <v>0</v>
      </c>
      <c r="CW37" s="43">
        <f t="shared" si="41"/>
        <v>0</v>
      </c>
      <c r="CX37" s="17">
        <f t="shared" si="16"/>
        <v>17</v>
      </c>
      <c r="CY37" s="18" t="s">
        <v>61</v>
      </c>
      <c r="CZ37" s="43">
        <f t="shared" si="42"/>
        <v>0</v>
      </c>
      <c r="DA37" s="14">
        <f t="shared" si="43"/>
        <v>0</v>
      </c>
      <c r="DB37" s="66">
        <f t="shared" si="45"/>
        <v>0</v>
      </c>
    </row>
    <row r="38" spans="1:119" ht="15" customHeight="1" x14ac:dyDescent="0.2">
      <c r="A38" s="17">
        <f t="shared" si="0"/>
        <v>27</v>
      </c>
      <c r="B38" s="159" t="s">
        <v>150</v>
      </c>
      <c r="E38" s="298">
        <v>0</v>
      </c>
      <c r="F38" s="159"/>
      <c r="G38" s="54">
        <f>ROW()</f>
        <v>38</v>
      </c>
      <c r="H38" s="28" t="s">
        <v>348</v>
      </c>
      <c r="I38" s="159"/>
      <c r="J38" s="345"/>
      <c r="K38" s="307">
        <f>SUM(J34:J37)</f>
        <v>0</v>
      </c>
      <c r="L38"/>
      <c r="M38"/>
      <c r="N38"/>
      <c r="O38"/>
      <c r="P38"/>
      <c r="Q38"/>
      <c r="R38"/>
      <c r="S38" s="54">
        <f>ROW()</f>
        <v>38</v>
      </c>
      <c r="T38" s="565" t="s">
        <v>158</v>
      </c>
      <c r="U38" s="573">
        <f>+Inputs!B8</f>
        <v>3.8413999999999997E-2</v>
      </c>
      <c r="V38" s="347">
        <f>-SUM(V14:V19,V22,V30)*U38</f>
        <v>-5193746.0760858757</v>
      </c>
      <c r="W38" s="56"/>
      <c r="X38" s="56"/>
      <c r="Y38" s="56"/>
      <c r="Z38" s="56"/>
      <c r="AA38" s="56"/>
      <c r="AQ38"/>
      <c r="AR38" s="37"/>
      <c r="AS38" s="37"/>
      <c r="AT38" s="37"/>
      <c r="AU38" s="37"/>
      <c r="AV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82"/>
      <c r="BX38" s="1"/>
      <c r="BZ38" s="126"/>
      <c r="CB38" s="107">
        <f t="shared" ref="CB38" si="54">+CB37+1</f>
        <v>26</v>
      </c>
      <c r="CC38" s="18" t="s">
        <v>12</v>
      </c>
      <c r="CD38" s="469">
        <f>+'[22]Allocated (CBR)'!C34</f>
        <v>-1178000.2000000011</v>
      </c>
      <c r="CE38" s="43"/>
      <c r="CF38" s="43"/>
      <c r="CG38" s="43"/>
      <c r="CH38" s="43"/>
      <c r="CI38" s="457"/>
      <c r="CJ38" s="43"/>
      <c r="CK38" s="43"/>
      <c r="CL38" s="17">
        <f t="shared" si="14"/>
        <v>18</v>
      </c>
      <c r="CM38" s="18" t="s">
        <v>12</v>
      </c>
      <c r="CN38" s="43"/>
      <c r="CO38" s="43"/>
      <c r="CP38" s="43"/>
      <c r="CQ38" s="43"/>
      <c r="CR38" s="43"/>
      <c r="CS38" s="43"/>
      <c r="CT38" s="457"/>
      <c r="CU38" s="457"/>
      <c r="CV38" s="457">
        <f t="shared" si="36"/>
        <v>0</v>
      </c>
      <c r="CW38" s="43">
        <f t="shared" si="41"/>
        <v>-1178000.2000000011</v>
      </c>
      <c r="CX38" s="17">
        <f t="shared" si="16"/>
        <v>18</v>
      </c>
      <c r="CY38" s="18" t="s">
        <v>12</v>
      </c>
      <c r="CZ38" s="43">
        <f t="shared" si="42"/>
        <v>-1178000.2000000011</v>
      </c>
      <c r="DA38" s="14">
        <f t="shared" si="43"/>
        <v>0</v>
      </c>
      <c r="DB38" s="66">
        <f t="shared" si="45"/>
        <v>-1178000.2000000011</v>
      </c>
    </row>
    <row r="39" spans="1:119" ht="15" customHeight="1" x14ac:dyDescent="0.2">
      <c r="A39" s="17">
        <f t="shared" si="0"/>
        <v>28</v>
      </c>
      <c r="E39" s="26"/>
      <c r="F39" s="301">
        <f>SUM(E38:E38)</f>
        <v>0</v>
      </c>
      <c r="G39" s="54">
        <f>ROW()</f>
        <v>39</v>
      </c>
      <c r="H39" s="362"/>
      <c r="I39" s="159"/>
      <c r="J39" s="159"/>
      <c r="K39" s="371"/>
      <c r="L39"/>
      <c r="M39"/>
      <c r="N39"/>
      <c r="O39"/>
      <c r="P39"/>
      <c r="Q39"/>
      <c r="R39"/>
      <c r="S39" s="54">
        <f>ROW()</f>
        <v>39</v>
      </c>
      <c r="T39" s="565" t="s">
        <v>159</v>
      </c>
      <c r="U39" s="566"/>
      <c r="V39" s="567">
        <f>SUM(V36:V38)</f>
        <v>-5835426.6841221014</v>
      </c>
      <c r="W39" s="56"/>
      <c r="X39" s="56"/>
      <c r="Y39" s="56"/>
      <c r="Z39" s="56"/>
      <c r="AA39" s="56"/>
      <c r="AQ39"/>
      <c r="AR39" s="37"/>
      <c r="AS39" s="37"/>
      <c r="AT39" s="37"/>
      <c r="AU39" s="37"/>
      <c r="AV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82"/>
      <c r="BX39" s="1"/>
      <c r="BZ39" s="126"/>
      <c r="CB39" s="107">
        <f t="shared" ref="CB39" si="55">+CB38+1</f>
        <v>27</v>
      </c>
      <c r="CC39" s="18" t="s">
        <v>13</v>
      </c>
      <c r="CD39" s="469">
        <f>+'[22]Allocated (CBR)'!C35</f>
        <v>126909544.81999999</v>
      </c>
      <c r="CE39" s="43">
        <f>+E44</f>
        <v>-2326</v>
      </c>
      <c r="CF39" s="43">
        <f>J32</f>
        <v>50485.861867619999</v>
      </c>
      <c r="CG39" s="43"/>
      <c r="CH39" s="43"/>
      <c r="CI39" s="574">
        <f>V38+V44+V48+V54+V52</f>
        <v>-80566899.986085877</v>
      </c>
      <c r="CJ39" s="43"/>
      <c r="CK39" s="43"/>
      <c r="CL39" s="17">
        <f t="shared" si="14"/>
        <v>19</v>
      </c>
      <c r="CM39" s="18" t="s">
        <v>13</v>
      </c>
      <c r="CN39" s="43">
        <f>AM15</f>
        <v>-70577.33982739973</v>
      </c>
      <c r="CO39" s="43">
        <f>AQ14</f>
        <v>1095.6611560061574</v>
      </c>
      <c r="CP39" s="43"/>
      <c r="CQ39" s="43"/>
      <c r="CR39" s="43"/>
      <c r="CS39" s="43"/>
      <c r="CT39" s="457">
        <f>+BP24</f>
        <v>-105924.86023611999</v>
      </c>
      <c r="CU39" s="457"/>
      <c r="CV39" s="457">
        <f t="shared" si="36"/>
        <v>-80694146.663125768</v>
      </c>
      <c r="CW39" s="43">
        <f t="shared" si="41"/>
        <v>46215398.156874225</v>
      </c>
      <c r="CX39" s="17">
        <f t="shared" si="16"/>
        <v>19</v>
      </c>
      <c r="CY39" s="18" t="s">
        <v>13</v>
      </c>
      <c r="CZ39" s="43">
        <f t="shared" si="42"/>
        <v>126909544.81999999</v>
      </c>
      <c r="DA39" s="94">
        <f t="shared" si="43"/>
        <v>-80694146.663125768</v>
      </c>
      <c r="DB39" s="66">
        <f t="shared" si="45"/>
        <v>46215398.156874225</v>
      </c>
    </row>
    <row r="40" spans="1:119" ht="15" customHeight="1" x14ac:dyDescent="0.2">
      <c r="A40" s="17">
        <f t="shared" si="0"/>
        <v>29</v>
      </c>
      <c r="B40" s="163" t="s">
        <v>140</v>
      </c>
      <c r="C40" s="163"/>
      <c r="D40" s="195">
        <f>+Inputs!B6</f>
        <v>2.7460000000000002E-3</v>
      </c>
      <c r="E40" s="65">
        <f>ROUND(F35*D40,0)</f>
        <v>-166</v>
      </c>
      <c r="F40" s="43"/>
      <c r="G40" s="54">
        <f>ROW()</f>
        <v>40</v>
      </c>
      <c r="H40" s="362" t="s">
        <v>95</v>
      </c>
      <c r="I40" s="159"/>
      <c r="J40" s="303"/>
      <c r="K40" s="371">
        <f>K26-K30-K34-K38</f>
        <v>1257533.5052172001</v>
      </c>
      <c r="L40"/>
      <c r="M40"/>
      <c r="N40"/>
      <c r="O40"/>
      <c r="P40"/>
      <c r="Q40"/>
      <c r="R40"/>
      <c r="S40" s="54">
        <f>ROW()</f>
        <v>40</v>
      </c>
      <c r="T40" s="368"/>
      <c r="U40" s="368"/>
      <c r="V40" s="568"/>
      <c r="X40" s="37"/>
      <c r="Y40" s="37"/>
      <c r="Z40" s="37"/>
      <c r="AA40" s="37"/>
      <c r="AQ40"/>
      <c r="AR40" s="151"/>
      <c r="AS40" s="151"/>
      <c r="AT40" s="151"/>
      <c r="AU40" s="151"/>
      <c r="AV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82"/>
      <c r="BX40" s="1"/>
      <c r="BZ40" s="126"/>
      <c r="CB40" s="107">
        <f t="shared" ref="CB40" si="56">+CB39+1</f>
        <v>28</v>
      </c>
      <c r="CC40" s="18" t="s">
        <v>14</v>
      </c>
      <c r="CD40" s="469">
        <f>+'[22]Allocated (CBR)'!C36</f>
        <v>40108164.859999999</v>
      </c>
      <c r="CE40" s="43">
        <f>+F49</f>
        <v>-12167</v>
      </c>
      <c r="CF40" s="43">
        <f>K42+K43</f>
        <v>264082</v>
      </c>
      <c r="CG40" s="43">
        <f>N29</f>
        <v>1660194.0363726765</v>
      </c>
      <c r="CH40" s="43">
        <f>R23</f>
        <v>-15175473.684936302</v>
      </c>
      <c r="CI40" s="457">
        <f>V58</f>
        <v>-171038.76440557122</v>
      </c>
      <c r="CJ40" s="43">
        <f>AA22</f>
        <v>266318.04583019996</v>
      </c>
      <c r="CK40" s="43">
        <f>AH28</f>
        <v>258725</v>
      </c>
      <c r="CL40" s="17">
        <f t="shared" si="14"/>
        <v>20</v>
      </c>
      <c r="CM40" s="18" t="s">
        <v>14</v>
      </c>
      <c r="CN40" s="43">
        <f>AM20</f>
        <v>182104</v>
      </c>
      <c r="CO40" s="43">
        <f>AQ24</f>
        <v>815.72109443888064</v>
      </c>
      <c r="CP40" s="43">
        <f>AV18</f>
        <v>3757.7842172687597</v>
      </c>
      <c r="CQ40" s="43"/>
      <c r="CR40" s="43">
        <f>BE18</f>
        <v>-88597.27752800037</v>
      </c>
      <c r="CS40" s="43">
        <f>BJ17</f>
        <v>-2992</v>
      </c>
      <c r="CT40" s="457">
        <f>+BP28</f>
        <v>-554072.99646871199</v>
      </c>
      <c r="CU40" s="457">
        <f>BU16</f>
        <v>187783.95771596994</v>
      </c>
      <c r="CV40" s="457">
        <f t="shared" si="36"/>
        <v>-13180561.178108033</v>
      </c>
      <c r="CW40" s="43">
        <f t="shared" si="41"/>
        <v>26927603.681891967</v>
      </c>
      <c r="CX40" s="17">
        <f t="shared" si="16"/>
        <v>20</v>
      </c>
      <c r="CY40" s="18" t="s">
        <v>14</v>
      </c>
      <c r="CZ40" s="43">
        <f t="shared" si="42"/>
        <v>40108164.859999999</v>
      </c>
      <c r="DA40" s="94">
        <f t="shared" si="43"/>
        <v>-13180561.178108033</v>
      </c>
      <c r="DB40" s="66">
        <f t="shared" si="45"/>
        <v>26927603.681891967</v>
      </c>
    </row>
    <row r="41" spans="1:119" ht="15" customHeight="1" x14ac:dyDescent="0.2">
      <c r="A41" s="17">
        <f t="shared" si="0"/>
        <v>30</v>
      </c>
      <c r="B41" s="163" t="s">
        <v>141</v>
      </c>
      <c r="C41" s="163"/>
      <c r="D41" s="195">
        <f>+Inputs!B7</f>
        <v>2E-3</v>
      </c>
      <c r="E41" s="67">
        <f>ROUND(F35*D41,0)</f>
        <v>-121</v>
      </c>
      <c r="F41" s="43"/>
      <c r="G41" s="54">
        <f>ROW()</f>
        <v>41</v>
      </c>
      <c r="H41" s="362"/>
      <c r="I41" s="159"/>
      <c r="J41" s="303"/>
      <c r="K41" s="371"/>
      <c r="L41"/>
      <c r="M41"/>
      <c r="N41"/>
      <c r="O41"/>
      <c r="P41"/>
      <c r="Q41"/>
      <c r="R41"/>
      <c r="S41" s="54">
        <f>ROW()</f>
        <v>41</v>
      </c>
      <c r="T41" s="592" t="s">
        <v>160</v>
      </c>
      <c r="U41" s="366"/>
      <c r="V41" s="568"/>
      <c r="X41" s="37"/>
      <c r="Y41" s="37"/>
      <c r="Z41" s="37"/>
      <c r="AA41" s="37"/>
      <c r="AQ41"/>
      <c r="AR41" s="152"/>
      <c r="AS41" s="152"/>
      <c r="AT41" s="152"/>
      <c r="AU41" s="152"/>
      <c r="AV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82"/>
      <c r="BX41" s="1"/>
      <c r="BZ41" s="126"/>
      <c r="CB41" s="107">
        <f t="shared" ref="CB41" si="57">+CB40+1</f>
        <v>29</v>
      </c>
      <c r="CC41" s="2" t="s">
        <v>15</v>
      </c>
      <c r="CD41" s="469">
        <f>+'[22]Allocated (CBR)'!C37</f>
        <v>-2696290.8000000119</v>
      </c>
      <c r="CE41" s="43"/>
      <c r="CF41" s="43"/>
      <c r="CG41" s="43">
        <f>N30</f>
        <v>466008.6718220124</v>
      </c>
      <c r="CH41" s="43">
        <f>R26</f>
        <v>0</v>
      </c>
      <c r="CI41" s="457"/>
      <c r="CJ41" s="43"/>
      <c r="CK41" s="44"/>
      <c r="CL41" s="17">
        <f t="shared" si="14"/>
        <v>21</v>
      </c>
      <c r="CM41" s="2" t="s">
        <v>15</v>
      </c>
      <c r="CN41" s="52"/>
      <c r="CO41" s="46"/>
      <c r="CP41" s="52"/>
      <c r="CQ41" s="44"/>
      <c r="CR41" s="52"/>
      <c r="CS41" s="52"/>
      <c r="CT41" s="371"/>
      <c r="CU41" s="371"/>
      <c r="CV41" s="371">
        <f t="shared" si="36"/>
        <v>466008.6718220124</v>
      </c>
      <c r="CW41" s="44">
        <f t="shared" si="41"/>
        <v>-2230282.1281779995</v>
      </c>
      <c r="CX41" s="17">
        <f t="shared" si="16"/>
        <v>21</v>
      </c>
      <c r="CY41" s="2" t="s">
        <v>15</v>
      </c>
      <c r="CZ41" s="44">
        <f t="shared" si="42"/>
        <v>-2696290.8000000119</v>
      </c>
      <c r="DA41" s="95">
        <f t="shared" si="43"/>
        <v>466008.6718220124</v>
      </c>
      <c r="DB41" s="67">
        <f t="shared" si="45"/>
        <v>-2230282.1281779995</v>
      </c>
      <c r="DD41" s="581"/>
      <c r="DE41" s="582"/>
    </row>
    <row r="42" spans="1:119" ht="15" customHeight="1" x14ac:dyDescent="0.2">
      <c r="A42" s="17">
        <f t="shared" si="0"/>
        <v>31</v>
      </c>
      <c r="B42" s="164" t="s">
        <v>50</v>
      </c>
      <c r="C42" s="163"/>
      <c r="D42" s="302"/>
      <c r="E42" s="303"/>
      <c r="F42" s="304">
        <f>SUM(E40:E41)</f>
        <v>-287</v>
      </c>
      <c r="G42" s="54">
        <f>ROW()</f>
        <v>42</v>
      </c>
      <c r="H42" s="362" t="s">
        <v>96</v>
      </c>
      <c r="I42" s="144">
        <f>+Inputs!B9</f>
        <v>0.21</v>
      </c>
      <c r="J42" s="303"/>
      <c r="K42" s="371">
        <f>ROUND(K40*I42,0)</f>
        <v>264082</v>
      </c>
      <c r="L42"/>
      <c r="M42"/>
      <c r="N42"/>
      <c r="O42"/>
      <c r="P42"/>
      <c r="Q42"/>
      <c r="R42"/>
      <c r="S42" s="54">
        <f>ROW()</f>
        <v>42</v>
      </c>
      <c r="T42" s="369" t="s">
        <v>161</v>
      </c>
      <c r="U42" s="18" t="s">
        <v>9</v>
      </c>
      <c r="V42" s="457">
        <f>'[19]Lead 3.05 '!D42</f>
        <v>-3012468.13</v>
      </c>
      <c r="W42" s="37">
        <f>V42/V14</f>
        <v>-0.95390316542648756</v>
      </c>
      <c r="X42" s="37"/>
      <c r="Y42" s="37"/>
      <c r="Z42" s="37"/>
      <c r="AA42" s="37"/>
      <c r="AQ42"/>
      <c r="AR42" s="152"/>
      <c r="AS42" s="152"/>
      <c r="AT42" s="152"/>
      <c r="AU42" s="152"/>
      <c r="AV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82"/>
      <c r="BX42" s="1"/>
      <c r="BZ42" s="126"/>
      <c r="CA42" s="16"/>
      <c r="CB42" s="107">
        <f t="shared" ref="CB42" si="58">+CB41+1</f>
        <v>30</v>
      </c>
      <c r="CC42" s="18" t="s">
        <v>16</v>
      </c>
      <c r="CD42" s="328">
        <f>SUM(CD26:CD41)</f>
        <v>1037962244.8599999</v>
      </c>
      <c r="CE42" s="42">
        <f t="shared" ref="CE42:CK42" si="59">SUM(CE26:CE41)</f>
        <v>-14780</v>
      </c>
      <c r="CF42" s="42">
        <f t="shared" si="59"/>
        <v>320805.32478279999</v>
      </c>
      <c r="CG42" s="42">
        <f t="shared" si="59"/>
        <v>2126202.7081946889</v>
      </c>
      <c r="CH42" s="42">
        <f t="shared" si="59"/>
        <v>-15175473.684936302</v>
      </c>
      <c r="CI42" s="42">
        <f>SUM(CI26:CI41)</f>
        <v>-135456742.31852767</v>
      </c>
      <c r="CJ42" s="42">
        <f t="shared" si="59"/>
        <v>-1001863.1247898</v>
      </c>
      <c r="CK42" s="42">
        <f t="shared" si="59"/>
        <v>-973301</v>
      </c>
      <c r="CL42" s="17">
        <f t="shared" si="14"/>
        <v>22</v>
      </c>
      <c r="CM42" s="18" t="s">
        <v>16</v>
      </c>
      <c r="CN42" s="42">
        <f t="shared" ref="CN42" si="60">SUM(CN26:CN41)</f>
        <v>-685057.31079127919</v>
      </c>
      <c r="CO42" s="42">
        <f t="shared" ref="CO42" si="61">SUM(CO26:CO41)</f>
        <v>-3068.6650695557892</v>
      </c>
      <c r="CP42" s="42">
        <f t="shared" ref="CP42" si="62">SUM(CP26:CP41)</f>
        <v>-14136.426341153907</v>
      </c>
      <c r="CQ42" s="42">
        <f t="shared" ref="CQ42" si="63">SUM(CQ26:CQ41)</f>
        <v>6904.1433218348629</v>
      </c>
      <c r="CR42" s="42">
        <f t="shared" ref="CR42:CT42" si="64">SUM(CR26:CR41)</f>
        <v>333294.52022438234</v>
      </c>
      <c r="CS42" s="42">
        <f t="shared" ref="CS42" si="65">SUM(CS26:CS41)</f>
        <v>11255.466621636209</v>
      </c>
      <c r="CT42" s="328">
        <f t="shared" si="64"/>
        <v>-673084.73614151194</v>
      </c>
      <c r="CU42" s="328">
        <f t="shared" ref="CU42" si="66">SUM(CU26:CU41)</f>
        <v>-706425.36474102968</v>
      </c>
      <c r="CV42" s="328">
        <f t="shared" ref="CV42" si="67">SUM(CV26:CV41)</f>
        <v>-151905470.46819296</v>
      </c>
      <c r="CW42" s="42">
        <f t="shared" ref="CW42" si="68">SUM(CW26:CW41)</f>
        <v>886056774.39180696</v>
      </c>
      <c r="CX42" s="17">
        <f t="shared" si="16"/>
        <v>22</v>
      </c>
      <c r="CY42" s="18" t="s">
        <v>16</v>
      </c>
      <c r="CZ42" s="42">
        <f t="shared" ref="CZ42" si="69">SUM(CZ26:CZ41)</f>
        <v>1037962244.8599999</v>
      </c>
      <c r="DA42" s="42">
        <f t="shared" ref="DA42" si="70">SUM(DA26:DA41)</f>
        <v>-151905470.46819296</v>
      </c>
      <c r="DB42" s="42">
        <f t="shared" ref="DB42" si="71">SUM(DB26:DB41)</f>
        <v>886056774.39180696</v>
      </c>
      <c r="DD42" s="37"/>
      <c r="DE42" s="37"/>
    </row>
    <row r="43" spans="1:119" ht="15" customHeight="1" x14ac:dyDescent="0.2">
      <c r="A43" s="17">
        <f t="shared" si="0"/>
        <v>32</v>
      </c>
      <c r="B43" s="163"/>
      <c r="C43" s="163"/>
      <c r="D43" s="305"/>
      <c r="E43" s="185"/>
      <c r="F43" s="43"/>
      <c r="G43" s="54">
        <f>ROW()</f>
        <v>43</v>
      </c>
      <c r="H43" s="362"/>
      <c r="I43" s="144"/>
      <c r="J43" s="303"/>
      <c r="K43" s="371"/>
      <c r="L43"/>
      <c r="M43"/>
      <c r="N43"/>
      <c r="O43"/>
      <c r="P43"/>
      <c r="Q43"/>
      <c r="R43"/>
      <c r="S43" s="54">
        <f>ROW()</f>
        <v>43</v>
      </c>
      <c r="T43" s="369" t="s">
        <v>162</v>
      </c>
      <c r="U43" s="18" t="s">
        <v>10</v>
      </c>
      <c r="V43" s="457">
        <f>'[19]Lead 3.05 '!D43</f>
        <v>-20820731.120000001</v>
      </c>
      <c r="W43" s="37">
        <f>V43/V15</f>
        <v>-0.95455300078008776</v>
      </c>
      <c r="X43" s="37"/>
      <c r="Y43" s="37"/>
      <c r="Z43" s="37"/>
      <c r="AA43" s="37"/>
      <c r="AQ43"/>
      <c r="AR43" s="152"/>
      <c r="AS43" s="152"/>
      <c r="AT43" s="152"/>
      <c r="AU43" s="152"/>
      <c r="AV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82"/>
      <c r="BX43" s="1"/>
      <c r="BZ43" s="126"/>
      <c r="CA43" s="71"/>
      <c r="CB43" s="107">
        <f t="shared" ref="CB43" si="72">+CB42+1</f>
        <v>31</v>
      </c>
      <c r="CD43" s="341"/>
      <c r="CE43" s="26"/>
      <c r="CF43" s="26"/>
      <c r="CG43" s="26"/>
      <c r="CH43" s="26"/>
      <c r="CI43" s="26"/>
      <c r="CJ43" s="26"/>
      <c r="CK43" s="26"/>
      <c r="CL43" s="17">
        <f t="shared" si="14"/>
        <v>23</v>
      </c>
      <c r="CN43" s="26"/>
      <c r="CO43" s="26"/>
      <c r="CP43" s="26"/>
      <c r="CQ43" s="26"/>
      <c r="CR43" s="26"/>
      <c r="CS43" s="26"/>
      <c r="CT43" s="341"/>
      <c r="CU43" s="341"/>
      <c r="CV43" s="341"/>
      <c r="CW43" s="26"/>
      <c r="CX43" s="17">
        <f t="shared" si="16"/>
        <v>23</v>
      </c>
      <c r="CZ43" s="26"/>
      <c r="DA43" s="26"/>
      <c r="DB43" s="26"/>
      <c r="DD43" s="37"/>
      <c r="DE43" s="37"/>
    </row>
    <row r="44" spans="1:119" ht="15" customHeight="1" thickBot="1" x14ac:dyDescent="0.25">
      <c r="A44" s="17">
        <f t="shared" si="0"/>
        <v>33</v>
      </c>
      <c r="B44" s="163" t="s">
        <v>142</v>
      </c>
      <c r="C44" s="163"/>
      <c r="D44" s="195">
        <f>+Inputs!B8</f>
        <v>3.8413999999999997E-2</v>
      </c>
      <c r="E44" s="306">
        <f>ROUND(F35*D44,0)</f>
        <v>-2326</v>
      </c>
      <c r="F44" s="43"/>
      <c r="G44" s="54">
        <f>ROW()</f>
        <v>44</v>
      </c>
      <c r="H44" s="362" t="s">
        <v>55</v>
      </c>
      <c r="I44" s="159"/>
      <c r="J44" s="303"/>
      <c r="K44" s="358">
        <f>K40-K42-K43</f>
        <v>993451.50521720015</v>
      </c>
      <c r="L44"/>
      <c r="M44"/>
      <c r="N44"/>
      <c r="O44"/>
      <c r="P44"/>
      <c r="Q44"/>
      <c r="R44"/>
      <c r="S44" s="54">
        <f>ROW()</f>
        <v>44</v>
      </c>
      <c r="T44" s="369" t="s">
        <v>222</v>
      </c>
      <c r="U44" s="18" t="s">
        <v>13</v>
      </c>
      <c r="V44" s="457">
        <f>'[19]Lead 3.05 '!D44</f>
        <v>-21452264</v>
      </c>
      <c r="W44" s="37">
        <f>V44/V16</f>
        <v>-0.9545530633851691</v>
      </c>
      <c r="X44" s="37"/>
      <c r="Y44" s="37"/>
      <c r="Z44" s="37"/>
      <c r="AA44" s="37"/>
      <c r="AQ44"/>
      <c r="AR44" s="152"/>
      <c r="AS44" s="152"/>
      <c r="AT44" s="152"/>
      <c r="AU44" s="152"/>
      <c r="AV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82"/>
      <c r="BX44" s="1"/>
      <c r="BZ44" s="126"/>
      <c r="CA44" s="3"/>
      <c r="CB44" s="107">
        <f t="shared" ref="CB44" si="73">+CB43+1</f>
        <v>32</v>
      </c>
      <c r="CC44" s="18" t="s">
        <v>17</v>
      </c>
      <c r="CD44" s="13">
        <f t="shared" ref="CD44:CK44" si="74">CD17-CD42</f>
        <v>171673982.8599999</v>
      </c>
      <c r="CE44" s="13">
        <f t="shared" si="74"/>
        <v>-45771.911863212015</v>
      </c>
      <c r="CF44" s="470">
        <f t="shared" si="74"/>
        <v>993451.50521720015</v>
      </c>
      <c r="CG44" s="470">
        <f t="shared" si="74"/>
        <v>-2126202.7081946889</v>
      </c>
      <c r="CH44" s="13">
        <f t="shared" si="74"/>
        <v>15175473.684936302</v>
      </c>
      <c r="CI44" s="13">
        <f t="shared" si="74"/>
        <v>-643431.54228761792</v>
      </c>
      <c r="CJ44" s="13">
        <f t="shared" si="74"/>
        <v>1001863.1247898</v>
      </c>
      <c r="CK44" s="13">
        <f t="shared" si="74"/>
        <v>973301</v>
      </c>
      <c r="CL44" s="17">
        <f t="shared" si="14"/>
        <v>24</v>
      </c>
      <c r="CM44" s="18" t="s">
        <v>17</v>
      </c>
      <c r="CN44" s="13">
        <f t="shared" ref="CN44:CW44" si="75">CN17-CN42</f>
        <v>685057.31079127919</v>
      </c>
      <c r="CO44" s="13">
        <f t="shared" si="75"/>
        <v>3068.6650695557892</v>
      </c>
      <c r="CP44" s="13">
        <f t="shared" si="75"/>
        <v>14136.426341153907</v>
      </c>
      <c r="CQ44" s="13">
        <f t="shared" si="75"/>
        <v>-6904.1433218348629</v>
      </c>
      <c r="CR44" s="13">
        <f t="shared" si="75"/>
        <v>-333294.52022438234</v>
      </c>
      <c r="CS44" s="13">
        <f t="shared" si="75"/>
        <v>-11255.466621636209</v>
      </c>
      <c r="CT44" s="13">
        <f t="shared" si="75"/>
        <v>-2084369.8438584881</v>
      </c>
      <c r="CU44" s="13">
        <f t="shared" si="75"/>
        <v>706425.36474102968</v>
      </c>
      <c r="CV44" s="13">
        <f t="shared" si="75"/>
        <v>14301546.945514441</v>
      </c>
      <c r="CW44" s="13">
        <f t="shared" si="75"/>
        <v>185975529.80551434</v>
      </c>
      <c r="CX44" s="17">
        <f t="shared" si="16"/>
        <v>24</v>
      </c>
      <c r="CY44" s="2" t="str">
        <f>CC44</f>
        <v>NET OPERATING INCOME</v>
      </c>
      <c r="CZ44" s="13">
        <f>CZ17-CZ42</f>
        <v>171673982.8599999</v>
      </c>
      <c r="DA44" s="13">
        <f>DA17-DA42</f>
        <v>14301546.94551447</v>
      </c>
      <c r="DB44" s="13">
        <f>DB17-DB42</f>
        <v>185975529.80551434</v>
      </c>
      <c r="DD44" s="583"/>
      <c r="DE44" s="37"/>
    </row>
    <row r="45" spans="1:119" ht="15" customHeight="1" thickTop="1" x14ac:dyDescent="0.2">
      <c r="A45" s="17">
        <f t="shared" si="0"/>
        <v>34</v>
      </c>
      <c r="B45" s="164" t="s">
        <v>143</v>
      </c>
      <c r="C45" s="163"/>
      <c r="D45" s="159"/>
      <c r="E45" s="185"/>
      <c r="F45" s="307">
        <f>SUM(E44:E44)</f>
        <v>-2326</v>
      </c>
      <c r="G45" s="54"/>
      <c r="H45" s="453"/>
      <c r="I45" s="453"/>
      <c r="J45" s="453"/>
      <c r="K45" s="453"/>
      <c r="N45"/>
      <c r="O45"/>
      <c r="P45"/>
      <c r="Q45"/>
      <c r="R45"/>
      <c r="S45" s="54">
        <f>ROW()</f>
        <v>45</v>
      </c>
      <c r="T45" s="369" t="s">
        <v>163</v>
      </c>
      <c r="U45" s="18" t="s">
        <v>88</v>
      </c>
      <c r="V45" s="457">
        <f>'[19]Lead 3.05 '!D45</f>
        <v>-28574636.02</v>
      </c>
      <c r="W45" s="37">
        <f>V45/V17</f>
        <v>-0.95455299999999998</v>
      </c>
      <c r="X45" s="37"/>
      <c r="Y45" s="37"/>
      <c r="Z45" s="37"/>
      <c r="AA45" s="37"/>
      <c r="AQ45"/>
      <c r="AR45" s="152"/>
      <c r="AS45" s="152"/>
      <c r="AT45" s="152"/>
      <c r="AU45" s="152"/>
      <c r="AV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82"/>
      <c r="BX45" s="1"/>
      <c r="BZ45" s="126"/>
      <c r="CA45" s="51"/>
      <c r="CB45" s="107">
        <f t="shared" ref="CB45" si="76">+CB44+1</f>
        <v>33</v>
      </c>
      <c r="CD45" s="467"/>
      <c r="CE45"/>
      <c r="CF45"/>
      <c r="CG45"/>
      <c r="CH45"/>
      <c r="CI45"/>
      <c r="CJ45"/>
      <c r="CK45"/>
      <c r="CL45" s="17">
        <f t="shared" si="14"/>
        <v>25</v>
      </c>
      <c r="CM45"/>
      <c r="CN45"/>
      <c r="CO45"/>
      <c r="CP45"/>
      <c r="CQ45"/>
      <c r="CR45"/>
      <c r="CS45"/>
      <c r="CT45"/>
      <c r="CU45"/>
      <c r="CV45"/>
      <c r="CW45"/>
      <c r="CX45" s="17">
        <f t="shared" si="16"/>
        <v>25</v>
      </c>
      <c r="CY45" s="18"/>
      <c r="CZ45"/>
      <c r="DA45"/>
      <c r="DB45"/>
      <c r="DC45"/>
      <c r="DD45" s="583"/>
      <c r="DE45" s="37"/>
    </row>
    <row r="46" spans="1:119" ht="15" customHeight="1" x14ac:dyDescent="0.2">
      <c r="A46" s="17">
        <f t="shared" si="0"/>
        <v>35</v>
      </c>
      <c r="B46" s="163"/>
      <c r="C46" s="163"/>
      <c r="D46" s="159"/>
      <c r="E46" s="159"/>
      <c r="F46" s="43"/>
      <c r="G46" s="54"/>
      <c r="N46"/>
      <c r="O46"/>
      <c r="P46"/>
      <c r="Q46"/>
      <c r="R46"/>
      <c r="S46" s="54">
        <f>ROW()</f>
        <v>46</v>
      </c>
      <c r="T46" s="369" t="s">
        <v>220</v>
      </c>
      <c r="U46" s="18" t="s">
        <v>9</v>
      </c>
      <c r="V46" s="457">
        <f>'[19]Lead 3.05 '!D46</f>
        <v>-98934.099999999991</v>
      </c>
      <c r="W46" s="37"/>
      <c r="X46" s="56"/>
      <c r="Y46" s="56"/>
      <c r="Z46" s="56"/>
      <c r="AA46" s="56"/>
      <c r="AQ46"/>
      <c r="AR46" s="152"/>
      <c r="AS46" s="152"/>
      <c r="AT46" s="152"/>
      <c r="AU46" s="152"/>
      <c r="AV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82"/>
      <c r="BX46" s="1"/>
      <c r="BZ46" s="126"/>
      <c r="CA46" s="51"/>
      <c r="CB46" s="107">
        <f t="shared" ref="CB46" si="77">+CB45+1</f>
        <v>34</v>
      </c>
      <c r="CC46" s="18" t="s">
        <v>18</v>
      </c>
      <c r="CD46" s="13">
        <f>CD57</f>
        <v>2855559691.8542194</v>
      </c>
      <c r="CE46" s="13">
        <f t="shared" ref="CE46:CK46" si="78">CE57</f>
        <v>0</v>
      </c>
      <c r="CF46" s="13">
        <f t="shared" si="78"/>
        <v>0</v>
      </c>
      <c r="CG46" s="13">
        <f t="shared" si="78"/>
        <v>0</v>
      </c>
      <c r="CH46" s="13">
        <f t="shared" si="78"/>
        <v>0</v>
      </c>
      <c r="CI46" s="13">
        <f t="shared" si="78"/>
        <v>0</v>
      </c>
      <c r="CJ46" s="13">
        <f t="shared" si="78"/>
        <v>0</v>
      </c>
      <c r="CK46" s="13">
        <f t="shared" si="78"/>
        <v>0</v>
      </c>
      <c r="CL46" s="17">
        <f t="shared" si="14"/>
        <v>26</v>
      </c>
      <c r="CM46" s="18" t="s">
        <v>18</v>
      </c>
      <c r="CN46" s="13">
        <f t="shared" ref="CN46:CV46" si="79">CN57</f>
        <v>0</v>
      </c>
      <c r="CO46" s="13">
        <f t="shared" si="79"/>
        <v>0</v>
      </c>
      <c r="CP46" s="13">
        <f t="shared" si="79"/>
        <v>0</v>
      </c>
      <c r="CQ46" s="13">
        <f t="shared" si="79"/>
        <v>0</v>
      </c>
      <c r="CR46" s="13">
        <f t="shared" si="79"/>
        <v>0</v>
      </c>
      <c r="CS46" s="13">
        <f t="shared" si="79"/>
        <v>0</v>
      </c>
      <c r="CT46" s="13">
        <f t="shared" ref="CT46:CU46" si="80">CT57</f>
        <v>-82610207.746714473</v>
      </c>
      <c r="CU46" s="13">
        <f t="shared" si="80"/>
        <v>-25262776.713642363</v>
      </c>
      <c r="CV46" s="13">
        <f t="shared" si="79"/>
        <v>-107872984.46035683</v>
      </c>
      <c r="CW46" s="26">
        <f>CD46+CV46</f>
        <v>2747686707.3938627</v>
      </c>
      <c r="CX46" s="17">
        <f t="shared" si="16"/>
        <v>26</v>
      </c>
      <c r="CY46" s="18" t="s">
        <v>18</v>
      </c>
      <c r="CZ46" s="26">
        <f>CD46</f>
        <v>2855559691.8542194</v>
      </c>
      <c r="DA46" s="99">
        <f>CV46</f>
        <v>-107872984.46035683</v>
      </c>
      <c r="DB46" s="26">
        <f>+CZ46+DA46</f>
        <v>2747686707.3938627</v>
      </c>
    </row>
    <row r="47" spans="1:119" ht="15" customHeight="1" x14ac:dyDescent="0.2">
      <c r="A47" s="17">
        <f t="shared" si="0"/>
        <v>36</v>
      </c>
      <c r="B47" s="163" t="s">
        <v>95</v>
      </c>
      <c r="C47" s="163"/>
      <c r="D47" s="159"/>
      <c r="E47" s="303"/>
      <c r="F47" s="186">
        <f>F35-F39-F42-F45</f>
        <v>-57938.911863212015</v>
      </c>
      <c r="G47" s="54"/>
      <c r="H47" s="193"/>
      <c r="I47" s="193"/>
      <c r="J47" s="193"/>
      <c r="K47" s="193"/>
      <c r="N47"/>
      <c r="O47"/>
      <c r="P47"/>
      <c r="Q47"/>
      <c r="R47"/>
      <c r="S47" s="54">
        <f>ROW()</f>
        <v>47</v>
      </c>
      <c r="T47" s="369" t="s">
        <v>220</v>
      </c>
      <c r="U47" s="18" t="s">
        <v>11</v>
      </c>
      <c r="V47" s="457">
        <f>'[19]Lead 3.05 '!D47</f>
        <v>-12186.14</v>
      </c>
      <c r="W47" s="37"/>
      <c r="X47" s="56"/>
      <c r="Y47" s="56"/>
      <c r="Z47" s="56"/>
      <c r="AA47" s="56"/>
      <c r="AQ47"/>
      <c r="BV47" s="82"/>
      <c r="BX47" s="1"/>
      <c r="BZ47" s="126"/>
      <c r="CA47" s="51"/>
      <c r="CB47" s="107">
        <f t="shared" ref="CB47" si="81">+CB46+1</f>
        <v>35</v>
      </c>
      <c r="CD47" s="467"/>
      <c r="CE47"/>
      <c r="CF47"/>
      <c r="CG47"/>
      <c r="CH47"/>
      <c r="CI47"/>
      <c r="CJ47"/>
      <c r="CK47"/>
      <c r="CL47" s="17">
        <f t="shared" si="14"/>
        <v>27</v>
      </c>
      <c r="CM47"/>
      <c r="CN47"/>
      <c r="CO47"/>
      <c r="CP47"/>
      <c r="CQ47"/>
      <c r="CR47"/>
      <c r="CS47"/>
      <c r="CT47"/>
      <c r="CU47"/>
      <c r="CV47"/>
      <c r="CW47"/>
      <c r="CX47" s="17">
        <f t="shared" si="16"/>
        <v>27</v>
      </c>
      <c r="CZ47"/>
      <c r="DA47"/>
      <c r="DB47"/>
      <c r="DC47"/>
    </row>
    <row r="48" spans="1:119" ht="15" customHeight="1" x14ac:dyDescent="0.2">
      <c r="A48" s="17">
        <f t="shared" si="0"/>
        <v>37</v>
      </c>
      <c r="B48" s="163"/>
      <c r="C48" s="163"/>
      <c r="D48" s="159"/>
      <c r="E48" s="303"/>
      <c r="F48" s="303"/>
      <c r="G48" s="54"/>
      <c r="H48" s="193"/>
      <c r="I48" s="193"/>
      <c r="J48" s="193"/>
      <c r="K48" s="193"/>
      <c r="N48"/>
      <c r="O48"/>
      <c r="P48"/>
      <c r="Q48"/>
      <c r="R48"/>
      <c r="S48" s="54">
        <f>ROW()</f>
        <v>48</v>
      </c>
      <c r="T48" s="369" t="s">
        <v>220</v>
      </c>
      <c r="U48" s="18" t="s">
        <v>13</v>
      </c>
      <c r="V48" s="457">
        <f>'[19]Lead 3.05 '!D48</f>
        <v>-3615.23</v>
      </c>
      <c r="W48" s="37">
        <f>V54/V22</f>
        <v>-0.95814525944707718</v>
      </c>
      <c r="X48" s="56"/>
      <c r="Y48" s="56"/>
      <c r="Z48" s="56"/>
      <c r="AA48" s="56"/>
      <c r="AN48" s="17"/>
      <c r="AO48" s="81"/>
      <c r="AP48" s="1"/>
      <c r="AQ48"/>
      <c r="BB48" s="37"/>
      <c r="BC48" s="37"/>
      <c r="BD48" s="37"/>
      <c r="BV48" s="82"/>
      <c r="BX48" s="1"/>
      <c r="BZ48" s="126"/>
      <c r="CA48" s="72"/>
      <c r="CB48" s="107">
        <f t="shared" ref="CB48" si="82">+CB47+1</f>
        <v>36</v>
      </c>
      <c r="CC48" s="18" t="s">
        <v>19</v>
      </c>
      <c r="CD48" s="297">
        <f>CD44/CD46</f>
        <v>6.0119206525332938E-2</v>
      </c>
      <c r="CI48" s="48"/>
      <c r="CJ48" s="48"/>
      <c r="CK48" s="1"/>
      <c r="CL48" s="17">
        <f t="shared" si="14"/>
        <v>28</v>
      </c>
      <c r="CM48" s="18" t="s">
        <v>19</v>
      </c>
      <c r="CN48" s="1"/>
      <c r="CP48" s="1"/>
      <c r="CQ48" s="1"/>
      <c r="CR48" s="1"/>
      <c r="CS48" s="1"/>
      <c r="CT48" s="120"/>
      <c r="CU48" s="120"/>
      <c r="CV48" s="120"/>
      <c r="CW48" s="51">
        <f>CW44/CW46</f>
        <v>6.7684401320232457E-2</v>
      </c>
      <c r="CX48" s="17">
        <f t="shared" si="16"/>
        <v>28</v>
      </c>
      <c r="CY48" s="18" t="s">
        <v>19</v>
      </c>
      <c r="CZ48" s="51">
        <f>CD48</f>
        <v>6.0119206525332938E-2</v>
      </c>
      <c r="DB48" s="51">
        <f>DB44/DB46</f>
        <v>6.7684401320232457E-2</v>
      </c>
    </row>
    <row r="49" spans="1:107" ht="15" customHeight="1" x14ac:dyDescent="0.2">
      <c r="A49" s="17">
        <f t="shared" si="0"/>
        <v>38</v>
      </c>
      <c r="B49" s="163" t="s">
        <v>96</v>
      </c>
      <c r="C49" s="163"/>
      <c r="D49" s="132">
        <f>+Inputs!B9</f>
        <v>0.21</v>
      </c>
      <c r="E49" s="303"/>
      <c r="F49" s="52">
        <f>ROUND(F47*D49,0)</f>
        <v>-12167</v>
      </c>
      <c r="G49" s="54"/>
      <c r="N49"/>
      <c r="O49"/>
      <c r="P49"/>
      <c r="Q49"/>
      <c r="R49"/>
      <c r="S49" s="54">
        <f>ROW()</f>
        <v>49</v>
      </c>
      <c r="T49" s="369" t="s">
        <v>220</v>
      </c>
      <c r="U49" s="18" t="s">
        <v>88</v>
      </c>
      <c r="V49" s="457">
        <f>'[19]Lead 3.05 '!D49</f>
        <v>-1315000</v>
      </c>
      <c r="W49" s="56"/>
      <c r="X49" s="56"/>
      <c r="Y49" s="56"/>
      <c r="Z49" s="56"/>
      <c r="AA49" s="56"/>
      <c r="AQ49"/>
      <c r="BB49" s="37"/>
      <c r="BC49" s="37"/>
      <c r="BD49" s="37"/>
      <c r="BV49" s="82"/>
      <c r="BX49" s="1"/>
      <c r="BZ49" s="126"/>
      <c r="CB49" s="107">
        <f t="shared" ref="CB49" si="83">+CB48+1</f>
        <v>37</v>
      </c>
      <c r="CL49" s="17">
        <f t="shared" si="14"/>
        <v>29</v>
      </c>
      <c r="CX49" s="17">
        <f t="shared" si="16"/>
        <v>29</v>
      </c>
      <c r="CZ49" s="69"/>
      <c r="DB49" s="69"/>
    </row>
    <row r="50" spans="1:107" ht="15" customHeight="1" thickBot="1" x14ac:dyDescent="0.25">
      <c r="A50" s="17">
        <f t="shared" si="0"/>
        <v>39</v>
      </c>
      <c r="B50" s="163" t="s">
        <v>55</v>
      </c>
      <c r="C50" s="163"/>
      <c r="D50" s="159"/>
      <c r="E50" s="303"/>
      <c r="F50" s="350">
        <f>ROUND(-F49+F47,0)</f>
        <v>-45772</v>
      </c>
      <c r="G50" s="54"/>
      <c r="H50" s="193"/>
      <c r="I50" s="193"/>
      <c r="J50" s="193"/>
      <c r="K50" s="193"/>
      <c r="O50" s="17"/>
      <c r="P50"/>
      <c r="Q50"/>
      <c r="R50"/>
      <c r="S50" s="54">
        <f>ROW()</f>
        <v>50</v>
      </c>
      <c r="T50" s="369" t="s">
        <v>381</v>
      </c>
      <c r="U50" s="18" t="s">
        <v>9</v>
      </c>
      <c r="V50" s="457">
        <f>'[19]Lead 3.05 '!D50</f>
        <v>-9138.84</v>
      </c>
      <c r="W50" s="56"/>
      <c r="X50" s="56"/>
      <c r="Y50" s="56"/>
      <c r="Z50" s="56"/>
      <c r="AA50" s="56"/>
      <c r="AN50" s="17"/>
      <c r="AQ50"/>
      <c r="BB50" s="37"/>
      <c r="BC50" s="37"/>
      <c r="BD50" s="37"/>
      <c r="BV50" s="82"/>
      <c r="BX50" s="1"/>
      <c r="BZ50" s="126"/>
      <c r="CB50" s="107">
        <f t="shared" ref="CB50" si="84">+CB49+1</f>
        <v>38</v>
      </c>
      <c r="CC50" s="2" t="s">
        <v>68</v>
      </c>
      <c r="CD50" s="16"/>
      <c r="CK50" s="1"/>
      <c r="CL50" s="17">
        <f t="shared" si="14"/>
        <v>30</v>
      </c>
      <c r="CM50" s="2" t="s">
        <v>68</v>
      </c>
      <c r="CN50" s="1"/>
      <c r="CP50" s="1"/>
      <c r="CQ50" s="1"/>
      <c r="CR50" s="1"/>
      <c r="CS50" s="1"/>
      <c r="CT50" s="120"/>
      <c r="CU50" s="120"/>
      <c r="CV50" s="120"/>
      <c r="CW50" s="23"/>
      <c r="CX50" s="17">
        <f t="shared" si="16"/>
        <v>30</v>
      </c>
      <c r="CY50" s="2" t="s">
        <v>68</v>
      </c>
    </row>
    <row r="51" spans="1:107" ht="15" customHeight="1" thickTop="1" x14ac:dyDescent="0.2">
      <c r="A51" s="17"/>
      <c r="F51" s="52"/>
      <c r="G51" s="54"/>
      <c r="H51" s="193"/>
      <c r="I51" s="193"/>
      <c r="J51" s="193"/>
      <c r="K51" s="193"/>
      <c r="O51" s="1"/>
      <c r="P51"/>
      <c r="Q51"/>
      <c r="R51"/>
      <c r="S51" s="54">
        <f>ROW()</f>
        <v>51</v>
      </c>
      <c r="T51" s="369" t="s">
        <v>381</v>
      </c>
      <c r="U51" s="18" t="s">
        <v>11</v>
      </c>
      <c r="V51" s="457">
        <f>'[19]Lead 3.05 '!D51</f>
        <v>-2175.91</v>
      </c>
      <c r="W51" s="56"/>
      <c r="X51" s="56"/>
      <c r="Y51" s="56"/>
      <c r="Z51" s="56"/>
      <c r="AA51" s="56"/>
      <c r="AJ51" s="153"/>
      <c r="AN51" s="17"/>
      <c r="AQ51"/>
      <c r="BV51" s="82"/>
      <c r="BX51" s="1"/>
      <c r="BZ51" s="126"/>
      <c r="CA51" s="47"/>
      <c r="CB51" s="107">
        <f t="shared" ref="CB51" si="85">+CB50+1</f>
        <v>39</v>
      </c>
      <c r="CC51" s="100" t="s">
        <v>69</v>
      </c>
      <c r="CD51" s="13">
        <f>'[24]GRB AMA'!$C$19</f>
        <v>5364524847.8389549</v>
      </c>
      <c r="CE51" s="5"/>
      <c r="CF51" s="5">
        <v>0</v>
      </c>
      <c r="CG51" s="5">
        <v>0</v>
      </c>
      <c r="CH51" s="5">
        <v>0</v>
      </c>
      <c r="CI51" s="5"/>
      <c r="CJ51" s="5"/>
      <c r="CK51" s="5">
        <v>0</v>
      </c>
      <c r="CL51" s="17">
        <f t="shared" si="14"/>
        <v>31</v>
      </c>
      <c r="CM51" s="100" t="s">
        <v>69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/>
      <c r="CT51" s="5">
        <f>BP14</f>
        <v>-104292323.71140899</v>
      </c>
      <c r="CU51" s="5">
        <f>BU21</f>
        <v>-36946426.850000009</v>
      </c>
      <c r="CV51" s="5">
        <f t="shared" ref="CV51:CV57" si="86">SUM(CE51:CU51)-CL51</f>
        <v>-141238750.561409</v>
      </c>
      <c r="CW51" s="5">
        <f>+CV51+CD51</f>
        <v>5223286097.2775459</v>
      </c>
      <c r="CX51" s="17">
        <f t="shared" si="16"/>
        <v>31</v>
      </c>
      <c r="CY51" s="100" t="s">
        <v>69</v>
      </c>
      <c r="CZ51" s="13">
        <f>+CD51</f>
        <v>5364524847.8389549</v>
      </c>
      <c r="DA51" s="6">
        <f>+CV51</f>
        <v>-141238750.561409</v>
      </c>
      <c r="DB51" s="5">
        <f>+DA51+CZ51</f>
        <v>5223286097.2775459</v>
      </c>
    </row>
    <row r="52" spans="1:107" ht="15" customHeight="1" x14ac:dyDescent="0.2">
      <c r="A52" s="17"/>
      <c r="B52" s="164"/>
      <c r="G52" s="54"/>
      <c r="O52" s="1"/>
      <c r="P52"/>
      <c r="Q52"/>
      <c r="R52"/>
      <c r="S52" s="54">
        <f>ROW()</f>
        <v>52</v>
      </c>
      <c r="T52" s="369" t="s">
        <v>381</v>
      </c>
      <c r="U52" s="18" t="s">
        <v>13</v>
      </c>
      <c r="V52" s="457">
        <f>'[19]Lead 3.05 '!D52</f>
        <v>-645.52</v>
      </c>
      <c r="W52" s="56"/>
      <c r="X52" s="56"/>
      <c r="Y52" s="56"/>
      <c r="Z52" s="56"/>
      <c r="AA52" s="56"/>
      <c r="AN52" s="17"/>
      <c r="AQ52"/>
      <c r="BV52" s="82"/>
      <c r="BX52" s="1"/>
      <c r="BZ52" s="126"/>
      <c r="CA52" s="15"/>
      <c r="CB52" s="107">
        <f t="shared" ref="CB52" si="87">+CB51+1</f>
        <v>40</v>
      </c>
      <c r="CC52" s="9" t="s">
        <v>70</v>
      </c>
      <c r="CD52" s="454">
        <f>'[24]GRB AMA'!$C$21+'[24]GRB AMA'!$C$22</f>
        <v>-2032835225.1826143</v>
      </c>
      <c r="CE52" s="7"/>
      <c r="CF52" s="7"/>
      <c r="CG52" s="7"/>
      <c r="CH52" s="7"/>
      <c r="CI52" s="7"/>
      <c r="CJ52" s="7"/>
      <c r="CK52" s="7"/>
      <c r="CL52" s="17">
        <f t="shared" si="14"/>
        <v>32</v>
      </c>
      <c r="CM52" s="9" t="s">
        <v>70</v>
      </c>
      <c r="CN52" s="7"/>
      <c r="CO52" s="7"/>
      <c r="CP52" s="7"/>
      <c r="CQ52" s="7"/>
      <c r="CR52" s="7"/>
      <c r="CS52" s="139"/>
      <c r="CT52" s="139">
        <f>BP15</f>
        <v>10713779.193823919</v>
      </c>
      <c r="CU52" s="139">
        <f>BU22</f>
        <v>4479761.2427143315</v>
      </c>
      <c r="CV52" s="139">
        <f t="shared" si="86"/>
        <v>15193540.436538249</v>
      </c>
      <c r="CW52" s="7">
        <f>+CV52+CD52</f>
        <v>-2017641684.7460761</v>
      </c>
      <c r="CX52" s="17">
        <f t="shared" si="16"/>
        <v>32</v>
      </c>
      <c r="CY52" s="9" t="s">
        <v>70</v>
      </c>
      <c r="CZ52" s="46">
        <f>+CD52</f>
        <v>-2032835225.1826143</v>
      </c>
      <c r="DA52" s="7">
        <f>+CV52</f>
        <v>15193540.436538249</v>
      </c>
      <c r="DB52" s="7">
        <f>+DA52+CZ52</f>
        <v>-2017641684.7460761</v>
      </c>
    </row>
    <row r="53" spans="1:107" ht="15" customHeight="1" x14ac:dyDescent="0.2">
      <c r="A53" s="17"/>
      <c r="B53" s="164"/>
      <c r="G53" s="168"/>
      <c r="P53"/>
      <c r="Q53"/>
      <c r="R53"/>
      <c r="S53" s="54">
        <f>ROW()</f>
        <v>53</v>
      </c>
      <c r="T53" s="369" t="s">
        <v>381</v>
      </c>
      <c r="U53" s="18" t="s">
        <v>88</v>
      </c>
      <c r="V53" s="457">
        <f>'[19]Lead 3.05 '!D53</f>
        <v>-231852.7</v>
      </c>
      <c r="W53" s="56"/>
      <c r="X53" s="56"/>
      <c r="Y53" s="56"/>
      <c r="Z53" s="56"/>
      <c r="AA53" s="56"/>
      <c r="AQ53"/>
      <c r="BV53" s="82"/>
      <c r="BX53" s="1"/>
      <c r="BZ53" s="126"/>
      <c r="CA53" s="15"/>
      <c r="CB53" s="107">
        <f t="shared" ref="CB53" si="88">+CB52+1</f>
        <v>41</v>
      </c>
      <c r="CC53" s="9" t="s">
        <v>71</v>
      </c>
      <c r="CD53" s="454">
        <f>'[24]GRB AMA'!$C$25+'[24]GRB AMA'!$C$26+'[24]GRB AMA'!$C$24</f>
        <v>-604248435.60356045</v>
      </c>
      <c r="CE53" s="8"/>
      <c r="CF53" s="8"/>
      <c r="CG53" s="8"/>
      <c r="CH53" s="8"/>
      <c r="CI53" s="8"/>
      <c r="CJ53" s="8"/>
      <c r="CK53" s="8"/>
      <c r="CL53" s="17">
        <f t="shared" si="14"/>
        <v>33</v>
      </c>
      <c r="CM53" s="9" t="s">
        <v>71</v>
      </c>
      <c r="CN53" s="8"/>
      <c r="CO53" s="8"/>
      <c r="CP53" s="8"/>
      <c r="CQ53" s="8"/>
      <c r="CR53" s="8"/>
      <c r="CS53" s="8"/>
      <c r="CT53" s="8">
        <f>BP16</f>
        <v>10968336.770870598</v>
      </c>
      <c r="CU53" s="8">
        <f>BU23</f>
        <v>7203888.8936433159</v>
      </c>
      <c r="CV53" s="8">
        <f t="shared" si="86"/>
        <v>18172225.664513916</v>
      </c>
      <c r="CW53" s="7">
        <f>+CV53+CD53</f>
        <v>-586076209.9390465</v>
      </c>
      <c r="CX53" s="17">
        <f t="shared" si="16"/>
        <v>33</v>
      </c>
      <c r="CY53" s="9" t="s">
        <v>71</v>
      </c>
      <c r="CZ53" s="141">
        <f>+CD53</f>
        <v>-604248435.60356045</v>
      </c>
      <c r="DA53" s="8">
        <f>+CV53</f>
        <v>18172225.664513916</v>
      </c>
      <c r="DB53" s="8">
        <f>+DA53+CZ53</f>
        <v>-586076209.9390465</v>
      </c>
    </row>
    <row r="54" spans="1:107" ht="15" customHeight="1" x14ac:dyDescent="0.2">
      <c r="A54" s="17"/>
      <c r="B54" s="164"/>
      <c r="G54" s="168"/>
      <c r="H54" s="193"/>
      <c r="I54" s="193"/>
      <c r="J54" s="193"/>
      <c r="K54" s="193"/>
      <c r="L54" s="1"/>
      <c r="P54"/>
      <c r="Q54"/>
      <c r="R54"/>
      <c r="S54" s="54">
        <f>ROW()</f>
        <v>54</v>
      </c>
      <c r="T54" s="369" t="s">
        <v>216</v>
      </c>
      <c r="U54" s="18" t="s">
        <v>13</v>
      </c>
      <c r="V54" s="457">
        <f>'[19]Lead 3.05 '!D54</f>
        <v>-53916629.159999996</v>
      </c>
      <c r="W54" s="56"/>
      <c r="X54" s="56"/>
      <c r="Y54" s="56"/>
      <c r="Z54" s="56"/>
      <c r="AA54" s="56"/>
      <c r="AN54" s="17"/>
      <c r="AQ54"/>
      <c r="BV54" s="17"/>
      <c r="BX54" s="72"/>
      <c r="BY54" s="51"/>
      <c r="BZ54" s="72"/>
      <c r="CA54" s="15"/>
      <c r="CB54" s="107">
        <f t="shared" ref="CB54" si="89">+CB53+1</f>
        <v>42</v>
      </c>
      <c r="CC54" s="9" t="s">
        <v>76</v>
      </c>
      <c r="CD54" s="454">
        <f>'[24]GRB AMA'!$C$23+'[24]GRB AMA'!$C$28+'[24]GRB AMA'!$C$27</f>
        <v>8004322.71827925</v>
      </c>
      <c r="CE54" s="10"/>
      <c r="CF54" s="10"/>
      <c r="CG54" s="10"/>
      <c r="CH54" s="10"/>
      <c r="CI54" s="10"/>
      <c r="CJ54" s="10"/>
      <c r="CK54" s="10"/>
      <c r="CL54" s="17">
        <f t="shared" si="14"/>
        <v>34</v>
      </c>
      <c r="CM54" s="9" t="s">
        <v>76</v>
      </c>
      <c r="CN54" s="10"/>
      <c r="CO54" s="10"/>
      <c r="CP54" s="10"/>
      <c r="CQ54" s="10"/>
      <c r="CR54" s="10"/>
      <c r="CS54" s="140"/>
      <c r="CT54" s="140"/>
      <c r="CU54" s="140"/>
      <c r="CV54" s="140">
        <f t="shared" si="86"/>
        <v>0</v>
      </c>
      <c r="CW54" s="10">
        <f>+CV54+CD54</f>
        <v>8004322.71827925</v>
      </c>
      <c r="CX54" s="17">
        <f t="shared" si="16"/>
        <v>34</v>
      </c>
      <c r="CY54" s="9" t="s">
        <v>76</v>
      </c>
      <c r="CZ54" s="49">
        <f>+CD54</f>
        <v>8004322.71827925</v>
      </c>
      <c r="DA54" s="10">
        <f>+CV54</f>
        <v>0</v>
      </c>
      <c r="DB54" s="10">
        <f>+DA54+CZ54</f>
        <v>8004322.71827925</v>
      </c>
    </row>
    <row r="55" spans="1:107" ht="15" customHeight="1" x14ac:dyDescent="0.2">
      <c r="A55" s="17"/>
      <c r="B55" s="164"/>
      <c r="G55" s="267"/>
      <c r="L55" s="1"/>
      <c r="P55"/>
      <c r="Q55"/>
      <c r="R55"/>
      <c r="S55" s="54">
        <f>ROW()</f>
        <v>55</v>
      </c>
      <c r="T55" s="366" t="s">
        <v>108</v>
      </c>
      <c r="U55" s="366"/>
      <c r="V55" s="569">
        <f>SUM(V42:V54)</f>
        <v>-129450276.86999999</v>
      </c>
      <c r="W55" s="56"/>
      <c r="X55" s="56"/>
      <c r="Y55" s="56"/>
      <c r="Z55" s="56"/>
      <c r="AA55" s="56"/>
      <c r="AN55" s="17"/>
      <c r="AO55" s="1"/>
      <c r="AP55" s="1"/>
      <c r="AQ55"/>
      <c r="BV55" s="17"/>
      <c r="CA55" s="15"/>
      <c r="CB55" s="107">
        <f t="shared" ref="CB55" si="90">+CB54+1</f>
        <v>43</v>
      </c>
      <c r="CC55" s="9" t="s">
        <v>74</v>
      </c>
      <c r="CD55" s="392">
        <f>SUM(CD51:CD54)</f>
        <v>2735445509.7710595</v>
      </c>
      <c r="CE55" s="6"/>
      <c r="CF55" s="6">
        <f>SUM(CF51:CF54)</f>
        <v>0</v>
      </c>
      <c r="CG55" s="6">
        <f>SUM(CG51:CG54)</f>
        <v>0</v>
      </c>
      <c r="CH55" s="6">
        <f>SUM(CH51:CH54)</f>
        <v>0</v>
      </c>
      <c r="CI55" s="6">
        <f>SUM(CI51:CI54)</f>
        <v>0</v>
      </c>
      <c r="CJ55" s="6"/>
      <c r="CK55" s="6">
        <f>SUM(CK51:CK54)</f>
        <v>0</v>
      </c>
      <c r="CL55" s="17">
        <f t="shared" si="14"/>
        <v>35</v>
      </c>
      <c r="CM55" s="9" t="s">
        <v>74</v>
      </c>
      <c r="CN55" s="6">
        <f>SUM(CN51:CN54)</f>
        <v>0</v>
      </c>
      <c r="CO55" s="6">
        <f>SUM(CO51:CO54)</f>
        <v>0</v>
      </c>
      <c r="CP55" s="6">
        <f>SUM(CP51:CP54)</f>
        <v>0</v>
      </c>
      <c r="CQ55" s="6">
        <f>SUM(CQ51:CQ54)</f>
        <v>0</v>
      </c>
      <c r="CR55" s="6">
        <f>SUM(CR51:CR54)</f>
        <v>0</v>
      </c>
      <c r="CS55" s="6">
        <f t="shared" ref="CS55:CU55" si="91">SUM(CS51:CS54)</f>
        <v>0</v>
      </c>
      <c r="CT55" s="6">
        <f t="shared" si="91"/>
        <v>-82610207.746714473</v>
      </c>
      <c r="CU55" s="6">
        <f t="shared" si="91"/>
        <v>-25262776.713642363</v>
      </c>
      <c r="CV55" s="6">
        <f t="shared" si="86"/>
        <v>-107872984.46035683</v>
      </c>
      <c r="CW55" s="6">
        <f>SUM(CW51:CW54)</f>
        <v>2627572525.3107028</v>
      </c>
      <c r="CX55" s="17">
        <f t="shared" si="16"/>
        <v>35</v>
      </c>
      <c r="CY55" s="9" t="s">
        <v>74</v>
      </c>
      <c r="CZ55" s="6">
        <f>SUM(CZ51:CZ54)</f>
        <v>2735445509.7710595</v>
      </c>
      <c r="DA55" s="6">
        <f>SUM(DA51:DA54)</f>
        <v>-107872984.46035683</v>
      </c>
      <c r="DB55" s="6">
        <f>SUM(DB51:DB54)</f>
        <v>2627572525.3107028</v>
      </c>
    </row>
    <row r="56" spans="1:107" ht="15" customHeight="1" x14ac:dyDescent="0.2">
      <c r="G56" s="267"/>
      <c r="H56" s="193"/>
      <c r="I56" s="193"/>
      <c r="J56" s="193"/>
      <c r="K56" s="193"/>
      <c r="L56" s="1"/>
      <c r="P56"/>
      <c r="Q56"/>
      <c r="R56"/>
      <c r="S56" s="54">
        <f>ROW()</f>
        <v>56</v>
      </c>
      <c r="T56" s="368"/>
      <c r="U56" s="368"/>
      <c r="V56" s="570"/>
      <c r="W56" s="56"/>
      <c r="X56" s="56"/>
      <c r="Y56" s="56"/>
      <c r="Z56" s="56"/>
      <c r="AA56" s="56"/>
      <c r="AN56" s="17"/>
      <c r="AO56" s="1"/>
      <c r="AP56" s="101"/>
      <c r="AQ56"/>
      <c r="BV56" s="37"/>
      <c r="BW56" s="37"/>
      <c r="BX56" s="37"/>
      <c r="BY56" s="37"/>
      <c r="BZ56" s="37"/>
      <c r="CA56" s="15"/>
      <c r="CB56" s="107">
        <f t="shared" ref="CB56" si="92">+CB55+1</f>
        <v>44</v>
      </c>
      <c r="CC56" s="9" t="s">
        <v>72</v>
      </c>
      <c r="CD56" s="454">
        <f>'[24]GRB AMA'!$C$32</f>
        <v>120114182.08316007</v>
      </c>
      <c r="CE56" s="10"/>
      <c r="CF56" s="10"/>
      <c r="CG56" s="10"/>
      <c r="CH56" s="10"/>
      <c r="CI56" s="10"/>
      <c r="CJ56" s="10"/>
      <c r="CK56" s="10"/>
      <c r="CL56" s="17">
        <f t="shared" si="14"/>
        <v>36</v>
      </c>
      <c r="CM56" s="9" t="s">
        <v>72</v>
      </c>
      <c r="CN56" s="10"/>
      <c r="CO56" s="10"/>
      <c r="CP56" s="10"/>
      <c r="CQ56" s="10"/>
      <c r="CR56" s="10"/>
      <c r="CS56" s="140"/>
      <c r="CT56" s="140"/>
      <c r="CU56" s="140"/>
      <c r="CV56" s="140">
        <f t="shared" si="86"/>
        <v>0</v>
      </c>
      <c r="CW56" s="10">
        <f>+CV56+CD56</f>
        <v>120114182.08316007</v>
      </c>
      <c r="CX56" s="17">
        <f t="shared" si="16"/>
        <v>36</v>
      </c>
      <c r="CY56" s="9" t="s">
        <v>72</v>
      </c>
      <c r="CZ56" s="49">
        <f>+CD56</f>
        <v>120114182.08316007</v>
      </c>
      <c r="DA56" s="10">
        <f>+CV56</f>
        <v>0</v>
      </c>
      <c r="DB56" s="10">
        <f>+DA56+CZ56</f>
        <v>120114182.08316007</v>
      </c>
    </row>
    <row r="57" spans="1:107" ht="15" customHeight="1" thickBot="1" x14ac:dyDescent="0.25">
      <c r="G57" s="267"/>
      <c r="L57" s="1"/>
      <c r="P57"/>
      <c r="Q57"/>
      <c r="R57"/>
      <c r="S57" s="54">
        <f>ROW()</f>
        <v>57</v>
      </c>
      <c r="T57" s="364" t="s">
        <v>164</v>
      </c>
      <c r="U57" s="364"/>
      <c r="V57" s="311">
        <f>-V33-V39-V55</f>
        <v>-814470.3066931963</v>
      </c>
      <c r="W57" s="56"/>
      <c r="X57" s="56"/>
      <c r="Y57" s="56"/>
      <c r="Z57" s="56"/>
      <c r="AA57" s="56"/>
      <c r="AN57" s="17"/>
      <c r="AO57" s="1"/>
      <c r="AP57" s="1"/>
      <c r="AQ57"/>
      <c r="BV57" s="37"/>
      <c r="BW57" s="37"/>
      <c r="BX57" s="37"/>
      <c r="BY57" s="37"/>
      <c r="BZ57" s="37"/>
      <c r="CB57" s="107">
        <f t="shared" ref="CB57" si="93">+CB56+1</f>
        <v>45</v>
      </c>
      <c r="CC57" s="100" t="s">
        <v>73</v>
      </c>
      <c r="CD57" s="393">
        <f>SUM(CD55:CD56)</f>
        <v>2855559691.8542194</v>
      </c>
      <c r="CE57" s="11"/>
      <c r="CF57" s="11">
        <f>SUM(CF55:CF56)</f>
        <v>0</v>
      </c>
      <c r="CG57" s="11">
        <f>SUM(CG55:CG56)</f>
        <v>0</v>
      </c>
      <c r="CH57" s="11">
        <f>SUM(CH55:CH56)</f>
        <v>0</v>
      </c>
      <c r="CI57" s="11">
        <f>SUM(CI55:CI56)</f>
        <v>0</v>
      </c>
      <c r="CJ57" s="11"/>
      <c r="CK57" s="11">
        <f>SUM(CK55:CK56)</f>
        <v>0</v>
      </c>
      <c r="CL57" s="17">
        <f t="shared" si="14"/>
        <v>37</v>
      </c>
      <c r="CM57" s="100" t="s">
        <v>73</v>
      </c>
      <c r="CN57" s="11">
        <f>SUM(CN55:CN56)</f>
        <v>0</v>
      </c>
      <c r="CO57" s="11">
        <f>SUM(CO55:CO56)</f>
        <v>0</v>
      </c>
      <c r="CP57" s="11">
        <f>SUM(CP55:CP56)</f>
        <v>0</v>
      </c>
      <c r="CQ57" s="11">
        <f>SUM(CQ55:CQ56)</f>
        <v>0</v>
      </c>
      <c r="CR57" s="11">
        <f>SUM(CR55:CR56)</f>
        <v>0</v>
      </c>
      <c r="CS57" s="11">
        <f t="shared" ref="CS57:CU57" si="94">SUM(CS55:CS56)</f>
        <v>0</v>
      </c>
      <c r="CT57" s="11">
        <f t="shared" si="94"/>
        <v>-82610207.746714473</v>
      </c>
      <c r="CU57" s="11">
        <f t="shared" si="94"/>
        <v>-25262776.713642363</v>
      </c>
      <c r="CV57" s="11">
        <f t="shared" si="86"/>
        <v>-107872984.46035683</v>
      </c>
      <c r="CW57" s="11">
        <f>SUM(CW55:CW56)</f>
        <v>2747686707.3938627</v>
      </c>
      <c r="CX57" s="17">
        <f t="shared" si="16"/>
        <v>37</v>
      </c>
      <c r="CY57" s="100" t="s">
        <v>73</v>
      </c>
      <c r="CZ57" s="11">
        <f>SUM(CZ55:CZ56)</f>
        <v>2855559691.8542194</v>
      </c>
      <c r="DA57" s="11">
        <f>SUM(DA55:DA56)</f>
        <v>-107872984.46035683</v>
      </c>
      <c r="DB57" s="11">
        <f>SUM(DB55:DB56)</f>
        <v>2747686707.3938627</v>
      </c>
    </row>
    <row r="58" spans="1:107" ht="15" customHeight="1" thickTop="1" x14ac:dyDescent="0.2">
      <c r="G58" s="267"/>
      <c r="H58" s="193"/>
      <c r="I58" s="193"/>
      <c r="J58" s="193"/>
      <c r="K58" s="193"/>
      <c r="L58" s="1"/>
      <c r="P58"/>
      <c r="Q58"/>
      <c r="R58"/>
      <c r="S58" s="54">
        <f>ROW()</f>
        <v>58</v>
      </c>
      <c r="T58" s="364" t="s">
        <v>356</v>
      </c>
      <c r="U58" s="462">
        <f>+Inputs!B9</f>
        <v>0.21</v>
      </c>
      <c r="V58" s="457">
        <f>V57*U58</f>
        <v>-171038.76440557122</v>
      </c>
      <c r="W58" s="56"/>
      <c r="X58" s="56"/>
      <c r="Y58" s="56"/>
      <c r="Z58" s="56"/>
      <c r="AA58" s="56"/>
      <c r="AN58" s="17"/>
      <c r="AO58" s="98"/>
      <c r="AP58" s="101"/>
      <c r="AQ58"/>
      <c r="BV58" s="37"/>
      <c r="BW58" s="37"/>
      <c r="BX58" s="37"/>
      <c r="BY58" s="37"/>
      <c r="BZ58" s="37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</row>
    <row r="59" spans="1:107" ht="15" customHeight="1" thickBot="1" x14ac:dyDescent="0.25">
      <c r="A59" s="276"/>
      <c r="B59" s="276"/>
      <c r="C59" s="276"/>
      <c r="D59" s="276"/>
      <c r="E59" s="276"/>
      <c r="F59" s="276"/>
      <c r="G59" s="267"/>
      <c r="H59" s="193"/>
      <c r="I59" s="193"/>
      <c r="J59" s="193"/>
      <c r="K59" s="193"/>
      <c r="L59" s="1"/>
      <c r="P59"/>
      <c r="Q59"/>
      <c r="R59"/>
      <c r="S59" s="54">
        <f>ROW()</f>
        <v>59</v>
      </c>
      <c r="T59" s="364" t="s">
        <v>55</v>
      </c>
      <c r="U59" s="364"/>
      <c r="V59" s="571">
        <f>V57-V58</f>
        <v>-643431.54228762514</v>
      </c>
      <c r="W59" s="56"/>
      <c r="X59" s="56"/>
      <c r="Y59" s="56"/>
      <c r="Z59" s="56"/>
      <c r="AA59" s="56"/>
      <c r="AN59" s="17"/>
      <c r="AO59" s="98"/>
      <c r="AP59" s="101"/>
      <c r="AQ59"/>
      <c r="BV59" s="37"/>
      <c r="BW59" s="37"/>
      <c r="BX59" s="37"/>
      <c r="BY59" s="37"/>
      <c r="BZ59" s="37"/>
      <c r="CA59" s="3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</row>
    <row r="60" spans="1:107" ht="15" customHeight="1" thickTop="1" x14ac:dyDescent="0.2">
      <c r="A60" s="186"/>
      <c r="G60" s="267"/>
      <c r="H60" s="193"/>
      <c r="I60" s="193"/>
      <c r="J60" s="193"/>
      <c r="K60" s="193"/>
      <c r="L60" s="1"/>
      <c r="P60"/>
      <c r="Q60"/>
      <c r="R60"/>
      <c r="T60" s="56"/>
      <c r="U60" s="56"/>
      <c r="V60" s="56"/>
      <c r="W60" s="56"/>
      <c r="X60" s="56"/>
      <c r="Y60" s="56"/>
      <c r="Z60" s="56"/>
      <c r="AA60" s="56"/>
      <c r="AN60" s="82"/>
      <c r="AO60" s="98"/>
      <c r="AP60" s="101"/>
      <c r="AQ60"/>
      <c r="AS60" s="153"/>
      <c r="BV60" s="37"/>
      <c r="BW60" s="37"/>
      <c r="BX60" s="37"/>
      <c r="BY60" s="37"/>
      <c r="BZ60" s="37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</row>
    <row r="61" spans="1:107" ht="15" customHeight="1" x14ac:dyDescent="0.2">
      <c r="A61" s="186"/>
      <c r="G61" s="267"/>
      <c r="H61" s="193"/>
      <c r="I61" s="193"/>
      <c r="J61" s="193"/>
      <c r="K61" s="193"/>
      <c r="L61" s="1"/>
      <c r="P61"/>
      <c r="Q61"/>
      <c r="R61"/>
      <c r="T61" s="56"/>
      <c r="U61" s="56"/>
      <c r="V61" s="580"/>
      <c r="W61" s="56"/>
      <c r="X61" s="56"/>
      <c r="Y61" s="56"/>
      <c r="Z61" s="56"/>
      <c r="AA61" s="56"/>
      <c r="AN61" s="21"/>
      <c r="AO61" s="98"/>
      <c r="AP61" s="102"/>
      <c r="BV61" s="37"/>
      <c r="BW61" s="37"/>
      <c r="BX61" s="37"/>
      <c r="BY61" s="37"/>
      <c r="BZ61" s="37"/>
      <c r="CA61" s="70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</row>
    <row r="62" spans="1:107" ht="15" customHeight="1" x14ac:dyDescent="0.2">
      <c r="A62" s="186"/>
      <c r="G62" s="267"/>
      <c r="H62" s="193"/>
      <c r="I62" s="193"/>
      <c r="J62" s="193"/>
      <c r="K62" s="193"/>
      <c r="L62" s="276"/>
      <c r="M62" s="276"/>
      <c r="N62" s="276"/>
      <c r="O62" s="276"/>
      <c r="P62"/>
      <c r="Q62"/>
      <c r="R62"/>
      <c r="T62" s="56"/>
      <c r="U62" s="56"/>
      <c r="V62" s="56"/>
      <c r="AN62" s="21"/>
      <c r="AO62" s="98"/>
      <c r="AP62" s="102"/>
      <c r="BV62" s="37"/>
      <c r="BW62" s="37"/>
      <c r="BX62" s="37"/>
      <c r="BY62" s="37"/>
      <c r="BZ62" s="37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</row>
    <row r="63" spans="1:107" ht="15" customHeight="1" x14ac:dyDescent="0.2">
      <c r="A63" s="186"/>
      <c r="G63" s="267"/>
      <c r="H63" s="193"/>
      <c r="I63" s="193"/>
      <c r="J63" s="193"/>
      <c r="K63" s="193"/>
      <c r="L63" s="1"/>
      <c r="P63"/>
      <c r="Q63"/>
      <c r="R63"/>
      <c r="T63" s="56"/>
      <c r="U63" s="56"/>
      <c r="V63" s="56"/>
      <c r="AN63" s="21"/>
      <c r="AO63" s="98"/>
      <c r="AP63" s="102"/>
      <c r="BV63" s="37"/>
      <c r="BW63" s="37"/>
      <c r="BX63" s="37"/>
      <c r="BY63" s="37"/>
      <c r="BZ63" s="37"/>
      <c r="CA63" s="2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</row>
    <row r="64" spans="1:107" ht="15" customHeight="1" x14ac:dyDescent="0.2">
      <c r="A64" s="186"/>
      <c r="G64" s="267"/>
      <c r="H64" s="193"/>
      <c r="I64" s="193"/>
      <c r="J64" s="193"/>
      <c r="K64" s="193"/>
      <c r="L64" s="1"/>
      <c r="P64"/>
      <c r="Q64"/>
      <c r="R64"/>
      <c r="T64" s="56"/>
      <c r="U64" s="56"/>
      <c r="V64" s="56"/>
      <c r="AN64" s="21"/>
      <c r="AO64" s="98"/>
      <c r="AP64" s="102"/>
      <c r="BV64" s="37"/>
      <c r="BW64" s="37"/>
      <c r="BX64" s="37"/>
      <c r="BY64" s="37"/>
      <c r="BZ64" s="37"/>
      <c r="CA64" s="23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</row>
    <row r="65" spans="1:107" ht="15" customHeight="1" x14ac:dyDescent="0.2">
      <c r="A65" s="186"/>
      <c r="G65" s="267"/>
      <c r="H65" s="193"/>
      <c r="I65" s="193"/>
      <c r="J65" s="193"/>
      <c r="K65" s="193"/>
      <c r="L65" s="1"/>
      <c r="P65"/>
      <c r="Q65"/>
      <c r="R65"/>
      <c r="T65" s="56"/>
      <c r="U65" s="56"/>
      <c r="V65" s="56"/>
      <c r="AN65" s="21"/>
      <c r="AO65" s="98"/>
      <c r="AP65" s="102"/>
      <c r="BV65" s="37"/>
      <c r="BW65" s="37"/>
      <c r="BX65" s="37"/>
      <c r="BY65" s="37"/>
      <c r="BZ65" s="37"/>
      <c r="CA65" s="20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</row>
    <row r="66" spans="1:107" ht="15" customHeight="1" x14ac:dyDescent="0.2">
      <c r="A66" s="186"/>
      <c r="G66" s="267"/>
      <c r="H66" s="193"/>
      <c r="I66" s="193"/>
      <c r="J66" s="193"/>
      <c r="K66" s="193"/>
      <c r="L66" s="1"/>
      <c r="P66"/>
      <c r="Q66"/>
      <c r="R66"/>
      <c r="T66" s="56"/>
      <c r="U66" s="56"/>
      <c r="V66" s="56"/>
      <c r="AN66" s="21"/>
      <c r="AO66" s="98"/>
      <c r="AP66" s="102"/>
      <c r="BV66" s="37"/>
      <c r="BW66" s="37"/>
      <c r="BX66" s="37"/>
      <c r="BY66" s="37"/>
      <c r="BZ66" s="37"/>
      <c r="CA66" s="23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</row>
    <row r="67" spans="1:107" ht="15" customHeight="1" x14ac:dyDescent="0.2">
      <c r="A67" s="186"/>
      <c r="G67" s="267"/>
      <c r="H67" s="193"/>
      <c r="I67" s="193"/>
      <c r="J67" s="193"/>
      <c r="K67" s="193"/>
      <c r="L67" s="1"/>
      <c r="P67"/>
      <c r="Q67"/>
      <c r="R67"/>
      <c r="T67" s="56"/>
      <c r="U67" s="56"/>
      <c r="V67" s="56"/>
      <c r="AN67" s="21"/>
      <c r="AO67" s="98"/>
      <c r="AP67" s="102"/>
      <c r="BV67" s="37"/>
      <c r="BW67" s="37"/>
      <c r="BX67" s="37"/>
      <c r="BY67" s="37"/>
      <c r="BZ67" s="37"/>
      <c r="CA67" s="23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</row>
    <row r="68" spans="1:107" ht="15" customHeight="1" x14ac:dyDescent="0.2">
      <c r="A68" s="186"/>
      <c r="G68" s="267"/>
      <c r="H68" s="193"/>
      <c r="I68" s="193"/>
      <c r="J68" s="193"/>
      <c r="K68" s="193"/>
      <c r="L68" s="1"/>
      <c r="P68"/>
      <c r="Q68"/>
      <c r="R68"/>
      <c r="T68" s="56"/>
      <c r="U68" s="56"/>
      <c r="V68" s="56"/>
      <c r="AN68" s="21"/>
      <c r="AO68" s="98"/>
      <c r="AP68" s="102"/>
      <c r="AW68" s="160"/>
      <c r="BV68" s="37"/>
      <c r="BW68" s="37"/>
      <c r="BX68" s="37"/>
      <c r="BY68" s="37"/>
      <c r="BZ68" s="37"/>
      <c r="CA68" s="74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</row>
    <row r="69" spans="1:107" ht="15" customHeight="1" x14ac:dyDescent="0.2">
      <c r="A69" s="186"/>
      <c r="G69" s="267"/>
      <c r="H69" s="276"/>
      <c r="I69" s="276"/>
      <c r="J69" s="276"/>
      <c r="K69" s="276"/>
      <c r="L69" s="1"/>
      <c r="P69"/>
      <c r="Q69"/>
      <c r="R69"/>
      <c r="T69" s="56"/>
      <c r="U69" s="56"/>
      <c r="V69" s="56"/>
      <c r="AN69" s="21"/>
      <c r="AO69" s="98"/>
      <c r="AP69" s="102"/>
      <c r="BV69" s="37"/>
      <c r="BW69" s="37"/>
      <c r="BX69" s="37"/>
      <c r="BY69" s="37"/>
      <c r="BZ69" s="37"/>
      <c r="CA69" s="135" t="s">
        <v>20</v>
      </c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ht="15" customHeight="1" x14ac:dyDescent="0.2">
      <c r="A70" s="186"/>
      <c r="G70" s="267"/>
      <c r="H70" s="193"/>
      <c r="I70" s="193"/>
      <c r="J70" s="193"/>
      <c r="K70" s="193"/>
      <c r="L70" s="1"/>
      <c r="M70" s="186"/>
      <c r="P70"/>
      <c r="Q70"/>
      <c r="R70"/>
      <c r="T70" s="56"/>
      <c r="U70" s="56"/>
      <c r="V70" s="56"/>
      <c r="AN70" s="21"/>
      <c r="AO70" s="98"/>
      <c r="AP70" s="102"/>
      <c r="BV70" s="37"/>
      <c r="BW70" s="37"/>
      <c r="BX70" s="37"/>
      <c r="BY70" s="37"/>
      <c r="BZ70" s="37"/>
      <c r="CA70" s="136" t="s">
        <v>20</v>
      </c>
      <c r="CB70" s="17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</row>
    <row r="71" spans="1:107" ht="15" customHeight="1" x14ac:dyDescent="0.2">
      <c r="A71" s="186"/>
      <c r="G71" s="267"/>
      <c r="H71" s="193"/>
      <c r="I71" s="193"/>
      <c r="J71" s="193"/>
      <c r="K71" s="193"/>
      <c r="P71"/>
      <c r="Q71"/>
      <c r="R71"/>
      <c r="T71" s="56"/>
      <c r="U71" s="56"/>
      <c r="V71" s="56"/>
      <c r="BV71" s="37"/>
      <c r="BW71" s="37"/>
      <c r="BX71" s="37"/>
      <c r="BY71" s="37"/>
      <c r="BZ71" s="37"/>
      <c r="CA71" s="75"/>
      <c r="CB71" s="17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ht="15" customHeight="1" x14ac:dyDescent="0.2">
      <c r="A72" s="186"/>
      <c r="G72" s="267"/>
      <c r="H72" s="193"/>
      <c r="I72" s="193"/>
      <c r="J72" s="193"/>
      <c r="K72" s="193"/>
      <c r="P72"/>
      <c r="Q72"/>
      <c r="R72"/>
      <c r="T72" s="56"/>
      <c r="U72" s="56"/>
      <c r="V72" s="56"/>
      <c r="BV72" s="37"/>
      <c r="BW72" s="37"/>
      <c r="BX72" s="37"/>
      <c r="BY72" s="37"/>
      <c r="BZ72" s="37"/>
      <c r="CA72" s="60"/>
      <c r="CB72" s="3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</row>
    <row r="73" spans="1:107" ht="15" customHeight="1" x14ac:dyDescent="0.2">
      <c r="A73" s="186"/>
      <c r="G73" s="267"/>
      <c r="H73" s="193"/>
      <c r="I73" s="193"/>
      <c r="J73" s="193"/>
      <c r="K73" s="193"/>
      <c r="P73"/>
      <c r="Q73"/>
      <c r="R73"/>
      <c r="T73" s="56"/>
      <c r="U73" s="56"/>
      <c r="V73" s="56"/>
      <c r="BV73" s="37"/>
      <c r="BW73" s="37"/>
      <c r="BX73" s="37"/>
      <c r="BY73" s="37"/>
      <c r="BZ73" s="37"/>
      <c r="CA73" s="76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</row>
    <row r="74" spans="1:107" ht="15" customHeight="1" x14ac:dyDescent="0.2">
      <c r="A74" s="186"/>
      <c r="G74" s="193"/>
      <c r="H74" s="193"/>
      <c r="I74" s="193"/>
      <c r="J74" s="193"/>
      <c r="K74" s="193"/>
      <c r="P74"/>
      <c r="Q74"/>
      <c r="R74"/>
      <c r="T74" s="56"/>
      <c r="U74" s="56"/>
      <c r="V74" s="56"/>
      <c r="BV74" s="37"/>
      <c r="BW74" s="37"/>
      <c r="BX74" s="37"/>
      <c r="BY74" s="37"/>
      <c r="BZ74" s="37"/>
      <c r="CA74" s="60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</row>
    <row r="75" spans="1:107" ht="15" customHeight="1" x14ac:dyDescent="0.2">
      <c r="A75" s="186"/>
      <c r="G75" s="193"/>
      <c r="H75" s="193"/>
      <c r="I75" s="193"/>
      <c r="J75" s="193"/>
      <c r="K75" s="193"/>
      <c r="P75"/>
      <c r="Q75"/>
      <c r="R75"/>
      <c r="S75" s="276"/>
      <c r="T75" s="276"/>
      <c r="U75" s="276"/>
      <c r="V75" s="56"/>
      <c r="BV75" s="37"/>
      <c r="BW75" s="37"/>
      <c r="BX75" s="37"/>
      <c r="BY75" s="37"/>
      <c r="BZ75" s="37"/>
      <c r="CA75" s="60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</row>
    <row r="76" spans="1:107" ht="15" customHeight="1" x14ac:dyDescent="0.2">
      <c r="A76" s="186"/>
      <c r="G76" s="276"/>
      <c r="H76" s="193"/>
      <c r="I76" s="193"/>
      <c r="J76" s="193"/>
      <c r="K76" s="193"/>
      <c r="P76"/>
      <c r="Q76"/>
      <c r="R76"/>
      <c r="BV76" s="37"/>
      <c r="BW76" s="37"/>
      <c r="BX76" s="37"/>
      <c r="BY76" s="37"/>
      <c r="BZ76" s="37"/>
      <c r="CA76" s="7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07"/>
      <c r="CU76" s="107"/>
      <c r="CV76" s="107"/>
    </row>
    <row r="77" spans="1:107" ht="15" customHeight="1" x14ac:dyDescent="0.2">
      <c r="A77" s="186"/>
      <c r="G77" s="193"/>
      <c r="H77" s="193"/>
      <c r="I77" s="193"/>
      <c r="J77" s="193"/>
      <c r="K77" s="193"/>
      <c r="P77"/>
      <c r="Q77"/>
      <c r="R77"/>
      <c r="W77" s="18"/>
      <c r="X77" s="18"/>
      <c r="Y77" s="18"/>
      <c r="Z77" s="18"/>
      <c r="AA77" s="18"/>
      <c r="BV77" s="37"/>
      <c r="BW77" s="37"/>
      <c r="BX77" s="37"/>
      <c r="BY77" s="37"/>
      <c r="BZ77" s="37"/>
      <c r="CA77" s="76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07"/>
      <c r="CU77" s="107"/>
      <c r="CV77" s="107"/>
    </row>
    <row r="78" spans="1:107" ht="15" customHeight="1" x14ac:dyDescent="0.2">
      <c r="G78" s="193"/>
      <c r="H78" s="193"/>
      <c r="I78" s="193"/>
      <c r="J78" s="193"/>
      <c r="K78" s="193"/>
      <c r="P78"/>
      <c r="Q78"/>
      <c r="R78"/>
      <c r="BV78" s="17"/>
      <c r="BZ78" s="133" t="s">
        <v>20</v>
      </c>
      <c r="CA78" s="63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07"/>
      <c r="CU78" s="107"/>
      <c r="CV78" s="107"/>
    </row>
    <row r="79" spans="1:107" ht="15" customHeight="1" x14ac:dyDescent="0.2">
      <c r="G79" s="193"/>
      <c r="H79" s="193"/>
      <c r="I79" s="193"/>
      <c r="J79" s="193"/>
      <c r="K79" s="193"/>
      <c r="P79"/>
      <c r="Q79"/>
      <c r="R79"/>
      <c r="BV79" s="17"/>
      <c r="BZ79" s="137"/>
      <c r="CA79" s="78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07"/>
      <c r="CU79" s="107"/>
      <c r="CV79" s="107"/>
    </row>
    <row r="80" spans="1:107" ht="15" customHeight="1" x14ac:dyDescent="0.2">
      <c r="G80" s="193"/>
      <c r="H80" s="193"/>
      <c r="I80" s="193"/>
      <c r="J80" s="193"/>
      <c r="K80" s="193"/>
      <c r="P80"/>
      <c r="Q80"/>
      <c r="R80"/>
      <c r="BV80" s="58"/>
      <c r="BZ80" s="60"/>
      <c r="CA80" s="78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07"/>
      <c r="CU80" s="107"/>
      <c r="CV80" s="107"/>
    </row>
    <row r="81" spans="7:106" ht="15" customHeight="1" x14ac:dyDescent="0.2">
      <c r="G81" s="193"/>
      <c r="H81" s="193"/>
      <c r="I81" s="193"/>
      <c r="J81" s="193"/>
      <c r="K81" s="193"/>
      <c r="P81"/>
      <c r="Q81"/>
      <c r="R81"/>
      <c r="BV81" s="17"/>
      <c r="BY81" s="103"/>
      <c r="BZ81" s="137"/>
      <c r="CA81" s="78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07"/>
      <c r="CU81" s="107"/>
      <c r="CV81" s="107"/>
    </row>
    <row r="82" spans="7:106" ht="15" customHeight="1" x14ac:dyDescent="0.2">
      <c r="G82" s="193"/>
      <c r="H82" s="193"/>
      <c r="I82" s="193"/>
      <c r="J82" s="193"/>
      <c r="K82" s="193"/>
      <c r="BV82" s="17"/>
      <c r="BZ82" s="77"/>
      <c r="CA82" s="78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07"/>
      <c r="CU82" s="107"/>
      <c r="CV82" s="107"/>
    </row>
    <row r="83" spans="7:106" ht="15" customHeight="1" x14ac:dyDescent="0.2">
      <c r="G83" s="193"/>
      <c r="H83" s="193"/>
      <c r="I83" s="193"/>
      <c r="J83" s="193"/>
      <c r="K83" s="193"/>
      <c r="BV83" s="17"/>
      <c r="BZ83" s="60"/>
      <c r="CA83" s="78"/>
      <c r="CB83" s="61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07"/>
      <c r="CU83" s="107"/>
      <c r="CV83" s="107"/>
    </row>
    <row r="84" spans="7:106" ht="15" customHeight="1" x14ac:dyDescent="0.2">
      <c r="G84" s="193"/>
      <c r="H84" s="193"/>
      <c r="I84" s="193"/>
      <c r="J84" s="193"/>
      <c r="K84" s="193"/>
      <c r="BV84" s="17"/>
      <c r="BW84" s="37"/>
      <c r="BX84" s="37"/>
      <c r="BY84" s="37"/>
      <c r="BZ84" s="37"/>
      <c r="CA84" s="37"/>
      <c r="CB84" s="73"/>
      <c r="CC84" s="61"/>
      <c r="CD84" s="61"/>
      <c r="CE84" s="61"/>
      <c r="CF84" s="61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07"/>
      <c r="CU84" s="107"/>
      <c r="CV84" s="107"/>
    </row>
    <row r="85" spans="7:106" ht="15" customHeight="1" x14ac:dyDescent="0.2">
      <c r="G85" s="193"/>
      <c r="H85" s="193"/>
      <c r="I85" s="193"/>
      <c r="J85" s="193"/>
      <c r="K85" s="193"/>
      <c r="W85" s="48"/>
      <c r="X85" s="48"/>
      <c r="Y85" s="48"/>
      <c r="Z85" s="48"/>
      <c r="AA85" s="48"/>
      <c r="BV85" s="17"/>
      <c r="BW85" s="37"/>
      <c r="BX85" s="37"/>
      <c r="BY85" s="37"/>
      <c r="BZ85" s="37"/>
      <c r="CA85" s="37"/>
      <c r="CC85" s="73"/>
      <c r="CD85" s="73"/>
      <c r="CE85" s="73"/>
      <c r="CF85" s="73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07"/>
      <c r="CU85" s="107"/>
      <c r="CV85" s="107"/>
    </row>
    <row r="86" spans="7:106" ht="15" customHeight="1" x14ac:dyDescent="0.2">
      <c r="G86" s="193"/>
      <c r="H86" s="193"/>
      <c r="I86" s="193"/>
      <c r="J86" s="193"/>
      <c r="K86" s="193"/>
      <c r="W86" s="48"/>
      <c r="X86" s="48"/>
      <c r="Y86" s="48"/>
      <c r="Z86" s="48"/>
      <c r="AA86" s="48"/>
      <c r="BV86" s="17"/>
      <c r="BW86" s="37"/>
      <c r="BX86" s="37"/>
      <c r="BY86" s="37"/>
      <c r="BZ86" s="37"/>
      <c r="CA86" s="3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07"/>
      <c r="CU86" s="107"/>
      <c r="CV86" s="107"/>
    </row>
    <row r="87" spans="7:106" ht="15" customHeight="1" x14ac:dyDescent="0.2">
      <c r="G87" s="193"/>
      <c r="H87" s="193"/>
      <c r="I87" s="193"/>
      <c r="J87" s="193"/>
      <c r="K87" s="193"/>
      <c r="W87" s="48"/>
      <c r="X87" s="48"/>
      <c r="Y87" s="48"/>
      <c r="Z87" s="48"/>
      <c r="AA87" s="48"/>
      <c r="BV87" s="17"/>
      <c r="BW87" s="37"/>
      <c r="BX87" s="37"/>
      <c r="BY87" s="37"/>
      <c r="BZ87" s="37"/>
      <c r="CA87" s="3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07"/>
      <c r="CU87" s="107"/>
      <c r="CV87" s="107"/>
    </row>
    <row r="88" spans="7:106" ht="15" customHeight="1" x14ac:dyDescent="0.2">
      <c r="G88" s="193"/>
      <c r="H88" s="193"/>
      <c r="I88" s="193"/>
      <c r="J88" s="193"/>
      <c r="K88" s="193"/>
      <c r="W88" s="48"/>
      <c r="X88" s="48"/>
      <c r="Y88" s="48"/>
      <c r="Z88" s="48"/>
      <c r="AA88" s="48"/>
      <c r="BV88" s="17"/>
      <c r="BW88" s="37"/>
      <c r="BX88" s="37"/>
      <c r="BY88" s="37"/>
      <c r="BZ88" s="37"/>
      <c r="CA88" s="37"/>
      <c r="CN88" s="17"/>
      <c r="CO88" s="17"/>
      <c r="CP88" s="17"/>
      <c r="CW88" s="17"/>
    </row>
    <row r="89" spans="7:106" ht="15" customHeight="1" x14ac:dyDescent="0.2">
      <c r="G89" s="193"/>
      <c r="H89" s="193"/>
      <c r="I89" s="193"/>
      <c r="J89" s="193"/>
      <c r="K89" s="193"/>
      <c r="W89" s="48"/>
      <c r="X89" s="48"/>
      <c r="Y89" s="48"/>
      <c r="Z89" s="48"/>
      <c r="AA89" s="48"/>
      <c r="BV89" s="17"/>
      <c r="BW89" s="37"/>
      <c r="BX89" s="37"/>
      <c r="BY89" s="37"/>
      <c r="BZ89" s="37"/>
      <c r="CA89" s="37"/>
      <c r="CN89" s="17"/>
      <c r="CO89" s="17"/>
      <c r="CP89" s="17"/>
      <c r="CW89" s="17"/>
    </row>
    <row r="90" spans="7:106" ht="15" customHeight="1" x14ac:dyDescent="0.2">
      <c r="G90" s="193"/>
      <c r="H90" s="193"/>
      <c r="I90" s="193"/>
      <c r="J90" s="193"/>
      <c r="K90" s="193"/>
      <c r="W90" s="48"/>
      <c r="X90" s="48"/>
      <c r="Y90" s="48"/>
      <c r="Z90" s="48"/>
      <c r="AA90" s="48"/>
      <c r="BV90" s="17"/>
      <c r="BW90" s="37"/>
      <c r="BX90" s="37"/>
      <c r="BY90" s="37"/>
      <c r="BZ90" s="37"/>
      <c r="CA90" s="37"/>
      <c r="CB90" s="17"/>
      <c r="CL90" s="17"/>
      <c r="CM90" s="17"/>
      <c r="CN90" s="17"/>
      <c r="CO90" s="17"/>
      <c r="CP90" s="17"/>
      <c r="CW90" s="17"/>
    </row>
    <row r="91" spans="7:106" ht="15" customHeight="1" x14ac:dyDescent="0.2">
      <c r="G91" s="193"/>
      <c r="H91" s="193"/>
      <c r="I91" s="193"/>
      <c r="J91" s="193"/>
      <c r="K91" s="193"/>
      <c r="S91" s="18"/>
      <c r="T91" s="18"/>
      <c r="U91" s="18"/>
      <c r="V91" s="18"/>
      <c r="W91" s="48"/>
      <c r="X91" s="48"/>
      <c r="Y91" s="48"/>
      <c r="Z91" s="48"/>
      <c r="AA91" s="48"/>
      <c r="AB91" s="17"/>
      <c r="BV91" s="17"/>
      <c r="BW91" s="37"/>
      <c r="BX91" s="37"/>
      <c r="BY91" s="37"/>
      <c r="BZ91" s="37"/>
      <c r="CA91" s="37"/>
      <c r="CB91" s="17"/>
      <c r="CC91" s="17"/>
      <c r="CD91" s="10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07"/>
      <c r="CU91" s="107"/>
      <c r="CV91" s="107"/>
      <c r="CW91" s="17"/>
      <c r="CX91" s="17"/>
      <c r="CY91" s="17"/>
      <c r="CZ91" s="17"/>
      <c r="DA91" s="17"/>
      <c r="DB91" s="17"/>
    </row>
    <row r="92" spans="7:106" ht="15" customHeight="1" x14ac:dyDescent="0.2">
      <c r="G92" s="193"/>
      <c r="H92" s="193"/>
      <c r="I92" s="193"/>
      <c r="J92" s="193"/>
      <c r="K92" s="193"/>
      <c r="W92" s="48"/>
      <c r="X92" s="48"/>
      <c r="Y92" s="48"/>
      <c r="Z92" s="48"/>
      <c r="AA92" s="48"/>
      <c r="AB92" s="17"/>
      <c r="BV92" s="17"/>
      <c r="BW92" s="37"/>
      <c r="BX92" s="37"/>
      <c r="BY92" s="37"/>
      <c r="BZ92" s="37"/>
      <c r="CA92" s="37"/>
      <c r="CB92" s="17"/>
      <c r="CC92" s="17"/>
      <c r="CD92" s="10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07"/>
      <c r="CU92" s="107"/>
      <c r="CV92" s="107"/>
      <c r="CW92" s="17"/>
      <c r="CX92" s="17"/>
      <c r="CY92" s="17"/>
      <c r="CZ92" s="17"/>
      <c r="DA92" s="17"/>
      <c r="DB92" s="17"/>
    </row>
    <row r="93" spans="7:106" ht="15" customHeight="1" x14ac:dyDescent="0.2">
      <c r="G93" s="193"/>
      <c r="H93" s="193"/>
      <c r="I93" s="193"/>
      <c r="J93" s="193"/>
      <c r="K93" s="193"/>
      <c r="O93" s="1"/>
      <c r="W93" s="48"/>
      <c r="X93" s="48"/>
      <c r="Y93" s="48"/>
      <c r="Z93" s="48"/>
      <c r="AA93" s="48"/>
      <c r="AB93" s="17"/>
      <c r="BV93" s="17"/>
      <c r="BW93" s="17"/>
      <c r="BX93" s="128"/>
      <c r="BY93" s="127"/>
      <c r="BZ93" s="129"/>
      <c r="CA93" s="129"/>
      <c r="CB93" s="17"/>
      <c r="CC93" s="17"/>
      <c r="CD93" s="10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07"/>
      <c r="CU93" s="107"/>
      <c r="CV93" s="107"/>
      <c r="CW93" s="17"/>
      <c r="CX93" s="17"/>
      <c r="CY93" s="17"/>
      <c r="CZ93" s="17"/>
      <c r="DA93" s="17"/>
      <c r="DB93" s="17"/>
    </row>
    <row r="94" spans="7:106" ht="15" customHeight="1" x14ac:dyDescent="0.2">
      <c r="G94" s="193"/>
      <c r="H94" s="193"/>
      <c r="I94" s="193"/>
      <c r="J94" s="193"/>
      <c r="K94" s="193"/>
      <c r="O94" s="1"/>
      <c r="W94" s="48"/>
      <c r="X94" s="48"/>
      <c r="Y94" s="48"/>
      <c r="Z94" s="48"/>
      <c r="AA94" s="48"/>
      <c r="AB94" s="17"/>
      <c r="BV94" s="17"/>
      <c r="BW94" s="17"/>
      <c r="BX94" s="128"/>
      <c r="BY94" s="127"/>
      <c r="BZ94" s="129"/>
      <c r="CA94" s="129"/>
      <c r="CB94" s="17"/>
      <c r="CC94" s="17"/>
      <c r="CD94" s="10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07"/>
      <c r="CU94" s="107"/>
      <c r="CV94" s="107"/>
      <c r="CW94" s="17"/>
      <c r="CX94" s="17"/>
      <c r="CY94" s="17"/>
      <c r="CZ94" s="17"/>
      <c r="DA94" s="17"/>
      <c r="DB94" s="17"/>
    </row>
    <row r="95" spans="7:106" ht="15" customHeight="1" x14ac:dyDescent="0.2">
      <c r="G95" s="193"/>
      <c r="H95" s="193"/>
      <c r="I95" s="193"/>
      <c r="J95" s="193"/>
      <c r="K95" s="193"/>
      <c r="O95" s="1"/>
      <c r="P95" s="1"/>
      <c r="Q95" s="1"/>
      <c r="R95" s="1"/>
      <c r="W95" s="48"/>
      <c r="X95" s="48"/>
      <c r="Y95" s="48"/>
      <c r="Z95" s="48"/>
      <c r="AA95" s="48"/>
      <c r="AB95" s="17"/>
      <c r="BV95" s="17"/>
      <c r="BW95" s="17"/>
      <c r="BX95" s="128"/>
      <c r="BY95" s="127"/>
      <c r="BZ95" s="129"/>
      <c r="CA95" s="129"/>
      <c r="CB95" s="17"/>
      <c r="CC95" s="17"/>
      <c r="CD95" s="10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07"/>
      <c r="CU95" s="107"/>
      <c r="CV95" s="107"/>
      <c r="CW95" s="17"/>
      <c r="CX95" s="17"/>
      <c r="CY95" s="17"/>
      <c r="CZ95" s="17"/>
      <c r="DA95" s="17"/>
      <c r="DB95" s="17"/>
    </row>
    <row r="96" spans="7:106" ht="15" customHeight="1" x14ac:dyDescent="0.2">
      <c r="G96" s="193"/>
      <c r="H96" s="193"/>
      <c r="I96" s="193"/>
      <c r="J96" s="193"/>
      <c r="K96" s="193"/>
      <c r="O96" s="1"/>
      <c r="P96" s="1"/>
      <c r="Q96" s="1"/>
      <c r="R96" s="1"/>
      <c r="W96" s="48"/>
      <c r="X96" s="48"/>
      <c r="Y96" s="48"/>
      <c r="Z96" s="48"/>
      <c r="AA96" s="48"/>
      <c r="BV96" s="17"/>
      <c r="BW96" s="17"/>
      <c r="BX96" s="128"/>
      <c r="BY96" s="127"/>
      <c r="BZ96" s="129"/>
      <c r="CA96" s="129"/>
      <c r="CB96" s="17"/>
      <c r="CC96" s="17"/>
      <c r="CD96" s="10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07"/>
      <c r="CU96" s="107"/>
      <c r="CV96" s="107"/>
      <c r="CW96" s="17"/>
      <c r="CX96" s="17"/>
      <c r="CY96" s="17"/>
      <c r="CZ96" s="17"/>
      <c r="DA96" s="17"/>
      <c r="DB96" s="17"/>
    </row>
    <row r="97" spans="7:106" ht="15" customHeight="1" x14ac:dyDescent="0.2">
      <c r="G97" s="193"/>
      <c r="H97" s="193"/>
      <c r="I97" s="193"/>
      <c r="J97" s="193"/>
      <c r="K97" s="193"/>
      <c r="O97" s="1"/>
      <c r="P97" s="1"/>
      <c r="Q97" s="1"/>
      <c r="R97" s="1"/>
      <c r="BX97" s="128"/>
      <c r="BY97" s="127"/>
      <c r="BZ97" s="129"/>
      <c r="CA97" s="129"/>
      <c r="CC97" s="17"/>
      <c r="CD97" s="10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07"/>
      <c r="CU97" s="107"/>
      <c r="CV97" s="107"/>
      <c r="CW97" s="17"/>
      <c r="CX97" s="17"/>
      <c r="CY97" s="17"/>
      <c r="CZ97" s="17"/>
      <c r="DA97" s="17"/>
      <c r="DB97" s="17"/>
    </row>
    <row r="98" spans="7:106" ht="15" customHeight="1" x14ac:dyDescent="0.2">
      <c r="G98" s="193"/>
      <c r="H98" s="193"/>
      <c r="I98" s="193"/>
      <c r="J98" s="193"/>
      <c r="K98" s="193"/>
      <c r="O98" s="1"/>
      <c r="P98" s="1"/>
      <c r="Q98" s="1"/>
      <c r="R98" s="1"/>
      <c r="BX98" s="128"/>
      <c r="BY98" s="127"/>
      <c r="BZ98" s="129"/>
      <c r="CA98" s="129"/>
    </row>
    <row r="99" spans="7:106" ht="15" customHeight="1" x14ac:dyDescent="0.2">
      <c r="G99" s="193"/>
      <c r="H99" s="193"/>
      <c r="I99" s="193"/>
      <c r="J99" s="193"/>
      <c r="K99" s="193"/>
      <c r="O99" s="1"/>
      <c r="P99" s="1"/>
      <c r="Q99" s="1"/>
      <c r="R99" s="1"/>
      <c r="S99" s="48"/>
      <c r="T99" s="48"/>
      <c r="U99" s="48"/>
      <c r="V99" s="48"/>
      <c r="BX99" s="128"/>
      <c r="BY99" s="127"/>
      <c r="BZ99" s="129"/>
      <c r="CA99" s="129"/>
    </row>
    <row r="100" spans="7:106" ht="15" customHeight="1" x14ac:dyDescent="0.2">
      <c r="G100" s="193"/>
      <c r="H100" s="193"/>
      <c r="I100" s="193"/>
      <c r="J100" s="193"/>
      <c r="K100" s="193"/>
      <c r="O100" s="1"/>
      <c r="P100" s="1"/>
      <c r="Q100" s="1"/>
      <c r="R100" s="1"/>
      <c r="S100" s="48"/>
      <c r="T100" s="48"/>
      <c r="U100" s="48"/>
      <c r="V100" s="48"/>
      <c r="BX100" s="128"/>
      <c r="BY100" s="127"/>
      <c r="BZ100" s="129"/>
      <c r="CA100" s="129"/>
    </row>
    <row r="101" spans="7:106" ht="15" customHeight="1" x14ac:dyDescent="0.2">
      <c r="G101" s="193"/>
      <c r="H101" s="193"/>
      <c r="I101" s="193"/>
      <c r="J101" s="193"/>
      <c r="K101" s="193"/>
      <c r="O101" s="1"/>
      <c r="P101" s="1"/>
      <c r="Q101" s="1"/>
      <c r="R101" s="1"/>
      <c r="S101" s="48"/>
      <c r="T101" s="48"/>
      <c r="U101" s="48"/>
      <c r="V101" s="48"/>
      <c r="BX101" s="128"/>
      <c r="BY101" s="127"/>
      <c r="BZ101" s="129"/>
      <c r="CA101" s="129"/>
    </row>
    <row r="102" spans="7:106" ht="15" customHeight="1" x14ac:dyDescent="0.2">
      <c r="G102" s="193"/>
      <c r="H102" s="193"/>
      <c r="I102" s="193"/>
      <c r="J102" s="193"/>
      <c r="K102" s="193"/>
      <c r="O102" s="1"/>
      <c r="P102" s="1"/>
      <c r="Q102" s="1"/>
      <c r="R102" s="1"/>
      <c r="S102" s="48"/>
      <c r="T102" s="48"/>
      <c r="U102" s="48"/>
      <c r="V102" s="48"/>
      <c r="BX102" s="128"/>
      <c r="BY102" s="127"/>
      <c r="BZ102" s="129"/>
      <c r="CA102" s="129"/>
    </row>
    <row r="103" spans="7:106" ht="15" customHeight="1" x14ac:dyDescent="0.2">
      <c r="G103" s="193"/>
      <c r="H103" s="193"/>
      <c r="I103" s="193"/>
      <c r="J103" s="193"/>
      <c r="K103" s="193"/>
      <c r="O103" s="1"/>
      <c r="P103" s="1"/>
      <c r="Q103" s="1"/>
      <c r="R103" s="1"/>
      <c r="S103" s="48"/>
      <c r="T103" s="48"/>
      <c r="U103" s="48"/>
      <c r="V103" s="48"/>
      <c r="BX103" s="128"/>
      <c r="BY103" s="127"/>
      <c r="BZ103" s="129"/>
      <c r="CA103" s="129"/>
    </row>
    <row r="104" spans="7:106" ht="15" customHeight="1" x14ac:dyDescent="0.2">
      <c r="G104" s="193"/>
      <c r="H104" s="193"/>
      <c r="I104" s="193"/>
      <c r="J104" s="193"/>
      <c r="K104" s="193"/>
      <c r="O104" s="1"/>
      <c r="P104" s="1"/>
      <c r="Q104" s="1"/>
      <c r="R104" s="1"/>
      <c r="S104" s="48"/>
      <c r="T104" s="48"/>
      <c r="U104" s="48"/>
      <c r="V104" s="48"/>
      <c r="BX104" s="128"/>
      <c r="BY104" s="127"/>
      <c r="BZ104" s="129"/>
      <c r="CA104" s="129"/>
    </row>
    <row r="105" spans="7:106" ht="15" customHeight="1" x14ac:dyDescent="0.2">
      <c r="G105" s="193"/>
      <c r="H105" s="193"/>
      <c r="I105" s="193"/>
      <c r="J105" s="193"/>
      <c r="K105" s="193"/>
      <c r="O105" s="1"/>
      <c r="P105" s="1"/>
      <c r="Q105" s="1"/>
      <c r="R105" s="1"/>
      <c r="S105" s="48"/>
      <c r="T105" s="48"/>
      <c r="U105" s="48"/>
      <c r="V105" s="48"/>
      <c r="BX105" s="128"/>
      <c r="BY105" s="127"/>
      <c r="BZ105" s="129"/>
      <c r="CA105" s="129"/>
    </row>
    <row r="106" spans="7:106" ht="15" customHeight="1" x14ac:dyDescent="0.2">
      <c r="G106" s="193"/>
      <c r="H106" s="193"/>
      <c r="I106" s="193"/>
      <c r="J106" s="193"/>
      <c r="K106" s="193"/>
      <c r="O106" s="1"/>
      <c r="P106" s="1"/>
      <c r="Q106" s="1"/>
      <c r="R106" s="1"/>
      <c r="S106" s="48"/>
      <c r="T106" s="48"/>
      <c r="U106" s="48"/>
      <c r="V106" s="48"/>
      <c r="BX106" s="128"/>
      <c r="BY106" s="127"/>
      <c r="BZ106" s="129"/>
      <c r="CA106" s="129"/>
    </row>
    <row r="107" spans="7:106" ht="15" customHeight="1" x14ac:dyDescent="0.2">
      <c r="G107" s="193"/>
      <c r="H107" s="193"/>
      <c r="I107" s="193"/>
      <c r="J107" s="193"/>
      <c r="K107" s="193"/>
      <c r="O107" s="104"/>
      <c r="P107" s="1"/>
      <c r="Q107" s="1"/>
      <c r="R107" s="1"/>
      <c r="S107" s="48"/>
      <c r="T107" s="48"/>
      <c r="U107" s="48"/>
      <c r="V107" s="48"/>
      <c r="BX107" s="128"/>
      <c r="BY107" s="127"/>
      <c r="BZ107" s="129"/>
      <c r="CA107" s="129"/>
    </row>
    <row r="108" spans="7:106" ht="12.75" customHeight="1" x14ac:dyDescent="0.2">
      <c r="G108" s="193"/>
      <c r="H108" s="193"/>
      <c r="I108" s="193"/>
      <c r="J108" s="193"/>
      <c r="K108" s="193"/>
      <c r="O108" s="104"/>
      <c r="P108" s="1"/>
      <c r="Q108" s="1"/>
      <c r="R108" s="1"/>
      <c r="S108" s="48"/>
      <c r="T108" s="48"/>
      <c r="U108" s="48"/>
      <c r="V108" s="48"/>
      <c r="BX108" s="128"/>
      <c r="BY108" s="127"/>
      <c r="BZ108" s="129"/>
      <c r="CA108" s="129"/>
    </row>
    <row r="109" spans="7:106" ht="12.75" customHeight="1" x14ac:dyDescent="0.2">
      <c r="G109" s="193"/>
      <c r="H109" s="193"/>
      <c r="I109" s="193"/>
      <c r="J109" s="193"/>
      <c r="K109" s="193"/>
      <c r="O109" s="104"/>
      <c r="P109" s="1"/>
      <c r="Q109" s="1"/>
      <c r="R109" s="1"/>
      <c r="S109" s="48"/>
      <c r="T109" s="48"/>
      <c r="U109" s="48"/>
      <c r="V109" s="48"/>
      <c r="BX109" s="128"/>
      <c r="BY109" s="127"/>
      <c r="BZ109" s="129"/>
      <c r="CA109" s="129"/>
    </row>
    <row r="110" spans="7:106" ht="12.75" customHeight="1" x14ac:dyDescent="0.2">
      <c r="G110" s="193"/>
      <c r="H110" s="193"/>
      <c r="I110" s="193"/>
      <c r="J110" s="193"/>
      <c r="K110" s="193"/>
      <c r="O110" s="1"/>
      <c r="P110" s="1"/>
      <c r="Q110" s="1"/>
      <c r="R110" s="1"/>
      <c r="S110" s="48"/>
      <c r="T110" s="48"/>
      <c r="U110" s="48"/>
      <c r="V110" s="48"/>
      <c r="BX110" s="128"/>
      <c r="BY110" s="127"/>
      <c r="BZ110" s="129"/>
      <c r="CA110" s="129"/>
    </row>
    <row r="111" spans="7:106" ht="12.75" customHeight="1" x14ac:dyDescent="0.2">
      <c r="G111" s="193"/>
      <c r="H111" s="193"/>
      <c r="I111" s="193"/>
      <c r="J111" s="193"/>
      <c r="K111" s="193"/>
      <c r="O111" s="1"/>
      <c r="P111" s="1"/>
      <c r="Q111" s="1"/>
      <c r="R111" s="1"/>
    </row>
    <row r="112" spans="7:106" ht="12.75" customHeight="1" x14ac:dyDescent="0.2">
      <c r="G112" s="193"/>
      <c r="H112" s="193"/>
      <c r="I112" s="193"/>
      <c r="J112" s="193"/>
      <c r="K112" s="193"/>
      <c r="O112" s="1"/>
      <c r="P112" s="1"/>
      <c r="Q112" s="1"/>
      <c r="R112" s="1"/>
    </row>
    <row r="113" spans="7:84" ht="12.75" customHeight="1" x14ac:dyDescent="0.2">
      <c r="G113" s="193"/>
      <c r="H113" s="193"/>
      <c r="I113" s="193"/>
      <c r="J113" s="193"/>
      <c r="K113" s="193"/>
      <c r="O113" s="1"/>
      <c r="P113" s="1"/>
      <c r="Q113" s="1"/>
      <c r="R113" s="1"/>
    </row>
    <row r="114" spans="7:84" ht="12.75" customHeight="1" x14ac:dyDescent="0.2">
      <c r="G114" s="193"/>
      <c r="H114" s="193"/>
      <c r="I114" s="193"/>
      <c r="J114" s="193"/>
      <c r="K114" s="193"/>
      <c r="O114" s="1"/>
      <c r="P114" s="1"/>
      <c r="Q114" s="1"/>
      <c r="R114" s="1"/>
    </row>
    <row r="115" spans="7:84" ht="12.75" customHeight="1" x14ac:dyDescent="0.2">
      <c r="G115" s="193"/>
      <c r="H115" s="193"/>
      <c r="I115" s="193"/>
      <c r="J115" s="193"/>
      <c r="K115" s="193"/>
      <c r="O115" s="1"/>
      <c r="P115" s="1"/>
      <c r="Q115" s="1"/>
      <c r="R115" s="1"/>
    </row>
    <row r="116" spans="7:84" ht="12.75" customHeight="1" x14ac:dyDescent="0.2">
      <c r="G116" s="193"/>
      <c r="H116" s="193"/>
      <c r="I116" s="193"/>
      <c r="J116" s="193"/>
      <c r="K116" s="193"/>
      <c r="O116" s="1"/>
      <c r="P116" s="1"/>
      <c r="Q116" s="1"/>
      <c r="R116" s="1"/>
      <c r="BV116" s="61"/>
      <c r="BW116" s="61"/>
      <c r="BX116" s="61"/>
      <c r="BY116" s="61"/>
      <c r="BZ116" s="61"/>
      <c r="CA116" s="61"/>
      <c r="CB116" s="61"/>
    </row>
    <row r="117" spans="7:84" ht="12.75" customHeight="1" x14ac:dyDescent="0.2">
      <c r="G117" s="193"/>
      <c r="H117" s="193"/>
      <c r="I117" s="193"/>
      <c r="J117" s="193"/>
      <c r="K117" s="193"/>
      <c r="O117" s="1"/>
      <c r="P117" s="1"/>
      <c r="Q117" s="1"/>
      <c r="R117" s="1"/>
      <c r="BV117" s="73"/>
      <c r="BW117" s="51"/>
      <c r="BX117" s="132"/>
      <c r="BY117" s="132"/>
      <c r="BZ117" s="132"/>
      <c r="CA117" s="132"/>
      <c r="CB117" s="132"/>
      <c r="CC117" s="61"/>
      <c r="CD117" s="61"/>
      <c r="CE117" s="61"/>
      <c r="CF117" s="61"/>
    </row>
    <row r="118" spans="7:84" ht="12.75" customHeight="1" x14ac:dyDescent="0.2">
      <c r="G118" s="193"/>
      <c r="H118" s="1"/>
      <c r="I118" s="1"/>
      <c r="J118" s="1"/>
      <c r="K118" s="27"/>
      <c r="O118" s="1"/>
      <c r="P118" s="1"/>
      <c r="Q118" s="1"/>
      <c r="R118" s="1"/>
      <c r="BW118" s="12"/>
      <c r="CC118" s="132"/>
    </row>
    <row r="119" spans="7:84" ht="12.75" customHeight="1" x14ac:dyDescent="0.2">
      <c r="G119" s="193"/>
      <c r="H119" s="1"/>
      <c r="I119" s="1"/>
      <c r="J119" s="1"/>
      <c r="K119" s="1"/>
      <c r="O119" s="1"/>
      <c r="P119" s="1"/>
      <c r="Q119" s="1"/>
      <c r="R119" s="1"/>
      <c r="BW119" s="12"/>
    </row>
    <row r="120" spans="7:84" ht="12.75" customHeight="1" x14ac:dyDescent="0.2">
      <c r="G120" s="193"/>
      <c r="H120" s="1"/>
      <c r="I120" s="1"/>
      <c r="J120" s="1"/>
      <c r="K120" s="1"/>
      <c r="O120" s="1"/>
      <c r="P120" s="1"/>
      <c r="Q120" s="1"/>
      <c r="R120" s="1"/>
      <c r="BW120" s="12"/>
      <c r="CF120" s="18"/>
    </row>
    <row r="121" spans="7:84" ht="12.75" customHeight="1" x14ac:dyDescent="0.2">
      <c r="G121" s="193"/>
      <c r="H121" s="1"/>
      <c r="I121" s="1"/>
      <c r="J121" s="1"/>
      <c r="K121" s="1"/>
      <c r="O121" s="1"/>
      <c r="P121" s="1"/>
      <c r="Q121" s="1"/>
      <c r="R121" s="1"/>
      <c r="BW121" s="12"/>
    </row>
    <row r="122" spans="7:84" ht="12.75" customHeight="1" x14ac:dyDescent="0.2">
      <c r="G122" s="193"/>
      <c r="H122" s="1"/>
      <c r="I122" s="1"/>
      <c r="J122" s="1"/>
      <c r="K122" s="1"/>
      <c r="O122" s="1"/>
      <c r="P122" s="1"/>
      <c r="Q122" s="1"/>
      <c r="R122" s="1"/>
      <c r="BW122" s="12"/>
    </row>
    <row r="123" spans="7:84" ht="12.75" customHeight="1" x14ac:dyDescent="0.2">
      <c r="G123" s="193"/>
      <c r="H123" s="1"/>
      <c r="I123" s="1"/>
      <c r="J123" s="1"/>
      <c r="K123" s="1"/>
      <c r="O123" s="1"/>
      <c r="P123" s="1"/>
      <c r="Q123" s="1"/>
      <c r="R123" s="1"/>
      <c r="BW123" s="12"/>
    </row>
    <row r="124" spans="7:84" ht="12.75" customHeight="1" x14ac:dyDescent="0.2">
      <c r="G124" s="193"/>
      <c r="H124" s="1"/>
      <c r="I124" s="1"/>
      <c r="J124" s="1"/>
      <c r="K124" s="1"/>
      <c r="O124" s="1"/>
      <c r="P124" s="1"/>
      <c r="Q124" s="1"/>
      <c r="R124" s="1"/>
    </row>
    <row r="125" spans="7:84" ht="12.75" customHeight="1" x14ac:dyDescent="0.2">
      <c r="G125" s="1"/>
      <c r="H125" s="1"/>
      <c r="I125" s="1"/>
      <c r="J125" s="1"/>
      <c r="K125" s="1"/>
      <c r="O125" s="1"/>
      <c r="P125" s="1"/>
      <c r="Q125" s="1"/>
      <c r="R125" s="1"/>
    </row>
    <row r="126" spans="7:84" ht="12.75" customHeight="1" x14ac:dyDescent="0.2">
      <c r="G126" s="1"/>
      <c r="H126" s="1"/>
      <c r="I126" s="1"/>
      <c r="J126" s="1"/>
      <c r="K126" s="1"/>
      <c r="O126" s="1"/>
      <c r="P126" s="1"/>
      <c r="Q126" s="1"/>
      <c r="R126" s="1"/>
    </row>
    <row r="127" spans="7:84" ht="12.75" customHeight="1" x14ac:dyDescent="0.2">
      <c r="G127" s="1"/>
      <c r="H127" s="1"/>
      <c r="I127" s="1"/>
      <c r="J127" s="1"/>
      <c r="K127" s="1"/>
      <c r="O127" s="1"/>
      <c r="P127" s="1"/>
      <c r="Q127" s="1"/>
      <c r="R127" s="1"/>
    </row>
    <row r="128" spans="7:84" ht="12.75" customHeight="1" x14ac:dyDescent="0.2">
      <c r="G128" s="1"/>
      <c r="H128" s="1"/>
      <c r="I128" s="1"/>
      <c r="J128" s="1"/>
      <c r="K128" s="1"/>
      <c r="O128" s="1"/>
      <c r="P128" s="1"/>
      <c r="Q128" s="1"/>
      <c r="R128" s="1"/>
    </row>
    <row r="129" spans="8:18" ht="12.75" customHeight="1" x14ac:dyDescent="0.2">
      <c r="H129" s="1"/>
      <c r="I129" s="1"/>
      <c r="J129" s="1"/>
      <c r="K129" s="1"/>
      <c r="O129" s="1"/>
      <c r="P129" s="1"/>
      <c r="Q129" s="1"/>
      <c r="R129" s="1"/>
    </row>
    <row r="130" spans="8:18" ht="12.75" customHeight="1" x14ac:dyDescent="0.2">
      <c r="H130" s="1"/>
      <c r="I130" s="1"/>
      <c r="J130" s="1"/>
      <c r="K130" s="1"/>
      <c r="O130" s="1"/>
      <c r="P130" s="1"/>
      <c r="Q130" s="1"/>
      <c r="R130" s="1"/>
    </row>
    <row r="131" spans="8:18" ht="12.75" customHeight="1" x14ac:dyDescent="0.2">
      <c r="H131" s="1"/>
      <c r="I131" s="1"/>
      <c r="J131" s="1"/>
      <c r="K131" s="1"/>
      <c r="O131" s="1"/>
      <c r="P131" s="1"/>
      <c r="Q131" s="1"/>
      <c r="R131" s="1"/>
    </row>
    <row r="132" spans="8:18" ht="12.75" customHeight="1" x14ac:dyDescent="0.2">
      <c r="H132" s="1"/>
      <c r="I132" s="1"/>
      <c r="J132" s="1"/>
      <c r="K132" s="1"/>
      <c r="O132" s="1"/>
      <c r="P132" s="1"/>
      <c r="Q132" s="1"/>
      <c r="R132" s="1"/>
    </row>
    <row r="133" spans="8:18" ht="12.75" customHeight="1" x14ac:dyDescent="0.2">
      <c r="H133" s="1"/>
      <c r="I133" s="1"/>
      <c r="J133" s="1"/>
      <c r="K133" s="1"/>
      <c r="O133" s="1"/>
      <c r="P133" s="1"/>
      <c r="Q133" s="1"/>
      <c r="R133" s="1"/>
    </row>
    <row r="134" spans="8:18" ht="12.75" customHeight="1" x14ac:dyDescent="0.2">
      <c r="H134" s="1"/>
      <c r="I134" s="1"/>
      <c r="J134" s="1"/>
      <c r="K134" s="1"/>
      <c r="O134" s="1"/>
      <c r="P134" s="1"/>
      <c r="Q134" s="1"/>
      <c r="R134" s="1"/>
    </row>
    <row r="135" spans="8:18" ht="12.75" customHeight="1" x14ac:dyDescent="0.2">
      <c r="H135" s="1"/>
      <c r="I135" s="1"/>
      <c r="J135" s="1"/>
      <c r="K135" s="1"/>
      <c r="O135" s="1"/>
      <c r="P135" s="1"/>
      <c r="Q135" s="1"/>
      <c r="R135" s="1"/>
    </row>
    <row r="136" spans="8:18" ht="12.75" customHeight="1" x14ac:dyDescent="0.2">
      <c r="H136" s="1"/>
      <c r="I136" s="1"/>
      <c r="J136" s="1"/>
      <c r="K136" s="1"/>
      <c r="O136" s="1"/>
      <c r="P136" s="1"/>
      <c r="Q136" s="1"/>
      <c r="R136" s="1"/>
    </row>
    <row r="137" spans="8:18" ht="12.75" customHeight="1" x14ac:dyDescent="0.2">
      <c r="H137" s="1"/>
      <c r="I137" s="1"/>
      <c r="J137" s="1"/>
      <c r="K137" s="1"/>
      <c r="O137" s="1"/>
      <c r="P137" s="1"/>
      <c r="Q137" s="1"/>
      <c r="R137" s="1"/>
    </row>
    <row r="138" spans="8:18" ht="12.75" customHeight="1" x14ac:dyDescent="0.2">
      <c r="H138" s="1"/>
      <c r="I138" s="1"/>
      <c r="J138" s="1"/>
      <c r="K138" s="1"/>
      <c r="O138" s="1"/>
      <c r="P138" s="1"/>
      <c r="Q138" s="1"/>
      <c r="R138" s="1"/>
    </row>
    <row r="139" spans="8:18" ht="12.75" customHeight="1" x14ac:dyDescent="0.2">
      <c r="H139" s="1"/>
      <c r="I139" s="1"/>
      <c r="J139" s="1"/>
      <c r="K139" s="1"/>
      <c r="O139" s="1"/>
      <c r="P139" s="1"/>
      <c r="Q139" s="1"/>
      <c r="R139" s="1"/>
    </row>
    <row r="140" spans="8:18" ht="12.75" customHeight="1" x14ac:dyDescent="0.2">
      <c r="H140" s="1"/>
      <c r="I140" s="1"/>
      <c r="J140" s="1"/>
      <c r="K140" s="1"/>
      <c r="O140" s="1"/>
      <c r="P140" s="1"/>
      <c r="Q140" s="1"/>
      <c r="R140" s="1"/>
    </row>
    <row r="141" spans="8:18" ht="12.75" customHeight="1" x14ac:dyDescent="0.2">
      <c r="H141" s="1"/>
      <c r="I141" s="1"/>
      <c r="J141" s="1"/>
      <c r="K141" s="1"/>
      <c r="O141" s="1"/>
      <c r="P141" s="1"/>
      <c r="Q141" s="1"/>
      <c r="R141" s="1"/>
    </row>
    <row r="142" spans="8:18" ht="12.75" customHeight="1" x14ac:dyDescent="0.2">
      <c r="H142" s="1"/>
      <c r="I142" s="1"/>
      <c r="J142" s="1"/>
      <c r="K142" s="1"/>
      <c r="O142" s="1"/>
      <c r="P142" s="1"/>
      <c r="Q142" s="1"/>
      <c r="R142" s="1"/>
    </row>
    <row r="143" spans="8:18" ht="12.75" customHeight="1" x14ac:dyDescent="0.2">
      <c r="H143" s="1"/>
      <c r="I143" s="1"/>
      <c r="J143" s="1"/>
      <c r="K143" s="1"/>
      <c r="O143" s="1"/>
      <c r="P143" s="1"/>
      <c r="Q143" s="1"/>
      <c r="R143" s="1"/>
    </row>
    <row r="144" spans="8:18" ht="12.75" customHeight="1" x14ac:dyDescent="0.2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">
      <c r="I146" s="1"/>
      <c r="J146" s="1"/>
      <c r="K146" s="1"/>
      <c r="O146" s="1"/>
      <c r="P146" s="1"/>
      <c r="Q146" s="1"/>
      <c r="R146" s="1"/>
    </row>
    <row r="147" spans="8:18" ht="12.75" customHeight="1" x14ac:dyDescent="0.2">
      <c r="O147" s="1"/>
      <c r="P147" s="1"/>
      <c r="Q147" s="1"/>
      <c r="R147" s="1"/>
    </row>
    <row r="148" spans="8:18" ht="12.75" customHeight="1" x14ac:dyDescent="0.2">
      <c r="O148" s="1"/>
      <c r="P148" s="1"/>
      <c r="Q148" s="1"/>
      <c r="R148" s="1"/>
    </row>
    <row r="149" spans="8:18" ht="12.75" customHeight="1" x14ac:dyDescent="0.2">
      <c r="O149" s="1"/>
      <c r="P149" s="1"/>
      <c r="Q149" s="1"/>
      <c r="R149" s="1"/>
    </row>
    <row r="150" spans="8:18" ht="12.75" customHeight="1" x14ac:dyDescent="0.2">
      <c r="O150" s="1"/>
      <c r="P150" s="1"/>
      <c r="Q150" s="1"/>
      <c r="R150" s="1"/>
    </row>
    <row r="151" spans="8:18" ht="12.75" customHeight="1" x14ac:dyDescent="0.2">
      <c r="O151" s="1"/>
      <c r="P151" s="1"/>
      <c r="Q151" s="1"/>
      <c r="R151" s="1"/>
    </row>
    <row r="152" spans="8:18" ht="12.75" customHeight="1" x14ac:dyDescent="0.2">
      <c r="O152" s="1"/>
      <c r="P152" s="1"/>
      <c r="Q152" s="1"/>
      <c r="R152" s="1"/>
    </row>
    <row r="153" spans="8:18" ht="12.75" customHeight="1" x14ac:dyDescent="0.2">
      <c r="O153" s="1"/>
      <c r="P153" s="1"/>
      <c r="Q153" s="1"/>
      <c r="R153" s="1"/>
    </row>
    <row r="154" spans="8:18" ht="12.75" customHeight="1" x14ac:dyDescent="0.2">
      <c r="O154" s="1"/>
      <c r="P154" s="1"/>
      <c r="Q154" s="1"/>
      <c r="R154" s="1"/>
    </row>
    <row r="155" spans="8:18" ht="12.75" customHeight="1" x14ac:dyDescent="0.2">
      <c r="O155" s="1"/>
      <c r="P155" s="1"/>
      <c r="Q155" s="1"/>
      <c r="R155" s="1"/>
    </row>
    <row r="156" spans="8:18" ht="12.75" customHeight="1" x14ac:dyDescent="0.2">
      <c r="O156" s="1"/>
      <c r="P156" s="1"/>
      <c r="Q156" s="1"/>
      <c r="R156" s="1"/>
    </row>
    <row r="157" spans="8:18" ht="12.75" customHeight="1" x14ac:dyDescent="0.2">
      <c r="O157" s="1"/>
      <c r="P157" s="1"/>
      <c r="Q157" s="1"/>
      <c r="R157" s="1"/>
    </row>
    <row r="158" spans="8:18" ht="12.75" customHeight="1" x14ac:dyDescent="0.2">
      <c r="O158" s="1"/>
      <c r="P158" s="1"/>
      <c r="Q158" s="1"/>
      <c r="R158" s="1"/>
    </row>
    <row r="159" spans="8:18" ht="12.75" customHeight="1" x14ac:dyDescent="0.2">
      <c r="O159" s="1"/>
      <c r="P159" s="1"/>
      <c r="Q159" s="1"/>
      <c r="R159" s="1"/>
    </row>
    <row r="160" spans="8:18" ht="12.75" customHeight="1" x14ac:dyDescent="0.2">
      <c r="O160" s="1"/>
      <c r="P160" s="1"/>
      <c r="Q160" s="1"/>
      <c r="R160" s="1"/>
    </row>
    <row r="161" spans="7:18" ht="12.75" customHeight="1" x14ac:dyDescent="0.2">
      <c r="O161" s="1"/>
      <c r="P161" s="1"/>
      <c r="Q161" s="1"/>
      <c r="R161" s="1"/>
    </row>
    <row r="162" spans="7:18" ht="12.75" customHeight="1" x14ac:dyDescent="0.2">
      <c r="O162" s="1"/>
      <c r="P162" s="1"/>
      <c r="Q162" s="1"/>
      <c r="R162" s="1"/>
    </row>
    <row r="163" spans="7:18" ht="12.75" customHeight="1" x14ac:dyDescent="0.2">
      <c r="O163" s="1"/>
      <c r="P163" s="1"/>
      <c r="Q163" s="1"/>
      <c r="R163" s="1"/>
    </row>
    <row r="164" spans="7:18" ht="12.75" customHeight="1" x14ac:dyDescent="0.2">
      <c r="O164" s="1"/>
      <c r="P164" s="1"/>
      <c r="Q164" s="1"/>
      <c r="R164" s="1"/>
    </row>
    <row r="165" spans="7:18" ht="12.75" customHeight="1" x14ac:dyDescent="0.2">
      <c r="O165" s="1"/>
      <c r="P165" s="1"/>
      <c r="Q165" s="1"/>
      <c r="R165" s="1"/>
    </row>
    <row r="166" spans="7:18" ht="12.75" customHeight="1" x14ac:dyDescent="0.2">
      <c r="O166" s="1"/>
      <c r="P166" s="1"/>
      <c r="Q166" s="1"/>
      <c r="R166" s="1"/>
    </row>
    <row r="167" spans="7:18" ht="12.75" customHeight="1" x14ac:dyDescent="0.2">
      <c r="O167" s="1"/>
      <c r="P167" s="1"/>
      <c r="Q167" s="1"/>
      <c r="R167" s="1"/>
    </row>
    <row r="168" spans="7:18" ht="12.75" customHeight="1" x14ac:dyDescent="0.2">
      <c r="O168" s="1"/>
      <c r="P168" s="1"/>
      <c r="Q168" s="1"/>
      <c r="R168" s="1"/>
    </row>
    <row r="169" spans="7:18" ht="12.75" customHeight="1" x14ac:dyDescent="0.2">
      <c r="O169" s="1"/>
      <c r="P169" s="1"/>
      <c r="Q169" s="1"/>
      <c r="R169" s="1"/>
    </row>
    <row r="170" spans="7:18" ht="12.75" customHeight="1" x14ac:dyDescent="0.2">
      <c r="O170" s="1"/>
      <c r="P170" s="1"/>
      <c r="Q170" s="1"/>
      <c r="R170" s="1"/>
    </row>
    <row r="171" spans="7:18" ht="12.75" customHeight="1" x14ac:dyDescent="0.2">
      <c r="O171" s="1"/>
      <c r="P171" s="1"/>
      <c r="Q171" s="1"/>
      <c r="R171" s="1"/>
    </row>
    <row r="172" spans="7:18" ht="12.75" customHeight="1" x14ac:dyDescent="0.2">
      <c r="G172" s="105"/>
      <c r="O172" s="1"/>
      <c r="P172" s="1"/>
      <c r="Q172" s="1"/>
      <c r="R172" s="1"/>
    </row>
    <row r="173" spans="7:18" ht="12.75" customHeight="1" x14ac:dyDescent="0.2">
      <c r="G173" s="105"/>
      <c r="O173" s="1"/>
      <c r="P173" s="1"/>
      <c r="Q173" s="1"/>
      <c r="R173" s="1"/>
    </row>
    <row r="174" spans="7:18" ht="12.75" customHeight="1" x14ac:dyDescent="0.2">
      <c r="G174" s="105"/>
      <c r="O174" s="1"/>
      <c r="P174" s="1"/>
      <c r="Q174" s="1"/>
      <c r="R174" s="1"/>
    </row>
    <row r="175" spans="7:18" ht="12.75" customHeight="1" x14ac:dyDescent="0.2">
      <c r="G175" s="105"/>
      <c r="O175" s="1"/>
      <c r="P175" s="1"/>
      <c r="Q175" s="1"/>
      <c r="R175" s="1"/>
    </row>
    <row r="176" spans="7:18" ht="12.75" customHeight="1" x14ac:dyDescent="0.2">
      <c r="G176" s="107"/>
      <c r="O176" s="1"/>
      <c r="P176" s="1"/>
      <c r="Q176" s="1"/>
      <c r="R176" s="1"/>
    </row>
    <row r="177" spans="7:18" ht="12.75" customHeight="1" x14ac:dyDescent="0.2">
      <c r="G177" s="107"/>
      <c r="O177" s="1"/>
      <c r="P177" s="1"/>
      <c r="Q177" s="1"/>
      <c r="R177" s="1"/>
    </row>
    <row r="178" spans="7:18" ht="12.75" customHeight="1" x14ac:dyDescent="0.2">
      <c r="G178" s="109"/>
      <c r="O178" s="1"/>
      <c r="P178" s="1"/>
      <c r="Q178" s="1"/>
      <c r="R178" s="1"/>
    </row>
    <row r="179" spans="7:18" ht="12.75" customHeight="1" x14ac:dyDescent="0.2">
      <c r="G179" s="112"/>
      <c r="O179" s="1"/>
      <c r="P179" s="1"/>
      <c r="Q179" s="1"/>
      <c r="R179" s="1"/>
    </row>
    <row r="180" spans="7:18" ht="12.75" customHeight="1" x14ac:dyDescent="0.2">
      <c r="G180" s="112"/>
      <c r="O180" s="1"/>
      <c r="P180" s="1"/>
      <c r="Q180" s="1"/>
      <c r="R180" s="1"/>
    </row>
    <row r="181" spans="7:18" ht="12.75" customHeight="1" x14ac:dyDescent="0.2">
      <c r="G181" s="112"/>
      <c r="O181" s="1"/>
      <c r="P181" s="1"/>
      <c r="Q181" s="1"/>
      <c r="R181" s="1"/>
    </row>
    <row r="182" spans="7:18" ht="12.75" customHeight="1" x14ac:dyDescent="0.2">
      <c r="G182" s="112"/>
      <c r="O182" s="1"/>
      <c r="P182" s="1"/>
      <c r="Q182" s="1"/>
      <c r="R182" s="1"/>
    </row>
    <row r="183" spans="7:18" ht="12.75" customHeight="1" x14ac:dyDescent="0.2">
      <c r="G183" s="112"/>
      <c r="O183" s="1"/>
      <c r="P183" s="1"/>
      <c r="Q183" s="1"/>
      <c r="R183" s="1"/>
    </row>
    <row r="184" spans="7:18" ht="12.75" customHeight="1" x14ac:dyDescent="0.2">
      <c r="G184" s="112"/>
      <c r="O184" s="1"/>
      <c r="P184" s="1"/>
      <c r="Q184" s="1"/>
      <c r="R184" s="1"/>
    </row>
    <row r="185" spans="7:18" ht="12.75" customHeight="1" x14ac:dyDescent="0.2">
      <c r="G185" s="112"/>
      <c r="O185" s="1"/>
      <c r="P185" s="1"/>
      <c r="Q185" s="1"/>
      <c r="R185" s="1"/>
    </row>
    <row r="186" spans="7:18" ht="12.75" customHeight="1" x14ac:dyDescent="0.2">
      <c r="G186" s="112"/>
      <c r="O186" s="1"/>
      <c r="P186" s="1"/>
      <c r="Q186" s="1"/>
      <c r="R186" s="1"/>
    </row>
    <row r="187" spans="7:18" ht="12.75" customHeight="1" x14ac:dyDescent="0.2">
      <c r="G187" s="112"/>
      <c r="O187" s="1"/>
      <c r="P187" s="1"/>
      <c r="Q187" s="1"/>
      <c r="R187" s="1"/>
    </row>
    <row r="188" spans="7:18" ht="12.75" customHeight="1" x14ac:dyDescent="0.2">
      <c r="G188" s="112"/>
      <c r="O188" s="1"/>
      <c r="P188" s="1"/>
      <c r="Q188" s="1"/>
      <c r="R188" s="1"/>
    </row>
    <row r="189" spans="7:18" ht="12.75" customHeight="1" x14ac:dyDescent="0.2">
      <c r="G189" s="112"/>
      <c r="O189" s="1"/>
      <c r="P189" s="1"/>
      <c r="Q189" s="1"/>
      <c r="R189" s="1"/>
    </row>
    <row r="190" spans="7:18" ht="12.75" customHeight="1" x14ac:dyDescent="0.2">
      <c r="G190" s="112"/>
      <c r="K190" s="106"/>
      <c r="O190" s="1"/>
      <c r="P190" s="1"/>
      <c r="Q190" s="1"/>
      <c r="R190" s="1"/>
    </row>
    <row r="191" spans="7:18" ht="12.75" customHeight="1" x14ac:dyDescent="0.2">
      <c r="G191" s="112"/>
      <c r="K191" s="106"/>
      <c r="O191" s="1"/>
      <c r="P191" s="1"/>
      <c r="Q191" s="1"/>
      <c r="R191" s="1"/>
    </row>
    <row r="192" spans="7:18" ht="12.75" customHeight="1" x14ac:dyDescent="0.2">
      <c r="G192" s="109"/>
      <c r="K192" s="106"/>
      <c r="O192" s="1"/>
      <c r="P192" s="1"/>
      <c r="Q192" s="1"/>
      <c r="R192" s="1"/>
    </row>
    <row r="193" spans="7:18" ht="12.75" customHeight="1" x14ac:dyDescent="0.2">
      <c r="G193" s="112"/>
      <c r="H193" s="105"/>
      <c r="K193" s="106"/>
      <c r="O193" s="1"/>
      <c r="P193" s="1"/>
      <c r="Q193" s="1"/>
      <c r="R193" s="1"/>
    </row>
    <row r="194" spans="7:18" ht="12.75" customHeight="1" x14ac:dyDescent="0.2">
      <c r="G194" s="112"/>
      <c r="H194" s="108"/>
      <c r="I194" s="105"/>
      <c r="J194" s="105"/>
      <c r="K194" s="105"/>
      <c r="O194" s="1"/>
      <c r="P194" s="1"/>
      <c r="Q194" s="1"/>
      <c r="R194" s="1"/>
    </row>
    <row r="195" spans="7:18" ht="12.75" customHeight="1" x14ac:dyDescent="0.2">
      <c r="G195" s="109"/>
      <c r="H195" s="110"/>
      <c r="I195" s="108"/>
      <c r="J195" s="108"/>
      <c r="K195" s="108"/>
      <c r="O195" s="1"/>
      <c r="P195" s="1"/>
      <c r="Q195" s="1"/>
      <c r="R195" s="1"/>
    </row>
    <row r="196" spans="7:18" ht="12.75" customHeight="1" x14ac:dyDescent="0.2">
      <c r="G196" s="109"/>
      <c r="H196" s="111"/>
      <c r="I196" s="110"/>
      <c r="J196" s="110"/>
      <c r="K196" s="110"/>
      <c r="O196" s="1"/>
      <c r="P196" s="1"/>
      <c r="Q196" s="1"/>
      <c r="R196" s="1"/>
    </row>
    <row r="197" spans="7:18" ht="12.75" customHeight="1" x14ac:dyDescent="0.2">
      <c r="G197" s="112"/>
      <c r="H197" s="111"/>
      <c r="I197" s="111"/>
      <c r="J197" s="111"/>
      <c r="K197" s="111"/>
      <c r="O197" s="1"/>
      <c r="P197" s="1"/>
      <c r="Q197" s="1"/>
      <c r="R197" s="1"/>
    </row>
    <row r="198" spans="7:18" ht="12.75" customHeight="1" x14ac:dyDescent="0.2">
      <c r="G198" s="112"/>
      <c r="H198" s="111"/>
      <c r="I198" s="111"/>
      <c r="J198" s="111"/>
      <c r="K198" s="111"/>
      <c r="O198" s="1"/>
      <c r="P198" s="1"/>
      <c r="Q198" s="1"/>
      <c r="R198" s="1"/>
    </row>
    <row r="199" spans="7:18" ht="12.75" customHeight="1" x14ac:dyDescent="0.2">
      <c r="G199" s="112"/>
      <c r="H199" s="111"/>
      <c r="I199" s="111"/>
      <c r="J199" s="111"/>
      <c r="K199" s="111"/>
      <c r="O199" s="1"/>
      <c r="P199" s="1"/>
      <c r="Q199" s="1"/>
      <c r="R199" s="1"/>
    </row>
    <row r="200" spans="7:18" ht="12.75" customHeight="1" x14ac:dyDescent="0.2">
      <c r="G200" s="112"/>
      <c r="H200" s="111"/>
      <c r="I200" s="111"/>
      <c r="J200" s="111"/>
      <c r="K200" s="111"/>
      <c r="O200" s="1"/>
      <c r="P200" s="1"/>
      <c r="Q200" s="1"/>
      <c r="R200" s="1"/>
    </row>
    <row r="201" spans="7:18" ht="12.75" customHeight="1" x14ac:dyDescent="0.2">
      <c r="G201" s="112"/>
      <c r="H201" s="111"/>
      <c r="I201" s="111"/>
      <c r="J201" s="111"/>
      <c r="K201" s="111"/>
      <c r="O201" s="1"/>
      <c r="P201" s="1"/>
      <c r="Q201" s="1"/>
      <c r="R201" s="1"/>
    </row>
    <row r="202" spans="7:18" ht="12.75" customHeight="1" x14ac:dyDescent="0.2">
      <c r="G202" s="112"/>
      <c r="H202" s="111"/>
      <c r="I202" s="111"/>
      <c r="J202" s="111"/>
      <c r="K202" s="111"/>
      <c r="O202" s="1"/>
      <c r="P202" s="1"/>
      <c r="Q202" s="1"/>
      <c r="R202" s="1"/>
    </row>
    <row r="203" spans="7:18" ht="12.75" customHeight="1" x14ac:dyDescent="0.2">
      <c r="G203" s="112"/>
      <c r="H203" s="111"/>
      <c r="I203" s="111"/>
      <c r="J203" s="111"/>
      <c r="K203" s="111"/>
      <c r="O203" s="1"/>
      <c r="P203" s="1"/>
      <c r="Q203" s="1"/>
      <c r="R203" s="1"/>
    </row>
    <row r="204" spans="7:18" ht="12.75" customHeight="1" x14ac:dyDescent="0.2">
      <c r="G204" s="112"/>
      <c r="H204" s="111"/>
      <c r="I204" s="111"/>
      <c r="J204" s="111"/>
      <c r="K204" s="111"/>
      <c r="O204" s="1"/>
      <c r="P204" s="1"/>
      <c r="Q204" s="1"/>
      <c r="R204" s="1"/>
    </row>
    <row r="205" spans="7:18" ht="12.75" customHeight="1" x14ac:dyDescent="0.2">
      <c r="G205" s="112"/>
      <c r="H205" s="111"/>
      <c r="I205" s="111"/>
      <c r="J205" s="111"/>
      <c r="K205" s="111"/>
      <c r="O205" s="1"/>
      <c r="P205" s="1"/>
      <c r="Q205" s="1"/>
      <c r="R205" s="1"/>
    </row>
    <row r="206" spans="7:18" ht="12.75" customHeight="1" x14ac:dyDescent="0.2">
      <c r="G206" s="112"/>
      <c r="H206" s="113"/>
      <c r="I206" s="111"/>
      <c r="J206" s="111"/>
      <c r="K206" s="111"/>
      <c r="O206" s="1"/>
      <c r="P206" s="1"/>
      <c r="Q206" s="1"/>
      <c r="R206" s="1"/>
    </row>
    <row r="207" spans="7:18" ht="12.75" customHeight="1" x14ac:dyDescent="0.2">
      <c r="G207" s="112"/>
      <c r="H207" s="113"/>
      <c r="I207" s="113"/>
      <c r="J207" s="113"/>
      <c r="K207" s="114"/>
      <c r="O207" s="1"/>
      <c r="P207" s="1"/>
      <c r="Q207" s="1"/>
      <c r="R207" s="1"/>
    </row>
    <row r="208" spans="7:18" ht="12.75" customHeight="1" x14ac:dyDescent="0.2">
      <c r="G208" s="112"/>
      <c r="H208" s="113"/>
      <c r="I208" s="113"/>
      <c r="J208" s="113"/>
      <c r="K208" s="114"/>
      <c r="O208" s="1"/>
      <c r="P208" s="1"/>
      <c r="Q208" s="1"/>
      <c r="R208" s="1"/>
    </row>
    <row r="209" spans="7:18" ht="12.75" customHeight="1" x14ac:dyDescent="0.2">
      <c r="G209" s="112"/>
      <c r="H209" s="113"/>
      <c r="I209" s="113"/>
      <c r="J209" s="113"/>
      <c r="K209" s="114"/>
      <c r="O209" s="1"/>
      <c r="P209" s="1"/>
      <c r="Q209" s="1"/>
      <c r="R209" s="1"/>
    </row>
    <row r="210" spans="7:18" ht="12.75" customHeight="1" x14ac:dyDescent="0.2">
      <c r="G210" s="112"/>
      <c r="H210" s="114"/>
      <c r="I210" s="113"/>
      <c r="J210" s="113"/>
      <c r="K210" s="114"/>
      <c r="O210" s="1"/>
      <c r="P210" s="1"/>
      <c r="Q210" s="1"/>
      <c r="R210" s="1"/>
    </row>
    <row r="211" spans="7:18" ht="12.75" customHeight="1" x14ac:dyDescent="0.2">
      <c r="G211" s="112"/>
      <c r="H211" s="111"/>
      <c r="I211" s="114"/>
      <c r="J211" s="114"/>
      <c r="K211" s="114"/>
      <c r="O211" s="1"/>
      <c r="P211" s="1"/>
      <c r="Q211" s="1"/>
      <c r="R211" s="1"/>
    </row>
    <row r="212" spans="7:18" ht="12.75" customHeight="1" x14ac:dyDescent="0.2">
      <c r="G212" s="112"/>
      <c r="H212" s="110"/>
      <c r="I212" s="111"/>
      <c r="J212" s="111"/>
      <c r="K212" s="111"/>
      <c r="O212" s="1"/>
      <c r="P212" s="1"/>
      <c r="Q212" s="1"/>
      <c r="R212" s="1"/>
    </row>
    <row r="213" spans="7:18" ht="12.75" customHeight="1" x14ac:dyDescent="0.2">
      <c r="G213" s="112"/>
      <c r="H213" s="110"/>
      <c r="I213" s="110"/>
      <c r="J213" s="110"/>
      <c r="K213" s="110"/>
      <c r="O213" s="1"/>
      <c r="P213" s="1"/>
      <c r="Q213" s="1"/>
      <c r="R213" s="1"/>
    </row>
    <row r="214" spans="7:18" ht="12.75" customHeight="1" x14ac:dyDescent="0.2">
      <c r="G214" s="109"/>
      <c r="H214" s="111"/>
      <c r="I214" s="110"/>
      <c r="J214" s="110"/>
      <c r="K214" s="110"/>
      <c r="O214" s="1"/>
      <c r="P214" s="1"/>
      <c r="Q214" s="1"/>
      <c r="R214" s="1"/>
    </row>
    <row r="215" spans="7:18" ht="12.75" customHeight="1" x14ac:dyDescent="0.2">
      <c r="G215" s="109"/>
      <c r="H215" s="111"/>
      <c r="I215" s="111"/>
      <c r="J215" s="111"/>
      <c r="K215" s="111"/>
      <c r="O215" s="1"/>
      <c r="P215" s="1"/>
      <c r="Q215" s="1"/>
      <c r="R215" s="1"/>
    </row>
    <row r="216" spans="7:18" ht="12.75" customHeight="1" x14ac:dyDescent="0.2">
      <c r="G216" s="1"/>
      <c r="H216" s="111"/>
      <c r="I216" s="111"/>
      <c r="J216" s="111"/>
      <c r="K216" s="111"/>
      <c r="O216" s="1"/>
      <c r="P216" s="1"/>
      <c r="Q216" s="1"/>
      <c r="R216" s="1"/>
    </row>
    <row r="217" spans="7:18" ht="12.75" customHeight="1" x14ac:dyDescent="0.2">
      <c r="G217" s="1"/>
      <c r="H217" s="111"/>
      <c r="I217" s="111"/>
      <c r="J217" s="111"/>
      <c r="K217" s="111"/>
      <c r="O217" s="1"/>
      <c r="P217" s="1"/>
      <c r="Q217" s="1"/>
      <c r="R217" s="1"/>
    </row>
    <row r="218" spans="7:18" ht="12.75" customHeight="1" x14ac:dyDescent="0.2">
      <c r="G218" s="1"/>
      <c r="H218" s="111"/>
      <c r="I218" s="111"/>
      <c r="J218" s="111"/>
      <c r="K218" s="111"/>
      <c r="O218" s="1"/>
      <c r="P218" s="1"/>
      <c r="Q218" s="1"/>
      <c r="R218" s="1"/>
    </row>
    <row r="219" spans="7:18" ht="12.75" customHeight="1" x14ac:dyDescent="0.2">
      <c r="G219" s="1"/>
      <c r="H219" s="111"/>
      <c r="I219" s="111"/>
      <c r="J219" s="111"/>
      <c r="K219" s="111"/>
      <c r="O219" s="1"/>
      <c r="P219" s="1"/>
      <c r="Q219" s="1"/>
      <c r="R219" s="1"/>
    </row>
    <row r="220" spans="7:18" ht="12.75" customHeight="1" x14ac:dyDescent="0.2">
      <c r="G220" s="1"/>
      <c r="H220" s="111"/>
      <c r="I220" s="111"/>
      <c r="J220" s="111"/>
      <c r="K220" s="111"/>
      <c r="O220" s="1"/>
      <c r="P220" s="1"/>
      <c r="Q220" s="1"/>
      <c r="R220" s="1"/>
    </row>
    <row r="221" spans="7:18" ht="12.75" customHeight="1" x14ac:dyDescent="0.2">
      <c r="G221" s="1"/>
      <c r="H221" s="111"/>
      <c r="I221" s="111"/>
      <c r="J221" s="111"/>
      <c r="K221" s="111"/>
      <c r="O221" s="1"/>
      <c r="P221" s="1"/>
      <c r="Q221" s="1"/>
      <c r="R221" s="1"/>
    </row>
    <row r="222" spans="7:18" ht="12.75" customHeight="1" x14ac:dyDescent="0.2">
      <c r="G222" s="116"/>
      <c r="H222" s="111"/>
      <c r="I222" s="111"/>
      <c r="J222" s="111"/>
      <c r="K222" s="111"/>
      <c r="O222" s="1"/>
      <c r="P222" s="1"/>
      <c r="Q222" s="1"/>
      <c r="R222" s="1"/>
    </row>
    <row r="223" spans="7:18" ht="12.75" customHeight="1" x14ac:dyDescent="0.2">
      <c r="G223" s="116"/>
      <c r="H223" s="111"/>
      <c r="I223" s="111"/>
      <c r="J223" s="111"/>
      <c r="K223" s="111"/>
      <c r="O223" s="1"/>
      <c r="P223" s="1"/>
      <c r="Q223" s="1"/>
      <c r="R223" s="1"/>
    </row>
    <row r="224" spans="7:18" ht="12.75" customHeight="1" x14ac:dyDescent="0.2">
      <c r="G224" s="116"/>
      <c r="H224" s="111"/>
      <c r="I224" s="111"/>
      <c r="J224" s="111"/>
      <c r="K224" s="111"/>
      <c r="O224" s="1"/>
      <c r="P224" s="1"/>
      <c r="Q224" s="1"/>
      <c r="R224" s="1"/>
    </row>
    <row r="225" spans="7:18" ht="12.75" customHeight="1" x14ac:dyDescent="0.2">
      <c r="G225" s="116"/>
      <c r="H225" s="111"/>
      <c r="I225" s="111"/>
      <c r="J225" s="111"/>
      <c r="K225" s="111"/>
      <c r="O225" s="1"/>
      <c r="P225" s="1"/>
      <c r="Q225" s="1"/>
      <c r="R225" s="1"/>
    </row>
    <row r="226" spans="7:18" ht="12.75" customHeight="1" x14ac:dyDescent="0.2">
      <c r="G226" s="119"/>
      <c r="H226" s="111"/>
      <c r="I226" s="111"/>
      <c r="J226" s="111"/>
      <c r="K226" s="111"/>
      <c r="O226" s="1"/>
      <c r="P226" s="1"/>
      <c r="Q226" s="1"/>
      <c r="R226" s="1"/>
    </row>
    <row r="227" spans="7:18" ht="12.75" customHeight="1" x14ac:dyDescent="0.2">
      <c r="G227" s="119"/>
      <c r="H227" s="111"/>
      <c r="I227" s="111"/>
      <c r="J227" s="111"/>
      <c r="K227" s="111"/>
      <c r="O227" s="1"/>
      <c r="P227" s="1"/>
      <c r="Q227" s="1"/>
      <c r="R227" s="1"/>
    </row>
    <row r="228" spans="7:18" ht="12.75" customHeight="1" x14ac:dyDescent="0.2">
      <c r="G228" s="109"/>
      <c r="H228" s="111"/>
      <c r="I228" s="111"/>
      <c r="J228" s="111"/>
      <c r="K228" s="111"/>
      <c r="O228" s="1"/>
      <c r="P228" s="1"/>
      <c r="Q228" s="1"/>
      <c r="R228" s="1"/>
    </row>
    <row r="229" spans="7:18" ht="12.75" customHeight="1" x14ac:dyDescent="0.2">
      <c r="G229" s="121"/>
      <c r="H229" s="111"/>
      <c r="I229" s="111"/>
      <c r="J229" s="111"/>
      <c r="K229" s="115"/>
      <c r="O229" s="1"/>
      <c r="P229" s="1"/>
      <c r="Q229" s="1"/>
      <c r="R229" s="1"/>
    </row>
    <row r="230" spans="7:18" ht="12.75" customHeight="1" x14ac:dyDescent="0.2">
      <c r="G230" s="121"/>
      <c r="H230" s="111"/>
      <c r="I230" s="111"/>
      <c r="J230" s="111"/>
      <c r="K230" s="111"/>
      <c r="O230" s="1"/>
      <c r="P230" s="1"/>
      <c r="Q230" s="1"/>
      <c r="R230" s="1"/>
    </row>
    <row r="231" spans="7:18" ht="12.75" customHeight="1" x14ac:dyDescent="0.2">
      <c r="G231" s="121"/>
      <c r="H231" s="111"/>
      <c r="I231" s="111"/>
      <c r="J231" s="111"/>
      <c r="K231" s="111"/>
      <c r="O231" s="1"/>
      <c r="P231" s="1"/>
      <c r="Q231" s="1"/>
      <c r="R231" s="1"/>
    </row>
    <row r="232" spans="7:18" ht="12.75" customHeight="1" x14ac:dyDescent="0.2">
      <c r="G232" s="1"/>
      <c r="H232" s="111"/>
      <c r="I232" s="111"/>
      <c r="J232" s="111"/>
      <c r="K232" s="111"/>
      <c r="O232" s="1"/>
      <c r="P232" s="1"/>
      <c r="Q232" s="1"/>
      <c r="R232" s="1"/>
    </row>
    <row r="233" spans="7:18" ht="12.75" customHeight="1" x14ac:dyDescent="0.2">
      <c r="G233" s="121"/>
      <c r="H233" s="1"/>
      <c r="I233" s="111"/>
      <c r="J233" s="111"/>
      <c r="K233" s="111"/>
      <c r="O233" s="1"/>
      <c r="P233" s="1"/>
      <c r="Q233" s="1"/>
      <c r="R233" s="1"/>
    </row>
    <row r="234" spans="7:18" ht="12.75" customHeight="1" x14ac:dyDescent="0.2">
      <c r="G234" s="121"/>
      <c r="H234" s="1"/>
      <c r="I234" s="1"/>
      <c r="J234" s="1"/>
      <c r="K234" s="1"/>
      <c r="O234" s="1"/>
      <c r="P234" s="1"/>
      <c r="Q234" s="1"/>
      <c r="R234" s="1"/>
    </row>
    <row r="235" spans="7:18" ht="12.75" customHeight="1" x14ac:dyDescent="0.2">
      <c r="G235" s="121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">
      <c r="G236" s="121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">
      <c r="G237" s="121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">
      <c r="G238" s="121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">
      <c r="G239" s="121"/>
      <c r="H239" s="117"/>
      <c r="I239" s="1"/>
      <c r="J239" s="1"/>
      <c r="K239" s="1"/>
      <c r="O239" s="1"/>
      <c r="P239" s="1"/>
      <c r="Q239" s="1"/>
      <c r="R239" s="1"/>
    </row>
    <row r="240" spans="7:18" ht="12.75" customHeight="1" x14ac:dyDescent="0.2">
      <c r="G240" s="121"/>
      <c r="H240" s="117"/>
      <c r="I240" s="117"/>
      <c r="J240" s="117"/>
      <c r="K240" s="116"/>
      <c r="O240" s="1"/>
      <c r="P240" s="1"/>
      <c r="Q240" s="1"/>
      <c r="R240" s="1"/>
    </row>
    <row r="241" spans="7:18" ht="12.75" customHeight="1" x14ac:dyDescent="0.2">
      <c r="G241" s="121"/>
      <c r="H241" s="118"/>
      <c r="I241" s="117"/>
      <c r="J241" s="117"/>
      <c r="K241" s="116"/>
      <c r="O241" s="1"/>
      <c r="P241" s="1"/>
      <c r="Q241" s="1"/>
      <c r="R241" s="1"/>
    </row>
    <row r="242" spans="7:18" ht="12.75" customHeight="1" x14ac:dyDescent="0.2">
      <c r="G242" s="121"/>
      <c r="H242" s="118"/>
      <c r="I242" s="118"/>
      <c r="J242" s="118"/>
      <c r="K242" s="116"/>
      <c r="O242" s="1"/>
      <c r="P242" s="1"/>
      <c r="Q242" s="1"/>
      <c r="R242" s="1"/>
    </row>
    <row r="243" spans="7:18" ht="12.75" customHeight="1" x14ac:dyDescent="0.2">
      <c r="G243" s="121"/>
      <c r="H243" s="120"/>
      <c r="I243" s="118"/>
      <c r="J243" s="118"/>
      <c r="K243" s="116"/>
      <c r="O243" s="1"/>
      <c r="P243" s="1"/>
      <c r="Q243" s="1"/>
      <c r="R243" s="1"/>
    </row>
    <row r="244" spans="7:18" ht="12.75" customHeight="1" x14ac:dyDescent="0.2">
      <c r="G244" s="119"/>
      <c r="H244" s="110"/>
      <c r="I244" s="120"/>
      <c r="J244" s="120"/>
      <c r="K244" s="120"/>
      <c r="O244" s="1"/>
      <c r="P244" s="1"/>
      <c r="Q244" s="1"/>
      <c r="R244" s="1"/>
    </row>
    <row r="245" spans="7:18" ht="12.75" customHeight="1" x14ac:dyDescent="0.2">
      <c r="G245" s="1"/>
      <c r="H245" s="110"/>
      <c r="I245" s="110"/>
      <c r="J245" s="110"/>
      <c r="K245" s="120"/>
      <c r="O245" s="1"/>
      <c r="P245" s="1"/>
      <c r="Q245" s="1"/>
      <c r="R245" s="1"/>
    </row>
    <row r="246" spans="7:18" ht="12.75" customHeight="1" x14ac:dyDescent="0.2">
      <c r="G246" s="1"/>
      <c r="H246" s="120"/>
      <c r="I246" s="110"/>
      <c r="J246" s="110"/>
      <c r="K246" s="110"/>
      <c r="O246" s="1"/>
      <c r="P246" s="1"/>
      <c r="Q246" s="1"/>
      <c r="R246" s="1"/>
    </row>
    <row r="247" spans="7:18" ht="12.75" customHeight="1" x14ac:dyDescent="0.2">
      <c r="G247" s="1"/>
      <c r="H247" s="120"/>
      <c r="I247" s="120"/>
      <c r="J247" s="120"/>
      <c r="K247" s="122"/>
      <c r="O247" s="1"/>
      <c r="P247" s="1"/>
      <c r="Q247" s="1"/>
      <c r="R247" s="1"/>
    </row>
    <row r="248" spans="7:18" ht="12.75" customHeight="1" x14ac:dyDescent="0.2">
      <c r="G248" s="1"/>
      <c r="H248" s="120"/>
      <c r="I248" s="120"/>
      <c r="J248" s="120"/>
      <c r="K248" s="120"/>
      <c r="O248" s="1"/>
      <c r="P248" s="1"/>
      <c r="Q248" s="1"/>
      <c r="R248" s="1"/>
    </row>
    <row r="249" spans="7:18" ht="12.75" customHeight="1" x14ac:dyDescent="0.2">
      <c r="G249" s="1"/>
      <c r="H249" s="120"/>
      <c r="I249" s="120"/>
      <c r="J249" s="120"/>
      <c r="K249" s="123"/>
      <c r="O249" s="1"/>
      <c r="P249" s="1"/>
      <c r="Q249" s="1"/>
      <c r="R249" s="1"/>
    </row>
    <row r="250" spans="7:18" ht="12.75" customHeight="1" x14ac:dyDescent="0.2">
      <c r="G250" s="1"/>
      <c r="H250" s="120"/>
      <c r="I250" s="120"/>
      <c r="J250" s="120"/>
      <c r="K250" s="120"/>
      <c r="O250" s="1"/>
      <c r="P250" s="1"/>
      <c r="Q250" s="1"/>
      <c r="R250" s="1"/>
    </row>
    <row r="251" spans="7:18" ht="12.75" customHeight="1" x14ac:dyDescent="0.2">
      <c r="G251" s="1"/>
      <c r="H251" s="120"/>
      <c r="I251" s="120"/>
      <c r="J251" s="120"/>
      <c r="K251" s="123"/>
      <c r="O251" s="1"/>
      <c r="P251" s="1"/>
      <c r="Q251" s="1"/>
      <c r="R251" s="1"/>
    </row>
    <row r="252" spans="7:18" ht="12.75" customHeight="1" x14ac:dyDescent="0.2">
      <c r="G252" s="1"/>
      <c r="H252" s="120"/>
      <c r="I252" s="120"/>
      <c r="J252" s="120"/>
      <c r="K252" s="123"/>
      <c r="O252" s="1"/>
      <c r="P252" s="1"/>
      <c r="Q252" s="1"/>
      <c r="R252" s="1"/>
    </row>
    <row r="253" spans="7:18" ht="12.75" customHeight="1" x14ac:dyDescent="0.2">
      <c r="G253" s="1"/>
      <c r="H253" s="120"/>
      <c r="I253" s="120"/>
      <c r="J253" s="120"/>
      <c r="K253" s="123"/>
      <c r="O253" s="1"/>
      <c r="P253" s="1"/>
      <c r="Q253" s="1"/>
      <c r="R253" s="1"/>
    </row>
    <row r="254" spans="7:18" ht="12.75" customHeight="1" x14ac:dyDescent="0.2">
      <c r="G254" s="1"/>
      <c r="H254" s="120"/>
      <c r="I254" s="120"/>
      <c r="J254" s="120"/>
      <c r="K254" s="120"/>
      <c r="O254" s="1"/>
      <c r="P254" s="1"/>
      <c r="Q254" s="1"/>
      <c r="R254" s="1"/>
    </row>
    <row r="255" spans="7:18" ht="12.75" customHeight="1" x14ac:dyDescent="0.2">
      <c r="G255" s="1"/>
      <c r="H255" s="120"/>
      <c r="I255" s="120"/>
      <c r="J255" s="120"/>
      <c r="K255" s="122"/>
      <c r="O255" s="1"/>
      <c r="P255" s="1"/>
      <c r="Q255" s="1"/>
      <c r="R255" s="1"/>
    </row>
    <row r="256" spans="7:18" ht="12.75" customHeight="1" x14ac:dyDescent="0.2">
      <c r="G256" s="1"/>
      <c r="H256" s="120"/>
      <c r="I256" s="120"/>
      <c r="J256" s="120"/>
      <c r="K256" s="120"/>
      <c r="O256" s="1"/>
      <c r="P256" s="1"/>
      <c r="Q256" s="1"/>
      <c r="R256" s="1"/>
    </row>
    <row r="257" spans="7:18" ht="12.75" customHeight="1" x14ac:dyDescent="0.2">
      <c r="G257" s="1"/>
      <c r="H257" s="120"/>
      <c r="I257" s="120"/>
      <c r="J257" s="120"/>
      <c r="K257" s="124"/>
      <c r="O257" s="1"/>
      <c r="P257" s="1"/>
      <c r="Q257" s="1"/>
      <c r="R257" s="1"/>
    </row>
    <row r="258" spans="7:18" ht="12.75" customHeight="1" x14ac:dyDescent="0.2">
      <c r="G258" s="1"/>
      <c r="H258" s="120"/>
      <c r="I258" s="120"/>
      <c r="J258" s="120"/>
      <c r="K258" s="120"/>
      <c r="O258" s="1"/>
      <c r="P258" s="1"/>
      <c r="Q258" s="1"/>
      <c r="R258" s="1"/>
    </row>
    <row r="259" spans="7:18" ht="12.75" customHeight="1" x14ac:dyDescent="0.2">
      <c r="G259" s="1"/>
      <c r="H259" s="120"/>
      <c r="I259" s="120"/>
      <c r="J259" s="120"/>
      <c r="K259" s="122"/>
      <c r="O259" s="1"/>
      <c r="P259" s="1"/>
      <c r="Q259" s="1"/>
      <c r="R259" s="1"/>
    </row>
    <row r="260" spans="7:18" ht="12.75" customHeight="1" x14ac:dyDescent="0.2">
      <c r="G260" s="1"/>
      <c r="H260" s="120"/>
      <c r="I260" s="120"/>
      <c r="J260" s="120"/>
      <c r="K260" s="120"/>
      <c r="O260" s="1"/>
      <c r="P260" s="1"/>
      <c r="Q260" s="1"/>
      <c r="R260" s="1"/>
    </row>
    <row r="261" spans="7:18" ht="12.75" customHeight="1" x14ac:dyDescent="0.2">
      <c r="G261" s="1"/>
      <c r="H261" s="120"/>
      <c r="I261" s="120"/>
      <c r="J261" s="120"/>
      <c r="K261" s="125"/>
      <c r="O261" s="1"/>
      <c r="P261" s="1"/>
      <c r="Q261" s="1"/>
      <c r="R261" s="1"/>
    </row>
    <row r="262" spans="7:18" ht="12.75" customHeight="1" x14ac:dyDescent="0.2">
      <c r="G262" s="1"/>
      <c r="H262" s="1"/>
      <c r="I262" s="120"/>
      <c r="J262" s="120"/>
      <c r="K262" s="120"/>
      <c r="O262" s="1"/>
      <c r="P262" s="1"/>
      <c r="Q262" s="1"/>
      <c r="R262" s="1"/>
    </row>
    <row r="263" spans="7:18" ht="12.75" customHeight="1" x14ac:dyDescent="0.2">
      <c r="G263" s="1"/>
      <c r="H263" s="1"/>
      <c r="I263" s="1"/>
      <c r="J263" s="1"/>
      <c r="K263" s="1"/>
      <c r="O263" s="1"/>
      <c r="P263" s="1"/>
      <c r="Q263" s="1"/>
      <c r="R263" s="1"/>
    </row>
    <row r="264" spans="7:18" ht="12.75" customHeight="1" x14ac:dyDescent="0.2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"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">
      <c r="I296" s="1"/>
      <c r="J296" s="1"/>
      <c r="K296" s="1"/>
      <c r="O296" s="1"/>
      <c r="P296" s="1"/>
      <c r="Q296" s="1"/>
      <c r="R296" s="1"/>
    </row>
    <row r="297" spans="8:18" ht="12.75" customHeight="1" x14ac:dyDescent="0.2">
      <c r="O297" s="1"/>
      <c r="P297" s="1"/>
      <c r="Q297" s="1"/>
      <c r="R297" s="1"/>
    </row>
    <row r="298" spans="8:18" ht="12.75" customHeight="1" x14ac:dyDescent="0.2">
      <c r="O298" s="1"/>
      <c r="P298" s="1"/>
      <c r="Q298" s="1"/>
      <c r="R298" s="1"/>
    </row>
    <row r="299" spans="8:18" ht="12.75" customHeight="1" x14ac:dyDescent="0.2">
      <c r="O299" s="1"/>
      <c r="P299" s="1"/>
      <c r="Q299" s="1"/>
      <c r="R299" s="1"/>
    </row>
    <row r="300" spans="8:18" ht="12.75" customHeight="1" x14ac:dyDescent="0.2">
      <c r="O300" s="1"/>
      <c r="P300" s="1"/>
      <c r="Q300" s="1"/>
      <c r="R300" s="1"/>
    </row>
    <row r="301" spans="8:18" ht="12.75" customHeight="1" x14ac:dyDescent="0.2">
      <c r="O301" s="1"/>
      <c r="P301" s="1"/>
      <c r="Q301" s="1"/>
      <c r="R301" s="1"/>
    </row>
    <row r="302" spans="8:18" ht="12.75" customHeight="1" x14ac:dyDescent="0.2">
      <c r="O302" s="1"/>
      <c r="P302" s="1"/>
      <c r="Q302" s="1"/>
      <c r="R302" s="1"/>
    </row>
    <row r="303" spans="8:18" ht="12.75" customHeight="1" x14ac:dyDescent="0.2">
      <c r="O303" s="1"/>
      <c r="P303" s="1"/>
      <c r="Q303" s="1"/>
      <c r="R303" s="1"/>
    </row>
    <row r="304" spans="8:18" ht="12.75" customHeight="1" x14ac:dyDescent="0.2">
      <c r="O304" s="1"/>
      <c r="P304" s="1"/>
      <c r="Q304" s="1"/>
      <c r="R304" s="1"/>
    </row>
    <row r="305" spans="15:18" ht="12.75" customHeight="1" x14ac:dyDescent="0.2">
      <c r="O305" s="1"/>
      <c r="P305" s="1"/>
      <c r="Q305" s="1"/>
      <c r="R305" s="1"/>
    </row>
    <row r="306" spans="15:18" ht="12.75" customHeight="1" x14ac:dyDescent="0.2">
      <c r="O306" s="1"/>
      <c r="P306" s="1"/>
      <c r="Q306" s="1"/>
      <c r="R306" s="1"/>
    </row>
    <row r="307" spans="15:18" ht="12.75" customHeight="1" x14ac:dyDescent="0.2">
      <c r="O307" s="1"/>
      <c r="P307" s="1"/>
      <c r="Q307" s="1"/>
      <c r="R307" s="1"/>
    </row>
    <row r="308" spans="15:18" ht="12.75" customHeight="1" x14ac:dyDescent="0.2">
      <c r="O308" s="1"/>
      <c r="P308" s="1"/>
      <c r="Q308" s="1"/>
      <c r="R308" s="1"/>
    </row>
    <row r="309" spans="15:18" ht="12.75" customHeight="1" x14ac:dyDescent="0.2">
      <c r="O309" s="1"/>
      <c r="P309" s="1"/>
      <c r="Q309" s="1"/>
      <c r="R309" s="1"/>
    </row>
    <row r="310" spans="15:18" ht="12.75" customHeight="1" x14ac:dyDescent="0.2">
      <c r="O310" s="1"/>
      <c r="P310" s="1"/>
      <c r="Q310" s="1"/>
      <c r="R310" s="1"/>
    </row>
    <row r="311" spans="15:18" ht="12.75" customHeight="1" x14ac:dyDescent="0.2">
      <c r="O311" s="1"/>
      <c r="P311" s="1"/>
      <c r="Q311" s="1"/>
      <c r="R311" s="1"/>
    </row>
    <row r="312" spans="15:18" ht="12.75" customHeight="1" x14ac:dyDescent="0.2">
      <c r="O312" s="1"/>
      <c r="P312" s="1"/>
      <c r="Q312" s="1"/>
      <c r="R312" s="1"/>
    </row>
    <row r="313" spans="15:18" ht="12.75" customHeight="1" x14ac:dyDescent="0.2">
      <c r="O313" s="1"/>
      <c r="P313" s="1"/>
      <c r="Q313" s="1"/>
      <c r="R313" s="1"/>
    </row>
    <row r="314" spans="15:18" ht="12.75" customHeight="1" x14ac:dyDescent="0.2">
      <c r="O314" s="1"/>
      <c r="P314" s="1"/>
      <c r="Q314" s="1"/>
      <c r="R314" s="1"/>
    </row>
    <row r="315" spans="15:18" ht="12.75" customHeight="1" x14ac:dyDescent="0.2">
      <c r="O315" s="1"/>
      <c r="P315" s="1"/>
      <c r="Q315" s="1"/>
      <c r="R315" s="1"/>
    </row>
    <row r="316" spans="15:18" ht="12.75" customHeight="1" x14ac:dyDescent="0.2">
      <c r="O316" s="1"/>
      <c r="P316" s="1"/>
      <c r="Q316" s="1"/>
      <c r="R316" s="1"/>
    </row>
    <row r="317" spans="15:18" ht="12.75" customHeight="1" x14ac:dyDescent="0.2">
      <c r="O317" s="1"/>
      <c r="P317" s="1"/>
      <c r="Q317" s="1"/>
      <c r="R317" s="1"/>
    </row>
    <row r="318" spans="15:18" ht="12.75" customHeight="1" x14ac:dyDescent="0.2">
      <c r="O318" s="1"/>
      <c r="P318" s="1"/>
      <c r="Q318" s="1"/>
      <c r="R318" s="1"/>
    </row>
    <row r="319" spans="15:18" ht="12.75" customHeight="1" x14ac:dyDescent="0.2">
      <c r="O319" s="1"/>
      <c r="P319" s="1"/>
      <c r="Q319" s="1"/>
      <c r="R319" s="1"/>
    </row>
    <row r="320" spans="15:18" ht="12.75" customHeight="1" x14ac:dyDescent="0.2">
      <c r="O320" s="1"/>
      <c r="P320" s="1"/>
      <c r="Q320" s="1"/>
      <c r="R320" s="1"/>
    </row>
    <row r="321" spans="15:18" ht="12.75" customHeight="1" x14ac:dyDescent="0.2">
      <c r="O321" s="1"/>
      <c r="P321" s="1"/>
      <c r="Q321" s="1"/>
      <c r="R321" s="1"/>
    </row>
    <row r="322" spans="15:18" ht="12.75" customHeight="1" x14ac:dyDescent="0.2">
      <c r="O322" s="1"/>
      <c r="P322" s="1"/>
      <c r="Q322" s="1"/>
      <c r="R322" s="1"/>
    </row>
    <row r="323" spans="15:18" ht="12.75" customHeight="1" x14ac:dyDescent="0.2">
      <c r="O323" s="1"/>
      <c r="P323" s="1"/>
      <c r="Q323" s="1"/>
      <c r="R323" s="1"/>
    </row>
    <row r="324" spans="15:18" ht="12.75" customHeight="1" x14ac:dyDescent="0.2">
      <c r="O324" s="1"/>
      <c r="P324" s="1"/>
      <c r="Q324" s="1"/>
      <c r="R324" s="1"/>
    </row>
    <row r="325" spans="15:18" ht="12.75" customHeight="1" x14ac:dyDescent="0.2">
      <c r="O325" s="1"/>
      <c r="P325" s="1"/>
      <c r="Q325" s="1"/>
      <c r="R325" s="1"/>
    </row>
    <row r="326" spans="15:18" ht="12.75" customHeight="1" x14ac:dyDescent="0.2">
      <c r="O326" s="1"/>
      <c r="P326" s="1"/>
      <c r="Q326" s="1"/>
      <c r="R326" s="1"/>
    </row>
    <row r="327" spans="15:18" ht="12.75" customHeight="1" x14ac:dyDescent="0.2">
      <c r="O327" s="1"/>
      <c r="P327" s="1"/>
      <c r="Q327" s="1"/>
      <c r="R327" s="1"/>
    </row>
    <row r="328" spans="15:18" ht="12.75" customHeight="1" x14ac:dyDescent="0.2">
      <c r="O328" s="1"/>
      <c r="P328" s="1"/>
      <c r="Q328" s="1"/>
      <c r="R328" s="1"/>
    </row>
    <row r="329" spans="15:18" ht="12.75" customHeight="1" x14ac:dyDescent="0.2">
      <c r="O329" s="1"/>
      <c r="P329" s="1"/>
      <c r="Q329" s="1"/>
      <c r="R329" s="1"/>
    </row>
    <row r="330" spans="15:18" ht="12.75" customHeight="1" x14ac:dyDescent="0.2">
      <c r="O330" s="1"/>
      <c r="P330" s="1"/>
      <c r="Q330" s="1"/>
      <c r="R330" s="1"/>
    </row>
    <row r="331" spans="15:18" ht="12.75" customHeight="1" x14ac:dyDescent="0.2">
      <c r="O331" s="1"/>
      <c r="P331" s="1"/>
      <c r="Q331" s="1"/>
      <c r="R331" s="1"/>
    </row>
    <row r="332" spans="15:18" ht="12.75" customHeight="1" x14ac:dyDescent="0.2">
      <c r="O332" s="1"/>
      <c r="P332" s="1"/>
      <c r="Q332" s="1"/>
      <c r="R332" s="1"/>
    </row>
    <row r="333" spans="15:18" ht="12.75" customHeight="1" x14ac:dyDescent="0.2">
      <c r="O333" s="1"/>
      <c r="P333" s="1"/>
      <c r="Q333" s="1"/>
      <c r="R333" s="1"/>
    </row>
    <row r="334" spans="15:18" ht="12.75" customHeight="1" x14ac:dyDescent="0.2">
      <c r="O334" s="1"/>
      <c r="P334" s="1"/>
      <c r="Q334" s="1"/>
      <c r="R334" s="1"/>
    </row>
    <row r="335" spans="15:18" ht="12.75" customHeight="1" x14ac:dyDescent="0.2">
      <c r="O335" s="1"/>
      <c r="P335" s="1"/>
      <c r="Q335" s="1"/>
      <c r="R335" s="1"/>
    </row>
    <row r="336" spans="15:18" ht="12.75" customHeight="1" x14ac:dyDescent="0.2">
      <c r="O336" s="1"/>
      <c r="P336" s="1"/>
      <c r="Q336" s="1"/>
      <c r="R336" s="1"/>
    </row>
    <row r="337" spans="15:18" ht="12.75" customHeight="1" x14ac:dyDescent="0.2">
      <c r="O337" s="1"/>
      <c r="P337" s="1"/>
      <c r="Q337" s="1"/>
      <c r="R337" s="1"/>
    </row>
    <row r="338" spans="15:18" ht="12.75" customHeight="1" x14ac:dyDescent="0.2">
      <c r="O338" s="1"/>
      <c r="P338" s="1"/>
      <c r="Q338" s="1"/>
      <c r="R338" s="1"/>
    </row>
    <row r="339" spans="15:18" ht="12.75" customHeight="1" x14ac:dyDescent="0.2">
      <c r="O339" s="1"/>
      <c r="P339" s="1"/>
      <c r="Q339" s="1"/>
      <c r="R339" s="1"/>
    </row>
    <row r="340" spans="15:18" ht="12.75" customHeight="1" x14ac:dyDescent="0.2">
      <c r="O340" s="1"/>
      <c r="P340" s="1"/>
      <c r="Q340" s="1"/>
      <c r="R340" s="1"/>
    </row>
    <row r="341" spans="15:18" ht="12.75" customHeight="1" x14ac:dyDescent="0.2">
      <c r="O341" s="1"/>
      <c r="P341" s="1"/>
      <c r="Q341" s="1"/>
      <c r="R341" s="1"/>
    </row>
    <row r="342" spans="15:18" ht="12.75" customHeight="1" x14ac:dyDescent="0.2">
      <c r="O342" s="1"/>
      <c r="P342" s="1"/>
      <c r="Q342" s="1"/>
      <c r="R342" s="1"/>
    </row>
    <row r="343" spans="15:18" ht="12.75" customHeight="1" x14ac:dyDescent="0.2">
      <c r="O343" s="1"/>
      <c r="P343" s="1"/>
      <c r="Q343" s="1"/>
      <c r="R343" s="1"/>
    </row>
    <row r="344" spans="15:18" ht="12.75" customHeight="1" x14ac:dyDescent="0.2">
      <c r="O344" s="1"/>
      <c r="P344" s="1"/>
      <c r="Q344" s="1"/>
      <c r="R344" s="1"/>
    </row>
    <row r="345" spans="15:18" ht="12.75" customHeight="1" x14ac:dyDescent="0.2">
      <c r="O345" s="1"/>
      <c r="P345" s="1"/>
      <c r="Q345" s="1"/>
      <c r="R345" s="1"/>
    </row>
    <row r="346" spans="15:18" ht="12.75" customHeight="1" x14ac:dyDescent="0.2">
      <c r="O346" s="1"/>
      <c r="P346" s="1"/>
      <c r="Q346" s="1"/>
      <c r="R346" s="1"/>
    </row>
    <row r="347" spans="15:18" ht="12.75" customHeight="1" x14ac:dyDescent="0.2">
      <c r="O347" s="1"/>
      <c r="P347" s="1"/>
      <c r="Q347" s="1"/>
      <c r="R347" s="1"/>
    </row>
    <row r="348" spans="15:18" ht="12.75" customHeight="1" x14ac:dyDescent="0.2">
      <c r="O348" s="1"/>
      <c r="P348" s="1"/>
      <c r="Q348" s="1"/>
      <c r="R348" s="1"/>
    </row>
    <row r="349" spans="15:18" ht="12.75" customHeight="1" x14ac:dyDescent="0.2">
      <c r="O349" s="1"/>
      <c r="P349" s="1"/>
      <c r="Q349" s="1"/>
      <c r="R349" s="1"/>
    </row>
    <row r="350" spans="15:18" ht="12.75" customHeight="1" x14ac:dyDescent="0.2">
      <c r="O350" s="1"/>
      <c r="P350" s="1"/>
      <c r="Q350" s="1"/>
      <c r="R350" s="1"/>
    </row>
    <row r="351" spans="15:18" ht="12.75" customHeight="1" x14ac:dyDescent="0.2">
      <c r="P351" s="1"/>
      <c r="Q351" s="1"/>
      <c r="R351" s="1"/>
    </row>
    <row r="352" spans="15:18" ht="12.75" customHeight="1" x14ac:dyDescent="0.2">
      <c r="P352" s="1"/>
      <c r="Q352" s="1"/>
      <c r="R352" s="1"/>
    </row>
  </sheetData>
  <customSheetViews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9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4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1"/>
      <headerFooter alignWithMargins="0"/>
    </customSheetView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89" max="57" man="1"/>
    <brk id="101" max="57" man="1"/>
  </colBreaks>
  <customProperties>
    <customPr name="_pios_id" r:id="rId24"/>
    <customPr name="EpmWorksheetKeyString_GUID" r:id="rId25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I22" sqref="I22"/>
    </sheetView>
  </sheetViews>
  <sheetFormatPr defaultColWidth="9.1640625" defaultRowHeight="12.75" outlineLevelCol="1" x14ac:dyDescent="0.2"/>
  <cols>
    <col min="1" max="1" width="5.5" style="394" customWidth="1"/>
    <col min="2" max="2" width="58" style="394" bestFit="1" customWidth="1"/>
    <col min="3" max="3" width="61.83203125" style="394" bestFit="1" customWidth="1" outlineLevel="1"/>
    <col min="4" max="9" width="19.5" style="394" bestFit="1" customWidth="1"/>
    <col min="10" max="10" width="15.1640625" style="394" bestFit="1" customWidth="1"/>
    <col min="11" max="11" width="9.1640625" style="394"/>
    <col min="12" max="12" width="17.5" style="394" bestFit="1" customWidth="1"/>
    <col min="13" max="16384" width="9.1640625" style="394"/>
  </cols>
  <sheetData>
    <row r="1" spans="1:12" ht="13.5" thickBot="1" x14ac:dyDescent="0.25">
      <c r="I1" s="440">
        <v>1.03</v>
      </c>
    </row>
    <row r="2" spans="1:12" x14ac:dyDescent="0.2">
      <c r="A2" s="426" t="str">
        <f>+Inputs!B1</f>
        <v>PUGET SOUND ENERGY - GAS</v>
      </c>
      <c r="B2" s="427"/>
      <c r="C2" s="427"/>
      <c r="D2" s="427"/>
      <c r="E2" s="427"/>
      <c r="F2" s="427"/>
      <c r="G2" s="427"/>
      <c r="H2" s="427"/>
      <c r="I2" s="427"/>
    </row>
    <row r="3" spans="1:12" x14ac:dyDescent="0.2">
      <c r="A3" s="426" t="s">
        <v>279</v>
      </c>
      <c r="B3" s="427"/>
      <c r="C3" s="427"/>
      <c r="D3" s="427"/>
      <c r="E3" s="427"/>
      <c r="F3" s="427"/>
      <c r="G3" s="427"/>
      <c r="H3" s="427"/>
      <c r="I3" s="427"/>
    </row>
    <row r="4" spans="1:12" x14ac:dyDescent="0.2">
      <c r="A4" s="426" t="s">
        <v>278</v>
      </c>
      <c r="B4" s="427"/>
      <c r="C4" s="427"/>
      <c r="D4" s="427"/>
      <c r="E4" s="427"/>
      <c r="F4" s="427"/>
      <c r="G4" s="427"/>
      <c r="H4" s="427"/>
      <c r="I4" s="427"/>
    </row>
    <row r="5" spans="1:12" x14ac:dyDescent="0.2">
      <c r="A5" s="426" t="str">
        <f>+Inputs!B2</f>
        <v>FOR THE TWELVE MONTHS ENDED DECEMBER 31, 2022</v>
      </c>
      <c r="B5" s="427"/>
      <c r="C5" s="427"/>
      <c r="D5" s="427"/>
      <c r="E5" s="427"/>
      <c r="F5" s="427"/>
      <c r="G5" s="427"/>
      <c r="H5" s="427"/>
      <c r="I5" s="427"/>
    </row>
    <row r="6" spans="1:12" x14ac:dyDescent="0.2">
      <c r="B6" s="424"/>
      <c r="C6" s="424"/>
    </row>
    <row r="7" spans="1:12" x14ac:dyDescent="0.2">
      <c r="E7" s="423" t="s">
        <v>277</v>
      </c>
      <c r="F7" s="422"/>
      <c r="G7" s="422"/>
      <c r="H7" s="425"/>
      <c r="I7" s="280"/>
    </row>
    <row r="8" spans="1:12" ht="49.5" customHeight="1" thickBot="1" x14ac:dyDescent="0.25">
      <c r="A8" s="421" t="s">
        <v>276</v>
      </c>
      <c r="B8" s="420" t="s">
        <v>196</v>
      </c>
      <c r="C8" s="419" t="s">
        <v>275</v>
      </c>
      <c r="D8" s="418" t="s">
        <v>375</v>
      </c>
      <c r="E8" s="417" t="s">
        <v>274</v>
      </c>
      <c r="F8" s="416" t="s">
        <v>251</v>
      </c>
      <c r="G8" s="416" t="s">
        <v>273</v>
      </c>
      <c r="H8" s="416" t="s">
        <v>272</v>
      </c>
      <c r="I8" s="415" t="s">
        <v>374</v>
      </c>
    </row>
    <row r="9" spans="1:12" ht="16.5" customHeight="1" x14ac:dyDescent="0.2">
      <c r="A9" s="414">
        <v>1</v>
      </c>
      <c r="B9" s="413" t="s">
        <v>271</v>
      </c>
      <c r="C9" s="499" t="s">
        <v>265</v>
      </c>
      <c r="D9" s="410"/>
      <c r="E9" s="412">
        <f>-model!$CE$46</f>
        <v>0</v>
      </c>
      <c r="F9" s="412">
        <f>-model!$CJ$46</f>
        <v>0</v>
      </c>
      <c r="G9" s="412">
        <f>-model!$CK$46</f>
        <v>0</v>
      </c>
      <c r="H9" s="412">
        <f>-model!$CS$46</f>
        <v>0</v>
      </c>
      <c r="I9" s="412"/>
    </row>
    <row r="10" spans="1:12" x14ac:dyDescent="0.2">
      <c r="A10" s="400">
        <f t="shared" ref="A10:A20" si="0">+A9+1</f>
        <v>2</v>
      </c>
      <c r="B10" s="399" t="s">
        <v>270</v>
      </c>
      <c r="C10" s="488" t="s">
        <v>269</v>
      </c>
      <c r="D10" s="405">
        <f>+model!$DB$46</f>
        <v>2747686707.3938627</v>
      </c>
      <c r="E10" s="409">
        <f>+D10+E9</f>
        <v>2747686707.3938627</v>
      </c>
      <c r="F10" s="409">
        <f>+E10+F9</f>
        <v>2747686707.3938627</v>
      </c>
      <c r="G10" s="409">
        <f>+F10+G9</f>
        <v>2747686707.3938627</v>
      </c>
      <c r="H10" s="409">
        <f>+G10+H9</f>
        <v>2747686707.3938627</v>
      </c>
      <c r="I10" s="409">
        <f>+H10</f>
        <v>2747686707.3938627</v>
      </c>
    </row>
    <row r="11" spans="1:12" x14ac:dyDescent="0.2">
      <c r="A11" s="400">
        <f t="shared" si="0"/>
        <v>3</v>
      </c>
      <c r="B11" s="399" t="s">
        <v>369</v>
      </c>
      <c r="C11" s="488" t="s">
        <v>368</v>
      </c>
      <c r="D11" s="545">
        <f>F37</f>
        <v>7.3899999999999993E-2</v>
      </c>
      <c r="E11" s="411">
        <f>+D11</f>
        <v>7.3899999999999993E-2</v>
      </c>
      <c r="F11" s="411">
        <f t="shared" ref="F11:I11" si="1">+E11</f>
        <v>7.3899999999999993E-2</v>
      </c>
      <c r="G11" s="411">
        <f t="shared" si="1"/>
        <v>7.3899999999999993E-2</v>
      </c>
      <c r="H11" s="411">
        <f t="shared" si="1"/>
        <v>7.3899999999999993E-2</v>
      </c>
      <c r="I11" s="411">
        <f t="shared" si="1"/>
        <v>7.3899999999999993E-2</v>
      </c>
    </row>
    <row r="12" spans="1:12" x14ac:dyDescent="0.2">
      <c r="A12" s="400">
        <f t="shared" si="0"/>
        <v>4</v>
      </c>
      <c r="B12" s="399" t="s">
        <v>268</v>
      </c>
      <c r="C12" s="488" t="s">
        <v>267</v>
      </c>
      <c r="D12" s="405">
        <f>ROUND(D10*D11,0)</f>
        <v>203054048</v>
      </c>
      <c r="E12" s="409">
        <f t="shared" ref="E12:I12" si="2">ROUND(E10*E11,0)</f>
        <v>203054048</v>
      </c>
      <c r="F12" s="409">
        <f t="shared" si="2"/>
        <v>203054048</v>
      </c>
      <c r="G12" s="409">
        <f t="shared" si="2"/>
        <v>203054048</v>
      </c>
      <c r="H12" s="409">
        <f t="shared" si="2"/>
        <v>203054048</v>
      </c>
      <c r="I12" s="409">
        <f t="shared" si="2"/>
        <v>203054048</v>
      </c>
    </row>
    <row r="13" spans="1:12" x14ac:dyDescent="0.2">
      <c r="A13" s="400">
        <f t="shared" si="0"/>
        <v>5</v>
      </c>
      <c r="B13" s="399" t="s">
        <v>266</v>
      </c>
      <c r="C13" s="488" t="s">
        <v>265</v>
      </c>
      <c r="D13" s="410"/>
      <c r="E13" s="409">
        <f>-model!$CE$44</f>
        <v>45771.911863212015</v>
      </c>
      <c r="F13" s="409">
        <f>-model!$CJ$44</f>
        <v>-1001863.1247898</v>
      </c>
      <c r="G13" s="409">
        <f>-model!$CK$44</f>
        <v>-973301</v>
      </c>
      <c r="H13" s="409">
        <f>-model!$CS$44</f>
        <v>11255.466621636209</v>
      </c>
      <c r="I13" s="409"/>
      <c r="J13" s="408"/>
    </row>
    <row r="14" spans="1:12" x14ac:dyDescent="0.2">
      <c r="A14" s="400">
        <f t="shared" si="0"/>
        <v>6</v>
      </c>
      <c r="B14" s="399" t="s">
        <v>264</v>
      </c>
      <c r="C14" s="488" t="s">
        <v>263</v>
      </c>
      <c r="D14" s="405">
        <f>+model!$DB$44</f>
        <v>185975529.80551434</v>
      </c>
      <c r="E14" s="409">
        <f>+D14+E13</f>
        <v>186021301.71737754</v>
      </c>
      <c r="F14" s="409">
        <f>+E14+F13</f>
        <v>185019438.59258774</v>
      </c>
      <c r="G14" s="409">
        <f>+F14+G13</f>
        <v>184046137.59258774</v>
      </c>
      <c r="H14" s="409">
        <f>+G14+H13</f>
        <v>184057393.05920938</v>
      </c>
      <c r="I14" s="409">
        <f>+H14</f>
        <v>184057393.05920938</v>
      </c>
      <c r="J14" s="408"/>
      <c r="K14" s="407"/>
      <c r="L14" s="487"/>
    </row>
    <row r="15" spans="1:12" x14ac:dyDescent="0.2">
      <c r="A15" s="400">
        <f t="shared" si="0"/>
        <v>7</v>
      </c>
      <c r="B15" s="399" t="s">
        <v>262</v>
      </c>
      <c r="C15" s="488" t="s">
        <v>261</v>
      </c>
      <c r="D15" s="401">
        <f t="shared" ref="D15:I15" si="3">ROUND(D14-D12,0)</f>
        <v>-17078518</v>
      </c>
      <c r="E15" s="436">
        <f t="shared" si="3"/>
        <v>-17032746</v>
      </c>
      <c r="F15" s="436">
        <f t="shared" si="3"/>
        <v>-18034609</v>
      </c>
      <c r="G15" s="436">
        <f t="shared" si="3"/>
        <v>-19007910</v>
      </c>
      <c r="H15" s="436">
        <f t="shared" si="3"/>
        <v>-18996655</v>
      </c>
      <c r="I15" s="406">
        <f t="shared" si="3"/>
        <v>-18996655</v>
      </c>
      <c r="J15" s="487"/>
      <c r="L15" s="487"/>
    </row>
    <row r="16" spans="1:12" x14ac:dyDescent="0.2">
      <c r="A16" s="400">
        <f t="shared" si="0"/>
        <v>8</v>
      </c>
      <c r="B16" s="399" t="s">
        <v>260</v>
      </c>
      <c r="C16" s="488" t="s">
        <v>259</v>
      </c>
      <c r="D16" s="405">
        <f>IF(D15&lt;0,0,D15)</f>
        <v>0</v>
      </c>
      <c r="E16" s="409">
        <f>IF(E15&lt;0,0,E15)</f>
        <v>0</v>
      </c>
      <c r="F16" s="409">
        <f>IF(F15&lt;0,0,F15)</f>
        <v>0</v>
      </c>
      <c r="G16" s="409">
        <f>IF(G15&lt;0,0,G15)</f>
        <v>0</v>
      </c>
      <c r="H16" s="409">
        <f>IF(H15&lt;0,0,H15)</f>
        <v>0</v>
      </c>
      <c r="I16" s="439">
        <f t="shared" ref="I16" si="4">IF(I15&lt;0,0,I15)</f>
        <v>0</v>
      </c>
    </row>
    <row r="17" spans="1:9" x14ac:dyDescent="0.2">
      <c r="A17" s="400">
        <f t="shared" si="0"/>
        <v>9</v>
      </c>
      <c r="B17" s="399" t="s">
        <v>258</v>
      </c>
      <c r="C17" s="488" t="s">
        <v>318</v>
      </c>
      <c r="D17" s="404">
        <v>0.5</v>
      </c>
      <c r="E17" s="404">
        <v>0.5</v>
      </c>
      <c r="F17" s="404">
        <v>0.5</v>
      </c>
      <c r="G17" s="404">
        <v>0.5</v>
      </c>
      <c r="H17" s="404">
        <v>0.5</v>
      </c>
      <c r="I17" s="404">
        <v>0.5</v>
      </c>
    </row>
    <row r="18" spans="1:9" x14ac:dyDescent="0.2">
      <c r="A18" s="400">
        <f t="shared" si="0"/>
        <v>10</v>
      </c>
      <c r="B18" s="399" t="s">
        <v>257</v>
      </c>
      <c r="C18" s="488" t="s">
        <v>256</v>
      </c>
      <c r="D18" s="403">
        <f>ROUND(D16*D17,0)</f>
        <v>0</v>
      </c>
      <c r="E18" s="437">
        <f>ROUND(E16*E17,0)</f>
        <v>0</v>
      </c>
      <c r="F18" s="437">
        <f>ROUND(F16*F17,0)</f>
        <v>0</v>
      </c>
      <c r="G18" s="437">
        <f>ROUND(G16*G17,0)</f>
        <v>0</v>
      </c>
      <c r="H18" s="437">
        <f>ROUND(H16*H17,0)</f>
        <v>0</v>
      </c>
      <c r="I18" s="402">
        <f>+H18</f>
        <v>0</v>
      </c>
    </row>
    <row r="19" spans="1:9" x14ac:dyDescent="0.2">
      <c r="A19" s="400">
        <f t="shared" si="0"/>
        <v>11</v>
      </c>
      <c r="B19" s="399" t="s">
        <v>254</v>
      </c>
      <c r="C19" s="488" t="s">
        <v>370</v>
      </c>
      <c r="D19" s="546">
        <f>F54</f>
        <v>0.75409700000000002</v>
      </c>
      <c r="E19" s="547">
        <f>+D19</f>
        <v>0.75409700000000002</v>
      </c>
      <c r="F19" s="547">
        <f t="shared" ref="F19:I19" si="5">+E19</f>
        <v>0.75409700000000002</v>
      </c>
      <c r="G19" s="547">
        <f t="shared" si="5"/>
        <v>0.75409700000000002</v>
      </c>
      <c r="H19" s="547">
        <f t="shared" si="5"/>
        <v>0.75409700000000002</v>
      </c>
      <c r="I19" s="547">
        <f t="shared" si="5"/>
        <v>0.75409700000000002</v>
      </c>
    </row>
    <row r="20" spans="1:9" x14ac:dyDescent="0.2">
      <c r="A20" s="398">
        <f t="shared" si="0"/>
        <v>12</v>
      </c>
      <c r="B20" s="606" t="s">
        <v>376</v>
      </c>
      <c r="C20" s="397" t="s">
        <v>255</v>
      </c>
      <c r="D20" s="396">
        <f>ROUND(+D18/D19,0)</f>
        <v>0</v>
      </c>
      <c r="E20" s="438">
        <f>+ROUND((E18-D18)/E19,0)</f>
        <v>0</v>
      </c>
      <c r="F20" s="438">
        <f t="shared" ref="F20:H20" si="6">+ROUND((F18-E18)/F19,0)</f>
        <v>0</v>
      </c>
      <c r="G20" s="438">
        <f t="shared" si="6"/>
        <v>0</v>
      </c>
      <c r="H20" s="438">
        <f t="shared" si="6"/>
        <v>0</v>
      </c>
      <c r="I20" s="395">
        <f>ROUND(+I18/I19,0)</f>
        <v>0</v>
      </c>
    </row>
    <row r="22" spans="1:9" x14ac:dyDescent="0.2">
      <c r="D22" s="464">
        <f>D14/D10</f>
        <v>6.7684401320232457E-2</v>
      </c>
      <c r="E22" s="464">
        <f>E14/E10-D22</f>
        <v>1.6658344541259362E-5</v>
      </c>
      <c r="F22" s="464">
        <f>F14/F10-SUM($D$22:E22)</f>
        <v>-3.6462058141266407E-4</v>
      </c>
      <c r="G22" s="464">
        <f>G14/G10-SUM($D$22:F22)</f>
        <v>-3.5422560999436026E-4</v>
      </c>
      <c r="H22" s="464">
        <f>H14/H10-SUM($D$22:G22)</f>
        <v>4.0963427858503598E-6</v>
      </c>
      <c r="I22" s="464">
        <f>I14/I10</f>
        <v>6.6986309816152542E-2</v>
      </c>
    </row>
    <row r="23" spans="1:9" x14ac:dyDescent="0.2">
      <c r="H23" s="465" t="s">
        <v>304</v>
      </c>
      <c r="I23" s="466">
        <f>SUM(D22:H22)-I22</f>
        <v>0</v>
      </c>
    </row>
    <row r="27" spans="1:9" x14ac:dyDescent="0.2">
      <c r="C27" s="500" t="s">
        <v>319</v>
      </c>
      <c r="D27" s="501"/>
      <c r="E27" s="501"/>
      <c r="F27" s="502" t="s">
        <v>320</v>
      </c>
    </row>
    <row r="28" spans="1:9" ht="24" x14ac:dyDescent="0.2">
      <c r="C28" s="503"/>
      <c r="D28" s="504"/>
      <c r="E28" s="504"/>
      <c r="F28" s="505" t="s">
        <v>321</v>
      </c>
    </row>
    <row r="29" spans="1:9" x14ac:dyDescent="0.2">
      <c r="C29" s="506" t="s">
        <v>322</v>
      </c>
      <c r="D29" s="507"/>
      <c r="E29" s="507"/>
      <c r="F29" s="508">
        <v>44105</v>
      </c>
    </row>
    <row r="30" spans="1:9" x14ac:dyDescent="0.2">
      <c r="C30" s="509" t="s">
        <v>323</v>
      </c>
      <c r="D30" s="510"/>
      <c r="E30" s="510"/>
      <c r="F30" s="511">
        <v>43465</v>
      </c>
    </row>
    <row r="31" spans="1:9" ht="13.5" thickBot="1" x14ac:dyDescent="0.25">
      <c r="C31" s="512" t="s">
        <v>324</v>
      </c>
      <c r="D31" s="510"/>
      <c r="E31" s="510"/>
      <c r="F31" s="511">
        <v>43952</v>
      </c>
    </row>
    <row r="32" spans="1:9" x14ac:dyDescent="0.2">
      <c r="C32" s="506"/>
      <c r="D32" s="513" t="s">
        <v>325</v>
      </c>
      <c r="E32" s="514" t="s">
        <v>326</v>
      </c>
      <c r="F32" s="515" t="s">
        <v>327</v>
      </c>
    </row>
    <row r="33" spans="3:6" x14ac:dyDescent="0.2">
      <c r="C33" s="516" t="s">
        <v>328</v>
      </c>
      <c r="D33" s="517"/>
      <c r="E33" s="518"/>
      <c r="F33" s="519"/>
    </row>
    <row r="34" spans="3:6" x14ac:dyDescent="0.2">
      <c r="C34" s="516" t="s">
        <v>329</v>
      </c>
      <c r="D34" s="517">
        <v>0.51500000000000001</v>
      </c>
      <c r="E34" s="518">
        <v>5.4951456310679617E-2</v>
      </c>
      <c r="F34" s="519">
        <v>2.8299999999999999E-2</v>
      </c>
    </row>
    <row r="35" spans="3:6" x14ac:dyDescent="0.2">
      <c r="C35" s="516" t="s">
        <v>330</v>
      </c>
      <c r="D35" s="517">
        <v>0</v>
      </c>
      <c r="E35" s="518">
        <v>0</v>
      </c>
      <c r="F35" s="519">
        <v>0</v>
      </c>
    </row>
    <row r="36" spans="3:6" x14ac:dyDescent="0.2">
      <c r="C36" s="516" t="s">
        <v>331</v>
      </c>
      <c r="D36" s="520">
        <v>0.48499999999999999</v>
      </c>
      <c r="E36" s="521">
        <v>9.4E-2</v>
      </c>
      <c r="F36" s="522">
        <v>4.5600000000000002E-2</v>
      </c>
    </row>
    <row r="37" spans="3:6" x14ac:dyDescent="0.2">
      <c r="C37" s="516" t="s">
        <v>31</v>
      </c>
      <c r="D37" s="517">
        <v>1</v>
      </c>
      <c r="E37" s="518"/>
      <c r="F37" s="523">
        <v>7.3899999999999993E-2</v>
      </c>
    </row>
    <row r="38" spans="3:6" x14ac:dyDescent="0.2">
      <c r="C38" s="516"/>
      <c r="D38" s="524"/>
      <c r="E38" s="525"/>
      <c r="F38" s="526"/>
    </row>
    <row r="39" spans="3:6" x14ac:dyDescent="0.2">
      <c r="C39" s="516" t="s">
        <v>332</v>
      </c>
      <c r="D39" s="517">
        <v>0</v>
      </c>
      <c r="E39" s="518">
        <v>0</v>
      </c>
      <c r="F39" s="519">
        <v>0</v>
      </c>
    </row>
    <row r="40" spans="3:6" x14ac:dyDescent="0.2">
      <c r="C40" s="516" t="s">
        <v>333</v>
      </c>
      <c r="D40" s="517">
        <v>0.51500000000000001</v>
      </c>
      <c r="E40" s="518">
        <v>4.3411650485436902E-2</v>
      </c>
      <c r="F40" s="519">
        <v>2.24E-2</v>
      </c>
    </row>
    <row r="41" spans="3:6" x14ac:dyDescent="0.2">
      <c r="C41" s="516" t="s">
        <v>330</v>
      </c>
      <c r="D41" s="517">
        <v>0</v>
      </c>
      <c r="E41" s="518">
        <v>0</v>
      </c>
      <c r="F41" s="519">
        <v>0</v>
      </c>
    </row>
    <row r="42" spans="3:6" x14ac:dyDescent="0.2">
      <c r="C42" s="516" t="s">
        <v>331</v>
      </c>
      <c r="D42" s="517">
        <v>0.48499999999999999</v>
      </c>
      <c r="E42" s="527">
        <v>9.4E-2</v>
      </c>
      <c r="F42" s="519">
        <v>4.5600000000000002E-2</v>
      </c>
    </row>
    <row r="43" spans="3:6" ht="13.5" thickBot="1" x14ac:dyDescent="0.25">
      <c r="C43" s="516" t="s">
        <v>334</v>
      </c>
      <c r="D43" s="528">
        <v>1</v>
      </c>
      <c r="E43" s="529"/>
      <c r="F43" s="530">
        <v>6.8000000000000005E-2</v>
      </c>
    </row>
    <row r="44" spans="3:6" x14ac:dyDescent="0.2">
      <c r="C44" s="506"/>
      <c r="D44" s="525"/>
      <c r="E44" s="525"/>
      <c r="F44" s="526"/>
    </row>
    <row r="45" spans="3:6" x14ac:dyDescent="0.2">
      <c r="C45" s="531" t="s">
        <v>335</v>
      </c>
      <c r="D45" s="525"/>
      <c r="E45" s="525"/>
      <c r="F45" s="526"/>
    </row>
    <row r="46" spans="3:6" x14ac:dyDescent="0.2">
      <c r="C46" s="532" t="s">
        <v>83</v>
      </c>
      <c r="D46" s="525"/>
      <c r="E46" s="533"/>
      <c r="F46" s="534">
        <v>5.1240000000000001E-3</v>
      </c>
    </row>
    <row r="47" spans="3:6" x14ac:dyDescent="0.2">
      <c r="C47" s="532" t="s">
        <v>157</v>
      </c>
      <c r="D47" s="525"/>
      <c r="E47" s="533"/>
      <c r="F47" s="534">
        <v>2E-3</v>
      </c>
    </row>
    <row r="48" spans="3:6" x14ac:dyDescent="0.2">
      <c r="C48" s="532" t="s">
        <v>336</v>
      </c>
      <c r="D48" s="525"/>
      <c r="E48" s="535">
        <v>3.8519999999999999E-2</v>
      </c>
      <c r="F48" s="536">
        <v>3.8323000000000003E-2</v>
      </c>
    </row>
    <row r="49" spans="3:6" x14ac:dyDescent="0.2">
      <c r="C49" s="532"/>
      <c r="D49" s="525"/>
      <c r="E49" s="533"/>
      <c r="F49" s="534"/>
    </row>
    <row r="50" spans="3:6" x14ac:dyDescent="0.2">
      <c r="C50" s="532" t="s">
        <v>166</v>
      </c>
      <c r="D50" s="525"/>
      <c r="E50" s="533"/>
      <c r="F50" s="534">
        <v>4.5447000000000001E-2</v>
      </c>
    </row>
    <row r="51" spans="3:6" x14ac:dyDescent="0.2">
      <c r="C51" s="516"/>
      <c r="D51" s="525"/>
      <c r="E51" s="533"/>
      <c r="F51" s="534"/>
    </row>
    <row r="52" spans="3:6" x14ac:dyDescent="0.2">
      <c r="C52" s="516" t="s">
        <v>337</v>
      </c>
      <c r="D52" s="537"/>
      <c r="E52" s="538"/>
      <c r="F52" s="539">
        <v>0.95455299999999998</v>
      </c>
    </row>
    <row r="53" spans="3:6" x14ac:dyDescent="0.2">
      <c r="C53" s="532" t="s">
        <v>57</v>
      </c>
      <c r="D53" s="525"/>
      <c r="E53" s="540">
        <v>0.21</v>
      </c>
      <c r="F53" s="534">
        <v>0.200456</v>
      </c>
    </row>
    <row r="54" spans="3:6" x14ac:dyDescent="0.2">
      <c r="C54" s="541" t="s">
        <v>338</v>
      </c>
      <c r="D54" s="542"/>
      <c r="E54" s="543"/>
      <c r="F54" s="544">
        <v>0.75409700000000002</v>
      </c>
    </row>
  </sheetData>
  <pageMargins left="0.7" right="0.7" top="0.75" bottom="0.75" header="0.3" footer="0.3"/>
  <pageSetup scale="70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"/>
  <sheetViews>
    <sheetView zoomScale="145" zoomScaleNormal="145" workbookViewId="0">
      <selection activeCell="B8" sqref="B8"/>
    </sheetView>
  </sheetViews>
  <sheetFormatPr defaultColWidth="9.33203125" defaultRowHeight="11.25" x14ac:dyDescent="0.2"/>
  <cols>
    <col min="1" max="1" width="19.33203125" style="577" bestFit="1" customWidth="1"/>
    <col min="2" max="16384" width="9.33203125" style="577"/>
  </cols>
  <sheetData>
    <row r="1" spans="1:107" x14ac:dyDescent="0.2">
      <c r="A1" s="576" t="s">
        <v>357</v>
      </c>
      <c r="B1" s="577" t="s">
        <v>364</v>
      </c>
    </row>
    <row r="2" spans="1:107" x14ac:dyDescent="0.2">
      <c r="A2" s="576" t="s">
        <v>358</v>
      </c>
      <c r="B2" s="577" t="s">
        <v>371</v>
      </c>
    </row>
    <row r="3" spans="1:107" x14ac:dyDescent="0.2">
      <c r="A3" s="576" t="s">
        <v>359</v>
      </c>
      <c r="B3" s="577" t="s">
        <v>372</v>
      </c>
    </row>
    <row r="4" spans="1:107" x14ac:dyDescent="0.2">
      <c r="A4" s="576" t="s">
        <v>360</v>
      </c>
      <c r="B4" s="577" t="s">
        <v>366</v>
      </c>
    </row>
    <row r="5" spans="1:107" x14ac:dyDescent="0.2">
      <c r="A5" s="576" t="s">
        <v>361</v>
      </c>
      <c r="B5" s="577" t="s">
        <v>362</v>
      </c>
    </row>
    <row r="6" spans="1:107" x14ac:dyDescent="0.2">
      <c r="A6" s="577" t="s">
        <v>367</v>
      </c>
      <c r="B6" s="577">
        <f>+model!BZ12</f>
        <v>2.7460000000000002E-3</v>
      </c>
    </row>
    <row r="7" spans="1:107" x14ac:dyDescent="0.2">
      <c r="A7" s="577" t="s">
        <v>363</v>
      </c>
      <c r="B7" s="577">
        <f>+model!BZ13</f>
        <v>2E-3</v>
      </c>
    </row>
    <row r="8" spans="1:107" x14ac:dyDescent="0.2">
      <c r="A8" s="577" t="s">
        <v>365</v>
      </c>
      <c r="B8" s="577">
        <f>+model!BZ14</f>
        <v>3.8413999999999997E-2</v>
      </c>
    </row>
    <row r="9" spans="1:107" x14ac:dyDescent="0.2">
      <c r="A9" s="576" t="s">
        <v>351</v>
      </c>
      <c r="B9" s="577">
        <v>0.21</v>
      </c>
    </row>
    <row r="14" spans="1:107" x14ac:dyDescent="0.2">
      <c r="DC14" s="577" t="b">
        <f>Inputs!B6='[15]4.01 E'!$E$14</f>
        <v>0</v>
      </c>
    </row>
  </sheetData>
  <pageMargins left="0.7" right="0.7" top="0.75" bottom="0.75" header="0.3" footer="0.3"/>
  <pageSetup orientation="portrait" horizontalDpi="360" verticalDpi="36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CA7D10-97B0-4063-88E4-07FFB5B90C8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A8A380B-6FEB-46FC-A335-0A1D5DEEDB99}"/>
</file>

<file path=customXml/itemProps3.xml><?xml version="1.0" encoding="utf-8"?>
<ds:datastoreItem xmlns:ds="http://schemas.openxmlformats.org/officeDocument/2006/customXml" ds:itemID="{7CCA5523-6B6E-4AF7-859B-9E498A433FD0}"/>
</file>

<file path=customXml/itemProps4.xml><?xml version="1.0" encoding="utf-8"?>
<ds:datastoreItem xmlns:ds="http://schemas.openxmlformats.org/officeDocument/2006/customXml" ds:itemID="{9E1F7C5C-CFDA-4BC0-9F26-D927FD5A49AD}"/>
</file>

<file path=customXml/itemProps5.xml><?xml version="1.0" encoding="utf-8"?>
<ds:datastoreItem xmlns:ds="http://schemas.openxmlformats.org/officeDocument/2006/customXml" ds:itemID="{59D491C5-2CDF-449D-84A8-65407CF77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1.01 ROR ROE</vt:lpstr>
      <vt:lpstr>1.02 COC</vt:lpstr>
      <vt:lpstr>model</vt:lpstr>
      <vt:lpstr>Earnings Sharing-CBR to Adj CBR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Marina</cp:lastModifiedBy>
  <cp:lastPrinted>2018-03-21T23:27:54Z</cp:lastPrinted>
  <dcterms:created xsi:type="dcterms:W3CDTF">1997-10-13T22:59:17Z</dcterms:created>
  <dcterms:modified xsi:type="dcterms:W3CDTF">2023-03-28T22:40:28Z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ontentTypeId">
    <vt:lpwstr>0x0101006E56B4D1795A2E4DB2F0B01679ED314A004876637A322CD34A97BA8DF2700F41D9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