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C854B8B3-DA3B-4D76-86BA-17DFEDE48668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9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3" l="1"/>
  <c r="C3" i="4" l="1"/>
  <c r="F17" i="3" l="1"/>
  <c r="G15" i="1" l="1"/>
  <c r="E22" i="1" l="1"/>
  <c r="E5" i="1"/>
  <c r="H43" i="4" l="1"/>
  <c r="G43" i="4"/>
  <c r="B45" i="4" l="1"/>
  <c r="B42" i="4"/>
  <c r="B30" i="4"/>
  <c r="B1" i="4"/>
  <c r="A19" i="3"/>
  <c r="K1" i="3"/>
  <c r="B39" i="4" l="1"/>
  <c r="B41" i="4"/>
  <c r="K2" i="3"/>
  <c r="B16" i="3" s="1"/>
  <c r="D16" i="3" s="1"/>
  <c r="E14" i="1" l="1"/>
  <c r="E11" i="1"/>
  <c r="E10" i="1"/>
  <c r="E13" i="1"/>
  <c r="E12" i="1"/>
  <c r="H10" i="1" l="1"/>
  <c r="B36" i="4" l="1"/>
  <c r="B8" i="3"/>
  <c r="G2" i="3"/>
  <c r="B1" i="3"/>
  <c r="B3" i="3"/>
  <c r="D2" i="4"/>
  <c r="B3" i="4"/>
  <c r="B38" i="4" l="1"/>
  <c r="B40" i="4"/>
  <c r="B28" i="4" l="1"/>
  <c r="B21" i="4"/>
  <c r="B14" i="4"/>
  <c r="B5" i="4" l="1"/>
  <c r="C5" i="4" s="1"/>
  <c r="B4" i="4"/>
  <c r="C4" i="4" s="1"/>
  <c r="E4" i="4" l="1"/>
  <c r="B4" i="3"/>
  <c r="B10" i="3"/>
  <c r="C4" i="3" l="1"/>
  <c r="B35" i="4"/>
  <c r="B6" i="4" l="1"/>
  <c r="C6" i="4" s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C7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B43" i="4" l="1"/>
  <c r="E20" i="1" s="1"/>
  <c r="B17" i="3"/>
  <c r="C5" i="3"/>
  <c r="B19" i="3"/>
  <c r="E21" i="1" l="1"/>
  <c r="E7" i="4" l="1"/>
  <c r="E8" i="4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5" i="4"/>
  <c r="E6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H11" i="1" l="1"/>
  <c r="G21" i="1" l="1"/>
  <c r="I21" i="1" s="1"/>
  <c r="I22" i="1" s="1"/>
  <c r="G22" i="1" l="1"/>
  <c r="H22" i="1" s="1"/>
  <c r="F21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tc={AAC32B45-7919-43FE-9FF3-DBF90B276C28}</author>
    <author>Shahumyan, Zepure</author>
  </authors>
  <commentList>
    <comment ref="H23" authorId="0" shapeId="0" xr:uid="{AAC32B45-7919-43FE-9FF3-DBF90B276C28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Specified Wholesale Sale</t>
      </text>
    </comment>
    <comment ref="B4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Shahumyan, Zepure:</t>
        </r>
        <r>
          <rPr>
            <sz val="9"/>
            <color indexed="81"/>
            <rFont val="Tahoma"/>
            <family val="2"/>
          </rPr>
          <t xml:space="preserve">
75%CAEW+25%CAGW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<sst xmlns="http://schemas.openxmlformats.org/spreadsheetml/2006/main" count="237" uniqueCount="149">
  <si>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</si>
  <si>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</si>
  <si>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</si>
  <si>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</si>
  <si>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</si>
  <si>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</si>
  <si>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</si>
  <si>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</si>
  <si>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</si>
  <si>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</si>
  <si>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</si>
  <si>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</si>
  <si>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</si>
  <si>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</si>
  <si>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</si>
  <si>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</si>
  <si>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</si>
  <si>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</si>
  <si>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</si>
  <si>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</si>
  <si>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</si>
  <si>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</si>
  <si>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</si>
  <si>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</si>
  <si>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</si>
  <si>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</si>
  <si>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</si>
  <si>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</si>
  <si>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</si>
  <si>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</si>
  <si>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</si>
  <si>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</si>
  <si>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</si>
  <si>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</si>
  <si>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</si>
  <si>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</si>
  <si>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</si>
  <si>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</si>
  <si>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</si>
  <si>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</si>
  <si>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</si>
  <si>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</si>
  <si>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</si>
  <si>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</si>
  <si>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</si>
  <si>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</si>
  <si>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</si>
  <si>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</si>
  <si>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</si>
  <si>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</si>
  <si>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</si>
  <si>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</si>
  <si>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</si>
  <si>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</si>
  <si>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</si>
  <si>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</si>
  <si>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</si>
  <si>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</si>
  <si>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</si>
  <si>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</si>
  <si>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</si>
  <si>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</si>
  <si>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</si>
  <si>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</si>
  <si>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</si>
  <si>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</si>
  <si>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</si>
  <si>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</si>
  <si>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</si>
  <si>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</si>
  <si>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</si>
  <si>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</si>
  <si>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</si>
  <si>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</si>
  <si>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</si>
  <si>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</si>
  <si>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</si>
  <si>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</si>
  <si>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</si>
  <si>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</si>
  <si>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</si>
  <si>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</si>
  <si>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</si>
  <si>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</si>
  <si>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</si>
  <si>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</si>
  <si>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</si>
  <si>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</si>
  <si>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</si>
  <si>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</si>
  <si>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</si>
  <si>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</si>
  <si>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</si>
  <si>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</si>
  <si>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</si>
  <si>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</si>
  <si>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</si>
  <si>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</si>
  <si>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</si>
  <si>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</si>
  <si>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</si>
  <si>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</si>
  <si>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</si>
  <si>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</si>
  <si>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</si>
  <si>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</si>
  <si>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</si>
  <si>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</si>
  <si>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</si>
  <si>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</si>
  <si>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</si>
  <si>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</si>
  <si>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</si>
  <si>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</si>
  <si>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</si>
  <si>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</si>
  <si>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</si>
  <si>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</si>
  <si>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</si>
  <si>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</si>
  <si>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</si>
  <si>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</si>
  <si>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</si>
  <si>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</si>
  <si>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</si>
  <si>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</si>
  <si>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</si>
  <si>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</si>
  <si>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</si>
  <si>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</si>
  <si>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</si>
  <si>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EIM Sales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</si>
  <si>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</si>
  <si>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</si>
  <si>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</si>
  <si>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</si>
  <si>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Summary Energy and Emissions Intensity Report - 2019</t>
  </si>
  <si>
    <t>Updated 5/10/2021</t>
  </si>
  <si>
    <t>2019 Washington - WCA Allocation Factor</t>
  </si>
  <si>
    <t>Annual (Unallocated) MWh 2019</t>
  </si>
  <si>
    <t>WEST Side Hydro Check</t>
  </si>
  <si>
    <t>TOTAL GHG Content</t>
  </si>
  <si>
    <t>Transmission Loss Factor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</si>
  <si>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</si>
  <si>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</si>
  <si>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MT CO2e / MWh</t>
  </si>
  <si>
    <t>MT to lbs Converstion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</si>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</sst>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8" formatCode="_(* #,##0.00000_);_(* \(#,##0.00000\);_(* &quot;-&quot;??_);_(@_)"/>
    <numFmt numFmtId="179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79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10" fontId="0" fillId="0" borderId="0" xfId="2" applyNumberFormat="1" applyFont="1" applyAlignment="1"/>
    <xf numFmtId="165" fontId="0" fillId="0" borderId="0" xfId="1" applyNumberFormat="1" applyFo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37" fontId="34" fillId="36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4" fillId="0" borderId="0" xfId="31" applyNumberFormat="1" applyFont="1" applyFill="1" applyBorder="1" applyAlignment="1"/>
    <xf numFmtId="9" fontId="0" fillId="0" borderId="0" xfId="2" applyFont="1" applyAlignment="1"/>
    <xf numFmtId="178" fontId="0" fillId="0" borderId="0" xfId="0" applyNumberFormat="1"/>
    <xf numFmtId="178" fontId="0" fillId="0" borderId="0" xfId="0" applyNumberFormat="1" applyFill="1"/>
    <xf numFmtId="165" fontId="0" fillId="0" borderId="0" xfId="1" applyNumberFormat="1" applyFont="1" applyFill="1" applyAlignment="1">
      <alignment horizontal="right"/>
    </xf>
    <xf numFmtId="171" fontId="34" fillId="37" borderId="0" xfId="31" applyNumberFormat="1" applyFont="1" applyFill="1" applyBorder="1" applyAlignment="1"/>
    <xf numFmtId="166" fontId="0" fillId="2" borderId="2" xfId="2" applyNumberFormat="1" applyFont="1" applyFill="1" applyBorder="1" applyAlignment="1">
      <alignment horizontal="center"/>
    </xf>
    <xf numFmtId="37" fontId="34" fillId="38" borderId="2" xfId="1" applyNumberFormat="1" applyFont="1" applyFill="1" applyBorder="1" applyAlignment="1">
      <alignment horizontal="center" vertical="center"/>
    </xf>
    <xf numFmtId="37" fontId="34" fillId="39" borderId="2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65" fontId="2" fillId="40" borderId="29" xfId="0" applyNumberFormat="1" applyFont="1" applyFill="1" applyBorder="1" applyAlignment="1"/>
    <xf numFmtId="179" fontId="2" fillId="0" borderId="4" xfId="2" applyNumberFormat="1" applyFont="1" applyBorder="1" applyAlignment="1">
      <alignment horizontal="center" wrapText="1"/>
    </xf>
    <xf numFmtId="165" fontId="34" fillId="2" borderId="52" xfId="1" applyNumberFormat="1" applyFont="1" applyFill="1" applyBorder="1"/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165" fontId="2" fillId="0" borderId="54" xfId="1" applyNumberFormat="1" applyFont="1" applyBorder="1" applyAlignment="1">
      <alignment horizontal="center"/>
    </xf>
    <xf numFmtId="165" fontId="2" fillId="0" borderId="55" xfId="0" applyNumberFormat="1" applyFont="1" applyBorder="1"/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humyan, Zepure (PacifiCorp)" id="{CEB0E236-E2BC-46A6-890B-C7F4E49B80FB}" userId="S::Zepure.Shahumyan@pacificorp.com::1c361d70-ab1b-40ec-b7c0-1b3d04597b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3" dT="2021-05-10T23:31:58.55" personId="{CEB0E236-E2BC-46A6-890B-C7F4E49B80FB}" id="{AAC32B45-7919-43FE-9FF3-DBF90B276C28}">
    <text>Specified Wholesale Sale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2"/>
  <sheetViews>
    <sheetView tabSelected="1" zoomScale="90" zoomScaleNormal="90" workbookViewId="0">
      <selection activeCell="H4" sqref="H4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8" ht="18.75">
      <c r="B1" s="2" t="s">
        <v>136</v>
      </c>
    </row>
    <row r="2" spans="2:8" ht="15.75" thickBot="1"/>
    <row r="3" spans="2:8">
      <c r="B3" s="39"/>
      <c r="C3" s="40" t="s">
        <v>12</v>
      </c>
      <c r="D3" s="41" t="s">
        <v>40</v>
      </c>
      <c r="E3" s="44"/>
      <c r="F3" s="42"/>
    </row>
    <row r="4" spans="2:8">
      <c r="B4" s="173" t="s">
        <v>13</v>
      </c>
      <c r="C4" s="175"/>
      <c r="D4" s="24">
        <v>2019</v>
      </c>
      <c r="E4" s="46" t="s">
        <v>36</v>
      </c>
      <c r="F4" s="43"/>
    </row>
    <row r="5" spans="2:8" ht="15.75" thickBot="1">
      <c r="B5" s="170" t="s">
        <v>18</v>
      </c>
      <c r="C5" s="172"/>
      <c r="D5" s="118">
        <v>305829</v>
      </c>
      <c r="E5" s="119">
        <f>+E15/D5</f>
        <v>14.90856744543855</v>
      </c>
    </row>
    <row r="6" spans="2:8">
      <c r="B6" s="5"/>
      <c r="C6" s="5"/>
      <c r="D6" s="14"/>
      <c r="F6" s="13"/>
    </row>
    <row r="7" spans="2:8" ht="19.5" thickBot="1">
      <c r="B7" s="5"/>
      <c r="C7" s="37" t="s">
        <v>33</v>
      </c>
      <c r="D7" s="14"/>
      <c r="F7" s="13"/>
    </row>
    <row r="8" spans="2:8">
      <c r="B8" s="27"/>
      <c r="C8" s="28"/>
      <c r="D8" s="28"/>
      <c r="E8" s="28"/>
      <c r="F8" s="28"/>
      <c r="G8" s="29" t="s">
        <v>17</v>
      </c>
      <c r="H8" s="53" t="s">
        <v>37</v>
      </c>
    </row>
    <row r="9" spans="2:8">
      <c r="B9" s="30"/>
      <c r="C9" s="9"/>
      <c r="D9" s="9"/>
      <c r="E9" s="11" t="s">
        <v>11</v>
      </c>
      <c r="F9" s="20" t="s">
        <v>25</v>
      </c>
      <c r="G9" s="16" t="s">
        <v>32</v>
      </c>
      <c r="H9" s="54" t="s">
        <v>17</v>
      </c>
    </row>
    <row r="10" spans="2:8">
      <c r="B10" s="173" t="s">
        <v>9</v>
      </c>
      <c r="C10" s="174"/>
      <c r="D10" s="175"/>
      <c r="E10" s="51">
        <f>+$E$15*F10</f>
        <v>1820292.0796668127</v>
      </c>
      <c r="F10" s="158">
        <v>0.39923306263707375</v>
      </c>
      <c r="G10" s="51">
        <v>110178</v>
      </c>
      <c r="H10" s="133">
        <f>+E10/G10</f>
        <v>16.521375226150525</v>
      </c>
    </row>
    <row r="11" spans="2:8">
      <c r="B11" s="173" t="s">
        <v>14</v>
      </c>
      <c r="C11" s="174"/>
      <c r="D11" s="175"/>
      <c r="E11" s="51">
        <f t="shared" ref="E11:E14" si="0">+$E$15*F11</f>
        <v>1701312.6691736877</v>
      </c>
      <c r="F11" s="158">
        <v>0.37313806668971</v>
      </c>
      <c r="G11" s="51">
        <v>16359</v>
      </c>
      <c r="H11" s="55">
        <f>+E11/G11</f>
        <v>103.99857382319749</v>
      </c>
    </row>
    <row r="12" spans="2:8">
      <c r="B12" s="173" t="s">
        <v>15</v>
      </c>
      <c r="C12" s="174"/>
      <c r="D12" s="175"/>
      <c r="E12" s="51">
        <f t="shared" si="0"/>
        <v>854840.49013256666</v>
      </c>
      <c r="F12" s="158">
        <v>0.18748671751858087</v>
      </c>
      <c r="G12" s="51">
        <v>480</v>
      </c>
      <c r="H12" s="55">
        <f>+E12/G12</f>
        <v>1780.9176877761806</v>
      </c>
    </row>
    <row r="13" spans="2:8">
      <c r="B13" s="173" t="s">
        <v>38</v>
      </c>
      <c r="C13" s="174"/>
      <c r="D13" s="175"/>
      <c r="E13" s="51">
        <f t="shared" si="0"/>
        <v>174616.25156203879</v>
      </c>
      <c r="F13" s="158">
        <v>3.8297469772037185E-2</v>
      </c>
      <c r="G13" s="51">
        <v>5039</v>
      </c>
      <c r="H13" s="55">
        <f>+E13/G13</f>
        <v>34.652957245889816</v>
      </c>
    </row>
    <row r="14" spans="2:8">
      <c r="B14" s="176" t="s">
        <v>39</v>
      </c>
      <c r="C14" s="177"/>
      <c r="D14" s="178"/>
      <c r="E14" s="51">
        <f t="shared" si="0"/>
        <v>8410.7827359210914</v>
      </c>
      <c r="F14" s="158">
        <v>1.8446833825983735E-3</v>
      </c>
      <c r="G14" s="51">
        <v>234</v>
      </c>
      <c r="H14" s="55">
        <f>+E14/G14</f>
        <v>35.943515965474752</v>
      </c>
    </row>
    <row r="15" spans="2:8" ht="15.75" thickBot="1">
      <c r="B15" s="32"/>
      <c r="C15" s="48" t="s">
        <v>10</v>
      </c>
      <c r="D15" s="49"/>
      <c r="E15" s="45">
        <v>4559472.2732710261</v>
      </c>
      <c r="F15" s="50"/>
      <c r="G15" s="52">
        <f>SUM(G10:G14)</f>
        <v>132290</v>
      </c>
      <c r="H15" s="56"/>
    </row>
    <row r="17" spans="2:13" ht="19.5" thickBot="1">
      <c r="C17" s="38" t="s">
        <v>34</v>
      </c>
    </row>
    <row r="18" spans="2:13">
      <c r="B18" s="27"/>
      <c r="C18" s="28"/>
      <c r="D18" s="28"/>
      <c r="E18" s="28"/>
      <c r="F18" s="29" t="s">
        <v>26</v>
      </c>
      <c r="G18" s="33" t="s">
        <v>4</v>
      </c>
      <c r="H18" s="34"/>
      <c r="I18" s="165" t="s">
        <v>147</v>
      </c>
    </row>
    <row r="19" spans="2:13" ht="18">
      <c r="B19" s="35"/>
      <c r="C19" s="5"/>
      <c r="D19" s="5"/>
      <c r="E19" s="20" t="s">
        <v>16</v>
      </c>
      <c r="F19" s="16" t="s">
        <v>27</v>
      </c>
      <c r="G19" s="12" t="s">
        <v>148</v>
      </c>
      <c r="H19" s="31"/>
      <c r="I19" s="166" t="s">
        <v>148</v>
      </c>
      <c r="J19" s="143"/>
      <c r="K19" s="143"/>
    </row>
    <row r="20" spans="2:13" ht="15.75" thickBot="1">
      <c r="B20" s="173" t="s">
        <v>30</v>
      </c>
      <c r="C20" s="174"/>
      <c r="D20" s="175"/>
      <c r="E20" s="121">
        <f>'Known Resources'!B43</f>
        <v>3642260.3339564176</v>
      </c>
      <c r="F20" s="10">
        <f>+E20/(E20+E21)</f>
        <v>0.82804886218362905</v>
      </c>
      <c r="G20" s="121">
        <f>'Known Resources'!E43</f>
        <v>2870155.6129042599</v>
      </c>
      <c r="H20" s="120"/>
      <c r="I20" s="167">
        <f>G20*0.907185</f>
        <v>2603762.119692551</v>
      </c>
    </row>
    <row r="21" spans="2:13" ht="18">
      <c r="B21" s="173" t="s">
        <v>31</v>
      </c>
      <c r="C21" s="174"/>
      <c r="D21" s="175"/>
      <c r="E21" s="122">
        <f>'Unknown Resources'!B17</f>
        <v>756345.23184497072</v>
      </c>
      <c r="F21" s="36">
        <f>+E21/(E20+E21)</f>
        <v>0.17195113781637092</v>
      </c>
      <c r="G21" s="123">
        <f>'Unknown Resources'!D17</f>
        <v>364338.66076906788</v>
      </c>
      <c r="H21" s="47" t="s">
        <v>35</v>
      </c>
      <c r="I21" s="168">
        <f>G21*0.907185</f>
        <v>330522.56796978688</v>
      </c>
      <c r="J21" s="156"/>
      <c r="K21" s="155"/>
    </row>
    <row r="22" spans="2:13" ht="18.75" thickBot="1">
      <c r="B22" s="170" t="s">
        <v>141</v>
      </c>
      <c r="C22" s="171"/>
      <c r="D22" s="172"/>
      <c r="E22" s="48">
        <f>D4</f>
        <v>2019</v>
      </c>
      <c r="F22" s="128" t="s">
        <v>143</v>
      </c>
      <c r="G22" s="162">
        <f>SUM(G20:G21)</f>
        <v>3234494.2736733276</v>
      </c>
      <c r="H22" s="135">
        <f>+G22/H24</f>
        <v>1.3482238900416441</v>
      </c>
      <c r="I22" s="169">
        <f>SUM(I20:I21)</f>
        <v>2934284.6876623379</v>
      </c>
      <c r="J22" s="15"/>
      <c r="K22" s="154"/>
    </row>
    <row r="23" spans="2:13">
      <c r="E23" s="3"/>
    </row>
    <row r="24" spans="2:13" ht="18">
      <c r="E24" s="144"/>
      <c r="G24" s="15" t="s">
        <v>24</v>
      </c>
      <c r="H24" s="21">
        <f>H30</f>
        <v>2399078</v>
      </c>
      <c r="I24" s="19"/>
      <c r="J24" s="78"/>
      <c r="K24" s="78"/>
    </row>
    <row r="26" spans="2:13">
      <c r="F26" s="19" t="s">
        <v>19</v>
      </c>
      <c r="G26" s="17"/>
      <c r="H26" s="17"/>
    </row>
    <row r="27" spans="2:13">
      <c r="F27" s="17"/>
      <c r="G27" s="17"/>
      <c r="H27" s="124" t="s">
        <v>23</v>
      </c>
    </row>
    <row r="28" spans="2:13" ht="18">
      <c r="F28" s="17"/>
      <c r="G28" s="17"/>
      <c r="H28" s="125" t="s">
        <v>3</v>
      </c>
      <c r="M28" s="66"/>
    </row>
    <row r="29" spans="2:13">
      <c r="F29" s="17"/>
      <c r="G29" s="18" t="s">
        <v>20</v>
      </c>
      <c r="H29" s="126">
        <v>1131957</v>
      </c>
    </row>
    <row r="30" spans="2:13">
      <c r="F30" s="17"/>
      <c r="G30" s="18" t="s">
        <v>21</v>
      </c>
      <c r="H30" s="126">
        <v>2399078</v>
      </c>
    </row>
    <row r="31" spans="2:13">
      <c r="F31" s="17"/>
      <c r="G31" s="18" t="s">
        <v>22</v>
      </c>
      <c r="H31" s="126">
        <v>6946064</v>
      </c>
    </row>
    <row r="32" spans="2:13">
      <c r="H32" s="127"/>
    </row>
  </sheetData>
  <mergeCells count="10">
    <mergeCell ref="B22:D22"/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7"/>
  <sheetViews>
    <sheetView zoomScale="90" zoomScaleNormal="90" workbookViewId="0">
      <selection activeCell="I1" sqref="I1:I1048576"/>
    </sheetView>
  </sheetViews>
  <sheetFormatPr defaultRowHeight="15"/>
  <cols>
    <col min="1" max="1" width="47.5703125" customWidth="1"/>
    <col min="2" max="2" width="14.85546875" customWidth="1"/>
    <col min="3" max="3" width="14.85546875" style="78" customWidth="1"/>
    <col min="4" max="5" width="14.85546875" customWidth="1"/>
    <col min="6" max="6" width="23.85546875" style="3" customWidth="1"/>
    <col min="7" max="7" width="31.42578125" style="3" customWidth="1"/>
    <col min="8" max="8" width="13" style="3" customWidth="1"/>
    <col min="9" max="9" width="10.5703125" customWidth="1"/>
  </cols>
  <sheetData>
    <row r="1" spans="1:10" ht="18.75">
      <c r="A1" s="2" t="s">
        <v>8</v>
      </c>
      <c r="B1" s="23">
        <f>'Summary 2019'!D4</f>
        <v>2019</v>
      </c>
      <c r="C1" s="1"/>
      <c r="D1" s="1"/>
      <c r="E1" s="1"/>
      <c r="F1" s="65"/>
      <c r="G1" s="65"/>
      <c r="H1" s="65"/>
      <c r="I1" s="138">
        <v>0.23110854783698145</v>
      </c>
      <c r="J1" s="34" t="s">
        <v>129</v>
      </c>
    </row>
    <row r="2" spans="1:10" ht="30.75">
      <c r="A2" s="2"/>
      <c r="B2" s="7" t="s">
        <v>28</v>
      </c>
      <c r="C2" s="161" t="s">
        <v>142</v>
      </c>
      <c r="D2" s="7">
        <f>B1</f>
        <v>2019</v>
      </c>
      <c r="E2" s="7" t="s">
        <v>4</v>
      </c>
      <c r="F2" s="65"/>
      <c r="G2" s="65" t="s">
        <v>137</v>
      </c>
      <c r="H2" s="65"/>
      <c r="I2" s="139">
        <v>0.23032324453347164</v>
      </c>
      <c r="J2" s="31" t="s">
        <v>128</v>
      </c>
    </row>
    <row r="3" spans="1:10" ht="20.25" thickBot="1">
      <c r="A3" s="4" t="s">
        <v>0</v>
      </c>
      <c r="B3" s="8">
        <f>B1</f>
        <v>2019</v>
      </c>
      <c r="C3" s="163">
        <f>3.503%</f>
        <v>3.5029999999999999E-2</v>
      </c>
      <c r="D3" s="8" t="s">
        <v>144</v>
      </c>
      <c r="E3" s="8" t="s">
        <v>6</v>
      </c>
      <c r="F3" s="6"/>
      <c r="G3" s="65" t="s">
        <v>139</v>
      </c>
      <c r="H3" s="65" t="s">
        <v>131</v>
      </c>
      <c r="I3" s="140">
        <v>1</v>
      </c>
      <c r="J3" s="141" t="s">
        <v>130</v>
      </c>
    </row>
    <row r="4" spans="1:10">
      <c r="A4" s="61" t="s">
        <v>45</v>
      </c>
      <c r="B4" s="62">
        <f>G4*$I$1</f>
        <v>120306.51306262753</v>
      </c>
      <c r="C4" s="62">
        <f>B4*(1+$C$3)</f>
        <v>124520.85021521137</v>
      </c>
      <c r="D4" s="62">
        <v>2348.0250346987682</v>
      </c>
      <c r="E4" s="79">
        <f t="shared" ref="E4:E40" si="0">(+B4*D4)/2000</f>
        <v>141241.35225418193</v>
      </c>
      <c r="F4" s="65" t="s">
        <v>80</v>
      </c>
      <c r="G4" s="150">
        <v>520562.80128370208</v>
      </c>
      <c r="H4" s="150"/>
      <c r="I4" s="147"/>
    </row>
    <row r="5" spans="1:10">
      <c r="A5" s="61" t="s">
        <v>44</v>
      </c>
      <c r="B5" s="62">
        <f>G5*$I$1</f>
        <v>2073872.6325424206</v>
      </c>
      <c r="C5" s="62">
        <f t="shared" ref="C5:C7" si="1">B5*(1+$C$3)</f>
        <v>2146520.3908603815</v>
      </c>
      <c r="D5" s="62">
        <v>2266.8681551830391</v>
      </c>
      <c r="E5" s="79">
        <f t="shared" si="0"/>
        <v>2350597.9143080148</v>
      </c>
      <c r="F5" s="65" t="s">
        <v>80</v>
      </c>
      <c r="G5" s="160">
        <v>8973586.8792065699</v>
      </c>
      <c r="H5" s="160">
        <v>7248.14649852</v>
      </c>
      <c r="I5" s="147"/>
    </row>
    <row r="6" spans="1:10">
      <c r="A6" s="61" t="s">
        <v>43</v>
      </c>
      <c r="B6" s="62">
        <f>G6*$I$1</f>
        <v>531197.86202232202</v>
      </c>
      <c r="C6" s="62">
        <f t="shared" si="1"/>
        <v>549805.72312896396</v>
      </c>
      <c r="D6" s="62">
        <v>882.78143638016093</v>
      </c>
      <c r="E6" s="79">
        <f t="shared" si="0"/>
        <v>234465.80581906799</v>
      </c>
      <c r="F6" s="65" t="s">
        <v>81</v>
      </c>
      <c r="G6" s="160">
        <v>2298477.7802204727</v>
      </c>
      <c r="H6" s="160">
        <v>133058.21977952722</v>
      </c>
      <c r="I6" s="147"/>
    </row>
    <row r="7" spans="1:10">
      <c r="A7" s="61" t="s">
        <v>127</v>
      </c>
      <c r="B7" s="62">
        <f t="shared" ref="B7" si="2">G7*$I$1</f>
        <v>324244.32769418141</v>
      </c>
      <c r="C7" s="62">
        <f t="shared" si="1"/>
        <v>335602.60649330856</v>
      </c>
      <c r="D7" s="62">
        <v>887.29719064612868</v>
      </c>
      <c r="E7" s="79">
        <f t="shared" si="0"/>
        <v>143850.54052299497</v>
      </c>
      <c r="F7" s="65" t="s">
        <v>81</v>
      </c>
      <c r="G7" s="160">
        <v>1402995.8248143021</v>
      </c>
      <c r="H7" s="160">
        <v>108536.17518569794</v>
      </c>
      <c r="I7" s="147"/>
    </row>
    <row r="8" spans="1:10">
      <c r="A8" s="61" t="s">
        <v>41</v>
      </c>
      <c r="B8" s="62">
        <f>G8*$I$2</f>
        <v>11047.454424047966</v>
      </c>
      <c r="C8" s="62"/>
      <c r="D8" s="62">
        <v>0</v>
      </c>
      <c r="E8" s="79">
        <f t="shared" si="0"/>
        <v>0</v>
      </c>
      <c r="F8" s="75" t="s">
        <v>82</v>
      </c>
      <c r="G8" s="150">
        <v>47965</v>
      </c>
      <c r="H8" s="150"/>
      <c r="I8" s="147"/>
    </row>
    <row r="9" spans="1:10">
      <c r="A9" s="61" t="s">
        <v>42</v>
      </c>
      <c r="B9" s="62">
        <f t="shared" ref="B9:B33" si="3">G9*$I$2</f>
        <v>22608.299360161043</v>
      </c>
      <c r="C9" s="62"/>
      <c r="D9" s="62">
        <v>0</v>
      </c>
      <c r="E9" s="79">
        <f t="shared" si="0"/>
        <v>0</v>
      </c>
      <c r="F9" s="75" t="s">
        <v>82</v>
      </c>
      <c r="G9" s="150">
        <v>98159</v>
      </c>
      <c r="H9" s="150"/>
      <c r="I9" s="147"/>
    </row>
    <row r="10" spans="1:10">
      <c r="A10" s="61" t="s">
        <v>46</v>
      </c>
      <c r="B10" s="62">
        <f t="shared" si="3"/>
        <v>54064.696482319931</v>
      </c>
      <c r="C10" s="62"/>
      <c r="D10" s="62">
        <v>0</v>
      </c>
      <c r="E10" s="79">
        <f t="shared" si="0"/>
        <v>0</v>
      </c>
      <c r="F10" s="75" t="s">
        <v>82</v>
      </c>
      <c r="G10" s="150">
        <v>234734</v>
      </c>
      <c r="H10" s="150"/>
      <c r="I10" s="147"/>
    </row>
    <row r="11" spans="1:10" s="58" customFormat="1">
      <c r="A11" s="61" t="s">
        <v>52</v>
      </c>
      <c r="B11" s="62">
        <f t="shared" si="3"/>
        <v>359.07393822768228</v>
      </c>
      <c r="C11" s="62"/>
      <c r="D11" s="62">
        <v>0</v>
      </c>
      <c r="E11" s="79">
        <f t="shared" si="0"/>
        <v>0</v>
      </c>
      <c r="F11" s="75" t="s">
        <v>83</v>
      </c>
      <c r="G11" s="150">
        <v>1559</v>
      </c>
      <c r="H11" s="150"/>
      <c r="I11" s="147"/>
    </row>
    <row r="12" spans="1:10" s="58" customFormat="1">
      <c r="A12" s="61" t="s">
        <v>53</v>
      </c>
      <c r="B12" s="62">
        <f t="shared" si="3"/>
        <v>6070.3994329241787</v>
      </c>
      <c r="C12" s="62"/>
      <c r="D12" s="62">
        <v>0</v>
      </c>
      <c r="E12" s="79">
        <f t="shared" si="0"/>
        <v>0</v>
      </c>
      <c r="F12" s="75" t="s">
        <v>83</v>
      </c>
      <c r="G12" s="150">
        <v>26356</v>
      </c>
      <c r="H12" s="150"/>
      <c r="I12" s="147"/>
    </row>
    <row r="13" spans="1:10" s="58" customFormat="1">
      <c r="A13" s="61" t="s">
        <v>54</v>
      </c>
      <c r="B13" s="62">
        <f t="shared" si="3"/>
        <v>8250.408942433487</v>
      </c>
      <c r="C13" s="62"/>
      <c r="D13" s="62">
        <v>0</v>
      </c>
      <c r="E13" s="79">
        <f t="shared" si="0"/>
        <v>0</v>
      </c>
      <c r="F13" s="75" t="s">
        <v>83</v>
      </c>
      <c r="G13" s="150">
        <v>35821</v>
      </c>
      <c r="H13" s="150"/>
      <c r="I13" s="147"/>
    </row>
    <row r="14" spans="1:10" s="58" customFormat="1">
      <c r="A14" s="61" t="s">
        <v>55</v>
      </c>
      <c r="B14" s="62">
        <f>G14*$I$2</f>
        <v>19771.17763399774</v>
      </c>
      <c r="C14" s="62"/>
      <c r="D14" s="62">
        <v>0</v>
      </c>
      <c r="E14" s="79">
        <f t="shared" si="0"/>
        <v>0</v>
      </c>
      <c r="F14" s="75" t="s">
        <v>83</v>
      </c>
      <c r="G14" s="150">
        <v>85841</v>
      </c>
      <c r="H14" s="150"/>
      <c r="I14" s="147"/>
    </row>
    <row r="15" spans="1:10" s="58" customFormat="1">
      <c r="A15" s="61" t="s">
        <v>56</v>
      </c>
      <c r="B15" s="62">
        <f t="shared" si="3"/>
        <v>25009.649507667018</v>
      </c>
      <c r="C15" s="62"/>
      <c r="D15" s="62">
        <v>0</v>
      </c>
      <c r="E15" s="79">
        <f t="shared" si="0"/>
        <v>0</v>
      </c>
      <c r="F15" s="75" t="s">
        <v>83</v>
      </c>
      <c r="G15" s="150">
        <v>108585</v>
      </c>
      <c r="H15" s="150"/>
      <c r="I15" s="147"/>
    </row>
    <row r="16" spans="1:10" s="58" customFormat="1">
      <c r="A16" s="61" t="s">
        <v>57</v>
      </c>
      <c r="B16" s="62">
        <f t="shared" si="3"/>
        <v>3872.1943870967252</v>
      </c>
      <c r="C16" s="62"/>
      <c r="D16" s="62">
        <v>0</v>
      </c>
      <c r="E16" s="79">
        <f t="shared" si="0"/>
        <v>0</v>
      </c>
      <c r="F16" s="75" t="s">
        <v>83</v>
      </c>
      <c r="G16" s="150">
        <v>16812</v>
      </c>
      <c r="H16" s="150"/>
      <c r="I16" s="147"/>
    </row>
    <row r="17" spans="1:9" s="58" customFormat="1">
      <c r="A17" s="61" t="s">
        <v>58</v>
      </c>
      <c r="B17" s="62">
        <f t="shared" si="3"/>
        <v>1392.5343364493694</v>
      </c>
      <c r="C17" s="62"/>
      <c r="D17" s="62">
        <v>0</v>
      </c>
      <c r="E17" s="79">
        <f t="shared" si="0"/>
        <v>0</v>
      </c>
      <c r="F17" s="75" t="s">
        <v>83</v>
      </c>
      <c r="G17" s="150">
        <v>6046</v>
      </c>
      <c r="H17" s="150"/>
      <c r="I17" s="147"/>
    </row>
    <row r="18" spans="1:9" s="58" customFormat="1">
      <c r="A18" s="61" t="s">
        <v>59</v>
      </c>
      <c r="B18" s="62">
        <f t="shared" si="3"/>
        <v>4816.2893664394251</v>
      </c>
      <c r="C18" s="62"/>
      <c r="D18" s="62">
        <v>0</v>
      </c>
      <c r="E18" s="79">
        <f t="shared" si="0"/>
        <v>0</v>
      </c>
      <c r="F18" s="75" t="s">
        <v>83</v>
      </c>
      <c r="G18" s="150">
        <v>20911</v>
      </c>
      <c r="H18" s="150"/>
      <c r="I18" s="147"/>
    </row>
    <row r="19" spans="1:9" s="58" customFormat="1">
      <c r="A19" s="61" t="s">
        <v>60</v>
      </c>
      <c r="B19" s="62">
        <f t="shared" si="3"/>
        <v>23347.406651868954</v>
      </c>
      <c r="C19" s="62"/>
      <c r="D19" s="62">
        <v>0</v>
      </c>
      <c r="E19" s="79">
        <f t="shared" si="0"/>
        <v>0</v>
      </c>
      <c r="F19" s="75" t="s">
        <v>83</v>
      </c>
      <c r="G19" s="150">
        <v>101368</v>
      </c>
      <c r="H19" s="150"/>
      <c r="I19" s="147"/>
    </row>
    <row r="20" spans="1:9" s="58" customFormat="1">
      <c r="A20" s="61" t="s">
        <v>61</v>
      </c>
      <c r="B20" s="62">
        <f t="shared" si="3"/>
        <v>52521.991390434741</v>
      </c>
      <c r="C20" s="62"/>
      <c r="D20" s="62">
        <v>0</v>
      </c>
      <c r="E20" s="79">
        <f t="shared" si="0"/>
        <v>0</v>
      </c>
      <c r="F20" s="75" t="s">
        <v>83</v>
      </c>
      <c r="G20" s="150">
        <v>228036</v>
      </c>
      <c r="H20" s="150"/>
      <c r="I20" s="147"/>
    </row>
    <row r="21" spans="1:9" s="58" customFormat="1">
      <c r="A21" s="61" t="s">
        <v>62</v>
      </c>
      <c r="B21" s="62">
        <f>G21*$I$2</f>
        <v>26366.714064458232</v>
      </c>
      <c r="C21" s="62"/>
      <c r="D21" s="62">
        <v>0</v>
      </c>
      <c r="E21" s="79">
        <f t="shared" si="0"/>
        <v>0</v>
      </c>
      <c r="F21" s="75" t="s">
        <v>83</v>
      </c>
      <c r="G21" s="150">
        <v>114477</v>
      </c>
      <c r="H21" s="150"/>
      <c r="I21" s="147"/>
    </row>
    <row r="22" spans="1:9">
      <c r="A22" s="61" t="s">
        <v>63</v>
      </c>
      <c r="B22" s="62">
        <f t="shared" si="3"/>
        <v>33040.099751571041</v>
      </c>
      <c r="C22" s="62"/>
      <c r="D22" s="62">
        <v>0</v>
      </c>
      <c r="E22" s="79">
        <f t="shared" si="0"/>
        <v>0</v>
      </c>
      <c r="F22" s="75" t="s">
        <v>83</v>
      </c>
      <c r="G22" s="150">
        <v>143451</v>
      </c>
      <c r="H22" s="150"/>
      <c r="I22" s="147"/>
    </row>
    <row r="23" spans="1:9">
      <c r="A23" s="61" t="s">
        <v>64</v>
      </c>
      <c r="B23" s="62">
        <f t="shared" si="3"/>
        <v>34165.919770850647</v>
      </c>
      <c r="C23" s="62"/>
      <c r="D23" s="62">
        <v>0</v>
      </c>
      <c r="E23" s="79">
        <f t="shared" si="0"/>
        <v>0</v>
      </c>
      <c r="F23" s="75" t="s">
        <v>83</v>
      </c>
      <c r="G23" s="160">
        <v>148339</v>
      </c>
      <c r="H23" s="160">
        <v>188695</v>
      </c>
      <c r="I23" s="147"/>
    </row>
    <row r="24" spans="1:9">
      <c r="A24" s="61" t="s">
        <v>65</v>
      </c>
      <c r="B24" s="62">
        <f t="shared" si="3"/>
        <v>1960.2811342243772</v>
      </c>
      <c r="C24" s="62"/>
      <c r="D24" s="62">
        <v>0</v>
      </c>
      <c r="E24" s="79">
        <f t="shared" si="0"/>
        <v>0</v>
      </c>
      <c r="F24" s="75" t="s">
        <v>83</v>
      </c>
      <c r="G24" s="150">
        <v>8511</v>
      </c>
      <c r="H24" s="150"/>
      <c r="I24" s="147"/>
    </row>
    <row r="25" spans="1:9">
      <c r="A25" s="61" t="s">
        <v>75</v>
      </c>
      <c r="B25" s="62">
        <f t="shared" si="3"/>
        <v>43833.968283387658</v>
      </c>
      <c r="C25" s="62"/>
      <c r="D25" s="62">
        <v>0</v>
      </c>
      <c r="E25" s="79">
        <f t="shared" si="0"/>
        <v>0</v>
      </c>
      <c r="F25" s="75" t="s">
        <v>83</v>
      </c>
      <c r="G25" s="150">
        <v>190315</v>
      </c>
      <c r="H25" s="150"/>
      <c r="I25" s="147"/>
    </row>
    <row r="26" spans="1:9">
      <c r="A26" s="61" t="s">
        <v>74</v>
      </c>
      <c r="B26" s="62">
        <f t="shared" si="3"/>
        <v>5441.156328858734</v>
      </c>
      <c r="C26" s="62"/>
      <c r="D26" s="62">
        <v>0</v>
      </c>
      <c r="E26" s="79">
        <f t="shared" si="0"/>
        <v>0</v>
      </c>
      <c r="F26" s="75" t="s">
        <v>83</v>
      </c>
      <c r="G26" s="150">
        <v>23624</v>
      </c>
      <c r="H26" s="150"/>
      <c r="I26" s="147"/>
    </row>
    <row r="27" spans="1:9">
      <c r="A27" s="61" t="s">
        <v>73</v>
      </c>
      <c r="B27" s="62">
        <f t="shared" si="3"/>
        <v>418.49733531731795</v>
      </c>
      <c r="C27" s="62"/>
      <c r="D27" s="62">
        <v>0</v>
      </c>
      <c r="E27" s="79">
        <f t="shared" si="0"/>
        <v>0</v>
      </c>
      <c r="F27" s="75" t="s">
        <v>83</v>
      </c>
      <c r="G27" s="150">
        <v>1817</v>
      </c>
      <c r="H27" s="150"/>
      <c r="I27" s="147"/>
    </row>
    <row r="28" spans="1:9">
      <c r="A28" s="61" t="s">
        <v>72</v>
      </c>
      <c r="B28" s="62">
        <f>G28*$I$2</f>
        <v>10657.286847808266</v>
      </c>
      <c r="C28" s="62"/>
      <c r="D28" s="62">
        <v>0</v>
      </c>
      <c r="E28" s="79">
        <f t="shared" si="0"/>
        <v>0</v>
      </c>
      <c r="F28" s="75" t="s">
        <v>83</v>
      </c>
      <c r="G28" s="150">
        <v>46271</v>
      </c>
      <c r="H28" s="150"/>
      <c r="I28" s="147"/>
    </row>
    <row r="29" spans="1:9">
      <c r="A29" s="61" t="s">
        <v>71</v>
      </c>
      <c r="B29" s="62">
        <f t="shared" si="3"/>
        <v>8775.5459399698029</v>
      </c>
      <c r="C29" s="62"/>
      <c r="D29" s="62">
        <v>0</v>
      </c>
      <c r="E29" s="79">
        <f t="shared" si="0"/>
        <v>0</v>
      </c>
      <c r="F29" s="75" t="s">
        <v>83</v>
      </c>
      <c r="G29" s="150">
        <v>38101</v>
      </c>
      <c r="H29" s="150"/>
      <c r="I29" s="147"/>
    </row>
    <row r="30" spans="1:9">
      <c r="A30" s="61" t="s">
        <v>70</v>
      </c>
      <c r="B30" s="62">
        <f>G30*$I$2</f>
        <v>44355.416259751364</v>
      </c>
      <c r="C30" s="62"/>
      <c r="D30" s="62">
        <v>0</v>
      </c>
      <c r="E30" s="79">
        <f t="shared" si="0"/>
        <v>0</v>
      </c>
      <c r="F30" s="75" t="s">
        <v>83</v>
      </c>
      <c r="G30" s="160">
        <v>192578.98328757449</v>
      </c>
      <c r="H30" s="160">
        <v>176505.01671242551</v>
      </c>
      <c r="I30" s="147"/>
    </row>
    <row r="31" spans="1:9">
      <c r="A31" s="61" t="s">
        <v>69</v>
      </c>
      <c r="B31" s="62">
        <f t="shared" si="3"/>
        <v>44534.381270013939</v>
      </c>
      <c r="C31" s="62"/>
      <c r="D31" s="62">
        <v>0</v>
      </c>
      <c r="E31" s="79">
        <f t="shared" si="0"/>
        <v>0</v>
      </c>
      <c r="F31" s="75" t="s">
        <v>83</v>
      </c>
      <c r="G31" s="150">
        <v>193356</v>
      </c>
      <c r="H31" s="150"/>
      <c r="I31" s="147"/>
    </row>
    <row r="32" spans="1:9">
      <c r="A32" s="61" t="s">
        <v>68</v>
      </c>
      <c r="B32" s="62">
        <f t="shared" si="3"/>
        <v>632.23730624437962</v>
      </c>
      <c r="C32" s="62"/>
      <c r="D32" s="62">
        <v>0</v>
      </c>
      <c r="E32" s="79">
        <f t="shared" si="0"/>
        <v>0</v>
      </c>
      <c r="F32" s="75" t="s">
        <v>83</v>
      </c>
      <c r="G32" s="150">
        <v>2745</v>
      </c>
      <c r="H32" s="150"/>
      <c r="I32" s="147"/>
    </row>
    <row r="33" spans="1:9">
      <c r="A33" s="61" t="s">
        <v>66</v>
      </c>
      <c r="B33" s="62">
        <f t="shared" si="3"/>
        <v>66752.354884918008</v>
      </c>
      <c r="C33" s="62"/>
      <c r="D33" s="62">
        <v>0</v>
      </c>
      <c r="E33" s="79">
        <f t="shared" si="0"/>
        <v>0</v>
      </c>
      <c r="F33" s="75" t="s">
        <v>83</v>
      </c>
      <c r="G33" s="160">
        <v>289820.31327375316</v>
      </c>
      <c r="H33" s="160">
        <v>80202.686726246844</v>
      </c>
      <c r="I33" s="147"/>
    </row>
    <row r="34" spans="1:9" s="59" customFormat="1">
      <c r="A34" s="61" t="s">
        <v>79</v>
      </c>
      <c r="B34" s="62">
        <f>G34</f>
        <v>5436.5369999999994</v>
      </c>
      <c r="C34" s="62"/>
      <c r="D34" s="62">
        <v>0</v>
      </c>
      <c r="E34" s="79">
        <f t="shared" si="0"/>
        <v>0</v>
      </c>
      <c r="F34" s="75" t="s">
        <v>83</v>
      </c>
      <c r="G34" s="159">
        <v>5436.5369999999994</v>
      </c>
      <c r="H34" s="159"/>
      <c r="I34" s="147"/>
    </row>
    <row r="35" spans="1:9" s="59" customFormat="1">
      <c r="A35" s="61" t="s">
        <v>76</v>
      </c>
      <c r="B35" s="62">
        <f>(G35*$I$1*0.7)+(G35*$I$2*0.3)</f>
        <v>0</v>
      </c>
      <c r="C35" s="62"/>
      <c r="D35" s="62">
        <v>0</v>
      </c>
      <c r="E35" s="79">
        <f t="shared" si="0"/>
        <v>0</v>
      </c>
      <c r="F35" s="75" t="s">
        <v>83</v>
      </c>
      <c r="G35" s="159">
        <v>0</v>
      </c>
      <c r="H35" s="159"/>
      <c r="I35" s="147"/>
    </row>
    <row r="36" spans="1:9" s="59" customFormat="1">
      <c r="A36" s="61" t="s">
        <v>77</v>
      </c>
      <c r="B36" s="62">
        <f>(G36*$I$1*0.7)+(G36*$I$2*0.3)</f>
        <v>18373.054604164467</v>
      </c>
      <c r="C36" s="62"/>
      <c r="D36" s="62">
        <v>0</v>
      </c>
      <c r="E36" s="79">
        <f t="shared" si="0"/>
        <v>0</v>
      </c>
      <c r="F36" s="75" t="s">
        <v>83</v>
      </c>
      <c r="G36" s="159">
        <v>79580.800000000003</v>
      </c>
      <c r="H36" s="159"/>
      <c r="I36" s="147"/>
    </row>
    <row r="37" spans="1:9" s="63" customFormat="1">
      <c r="A37" s="61" t="s">
        <v>78</v>
      </c>
      <c r="B37" s="62">
        <f t="shared" ref="B37" si="4">(G37*$I$1*0.7)+(G37*$I$2*0.3)</f>
        <v>0</v>
      </c>
      <c r="C37" s="62"/>
      <c r="D37" s="62">
        <v>0</v>
      </c>
      <c r="E37" s="79">
        <f t="shared" si="0"/>
        <v>0</v>
      </c>
      <c r="F37" s="75" t="s">
        <v>83</v>
      </c>
      <c r="G37" s="159">
        <v>0</v>
      </c>
      <c r="H37" s="159"/>
      <c r="I37" s="147"/>
    </row>
    <row r="38" spans="1:9" s="59" customFormat="1">
      <c r="A38" s="61" t="s">
        <v>48</v>
      </c>
      <c r="B38" s="62">
        <f>G38*I2</f>
        <v>20524.297561579828</v>
      </c>
      <c r="C38" s="62"/>
      <c r="D38" s="62">
        <v>0</v>
      </c>
      <c r="E38" s="79">
        <f t="shared" si="0"/>
        <v>0</v>
      </c>
      <c r="F38" s="75" t="s">
        <v>83</v>
      </c>
      <c r="G38" s="159">
        <v>89110.839000000022</v>
      </c>
      <c r="H38" s="159"/>
      <c r="I38" s="147"/>
    </row>
    <row r="39" spans="1:9" s="59" customFormat="1">
      <c r="A39" s="61" t="s">
        <v>50</v>
      </c>
      <c r="B39" s="62">
        <f>G39*I2</f>
        <v>0</v>
      </c>
      <c r="C39" s="62"/>
      <c r="D39" s="62">
        <v>0</v>
      </c>
      <c r="E39" s="79">
        <f t="shared" si="0"/>
        <v>0</v>
      </c>
      <c r="F39" s="75" t="s">
        <v>84</v>
      </c>
      <c r="G39" s="159">
        <v>0</v>
      </c>
      <c r="H39" s="159"/>
      <c r="I39" s="147"/>
    </row>
    <row r="40" spans="1:9" s="59" customFormat="1">
      <c r="A40" s="61" t="s">
        <v>51</v>
      </c>
      <c r="B40" s="62">
        <f>(G40*I1*79.264%)+(G40*I2*20.736%)</f>
        <v>2775.8819523627499</v>
      </c>
      <c r="C40" s="62"/>
      <c r="D40" s="62">
        <v>0</v>
      </c>
      <c r="E40" s="79">
        <f t="shared" si="0"/>
        <v>0</v>
      </c>
      <c r="F40" s="75" t="s">
        <v>83</v>
      </c>
      <c r="G40" s="159">
        <v>12019.63</v>
      </c>
      <c r="H40" s="159"/>
      <c r="I40" s="147"/>
    </row>
    <row r="41" spans="1:9" s="78" customFormat="1">
      <c r="A41" s="61" t="s">
        <v>134</v>
      </c>
      <c r="B41" s="62">
        <f>G41*I2</f>
        <v>-476.99943942881976</v>
      </c>
      <c r="C41" s="62"/>
      <c r="D41" s="62"/>
      <c r="E41" s="79"/>
      <c r="F41" s="75" t="s">
        <v>83</v>
      </c>
      <c r="G41" s="159">
        <v>-2071</v>
      </c>
      <c r="H41" s="159"/>
      <c r="I41" s="147"/>
    </row>
    <row r="42" spans="1:9" s="78" customFormat="1" ht="15.75" thickBot="1">
      <c r="A42" s="61" t="s">
        <v>135</v>
      </c>
      <c r="B42" s="62">
        <f>G42*I2</f>
        <v>-8059.2080752540705</v>
      </c>
      <c r="C42" s="62"/>
      <c r="D42" s="62"/>
      <c r="E42" s="79"/>
      <c r="F42" s="75" t="s">
        <v>82</v>
      </c>
      <c r="G42" s="159">
        <v>-34990.858571735989</v>
      </c>
      <c r="H42" s="159"/>
      <c r="I42" s="147"/>
    </row>
    <row r="43" spans="1:9" ht="16.5" thickTop="1" thickBot="1">
      <c r="A43" s="74"/>
      <c r="B43" s="76">
        <f>SUM(B4:B42)</f>
        <v>3642260.3339564176</v>
      </c>
      <c r="C43" s="74"/>
      <c r="D43" s="74"/>
      <c r="E43" s="76">
        <f>SUM(E4:E42)</f>
        <v>2870155.6129042599</v>
      </c>
      <c r="F43" s="74"/>
      <c r="G43" s="129">
        <f>SUM(G4:G42)</f>
        <v>15750308.529514642</v>
      </c>
      <c r="H43" s="129">
        <f>SUM(H4:H42)</f>
        <v>694245.24490241753</v>
      </c>
      <c r="I43" s="148"/>
    </row>
    <row r="44" spans="1:9">
      <c r="A44" s="74"/>
      <c r="B44" s="74"/>
      <c r="C44" s="74"/>
      <c r="D44" s="74"/>
      <c r="E44" s="74"/>
      <c r="F44" s="74"/>
      <c r="G44" s="74"/>
      <c r="H44" s="74"/>
    </row>
    <row r="45" spans="1:9">
      <c r="A45" s="74" t="s">
        <v>138</v>
      </c>
      <c r="B45" s="157">
        <f>0.75*I1+0.25*I2</f>
        <v>0.23091222201110401</v>
      </c>
      <c r="C45" s="74"/>
      <c r="D45" s="74"/>
      <c r="E45" s="74"/>
      <c r="F45" s="74"/>
      <c r="G45" s="74"/>
      <c r="H45" s="74"/>
    </row>
    <row r="46" spans="1:9">
      <c r="F46" s="64"/>
      <c r="G46" s="64"/>
      <c r="H46" s="64" t="s">
        <v>140</v>
      </c>
    </row>
    <row r="47" spans="1:9">
      <c r="A47" s="57"/>
      <c r="G47" s="64"/>
      <c r="H47" s="64"/>
    </row>
  </sheetData>
  <phoneticPr fontId="57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3"/>
  <sheetViews>
    <sheetView workbookViewId="0">
      <selection activeCell="K9" sqref="K9:K15"/>
    </sheetView>
  </sheetViews>
  <sheetFormatPr defaultRowHeight="15"/>
  <cols>
    <col min="1" max="1" width="46.140625" customWidth="1"/>
    <col min="2" max="2" width="13.7109375" style="66" customWidth="1"/>
    <col min="3" max="3" width="12.5703125" style="66" customWidth="1"/>
    <col min="4" max="4" width="13.5703125" style="66" customWidth="1"/>
    <col min="5" max="5" width="17.5703125" customWidth="1"/>
    <col min="6" max="6" width="15.28515625" customWidth="1"/>
    <col min="7" max="7" width="11.28515625" bestFit="1" customWidth="1"/>
    <col min="8" max="8" width="15.42578125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29</v>
      </c>
      <c r="B1" s="67">
        <f>'Known Resources'!B1</f>
        <v>2019</v>
      </c>
      <c r="D1" s="68" t="s">
        <v>2</v>
      </c>
      <c r="H1" s="164">
        <f>M1*M2</f>
        <v>963.41893999999991</v>
      </c>
      <c r="I1" t="s">
        <v>5</v>
      </c>
      <c r="K1" s="151">
        <f>'Known Resources'!I1</f>
        <v>0.23110854783698145</v>
      </c>
      <c r="L1" s="34" t="s">
        <v>129</v>
      </c>
      <c r="M1" s="78">
        <v>0.437</v>
      </c>
      <c r="N1" s="57" t="s">
        <v>145</v>
      </c>
    </row>
    <row r="2" spans="1:14" ht="18.75">
      <c r="A2" s="2"/>
      <c r="B2" s="7" t="s">
        <v>28</v>
      </c>
      <c r="C2" s="7" t="s">
        <v>1</v>
      </c>
      <c r="D2" s="7" t="s">
        <v>4</v>
      </c>
      <c r="E2" s="3"/>
      <c r="F2" s="25" t="s">
        <v>7</v>
      </c>
      <c r="G2" s="24">
        <f>'Known Resources'!B1</f>
        <v>2019</v>
      </c>
      <c r="H2" s="26"/>
      <c r="K2" s="151">
        <f>'Known Resources'!I2</f>
        <v>0.23032324453347164</v>
      </c>
      <c r="L2" s="31" t="s">
        <v>128</v>
      </c>
      <c r="M2" s="78">
        <v>2204.62</v>
      </c>
      <c r="N2" s="57" t="s">
        <v>146</v>
      </c>
    </row>
    <row r="3" spans="1:14" ht="45.75" thickBot="1">
      <c r="A3" s="80" t="s">
        <v>0</v>
      </c>
      <c r="B3" s="81">
        <f>'Known Resources'!B1</f>
        <v>2019</v>
      </c>
      <c r="C3" s="81" t="s">
        <v>90</v>
      </c>
      <c r="D3" s="81" t="s">
        <v>91</v>
      </c>
      <c r="E3" s="82"/>
      <c r="F3" s="149" t="s">
        <v>139</v>
      </c>
      <c r="G3" s="78"/>
      <c r="H3" s="78"/>
      <c r="I3" s="78"/>
      <c r="K3" s="140">
        <v>1</v>
      </c>
      <c r="L3" s="141" t="s">
        <v>130</v>
      </c>
    </row>
    <row r="4" spans="1:14">
      <c r="A4" s="61" t="s">
        <v>88</v>
      </c>
      <c r="B4" s="69">
        <f>F4*$K$2</f>
        <v>13276.292461398372</v>
      </c>
      <c r="C4" s="117">
        <f>IF(B4&lt;&gt;0,$H$1,0)</f>
        <v>963.41893999999991</v>
      </c>
      <c r="D4" s="84">
        <f>(+B4*C4)/2000</f>
        <v>6395.3158051452046</v>
      </c>
      <c r="E4" s="83"/>
      <c r="F4" s="69">
        <v>57642</v>
      </c>
      <c r="G4" s="78"/>
      <c r="H4" s="78"/>
      <c r="I4" s="78"/>
      <c r="J4" s="57"/>
    </row>
    <row r="5" spans="1:14">
      <c r="A5" s="61" t="s">
        <v>86</v>
      </c>
      <c r="B5" s="69">
        <f t="shared" ref="B5:B6" si="0">F5*$K$2</f>
        <v>7082.6700926487865</v>
      </c>
      <c r="C5" s="117">
        <f t="shared" ref="C5:C13" si="1">IF(B5&lt;&gt;0,$H$1,0)</f>
        <v>963.41893999999991</v>
      </c>
      <c r="D5" s="84">
        <f t="shared" ref="D5:D16" si="2">(+B5*C5)/2000</f>
        <v>3411.7892565146972</v>
      </c>
      <c r="E5" s="83"/>
      <c r="F5" s="69">
        <v>30751</v>
      </c>
      <c r="G5" s="78"/>
      <c r="H5" s="78"/>
      <c r="I5" s="78"/>
      <c r="J5" s="57"/>
    </row>
    <row r="6" spans="1:14">
      <c r="A6" s="61" t="s">
        <v>87</v>
      </c>
      <c r="B6" s="69">
        <f t="shared" si="0"/>
        <v>918464.58808148291</v>
      </c>
      <c r="C6" s="117">
        <f t="shared" si="1"/>
        <v>963.41893999999991</v>
      </c>
      <c r="D6" s="84">
        <f t="shared" si="2"/>
        <v>442433.08993849938</v>
      </c>
      <c r="E6" s="83"/>
      <c r="F6" s="69">
        <v>3987719.9105190937</v>
      </c>
      <c r="G6" s="78"/>
      <c r="H6" s="78"/>
      <c r="I6" s="78"/>
      <c r="J6" s="57"/>
    </row>
    <row r="7" spans="1:14" s="78" customFormat="1">
      <c r="A7" s="61" t="s">
        <v>124</v>
      </c>
      <c r="B7" s="69">
        <f>F7*$K$2</f>
        <v>103.64546004006223</v>
      </c>
      <c r="C7" s="117">
        <f t="shared" si="1"/>
        <v>963.41893999999991</v>
      </c>
      <c r="D7" s="84">
        <f t="shared" si="2"/>
        <v>49.926999623804548</v>
      </c>
      <c r="E7" s="83"/>
      <c r="F7" s="69">
        <v>450</v>
      </c>
      <c r="J7" s="57"/>
      <c r="N7" s="57"/>
    </row>
    <row r="8" spans="1:14">
      <c r="A8" s="61" t="s">
        <v>89</v>
      </c>
      <c r="B8" s="69">
        <f>F8*$K$2</f>
        <v>28717.623421411379</v>
      </c>
      <c r="C8" s="117">
        <f t="shared" si="1"/>
        <v>963.41893999999991</v>
      </c>
      <c r="D8" s="84">
        <f t="shared" si="2"/>
        <v>13833.551157987662</v>
      </c>
      <c r="E8" s="83"/>
      <c r="F8" s="69">
        <v>124684</v>
      </c>
      <c r="G8" s="78"/>
      <c r="H8" s="78"/>
      <c r="I8" s="78"/>
      <c r="J8" s="57"/>
      <c r="N8" s="57"/>
    </row>
    <row r="9" spans="1:14">
      <c r="A9" s="61" t="s">
        <v>125</v>
      </c>
      <c r="B9" s="69">
        <f>F9*$K$2</f>
        <v>114643.98050358423</v>
      </c>
      <c r="C9" s="117">
        <f t="shared" si="1"/>
        <v>963.41893999999991</v>
      </c>
      <c r="D9" s="84">
        <f t="shared" si="2"/>
        <v>55225.091087071887</v>
      </c>
      <c r="E9" s="83"/>
      <c r="F9" s="69">
        <v>497752.54224036273</v>
      </c>
      <c r="G9" s="78"/>
      <c r="H9" s="78"/>
      <c r="I9" s="78"/>
      <c r="J9" s="57"/>
      <c r="N9" s="57"/>
    </row>
    <row r="10" spans="1:14">
      <c r="A10" s="61" t="s">
        <v>49</v>
      </c>
      <c r="B10" s="69">
        <f>(F10*K1*0.7)+(F10*K2*0.3)</f>
        <v>0</v>
      </c>
      <c r="C10" s="117">
        <f t="shared" si="1"/>
        <v>0</v>
      </c>
      <c r="D10" s="84">
        <f t="shared" si="2"/>
        <v>0</v>
      </c>
      <c r="E10" s="83"/>
      <c r="F10" s="69">
        <v>0</v>
      </c>
      <c r="G10" s="78"/>
      <c r="H10" s="78"/>
      <c r="I10" s="78"/>
      <c r="J10" s="57"/>
      <c r="K10" s="78"/>
      <c r="N10" s="137"/>
    </row>
    <row r="11" spans="1:14">
      <c r="A11" s="61" t="s">
        <v>47</v>
      </c>
      <c r="B11" s="69">
        <f>F11*$K$2</f>
        <v>-440551.39969768631</v>
      </c>
      <c r="C11" s="117">
        <f t="shared" si="1"/>
        <v>963.41893999999991</v>
      </c>
      <c r="D11" s="84">
        <f t="shared" si="2"/>
        <v>-212217.78125613061</v>
      </c>
      <c r="E11" s="83"/>
      <c r="F11" s="69">
        <v>-1912752.664586849</v>
      </c>
      <c r="G11" s="78"/>
      <c r="H11" s="78"/>
      <c r="I11" s="78"/>
      <c r="J11" s="57"/>
      <c r="K11" s="78"/>
      <c r="N11" s="57"/>
    </row>
    <row r="12" spans="1:14">
      <c r="A12" s="61" t="s">
        <v>85</v>
      </c>
      <c r="B12" s="69"/>
      <c r="C12" s="117">
        <f t="shared" si="1"/>
        <v>0</v>
      </c>
      <c r="D12" s="84">
        <f t="shared" si="2"/>
        <v>0</v>
      </c>
      <c r="E12" s="83"/>
      <c r="F12" s="69">
        <v>0</v>
      </c>
      <c r="G12" s="78"/>
      <c r="H12" s="78"/>
      <c r="I12" s="78"/>
      <c r="K12" s="78"/>
    </row>
    <row r="13" spans="1:14" s="78" customFormat="1">
      <c r="A13" s="61" t="s">
        <v>133</v>
      </c>
      <c r="B13" s="69">
        <f>F13*K2</f>
        <v>97488.365402407348</v>
      </c>
      <c r="C13" s="117">
        <f t="shared" si="1"/>
        <v>963.41893999999991</v>
      </c>
      <c r="D13" s="84">
        <f t="shared" si="2"/>
        <v>46961.068829159973</v>
      </c>
      <c r="E13" s="83"/>
      <c r="F13" s="69">
        <v>423267.59333333327</v>
      </c>
      <c r="J13" s="57"/>
      <c r="N13" s="142"/>
    </row>
    <row r="14" spans="1:14">
      <c r="A14" s="61" t="s">
        <v>132</v>
      </c>
      <c r="B14" s="69">
        <f>F14*$K$2</f>
        <v>17119.466119683879</v>
      </c>
      <c r="C14" s="117">
        <f>IF(B14&lt;&gt;0,$H$1,0)</f>
        <v>963.41893999999991</v>
      </c>
      <c r="D14" s="84">
        <f>(+B14*C14)/2000</f>
        <v>8246.6089511958762</v>
      </c>
      <c r="E14" s="83"/>
      <c r="F14" s="69">
        <v>74328</v>
      </c>
      <c r="G14" s="78"/>
      <c r="H14" s="78"/>
      <c r="I14" s="78"/>
      <c r="J14" s="57"/>
      <c r="K14" s="78"/>
    </row>
    <row r="15" spans="1:14" s="78" customFormat="1">
      <c r="A15" s="61"/>
      <c r="B15" s="69"/>
      <c r="C15" s="117"/>
      <c r="D15" s="84"/>
      <c r="E15" s="83"/>
      <c r="F15" s="69"/>
      <c r="J15" s="57"/>
    </row>
    <row r="16" spans="1:14" ht="15.75" thickBot="1">
      <c r="A16" s="22"/>
      <c r="B16" s="69">
        <f t="shared" ref="B16" si="3">F16*$K$2</f>
        <v>0</v>
      </c>
      <c r="C16" s="70">
        <v>0</v>
      </c>
      <c r="D16" s="84">
        <f t="shared" si="2"/>
        <v>0</v>
      </c>
      <c r="F16" s="130"/>
      <c r="G16" s="78"/>
      <c r="H16" s="78"/>
      <c r="I16" s="78"/>
      <c r="J16" s="57"/>
      <c r="N16" s="132"/>
    </row>
    <row r="17" spans="1:10" ht="16.5" thickTop="1" thickBot="1">
      <c r="A17" s="60"/>
      <c r="B17" s="71">
        <f>SUM(B4:B16)</f>
        <v>756345.23184497072</v>
      </c>
      <c r="C17" s="72"/>
      <c r="D17" s="73">
        <f>SUM(D4:D16)</f>
        <v>364338.66076906788</v>
      </c>
      <c r="F17" s="131">
        <f>SUM(F4:F16)</f>
        <v>3283842.3815059401</v>
      </c>
      <c r="G17" s="78"/>
      <c r="H17" s="78"/>
      <c r="I17" s="78"/>
      <c r="J17" s="145"/>
    </row>
    <row r="18" spans="1:10">
      <c r="G18" s="78"/>
      <c r="H18" s="78"/>
      <c r="I18" s="78"/>
      <c r="J18" s="5"/>
    </row>
    <row r="19" spans="1:10">
      <c r="A19" s="63" t="str">
        <f>'Known Resources'!A45</f>
        <v>2019 Washington - WCA Allocation Factor</v>
      </c>
      <c r="B19" s="152">
        <f>'Known Resources'!B45</f>
        <v>0.23091222201110401</v>
      </c>
      <c r="D19" s="136"/>
      <c r="F19" s="132"/>
      <c r="G19" s="78"/>
      <c r="H19" s="78"/>
      <c r="I19" s="78"/>
      <c r="J19" s="146"/>
    </row>
    <row r="20" spans="1:10">
      <c r="F20" s="132"/>
      <c r="G20" s="78"/>
      <c r="H20" s="78"/>
      <c r="I20" s="78"/>
      <c r="J20" s="5"/>
    </row>
    <row r="21" spans="1:10">
      <c r="B21" s="134"/>
      <c r="D21" s="153"/>
      <c r="E21" s="57"/>
      <c r="G21" s="78"/>
      <c r="H21" s="78"/>
      <c r="I21" s="78"/>
    </row>
    <row r="22" spans="1:10">
      <c r="F22" s="132"/>
      <c r="G22" s="78"/>
      <c r="H22" s="78"/>
      <c r="I22" s="78"/>
    </row>
    <row r="23" spans="1:10">
      <c r="A23" t="s">
        <v>126</v>
      </c>
      <c r="G23" s="78"/>
      <c r="H23" s="78"/>
      <c r="I23" s="78"/>
    </row>
  </sheetData>
  <hyperlinks>
    <hyperlink ref="D1" r:id="rId1" xr:uid="{00000000-0004-0000-0200-000000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8" customWidth="1"/>
    <col min="2" max="2" width="34.7109375" style="7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8" customWidth="1"/>
    <col min="8" max="8" width="13.42578125" style="78" customWidth="1"/>
    <col min="9" max="9" width="28.85546875" style="78" customWidth="1"/>
    <col min="11" max="16384" width="9.140625" style="78"/>
  </cols>
  <sheetData>
    <row r="2" spans="2:13">
      <c r="B2" s="85" t="s">
        <v>92</v>
      </c>
    </row>
    <row r="3" spans="2:13">
      <c r="B3" s="86" t="s">
        <v>115</v>
      </c>
      <c r="C3" s="87">
        <v>2013</v>
      </c>
      <c r="D3" s="87">
        <v>2014</v>
      </c>
      <c r="E3" s="87">
        <v>2015</v>
      </c>
      <c r="M3" s="77"/>
    </row>
    <row r="4" spans="2:13">
      <c r="B4" s="78" t="s">
        <v>93</v>
      </c>
      <c r="C4" s="88">
        <v>249411.34980000003</v>
      </c>
      <c r="D4" s="88">
        <v>588540.53559999994</v>
      </c>
      <c r="E4" s="88">
        <v>652575.45380000002</v>
      </c>
      <c r="F4" s="99" t="s">
        <v>116</v>
      </c>
      <c r="M4" s="77"/>
    </row>
    <row r="5" spans="2:13">
      <c r="B5" s="78" t="s">
        <v>44</v>
      </c>
      <c r="C5" s="88">
        <v>10737153.304823698</v>
      </c>
      <c r="D5" s="88">
        <v>9865275.1750967987</v>
      </c>
      <c r="E5" s="88">
        <v>9651660.6989069991</v>
      </c>
      <c r="F5" s="99" t="s">
        <v>116</v>
      </c>
      <c r="M5" s="77"/>
    </row>
    <row r="6" spans="2:13">
      <c r="B6" s="78" t="s">
        <v>43</v>
      </c>
      <c r="C6" s="88">
        <v>746836.73800000001</v>
      </c>
      <c r="D6" s="88">
        <v>1169354.4140000001</v>
      </c>
      <c r="E6" s="88">
        <v>489137.44500000001</v>
      </c>
      <c r="F6" s="99" t="s">
        <v>116</v>
      </c>
      <c r="M6" s="77"/>
    </row>
    <row r="7" spans="2:13">
      <c r="B7" s="78" t="s">
        <v>94</v>
      </c>
      <c r="C7" s="88">
        <v>1165015.3759999999</v>
      </c>
      <c r="D7" s="88">
        <v>1049272.4750000001</v>
      </c>
      <c r="E7" s="88">
        <v>1081686.5190000001</v>
      </c>
      <c r="F7" s="99" t="s">
        <v>116</v>
      </c>
      <c r="M7" s="77"/>
    </row>
    <row r="8" spans="2:13">
      <c r="B8" s="78" t="s">
        <v>95</v>
      </c>
      <c r="C8" s="98">
        <f>(C17*H47)</f>
        <v>6689.799422</v>
      </c>
      <c r="F8" s="99"/>
      <c r="M8" s="77"/>
    </row>
    <row r="9" spans="2:13">
      <c r="C9" s="88"/>
      <c r="D9" s="88"/>
      <c r="E9" s="88"/>
      <c r="F9" s="99"/>
      <c r="J9" s="78"/>
      <c r="M9" s="77"/>
    </row>
    <row r="10" spans="2:13">
      <c r="B10" s="86" t="s">
        <v>114</v>
      </c>
      <c r="C10" s="87">
        <v>2013</v>
      </c>
      <c r="D10" s="87">
        <v>2014</v>
      </c>
      <c r="E10" s="87">
        <v>2015</v>
      </c>
      <c r="F10" s="99"/>
      <c r="J10" s="78"/>
    </row>
    <row r="11" spans="2:13">
      <c r="B11" s="78" t="s">
        <v>93</v>
      </c>
      <c r="C11" s="94">
        <v>222792</v>
      </c>
      <c r="D11" s="94">
        <v>540252</v>
      </c>
      <c r="E11" s="94">
        <v>615241</v>
      </c>
      <c r="F11" s="99" t="s">
        <v>122</v>
      </c>
      <c r="J11" s="78"/>
    </row>
    <row r="12" spans="2:13">
      <c r="B12" s="78" t="s">
        <v>96</v>
      </c>
      <c r="C12" s="95">
        <v>9936388</v>
      </c>
      <c r="D12" s="95">
        <v>9364549</v>
      </c>
      <c r="E12" s="95">
        <v>9195773</v>
      </c>
      <c r="F12" s="99" t="s">
        <v>117</v>
      </c>
      <c r="J12" s="78"/>
    </row>
    <row r="13" spans="2:13">
      <c r="B13" s="78" t="s">
        <v>43</v>
      </c>
      <c r="C13" s="95">
        <v>1674194</v>
      </c>
      <c r="D13" s="95">
        <v>1558872</v>
      </c>
      <c r="E13" s="95">
        <v>698027</v>
      </c>
      <c r="F13" s="99" t="s">
        <v>117</v>
      </c>
      <c r="J13" s="78"/>
    </row>
    <row r="14" spans="2:13" hidden="1">
      <c r="B14" s="78" t="s">
        <v>97</v>
      </c>
      <c r="C14" s="95">
        <v>1293909</v>
      </c>
      <c r="D14" s="95">
        <v>1164903</v>
      </c>
      <c r="E14" s="95">
        <v>1202753</v>
      </c>
      <c r="F14" s="99" t="s">
        <v>98</v>
      </c>
      <c r="J14" s="78"/>
    </row>
    <row r="15" spans="2:13" hidden="1">
      <c r="B15" s="78" t="s">
        <v>99</v>
      </c>
      <c r="C15" s="95">
        <v>1293909</v>
      </c>
      <c r="D15" s="95">
        <v>1164903</v>
      </c>
      <c r="E15" s="95">
        <v>1202753</v>
      </c>
      <c r="F15" s="99" t="s">
        <v>98</v>
      </c>
      <c r="J15" s="78"/>
    </row>
    <row r="16" spans="2:13">
      <c r="B16" s="78" t="s">
        <v>94</v>
      </c>
      <c r="C16" s="95">
        <f>SUM(C14:C15)</f>
        <v>2587818</v>
      </c>
      <c r="D16" s="95">
        <f>SUM(D14:D15)</f>
        <v>2329806</v>
      </c>
      <c r="E16" s="95">
        <f>SUM(E14:E15)</f>
        <v>2405506</v>
      </c>
      <c r="F16" s="99" t="s">
        <v>119</v>
      </c>
      <c r="J16" s="78"/>
    </row>
    <row r="17" spans="2:10">
      <c r="B17" s="78" t="s">
        <v>95</v>
      </c>
      <c r="C17" s="95">
        <v>6124</v>
      </c>
      <c r="D17" s="95"/>
      <c r="E17" s="95"/>
      <c r="F17" s="99" t="s">
        <v>118</v>
      </c>
      <c r="J17" s="78"/>
    </row>
    <row r="18" spans="2:10">
      <c r="F18" s="99"/>
      <c r="J18" s="78"/>
    </row>
    <row r="19" spans="2:10" hidden="1">
      <c r="B19" s="78" t="s">
        <v>100</v>
      </c>
      <c r="F19" s="99"/>
      <c r="J19" s="78"/>
    </row>
    <row r="20" spans="2:10" hidden="1">
      <c r="B20" s="89"/>
      <c r="C20" s="96">
        <v>1157889</v>
      </c>
      <c r="D20" s="96">
        <v>1157889</v>
      </c>
      <c r="E20" s="96">
        <v>1157889</v>
      </c>
      <c r="F20" s="100"/>
      <c r="J20" s="78"/>
    </row>
    <row r="21" spans="2:10" hidden="1">
      <c r="B21" s="5"/>
      <c r="C21" s="97">
        <v>2377702</v>
      </c>
      <c r="D21" s="97">
        <v>2377702</v>
      </c>
      <c r="E21" s="97">
        <v>2377702</v>
      </c>
      <c r="F21" s="101"/>
      <c r="J21" s="78"/>
    </row>
    <row r="22" spans="2:10" hidden="1">
      <c r="B22" s="78" t="s">
        <v>101</v>
      </c>
      <c r="C22" s="88">
        <f t="shared" ref="C22:E22" si="0">SUM(C20:C21)</f>
        <v>3535591</v>
      </c>
      <c r="D22" s="88">
        <f t="shared" si="0"/>
        <v>3535591</v>
      </c>
      <c r="E22" s="88">
        <f t="shared" si="0"/>
        <v>3535591</v>
      </c>
      <c r="F22" s="99"/>
      <c r="J22" s="78"/>
    </row>
    <row r="23" spans="2:10" hidden="1">
      <c r="B23" s="78" t="s">
        <v>102</v>
      </c>
      <c r="F23" s="99"/>
      <c r="J23" s="78"/>
    </row>
    <row r="24" spans="2:10" hidden="1">
      <c r="B24" s="78" t="s">
        <v>103</v>
      </c>
      <c r="F24" s="99"/>
      <c r="J24" s="78"/>
    </row>
    <row r="25" spans="2:10" hidden="1">
      <c r="F25" s="99"/>
      <c r="J25" s="78"/>
    </row>
    <row r="26" spans="2:10" hidden="1">
      <c r="F26" s="99"/>
      <c r="J26" s="78"/>
    </row>
    <row r="27" spans="2:10" hidden="1">
      <c r="F27" s="99"/>
      <c r="J27" s="78"/>
    </row>
    <row r="28" spans="2:10" hidden="1">
      <c r="B28" s="78" t="s">
        <v>104</v>
      </c>
      <c r="C28" s="88">
        <v>2151957</v>
      </c>
      <c r="F28" s="99"/>
      <c r="J28" s="78"/>
    </row>
    <row r="29" spans="2:10" hidden="1">
      <c r="C29" s="94">
        <f>C28*$H46</f>
        <v>215195.7</v>
      </c>
      <c r="F29" s="99"/>
      <c r="J29" s="78"/>
    </row>
    <row r="30" spans="2:10" hidden="1">
      <c r="B30" s="78" t="s">
        <v>105</v>
      </c>
      <c r="C30" s="88">
        <v>2155070</v>
      </c>
      <c r="D30" s="88">
        <v>5055530</v>
      </c>
      <c r="F30" s="99"/>
      <c r="J30" s="78"/>
    </row>
    <row r="31" spans="2:10" hidden="1">
      <c r="C31" s="3">
        <f>C30*0.1</f>
        <v>215507</v>
      </c>
      <c r="D31" s="94">
        <f>D30*0.1</f>
        <v>505553</v>
      </c>
      <c r="F31" s="99"/>
      <c r="J31" s="78"/>
    </row>
    <row r="32" spans="2:10" hidden="1">
      <c r="F32" s="99"/>
      <c r="J32" s="78"/>
    </row>
    <row r="33" spans="2:10" hidden="1">
      <c r="F33" s="99"/>
      <c r="J33" s="78"/>
    </row>
    <row r="34" spans="2:10" hidden="1">
      <c r="F34" s="99"/>
      <c r="J34" s="78"/>
    </row>
    <row r="35" spans="2:10" hidden="1">
      <c r="F35" s="99"/>
      <c r="J35" s="78"/>
    </row>
    <row r="36" spans="2:10" s="91" customFormat="1">
      <c r="B36" s="90" t="s">
        <v>106</v>
      </c>
      <c r="C36" s="87">
        <v>2013</v>
      </c>
      <c r="D36" s="87">
        <v>2014</v>
      </c>
      <c r="E36" s="87">
        <v>2015</v>
      </c>
      <c r="F36" s="102"/>
    </row>
    <row r="37" spans="2:10" s="91" customFormat="1">
      <c r="B37" s="78" t="s">
        <v>93</v>
      </c>
      <c r="C37" s="103">
        <f>(C4*$H51)/C11</f>
        <v>2238.9614510395349</v>
      </c>
      <c r="D37" s="93">
        <f>(D4*$H51)/D11</f>
        <v>2178.7630054122887</v>
      </c>
      <c r="E37" s="93">
        <f>(E4*$H51)/E11</f>
        <v>2121.3652984765322</v>
      </c>
      <c r="F37" s="102"/>
    </row>
    <row r="38" spans="2:10">
      <c r="B38" s="78" t="s">
        <v>44</v>
      </c>
      <c r="C38" s="103">
        <f>(C5*$H51)/C12</f>
        <v>2161.1783486763397</v>
      </c>
      <c r="D38" s="93">
        <f>(D5*$H51)/D12</f>
        <v>2106.9407987713657</v>
      </c>
      <c r="E38" s="93">
        <f>(E5*$H51)/E12</f>
        <v>2099.1515773403712</v>
      </c>
      <c r="F38" s="99"/>
      <c r="J38" s="78"/>
    </row>
    <row r="39" spans="2:10">
      <c r="B39" s="78" t="s">
        <v>43</v>
      </c>
      <c r="C39" s="103">
        <f>(C6*$H51)/C13</f>
        <v>892.17466792976199</v>
      </c>
      <c r="D39" s="93">
        <f>(D6*$H51)/D13</f>
        <v>1500.2571269482037</v>
      </c>
      <c r="E39" s="93">
        <f>(E6*$H51)/E13</f>
        <v>1401.485744820759</v>
      </c>
      <c r="F39" s="99"/>
      <c r="J39" s="78"/>
    </row>
    <row r="40" spans="2:10">
      <c r="B40" s="78" t="s">
        <v>94</v>
      </c>
      <c r="C40" s="103">
        <f>(C7*$H51)/C16</f>
        <v>900.38432069024952</v>
      </c>
      <c r="D40" s="93">
        <f>(D7*$H51)/D16</f>
        <v>900.73806574452988</v>
      </c>
      <c r="E40" s="93">
        <f>(E7*$H51)/E16</f>
        <v>899.34219162205375</v>
      </c>
      <c r="F40" s="99"/>
      <c r="J40" s="78"/>
    </row>
    <row r="41" spans="2:10">
      <c r="B41" s="78" t="s">
        <v>95</v>
      </c>
      <c r="C41" s="103">
        <f>(C8*$H51)/C17</f>
        <v>2184.7809999999999</v>
      </c>
      <c r="D41" s="92"/>
      <c r="E41" s="92"/>
      <c r="F41" s="99"/>
      <c r="J41" s="78"/>
    </row>
    <row r="43" spans="2:10">
      <c r="B43" s="85" t="s">
        <v>111</v>
      </c>
      <c r="J43" s="78"/>
    </row>
    <row r="44" spans="2:10">
      <c r="B44" s="86" t="s">
        <v>113</v>
      </c>
      <c r="C44" s="87">
        <v>2013</v>
      </c>
      <c r="D44" s="87">
        <v>2014</v>
      </c>
      <c r="E44" s="87">
        <v>2015</v>
      </c>
      <c r="F44" s="78"/>
      <c r="G44" s="104" t="s">
        <v>107</v>
      </c>
      <c r="H44" s="105"/>
      <c r="I44"/>
      <c r="J44" s="77"/>
    </row>
    <row r="45" spans="2:10">
      <c r="B45" s="78" t="s">
        <v>112</v>
      </c>
      <c r="C45" s="95">
        <v>62089</v>
      </c>
      <c r="D45" s="95">
        <v>66234</v>
      </c>
      <c r="E45" s="95">
        <v>45774</v>
      </c>
      <c r="F45" s="78"/>
      <c r="G45" s="106" t="s">
        <v>44</v>
      </c>
      <c r="H45" s="107">
        <v>0.66669999999999996</v>
      </c>
      <c r="I45"/>
      <c r="J45" s="77"/>
    </row>
    <row r="46" spans="2:10">
      <c r="B46" s="78" t="s">
        <v>41</v>
      </c>
      <c r="C46" s="95">
        <v>227258</v>
      </c>
      <c r="D46" s="95">
        <v>216762</v>
      </c>
      <c r="E46" s="95">
        <v>186746</v>
      </c>
      <c r="F46" s="78"/>
      <c r="G46" s="106" t="s">
        <v>109</v>
      </c>
      <c r="H46" s="109">
        <v>0.1</v>
      </c>
      <c r="I46"/>
      <c r="J46" s="77"/>
    </row>
    <row r="47" spans="2:10">
      <c r="B47" s="78" t="s">
        <v>42</v>
      </c>
      <c r="C47" s="95">
        <v>206164</v>
      </c>
      <c r="D47" s="95">
        <v>215245</v>
      </c>
      <c r="E47" s="95">
        <v>188567</v>
      </c>
      <c r="F47" s="78"/>
      <c r="G47" s="110" t="s">
        <v>95</v>
      </c>
      <c r="H47" s="111">
        <v>1.0923905</v>
      </c>
      <c r="I47" s="112" t="s">
        <v>121</v>
      </c>
      <c r="J47" s="78"/>
    </row>
    <row r="48" spans="2:10">
      <c r="B48" s="78" t="s">
        <v>46</v>
      </c>
      <c r="C48" s="95">
        <v>485852</v>
      </c>
      <c r="D48" s="95">
        <v>542156</v>
      </c>
      <c r="E48" s="95">
        <v>436619</v>
      </c>
      <c r="F48" s="78"/>
      <c r="G48" s="113" t="s">
        <v>123</v>
      </c>
      <c r="H48" s="114"/>
      <c r="I48" s="5"/>
      <c r="J48" s="77"/>
    </row>
    <row r="49" spans="2:10">
      <c r="B49" s="78" t="s">
        <v>52</v>
      </c>
      <c r="C49" s="95">
        <v>1925</v>
      </c>
      <c r="D49" s="95">
        <v>2498</v>
      </c>
      <c r="E49" s="95">
        <v>2396</v>
      </c>
      <c r="F49" s="78"/>
      <c r="G49" s="106" t="s">
        <v>108</v>
      </c>
      <c r="H49" s="115">
        <v>0.90718500000000002</v>
      </c>
      <c r="I49" s="5"/>
      <c r="J49" s="77"/>
    </row>
    <row r="50" spans="2:10">
      <c r="B50" s="78" t="s">
        <v>53</v>
      </c>
      <c r="C50" s="95">
        <v>37778</v>
      </c>
      <c r="D50" s="95">
        <v>41246</v>
      </c>
      <c r="E50" s="95">
        <v>31575</v>
      </c>
      <c r="F50" s="78"/>
      <c r="G50" s="106" t="s">
        <v>120</v>
      </c>
      <c r="H50" s="115">
        <v>1.1023099999999999</v>
      </c>
      <c r="I50" s="5"/>
      <c r="J50" s="77"/>
    </row>
    <row r="51" spans="2:10">
      <c r="B51" s="78" t="s">
        <v>54</v>
      </c>
      <c r="C51" s="95">
        <v>39381</v>
      </c>
      <c r="D51" s="95">
        <v>44892</v>
      </c>
      <c r="E51" s="95">
        <v>32142</v>
      </c>
      <c r="G51" s="108" t="s">
        <v>110</v>
      </c>
      <c r="H51" s="116">
        <v>2000</v>
      </c>
      <c r="J51" s="78"/>
    </row>
    <row r="52" spans="2:10">
      <c r="B52" s="78" t="s">
        <v>55</v>
      </c>
      <c r="C52" s="95">
        <v>67577</v>
      </c>
      <c r="D52" s="95">
        <v>65390</v>
      </c>
      <c r="E52" s="95">
        <v>60539</v>
      </c>
      <c r="J52" s="78"/>
    </row>
    <row r="53" spans="2:10">
      <c r="B53" s="78" t="s">
        <v>56</v>
      </c>
      <c r="C53" s="95">
        <v>83609</v>
      </c>
      <c r="D53" s="95">
        <v>86439</v>
      </c>
      <c r="E53" s="95">
        <v>77098</v>
      </c>
      <c r="J53" s="78"/>
    </row>
    <row r="54" spans="2:10">
      <c r="B54" s="78" t="s">
        <v>57</v>
      </c>
      <c r="C54" s="95">
        <v>16334</v>
      </c>
      <c r="D54" s="95">
        <v>16187</v>
      </c>
      <c r="E54" s="95">
        <v>16857</v>
      </c>
      <c r="J54" s="78"/>
    </row>
    <row r="55" spans="2:10">
      <c r="B55" s="78" t="s">
        <v>58</v>
      </c>
      <c r="C55" s="95">
        <v>9864</v>
      </c>
      <c r="D55" s="95">
        <v>7396</v>
      </c>
      <c r="E55" s="95">
        <v>9699</v>
      </c>
      <c r="J55" s="78"/>
    </row>
    <row r="56" spans="2:10">
      <c r="B56" s="78" t="s">
        <v>59</v>
      </c>
      <c r="C56" s="95">
        <v>15766</v>
      </c>
      <c r="D56" s="95">
        <v>24132</v>
      </c>
      <c r="E56" s="95">
        <v>7941</v>
      </c>
      <c r="J56" s="78"/>
    </row>
    <row r="57" spans="2:10">
      <c r="B57" s="78" t="s">
        <v>60</v>
      </c>
      <c r="C57" s="95">
        <v>85349</v>
      </c>
      <c r="D57" s="95">
        <v>85550</v>
      </c>
      <c r="E57" s="95">
        <v>82043</v>
      </c>
      <c r="J57" s="78"/>
    </row>
    <row r="58" spans="2:10">
      <c r="B58" s="78" t="s">
        <v>61</v>
      </c>
      <c r="C58" s="95">
        <v>166834</v>
      </c>
      <c r="D58" s="95">
        <v>172588</v>
      </c>
      <c r="E58" s="95">
        <v>160121</v>
      </c>
      <c r="J58" s="78"/>
    </row>
    <row r="59" spans="2:10">
      <c r="B59" s="78" t="s">
        <v>62</v>
      </c>
      <c r="C59" s="95">
        <v>123888</v>
      </c>
      <c r="D59" s="95">
        <v>140861</v>
      </c>
      <c r="E59" s="95">
        <v>123550</v>
      </c>
      <c r="J59" s="78"/>
    </row>
    <row r="60" spans="2:10">
      <c r="B60" s="78" t="s">
        <v>63</v>
      </c>
      <c r="C60" s="95">
        <v>150001</v>
      </c>
      <c r="D60" s="95">
        <v>173729</v>
      </c>
      <c r="E60" s="95">
        <v>136640</v>
      </c>
      <c r="J60" s="78"/>
    </row>
    <row r="61" spans="2:10">
      <c r="B61" s="78" t="s">
        <v>64</v>
      </c>
      <c r="C61" s="95">
        <v>460852</v>
      </c>
      <c r="D61" s="95">
        <v>579582</v>
      </c>
      <c r="E61" s="95">
        <v>398837</v>
      </c>
      <c r="J61" s="78"/>
    </row>
    <row r="62" spans="2:10">
      <c r="B62" s="78" t="s">
        <v>65</v>
      </c>
      <c r="C62" s="95">
        <v>20789</v>
      </c>
      <c r="D62" s="95">
        <v>23728</v>
      </c>
      <c r="E62" s="95">
        <v>6378</v>
      </c>
      <c r="J62" s="78"/>
    </row>
    <row r="63" spans="2:10">
      <c r="B63" s="78" t="s">
        <v>75</v>
      </c>
      <c r="C63" s="95">
        <v>215139</v>
      </c>
      <c r="D63" s="95">
        <v>206474</v>
      </c>
      <c r="E63" s="95">
        <v>166763</v>
      </c>
      <c r="J63" s="78"/>
    </row>
    <row r="64" spans="2:10">
      <c r="B64" s="78" t="s">
        <v>74</v>
      </c>
      <c r="C64" s="95">
        <v>33745</v>
      </c>
      <c r="D64" s="95">
        <v>35937</v>
      </c>
      <c r="E64" s="95">
        <v>27781</v>
      </c>
      <c r="J64" s="78"/>
    </row>
    <row r="65" spans="2:10">
      <c r="B65" s="78" t="s">
        <v>73</v>
      </c>
      <c r="C65" s="95">
        <v>4178</v>
      </c>
      <c r="D65" s="95">
        <v>4567</v>
      </c>
      <c r="E65" s="95">
        <v>1219</v>
      </c>
      <c r="J65" s="78"/>
    </row>
    <row r="66" spans="2:10">
      <c r="B66" s="78" t="s">
        <v>72</v>
      </c>
      <c r="C66" s="95">
        <v>53119</v>
      </c>
      <c r="D66" s="95">
        <v>70420</v>
      </c>
      <c r="E66" s="95">
        <v>44735</v>
      </c>
      <c r="J66" s="78"/>
    </row>
    <row r="67" spans="2:10">
      <c r="B67" s="78" t="s">
        <v>71</v>
      </c>
      <c r="C67" s="95">
        <v>45782</v>
      </c>
      <c r="D67" s="95">
        <v>54071</v>
      </c>
      <c r="E67" s="95">
        <v>34278</v>
      </c>
      <c r="J67" s="78"/>
    </row>
    <row r="68" spans="2:10">
      <c r="B68" s="78" t="s">
        <v>70</v>
      </c>
      <c r="C68" s="95">
        <v>574493</v>
      </c>
      <c r="D68" s="95">
        <v>811753</v>
      </c>
      <c r="E68" s="95">
        <v>583525</v>
      </c>
      <c r="J68" s="78"/>
    </row>
    <row r="69" spans="2:10">
      <c r="B69" s="78" t="s">
        <v>69</v>
      </c>
      <c r="C69" s="95">
        <v>195898</v>
      </c>
      <c r="D69" s="95">
        <v>226366</v>
      </c>
      <c r="E69" s="95">
        <v>183992</v>
      </c>
      <c r="J69" s="78"/>
    </row>
    <row r="70" spans="2:10">
      <c r="B70" s="78" t="s">
        <v>68</v>
      </c>
      <c r="C70" s="95">
        <v>5340</v>
      </c>
      <c r="D70" s="95">
        <v>2354</v>
      </c>
      <c r="E70" s="95">
        <v>3490</v>
      </c>
      <c r="J70" s="78"/>
    </row>
    <row r="71" spans="2:10">
      <c r="B71" s="78" t="s">
        <v>67</v>
      </c>
      <c r="C71" s="95">
        <v>926</v>
      </c>
      <c r="D71" s="95">
        <v>55</v>
      </c>
      <c r="E71" s="95">
        <v>-21</v>
      </c>
      <c r="J71" s="78"/>
    </row>
    <row r="72" spans="2:10">
      <c r="B72" s="78" t="s">
        <v>66</v>
      </c>
      <c r="C72" s="95">
        <v>506285</v>
      </c>
      <c r="D72" s="95">
        <v>671963</v>
      </c>
      <c r="E72" s="95">
        <v>482067</v>
      </c>
      <c r="J72" s="78"/>
    </row>
    <row r="73" spans="2:10">
      <c r="J73" s="78"/>
    </row>
    <row r="74" spans="2:10">
      <c r="J74" s="78"/>
    </row>
    <row r="75" spans="2:10">
      <c r="J75" s="78"/>
    </row>
    <row r="76" spans="2:10">
      <c r="J76" s="78"/>
    </row>
    <row r="77" spans="2:10">
      <c r="J77" s="78"/>
    </row>
    <row r="78" spans="2:10">
      <c r="J78" s="78"/>
    </row>
    <row r="79" spans="2:10">
      <c r="J79" s="78"/>
    </row>
    <row r="80" spans="2:10">
      <c r="J80" s="78"/>
    </row>
    <row r="81" spans="10:10">
      <c r="J81" s="78"/>
    </row>
    <row r="82" spans="10:10">
      <c r="J82" s="78"/>
    </row>
    <row r="83" spans="10:10">
      <c r="J83" s="78"/>
    </row>
    <row r="84" spans="10:10">
      <c r="J84" s="78"/>
    </row>
    <row r="85" spans="10:10">
      <c r="J85" s="78"/>
    </row>
    <row r="86" spans="10:10">
      <c r="J86" s="78"/>
    </row>
    <row r="87" spans="10:10">
      <c r="J87" s="78"/>
    </row>
    <row r="88" spans="10:10">
      <c r="J88" s="78"/>
    </row>
    <row r="89" spans="10:10">
      <c r="J89" s="78"/>
    </row>
    <row r="90" spans="10:10">
      <c r="J90" s="78"/>
    </row>
    <row r="91" spans="10:10">
      <c r="J91" s="7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93FC7C6A518343B894AE098452E333" ma:contentTypeVersion="44" ma:contentTypeDescription="" ma:contentTypeScope="" ma:versionID="abd1b2941bf87654ada62de81988fe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2021-05-28T07:00:00+00:00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210391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C2D828-CD59-4A21-95B2-3903B1D4288A}"/>
</file>

<file path=customXml/itemProps2.xml><?xml version="1.0" encoding="utf-8"?>
<ds:datastoreItem xmlns:ds="http://schemas.openxmlformats.org/officeDocument/2006/customXml" ds:itemID="{AAB5EB87-40EC-4E1F-9A3F-DF8974452DC4}"/>
</file>

<file path=customXml/itemProps3.xml><?xml version="1.0" encoding="utf-8"?>
<ds:datastoreItem xmlns:ds="http://schemas.openxmlformats.org/officeDocument/2006/customXml" ds:itemID="{A97C61BD-1D1D-4280-B164-4E639FAA3E2C}"/>
</file>

<file path=customXml/itemProps4.xml><?xml version="1.0" encoding="utf-8"?>
<ds:datastoreItem xmlns:ds="http://schemas.openxmlformats.org/officeDocument/2006/customXml" ds:itemID="{EEFF1964-851F-42D4-B2AA-2C9F88436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2019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2021-05-20T16:35:16Z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0x0101006E56B4D1795A2E4DB2F0B01679ED314A004493FC7C6A518343B894AE098452E333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